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 Consolidado" sheetId="1" state="visible" r:id="rId1"/>
    <sheet xmlns:r="http://schemas.openxmlformats.org/officeDocument/2006/relationships" name="Administración" sheetId="2" state="visible" r:id="rId2"/>
    <sheet xmlns:r="http://schemas.openxmlformats.org/officeDocument/2006/relationships" name="Historial mensual" sheetId="3" state="visible" r:id="rId3"/>
    <sheet xmlns:r="http://schemas.openxmlformats.org/officeDocument/2006/relationships" name="Cronograma R. Operacional" sheetId="4" state="visible" r:id="rId4"/>
    <sheet xmlns:r="http://schemas.openxmlformats.org/officeDocument/2006/relationships" name="Actividades R. Operacional" sheetId="5" state="visible" r:id="rId5"/>
    <sheet xmlns:r="http://schemas.openxmlformats.org/officeDocument/2006/relationships" name="Cronograma R. Normativo" sheetId="6" state="visible" r:id="rId6"/>
    <sheet xmlns:r="http://schemas.openxmlformats.org/officeDocument/2006/relationships" name="Actividades R. Normativo" sheetId="7" state="visible" r:id="rId7"/>
    <sheet xmlns:r="http://schemas.openxmlformats.org/officeDocument/2006/relationships" name="Cronograma R. Financiero" sheetId="8" state="visible" r:id="rId8"/>
    <sheet xmlns:r="http://schemas.openxmlformats.org/officeDocument/2006/relationships" name="Actividades R. Financiero" sheetId="9" state="visible" r:id="rId9"/>
    <sheet xmlns:r="http://schemas.openxmlformats.org/officeDocument/2006/relationships" name="Cronograma Asistente Técnico" sheetId="10" state="visible" r:id="rId10"/>
    <sheet xmlns:r="http://schemas.openxmlformats.org/officeDocument/2006/relationships" name="Actividades Asistente Técnico" sheetId="11" state="visible" r:id="rId11"/>
    <sheet xmlns:r="http://schemas.openxmlformats.org/officeDocument/2006/relationships" name="Instrucciones" sheetId="12" state="visible" r:id="rId12"/>
    <sheet xmlns:r="http://schemas.openxmlformats.org/officeDocument/2006/relationships" name="Configuración" sheetId="13" state="visible" r:id="rId13"/>
    <sheet xmlns:r="http://schemas.openxmlformats.org/officeDocument/2006/relationships" name="Calculos" sheetId="14" state="hidden" r:id="rId14"/>
  </sheets>
  <definedNames>
    <definedName name="MesEntrada">'Configuración'!$C$4</definedName>
    <definedName name="InicioCiclo">'Configuración'!$C$5</definedName>
    <definedName name="FechaRef">'Configuración'!$C$6</definedName>
    <definedName name="SemanaActual">'Configuración'!$C$7</definedName>
    <definedName name="SemanaManual">'Configuración'!$C$8</definedName>
    <definedName name="DiasAlerta">'Configuración'!$C$9</definedName>
    <definedName name="ObsObligatoria">'Configuración'!$C$10</definedName>
    <definedName name="MetaFinal">'Configuración'!$C$11</definedName>
    <definedName name="HistInicio">'Configuración'!$C$12</definedName>
    <definedName name="PlanRef">'Configuración'!$C$15:$C$18</definedName>
    <definedName name="ListaPuestos">'Configuración'!$B$22:$B$25</definedName>
    <definedName name="ListaEstados">'Configuración'!$B$28:$B$30</definedName>
    <definedName name="ListaSemanas">'Configuración'!$B$33:$B$36</definedName>
    <definedName name="ListaSiNo">'Configuración'!$B$39:$B$40</definedName>
    <definedName name="rFLim_RO">'Cronograma R. Operacional'!$AS$5:$AS$1000</definedName>
    <definedName name="rIni_RO">'Cronograma R. Operacional'!$E$5:$E$1000</definedName>
    <definedName name="rLim_RO">'Cronograma R. Operacional'!$F$5:$F$1000</definedName>
    <definedName name="rDname_RO">'Cronograma R. Operacional'!$AP$5:$AP$1000</definedName>
    <definedName name="rPeso_RO">'Cronograma R. Operacional'!$AL$5:$AL$1000</definedName>
    <definedName name="rPesoEscrito_RO">'Cronograma R. Operacional'!$H$5:$H$1000</definedName>
    <definedName name="rS1_RO">'Cronograma R. Operacional'!$I$5:$I$1000</definedName>
    <definedName name="rS2_RO">'Cronograma R. Operacional'!$J$5:$J$1000</definedName>
    <definedName name="rS3_RO">'Cronograma R. Operacional'!$K$5:$K$1000</definedName>
    <definedName name="rS4_RO">'Cronograma R. Operacional'!$L$5:$L$1000</definedName>
    <definedName name="rAvance_RO">'Cronograma R. Operacional'!$M$5:$M$1000</definedName>
    <definedName name="rEstado_RO">'Cronograma R. Operacional'!$N$5:$N$1000</definedName>
    <definedName name="rAlerta_RO">'Cronograma R. Operacional'!$O$5:$O$1000</definedName>
    <definedName name="rValid_RO">'Cronograma R. Operacional'!$R$5:$R$1000</definedName>
    <definedName name="rMes_RO">'Cronograma R. Operacional'!$S$5:$S$1000</definedName>
    <definedName name="rOrden_RO">'Cronograma R. Operacional'!$T$5:$T$1000</definedName>
    <definedName name="rTipo_RO">'Cronograma R. Operacional'!$V$5:$V$1000</definedName>
    <definedName name="rEf1_RO">'Cronograma R. Operacional'!$AH$5:$AH$1000</definedName>
    <definedName name="rEf2_RO">'Cronograma R. Operacional'!$AI$5:$AI$1000</definedName>
    <definedName name="rEf3_RO">'Cronograma R. Operacional'!$AJ$5:$AJ$1000</definedName>
    <definedName name="rEf4_RO">'Cronograma R. Operacional'!$AK$5:$AK$1000</definedName>
    <definedName name="rAct_RO">'Cronograma R. Operacional'!$C$5:$C$1000</definedName>
    <definedName name="rDeleg_RO">'Cronograma R. Operacional'!$D$5:$D$1000</definedName>
    <definedName name="rDkey_RO">'Cronograma R. Operacional'!$AO$5:$AO$1000</definedName>
    <definedName name="rFLim_RN">'Cronograma R. Normativo'!$AS$5:$AS$1000</definedName>
    <definedName name="rIni_RN">'Cronograma R. Normativo'!$E$5:$E$1000</definedName>
    <definedName name="rLim_RN">'Cronograma R. Normativo'!$F$5:$F$1000</definedName>
    <definedName name="rDname_RN">'Cronograma R. Normativo'!$AP$5:$AP$1000</definedName>
    <definedName name="rPeso_RN">'Cronograma R. Normativo'!$AL$5:$AL$1000</definedName>
    <definedName name="rPesoEscrito_RN">'Cronograma R. Normativo'!$H$5:$H$1000</definedName>
    <definedName name="rS1_RN">'Cronograma R. Normativo'!$I$5:$I$1000</definedName>
    <definedName name="rS2_RN">'Cronograma R. Normativo'!$J$5:$J$1000</definedName>
    <definedName name="rS3_RN">'Cronograma R. Normativo'!$K$5:$K$1000</definedName>
    <definedName name="rS4_RN">'Cronograma R. Normativo'!$L$5:$L$1000</definedName>
    <definedName name="rAvance_RN">'Cronograma R. Normativo'!$M$5:$M$1000</definedName>
    <definedName name="rEstado_RN">'Cronograma R. Normativo'!$N$5:$N$1000</definedName>
    <definedName name="rAlerta_RN">'Cronograma R. Normativo'!$O$5:$O$1000</definedName>
    <definedName name="rValid_RN">'Cronograma R. Normativo'!$R$5:$R$1000</definedName>
    <definedName name="rMes_RN">'Cronograma R. Normativo'!$S$5:$S$1000</definedName>
    <definedName name="rOrden_RN">'Cronograma R. Normativo'!$T$5:$T$1000</definedName>
    <definedName name="rTipo_RN">'Cronograma R. Normativo'!$V$5:$V$1000</definedName>
    <definedName name="rEf1_RN">'Cronograma R. Normativo'!$AH$5:$AH$1000</definedName>
    <definedName name="rEf2_RN">'Cronograma R. Normativo'!$AI$5:$AI$1000</definedName>
    <definedName name="rEf3_RN">'Cronograma R. Normativo'!$AJ$5:$AJ$1000</definedName>
    <definedName name="rEf4_RN">'Cronograma R. Normativo'!$AK$5:$AK$1000</definedName>
    <definedName name="rAct_RN">'Cronograma R. Normativo'!$C$5:$C$1000</definedName>
    <definedName name="rDeleg_RN">'Cronograma R. Normativo'!$D$5:$D$1000</definedName>
    <definedName name="rDkey_RN">'Cronograma R. Normativo'!$AO$5:$AO$1000</definedName>
    <definedName name="rFLim_RF">'Cronograma R. Financiero'!$AS$5:$AS$1000</definedName>
    <definedName name="rIni_RF">'Cronograma R. Financiero'!$E$5:$E$1000</definedName>
    <definedName name="rLim_RF">'Cronograma R. Financiero'!$F$5:$F$1000</definedName>
    <definedName name="rDname_RF">'Cronograma R. Financiero'!$AP$5:$AP$1000</definedName>
    <definedName name="rPeso_RF">'Cronograma R. Financiero'!$AL$5:$AL$1000</definedName>
    <definedName name="rPesoEscrito_RF">'Cronograma R. Financiero'!$H$5:$H$1000</definedName>
    <definedName name="rS1_RF">'Cronograma R. Financiero'!$I$5:$I$1000</definedName>
    <definedName name="rS2_RF">'Cronograma R. Financiero'!$J$5:$J$1000</definedName>
    <definedName name="rS3_RF">'Cronograma R. Financiero'!$K$5:$K$1000</definedName>
    <definedName name="rS4_RF">'Cronograma R. Financiero'!$L$5:$L$1000</definedName>
    <definedName name="rAvance_RF">'Cronograma R. Financiero'!$M$5:$M$1000</definedName>
    <definedName name="rEstado_RF">'Cronograma R. Financiero'!$N$5:$N$1000</definedName>
    <definedName name="rAlerta_RF">'Cronograma R. Financiero'!$O$5:$O$1000</definedName>
    <definedName name="rValid_RF">'Cronograma R. Financiero'!$R$5:$R$1000</definedName>
    <definedName name="rMes_RF">'Cronograma R. Financiero'!$S$5:$S$1000</definedName>
    <definedName name="rOrden_RF">'Cronograma R. Financiero'!$T$5:$T$1000</definedName>
    <definedName name="rTipo_RF">'Cronograma R. Financiero'!$V$5:$V$1000</definedName>
    <definedName name="rEf1_RF">'Cronograma R. Financiero'!$AH$5:$AH$1000</definedName>
    <definedName name="rEf2_RF">'Cronograma R. Financiero'!$AI$5:$AI$1000</definedName>
    <definedName name="rEf3_RF">'Cronograma R. Financiero'!$AJ$5:$AJ$1000</definedName>
    <definedName name="rEf4_RF">'Cronograma R. Financiero'!$AK$5:$AK$1000</definedName>
    <definedName name="rAct_RF">'Cronograma R. Financiero'!$C$5:$C$1000</definedName>
    <definedName name="rDeleg_RF">'Cronograma R. Financiero'!$D$5:$D$1000</definedName>
    <definedName name="rDkey_RF">'Cronograma R. Financiero'!$AO$5:$AO$1000</definedName>
    <definedName name="rFLim_ATR">'Cronograma Asistente Técnico'!$AS$5:$AS$1000</definedName>
    <definedName name="rIni_ATR">'Cronograma Asistente Técnico'!$E$5:$E$1000</definedName>
    <definedName name="rLim_ATR">'Cronograma Asistente Técnico'!$F$5:$F$1000</definedName>
    <definedName name="rDname_ATR">'Cronograma Asistente Técnico'!$AP$5:$AP$1000</definedName>
    <definedName name="rPeso_ATR">'Cronograma Asistente Técnico'!$AL$5:$AL$1000</definedName>
    <definedName name="rPesoEscrito_ATR">'Cronograma Asistente Técnico'!$H$5:$H$1000</definedName>
    <definedName name="rS1_ATR">'Cronograma Asistente Técnico'!$I$5:$I$1000</definedName>
    <definedName name="rS2_ATR">'Cronograma Asistente Técnico'!$J$5:$J$1000</definedName>
    <definedName name="rS3_ATR">'Cronograma Asistente Técnico'!$K$5:$K$1000</definedName>
    <definedName name="rS4_ATR">'Cronograma Asistente Técnico'!$L$5:$L$1000</definedName>
    <definedName name="rAvance_ATR">'Cronograma Asistente Técnico'!$M$5:$M$1000</definedName>
    <definedName name="rEstado_ATR">'Cronograma Asistente Técnico'!$N$5:$N$1000</definedName>
    <definedName name="rAlerta_ATR">'Cronograma Asistente Técnico'!$O$5:$O$1000</definedName>
    <definedName name="rValid_ATR">'Cronograma Asistente Técnico'!$R$5:$R$1000</definedName>
    <definedName name="rMes_ATR">'Cronograma Asistente Técnico'!$S$5:$S$1000</definedName>
    <definedName name="rOrden_ATR">'Cronograma Asistente Técnico'!$T$5:$T$1000</definedName>
    <definedName name="rTipo_ATR">'Cronograma Asistente Técnico'!$V$5:$V$1000</definedName>
    <definedName name="rEf1_ATR">'Cronograma Asistente Técnico'!$AH$5:$AH$1000</definedName>
    <definedName name="rEf2_ATR">'Cronograma Asistente Técnico'!$AI$5:$AI$1000</definedName>
    <definedName name="rEf3_ATR">'Cronograma Asistente Técnico'!$AJ$5:$AJ$1000</definedName>
    <definedName name="rEf4_ATR">'Cronograma Asistente Técnico'!$AK$5:$AK$1000</definedName>
    <definedName name="rAct_ATR">'Cronograma Asistente Técnico'!$C$5:$C$1000</definedName>
    <definedName name="rDeleg_ATR">'Cronograma Asistente Técnico'!$D$5:$D$1000</definedName>
    <definedName name="rDkey_ATR">'Cronograma Asistente Técnico'!$AO$5:$AO$1000</definedName>
    <definedName name="rFLim_ADM">'Administración'!$AS$5:$AS$1000</definedName>
    <definedName name="rIni_ADM">'Administración'!$E$5:$E$1000</definedName>
    <definedName name="rLim_ADM">'Administración'!$F$5:$F$1000</definedName>
    <definedName name="rDname_ADM">'Administración'!$AP$5:$AP$1000</definedName>
    <definedName name="rPeso_ADM">'Administración'!$AL$5:$AL$1000</definedName>
    <definedName name="rPesoEscrito_ADM">'Administración'!$H$5:$H$1000</definedName>
    <definedName name="rS1_ADM">'Administración'!$I$5:$I$1000</definedName>
    <definedName name="rS2_ADM">'Administración'!$J$5:$J$1000</definedName>
    <definedName name="rS3_ADM">'Administración'!$K$5:$K$1000</definedName>
    <definedName name="rS4_ADM">'Administración'!$L$5:$L$1000</definedName>
    <definedName name="rAvance_ADM">'Administración'!$M$5:$M$1000</definedName>
    <definedName name="rEstado_ADM">'Administración'!$N$5:$N$1000</definedName>
    <definedName name="rAlerta_ADM">'Administración'!$O$5:$O$1000</definedName>
    <definedName name="rValid_ADM">'Administración'!$R$5:$R$1000</definedName>
    <definedName name="rMes_ADM">'Administración'!$S$5:$S$1000</definedName>
    <definedName name="rOrden_ADM">'Administración'!$T$5:$T$1000</definedName>
    <definedName name="rTipo_ADM">'Administración'!$V$5:$V$1000</definedName>
    <definedName name="rEf1_ADM">'Administración'!$AH$5:$AH$1000</definedName>
    <definedName name="rEf2_ADM">'Administración'!$AI$5:$AI$1000</definedName>
    <definedName name="rEf3_ADM">'Administración'!$AJ$5:$AJ$1000</definedName>
    <definedName name="rEf4_ADM">'Administración'!$AK$5:$AK$1000</definedName>
    <definedName name="rAct_ADM">'Administración'!$C$5:$C$1000</definedName>
    <definedName name="rDeleg_ADM">'Administración'!$D$5:$D$1000</definedName>
    <definedName name="rDkey_ADM">'Administración'!$AO$5:$AO$1000</definedName>
    <definedName name="hSemana_RO">'Actividades R. Operacional'!$E$5:$E$104</definedName>
    <definedName name="hEstado_RO">'Actividades R. Operacional'!$K$5:$K$104</definedName>
    <definedName name="hTipo_RO">'Actividades R. Operacional'!$O$5:$O$104</definedName>
    <definedName name="hAlertaN_RO">'Actividades R. Operacional'!$Q$5:$Q$104</definedName>
    <definedName name="hN_RO">'Actividades R. Operacional'!$A$5:$A$104</definedName>
    <definedName name="hAct_RO">'Actividades R. Operacional'!$B$5:$B$104</definedName>
    <definedName name="hLim_RO">'Actividades R. Operacional'!$D$5:$D$104</definedName>
    <definedName name="hAlerta_RO">'Actividades R. Operacional'!$L$5:$L$104</definedName>
    <definedName name="hObs_RO">'Actividades R. Operacional'!$M$5:$M$104</definedName>
    <definedName name="hSemana_RN">'Actividades R. Normativo'!$E$5:$E$104</definedName>
    <definedName name="hEstado_RN">'Actividades R. Normativo'!$K$5:$K$104</definedName>
    <definedName name="hTipo_RN">'Actividades R. Normativo'!$O$5:$O$104</definedName>
    <definedName name="hAlertaN_RN">'Actividades R. Normativo'!$Q$5:$Q$104</definedName>
    <definedName name="hN_RN">'Actividades R. Normativo'!$A$5:$A$104</definedName>
    <definedName name="hAct_RN">'Actividades R. Normativo'!$B$5:$B$104</definedName>
    <definedName name="hLim_RN">'Actividades R. Normativo'!$D$5:$D$104</definedName>
    <definedName name="hAlerta_RN">'Actividades R. Normativo'!$L$5:$L$104</definedName>
    <definedName name="hObs_RN">'Actividades R. Normativo'!$M$5:$M$104</definedName>
    <definedName name="hSemana_RF">'Actividades R. Financiero'!$E$5:$E$104</definedName>
    <definedName name="hEstado_RF">'Actividades R. Financiero'!$K$5:$K$104</definedName>
    <definedName name="hTipo_RF">'Actividades R. Financiero'!$O$5:$O$104</definedName>
    <definedName name="hAlertaN_RF">'Actividades R. Financiero'!$Q$5:$Q$104</definedName>
    <definedName name="hN_RF">'Actividades R. Financiero'!$A$5:$A$104</definedName>
    <definedName name="hAct_RF">'Actividades R. Financiero'!$B$5:$B$104</definedName>
    <definedName name="hLim_RF">'Actividades R. Financiero'!$D$5:$D$104</definedName>
    <definedName name="hAlerta_RF">'Actividades R. Financiero'!$L$5:$L$104</definedName>
    <definedName name="hObs_RF">'Actividades R. Financiero'!$M$5:$M$104</definedName>
    <definedName name="hSemana_ATR">'Actividades Asistente Técnico'!$E$5:$E$104</definedName>
    <definedName name="hEstado_ATR">'Actividades Asistente Técnico'!$K$5:$K$104</definedName>
    <definedName name="hTipo_ATR">'Actividades Asistente Técnico'!$O$5:$O$104</definedName>
    <definedName name="hAlertaN_ATR">'Actividades Asistente Técnico'!$Q$5:$Q$104</definedName>
    <definedName name="hN_ATR">'Actividades Asistente Técnico'!$A$5:$A$104</definedName>
    <definedName name="hAct_ATR">'Actividades Asistente Técnico'!$B$5:$B$104</definedName>
    <definedName name="hLim_ATR">'Actividades Asistente Técnico'!$D$5:$D$104</definedName>
    <definedName name="hAlerta_ATR">'Actividades Asistente Técnico'!$L$5:$L$104</definedName>
    <definedName name="hObs_ATR">'Actividades Asistente Técnico'!$M$5:$M$104</definedName>
    <definedName name="ListaDeleg_RO">OFFSET('Calculos'!$B$21,0,0,MAX(1,COUNTIF('Calculos'!$B$21:$B$60,"?*")),1)</definedName>
    <definedName name="ListaDeleg_RN">OFFSET('Calculos'!$C$21,0,0,MAX(1,COUNTIF('Calculos'!$C$21:$C$60,"?*")),1)</definedName>
    <definedName name="ListaDeleg_RF">OFFSET('Calculos'!$D$21,0,0,MAX(1,COUNTIF('Calculos'!$D$21:$D$60,"?*")),1)</definedName>
    <definedName name="ListaDeleg_ATR">OFFSET('Calculos'!$E$21,0,0,MAX(1,COUNTIF('Calculos'!$E$21:$E$60,"?*")),1)</definedName>
    <definedName name="MesCiclo">'Calculos'!$B$15</definedName>
    <definedName name="_xlnm.Print_Titles" localSheetId="0">'Dashboard - Consolidado'!$1:$2</definedName>
    <definedName name="_xlnm.Print_Area" localSheetId="0">'Dashboard - Consolidado'!$A$1:$N$91</definedName>
    <definedName name="_xlnm.Print_Titles" localSheetId="1">'Administración'!$4:$4</definedName>
    <definedName name="_xlnm.Print_Area" localSheetId="1">'Administración'!$A$1:$S$304</definedName>
    <definedName name="_xlnm.Print_Titles" localSheetId="3">'Cronograma R. Operacional'!$4:$4</definedName>
    <definedName name="_xlnm.Print_Area" localSheetId="3">'Cronograma R. Operacional'!$A$1:$S$304</definedName>
    <definedName name="_xlnm.Print_Titles" localSheetId="4">'Actividades R. Operacional'!$4:$4</definedName>
    <definedName name="_xlnm.Print_Area" localSheetId="4">'Actividades R. Operacional'!$A$1:$M$104</definedName>
    <definedName name="_xlnm.Print_Titles" localSheetId="5">'Cronograma R. Normativo'!$4:$4</definedName>
    <definedName name="_xlnm.Print_Area" localSheetId="5">'Cronograma R. Normativo'!$A$1:$S$304</definedName>
    <definedName name="_xlnm.Print_Titles" localSheetId="6">'Actividades R. Normativo'!$4:$4</definedName>
    <definedName name="_xlnm.Print_Area" localSheetId="6">'Actividades R. Normativo'!$A$1:$M$104</definedName>
    <definedName name="_xlnm.Print_Titles" localSheetId="7">'Cronograma R. Financiero'!$4:$4</definedName>
    <definedName name="_xlnm.Print_Area" localSheetId="7">'Cronograma R. Financiero'!$A$1:$S$304</definedName>
    <definedName name="_xlnm.Print_Titles" localSheetId="8">'Actividades R. Financiero'!$4:$4</definedName>
    <definedName name="_xlnm.Print_Area" localSheetId="8">'Actividades R. Financiero'!$A$1:$M$104</definedName>
    <definedName name="_xlnm.Print_Titles" localSheetId="9">'Cronograma Asistente Técnico'!$4:$4</definedName>
    <definedName name="_xlnm.Print_Area" localSheetId="9">'Cronograma Asistente Técnico'!$A$1:$S$304</definedName>
    <definedName name="_xlnm.Print_Titles" localSheetId="10">'Actividades Asistente Técnico'!$4:$4</definedName>
    <definedName name="_xlnm.Print_Area" localSheetId="10">'Actividades Asistente Técnico'!$A$1:$M$104</definedName>
  </definedNames>
  <calcPr calcId="124519" fullCalcOnLoad="1"/>
</workbook>
</file>

<file path=xl/styles.xml><?xml version="1.0" encoding="utf-8"?>
<styleSheet xmlns="http://schemas.openxmlformats.org/spreadsheetml/2006/main">
  <numFmts count="9">
    <numFmt numFmtId="164" formatCode="[$-440A]mmmm yyyy"/>
    <numFmt numFmtId="165" formatCode="dd/mm/yyyy"/>
    <numFmt numFmtId="166" formatCode="&quot;Semana &quot;0"/>
    <numFmt numFmtId="167" formatCode="yyyy-mm-dd"/>
    <numFmt numFmtId="168" formatCode="dd/mm"/>
    <numFmt numFmtId="169" formatCode="0.0%"/>
    <numFmt numFmtId="170" formatCode="0&quot; de 4&quot;"/>
    <numFmt numFmtId="171" formatCode="0%;;&quot;&quot;"/>
    <numFmt numFmtId="172" formatCode="+0%;-0%;0%"/>
  </numFmts>
  <fonts count="28">
    <font>
      <name val="Calibri"/>
      <family val="2"/>
      <color theme="1"/>
      <sz val="11"/>
      <scheme val="minor"/>
    </font>
    <font>
      <name val="Arial"/>
      <b val="1"/>
      <color rgb="00FFFFFF"/>
      <sz val="14"/>
    </font>
    <font>
      <name val="Arial"/>
      <i val="1"/>
      <color rgb="001A1A1A"/>
      <sz val="9"/>
    </font>
    <font>
      <name val="Arial"/>
      <b val="1"/>
      <color rgb="00FFFFFF"/>
      <sz val="10"/>
    </font>
    <font>
      <name val="Arial"/>
      <b val="1"/>
      <color rgb="001A1A1A"/>
      <sz val="10"/>
    </font>
    <font>
      <name val="Arial"/>
      <b val="1"/>
      <color rgb="001F3864"/>
      <sz val="10"/>
    </font>
    <font>
      <name val="Arial"/>
      <color rgb="001A1A1A"/>
      <sz val="9"/>
    </font>
    <font>
      <name val="Arial"/>
      <b val="1"/>
      <color rgb="002E75B6"/>
      <sz val="10"/>
    </font>
    <font>
      <name val="Arial"/>
      <color rgb="001A1A1A"/>
      <sz val="10"/>
    </font>
    <font>
      <name val="Arial"/>
      <color rgb="001F3864"/>
      <sz val="9"/>
    </font>
    <font>
      <name val="Arial"/>
      <color rgb="001A1A1A"/>
      <sz val="8"/>
    </font>
    <font>
      <name val="Arial"/>
      <b val="1"/>
      <color rgb="001A1A1A"/>
      <sz val="8"/>
    </font>
    <font>
      <name val="Arial"/>
      <i val="1"/>
      <color rgb="001F3864"/>
      <sz val="8"/>
    </font>
    <font>
      <name val="Arial"/>
      <b val="1"/>
      <color rgb="001F3864"/>
      <sz val="9"/>
    </font>
    <font>
      <name val="Arial"/>
      <b val="1"/>
      <color rgb="001A1A1A"/>
      <sz val="9"/>
    </font>
    <font>
      <name val="Arial"/>
      <b val="1"/>
      <color rgb="001F3864"/>
      <sz val="8"/>
    </font>
    <font>
      <name val="Arial"/>
      <b val="1"/>
      <color rgb="00FFFFFF"/>
      <sz val="9"/>
    </font>
    <font>
      <name val="Arial"/>
      <i val="1"/>
      <color rgb="001A1A1A"/>
      <sz val="8"/>
    </font>
    <font>
      <name val="Arial"/>
      <b val="1"/>
      <color rgb="00FFFFFF"/>
      <sz val="16"/>
    </font>
    <font>
      <name val="Arial"/>
      <b val="1"/>
      <color rgb="001F3864"/>
      <sz val="11"/>
    </font>
    <font>
      <name val="Arial"/>
      <b val="1"/>
      <color rgb="001F3864"/>
      <sz val="24"/>
    </font>
    <font>
      <name val="Arial"/>
      <b val="1"/>
      <color rgb="00FFFFFF"/>
      <sz val="12"/>
    </font>
    <font>
      <name val="Arial"/>
      <color rgb="00FFFFFF"/>
      <sz val="9"/>
    </font>
    <font>
      <name val="Arial"/>
      <color rgb="00DDEBF7"/>
      <sz val="9"/>
    </font>
    <font>
      <name val="Arial"/>
      <i val="1"/>
      <color rgb="00404040"/>
      <sz val="9"/>
    </font>
    <font>
      <name val="Arial"/>
      <color rgb="00404040"/>
      <sz val="9"/>
    </font>
    <font>
      <name val="Arial"/>
      <i val="1"/>
      <color rgb="00404040"/>
      <sz val="8"/>
    </font>
    <font>
      <name val="Arial"/>
      <b val="1"/>
      <color rgb="00FFFFFF"/>
      <sz val="11"/>
    </font>
  </fonts>
  <fills count="17">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EDEDED"/>
        <bgColor rgb="00EDEDED"/>
      </patternFill>
    </fill>
    <fill>
      <patternFill patternType="solid">
        <fgColor rgb="00EAF3FB"/>
        <bgColor rgb="00EAF3FB"/>
      </patternFill>
    </fill>
    <fill>
      <patternFill patternType="solid">
        <fgColor rgb="00C55A11"/>
        <bgColor rgb="00C55A11"/>
      </patternFill>
    </fill>
    <fill>
      <patternFill patternType="solid">
        <fgColor rgb="00DDEBF7"/>
        <bgColor rgb="00DDEBF7"/>
      </patternFill>
    </fill>
    <fill>
      <patternFill patternType="solid">
        <fgColor rgb="00F3DECF"/>
        <bgColor rgb="00F3DECF"/>
      </patternFill>
    </fill>
    <fill>
      <patternFill patternType="solid">
        <fgColor rgb="007030A0"/>
        <bgColor rgb="007030A0"/>
      </patternFill>
    </fill>
    <fill>
      <patternFill patternType="solid">
        <fgColor rgb="00E2D5EC"/>
        <bgColor rgb="00E2D5EC"/>
      </patternFill>
    </fill>
    <fill>
      <patternFill patternType="solid">
        <fgColor rgb="00548235"/>
        <bgColor rgb="00548235"/>
      </patternFill>
    </fill>
    <fill>
      <patternFill patternType="solid">
        <fgColor rgb="00DCE6D6"/>
        <bgColor rgb="00DCE6D6"/>
      </patternFill>
    </fill>
    <fill>
      <patternFill patternType="solid">
        <fgColor rgb="00D5E3F0"/>
        <bgColor rgb="00D5E3F0"/>
      </patternFill>
    </fill>
    <fill>
      <patternFill patternType="solid">
        <fgColor rgb="00595959"/>
        <bgColor rgb="00595959"/>
      </patternFill>
    </fill>
    <fill>
      <patternFill patternType="solid">
        <fgColor rgb="00DDDDDD"/>
        <bgColor rgb="00DDDDDD"/>
      </patternFill>
    </fill>
    <fill>
      <patternFill patternType="solid">
        <fgColor rgb="00FFFFFF"/>
        <bgColor rgb="00FFFFFF"/>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110">
    <xf numFmtId="0" fontId="0" fillId="0" borderId="0" pivotButton="0" quotePrefix="0" xfId="0"/>
    <xf numFmtId="0" fontId="18" fillId="2" borderId="0" applyAlignment="1" pivotButton="0" quotePrefix="0" xfId="0">
      <alignment horizontal="left" vertical="center" wrapText="1"/>
    </xf>
    <xf numFmtId="0" fontId="5" fillId="0" borderId="0" applyAlignment="1" pivotButton="0" quotePrefix="0" xfId="0">
      <alignment horizontal="right" vertical="center"/>
    </xf>
    <xf numFmtId="164" fontId="19" fillId="7" borderId="1" applyAlignment="1" pivotButton="0" quotePrefix="0" xfId="0">
      <alignment horizontal="center" vertical="center" wrapText="1"/>
    </xf>
    <xf numFmtId="170" fontId="19" fillId="7" borderId="1" applyAlignment="1" pivotButton="0" quotePrefix="0" xfId="0">
      <alignment horizontal="center" vertical="center" wrapText="1"/>
    </xf>
    <xf numFmtId="165" fontId="19" fillId="7" borderId="1" applyAlignment="1" pivotButton="0" quotePrefix="0" xfId="0">
      <alignment horizontal="center" vertical="center" wrapText="1"/>
    </xf>
    <xf numFmtId="0" fontId="12" fillId="0" borderId="0" applyAlignment="1" pivotButton="0" quotePrefix="0" xfId="0">
      <alignment horizontal="left" vertical="center" wrapText="1"/>
    </xf>
    <xf numFmtId="0" fontId="3" fillId="3" borderId="1" applyAlignment="1" pivotButton="0" quotePrefix="0" xfId="0">
      <alignment horizontal="center" vertical="center" wrapText="1"/>
    </xf>
    <xf numFmtId="9" fontId="20" fillId="16" borderId="1" applyAlignment="1" pivotButton="0" quotePrefix="0" xfId="0">
      <alignment horizontal="center" vertical="center" wrapText="1"/>
    </xf>
    <xf numFmtId="0" fontId="20" fillId="16" borderId="1" applyAlignment="1" pivotButton="0" quotePrefix="0" xfId="0">
      <alignment horizontal="center" vertical="center" wrapText="1"/>
    </xf>
    <xf numFmtId="1" fontId="20" fillId="16" borderId="1" applyAlignment="1" pivotButton="0" quotePrefix="0" xfId="0">
      <alignment horizontal="center" vertical="center" wrapText="1"/>
    </xf>
    <xf numFmtId="0" fontId="9" fillId="7" borderId="1" applyAlignment="1" pivotButton="0" quotePrefix="0" xfId="0">
      <alignment horizontal="center" vertical="center" wrapText="1"/>
    </xf>
    <xf numFmtId="170" fontId="20" fillId="16" borderId="1" applyAlignment="1" pivotButton="0" quotePrefix="0" xfId="0">
      <alignment horizontal="center" vertical="center" wrapText="1"/>
    </xf>
    <xf numFmtId="0" fontId="5" fillId="0" borderId="0" pivotButton="0" quotePrefix="0" xfId="0"/>
    <xf numFmtId="9" fontId="5"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9" fillId="0" borderId="1" applyAlignment="1" pivotButton="0" quotePrefix="0" xfId="0">
      <alignment horizontal="center" vertical="center" wrapText="1"/>
    </xf>
    <xf numFmtId="0" fontId="21" fillId="2" borderId="0" applyAlignment="1" pivotButton="0" quotePrefix="0" xfId="0">
      <alignment horizontal="left" vertical="center" wrapText="1"/>
    </xf>
    <xf numFmtId="0" fontId="0" fillId="0" borderId="1" pivotButton="0" quotePrefix="0" xfId="0"/>
    <xf numFmtId="0" fontId="3" fillId="6" borderId="1" applyAlignment="1" pivotButton="0" quotePrefix="0" xfId="0">
      <alignment horizontal="left" vertical="center" wrapText="1"/>
    </xf>
    <xf numFmtId="9" fontId="8" fillId="0" borderId="1" applyAlignment="1" pivotButton="0" quotePrefix="0" xfId="0">
      <alignment horizontal="center" vertical="center" wrapText="1"/>
    </xf>
    <xf numFmtId="171" fontId="22"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3" fillId="9" borderId="1" applyAlignment="1" pivotButton="0" quotePrefix="0" xfId="0">
      <alignment horizontal="left" vertical="center" wrapText="1"/>
    </xf>
    <xf numFmtId="0" fontId="3" fillId="11" borderId="1" applyAlignment="1" pivotButton="0" quotePrefix="0" xfId="0">
      <alignment horizontal="left" vertical="center" wrapText="1"/>
    </xf>
    <xf numFmtId="0" fontId="3" fillId="3" borderId="1" applyAlignment="1" pivotButton="0" quotePrefix="0" xfId="0">
      <alignment horizontal="left" vertical="center" wrapText="1"/>
    </xf>
    <xf numFmtId="0" fontId="5" fillId="7" borderId="1" applyAlignment="1" pivotButton="0" quotePrefix="0" xfId="0">
      <alignment horizontal="left" vertical="center" wrapText="1"/>
    </xf>
    <xf numFmtId="9" fontId="5" fillId="7" borderId="1" applyAlignment="1" pivotButton="0" quotePrefix="0" xfId="0">
      <alignment horizontal="center" vertical="center" wrapText="1"/>
    </xf>
    <xf numFmtId="171" fontId="23"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16" fillId="3" borderId="1" applyAlignment="1" pivotButton="0" quotePrefix="0" xfId="0">
      <alignment horizontal="center" vertical="center" wrapText="1"/>
    </xf>
    <xf numFmtId="0" fontId="13" fillId="7" borderId="1" applyAlignment="1" pivotButton="0" quotePrefix="0" xfId="0">
      <alignment horizontal="center" vertical="center" wrapText="1"/>
    </xf>
    <xf numFmtId="172" fontId="8" fillId="0" borderId="1" applyAlignment="1" pivotButton="0" quotePrefix="0" xfId="0">
      <alignment horizontal="center" vertical="center" wrapText="1"/>
    </xf>
    <xf numFmtId="172" fontId="5" fillId="7" borderId="1" applyAlignment="1" pivotButton="0" quotePrefix="0" xfId="0">
      <alignment horizontal="center" vertical="center" wrapText="1"/>
    </xf>
    <xf numFmtId="0" fontId="24" fillId="16" borderId="1" applyAlignment="1" pivotButton="0" quotePrefix="0" xfId="0">
      <alignment horizontal="left" vertical="center" wrapText="1"/>
    </xf>
    <xf numFmtId="9" fontId="24" fillId="16" borderId="1" applyAlignment="1" pivotButton="0" quotePrefix="0" xfId="0">
      <alignment horizontal="center" vertical="center" wrapText="1"/>
    </xf>
    <xf numFmtId="172" fontId="5" fillId="16" borderId="1" applyAlignment="1" pivotButton="0" quotePrefix="0" xfId="0">
      <alignment horizontal="center" vertical="center" wrapText="1"/>
    </xf>
    <xf numFmtId="0" fontId="5" fillId="16" borderId="1" applyAlignment="1" pivotButton="0" quotePrefix="0" xfId="0">
      <alignment horizontal="center" vertical="center" wrapText="1"/>
    </xf>
    <xf numFmtId="0" fontId="25" fillId="16" borderId="1" applyAlignment="1" pivotButton="0" quotePrefix="0" xfId="0">
      <alignment horizontal="left" vertical="center" wrapText="1"/>
    </xf>
    <xf numFmtId="9" fontId="25" fillId="16" borderId="1" applyAlignment="1" pivotButton="0" quotePrefix="0" xfId="0">
      <alignment horizontal="center" vertical="center" wrapText="1"/>
    </xf>
    <xf numFmtId="0" fontId="26" fillId="0" borderId="0" applyAlignment="1" pivotButton="0" quotePrefix="0" xfId="0">
      <alignment horizontal="left" vertical="center" wrapText="1"/>
    </xf>
    <xf numFmtId="0" fontId="8" fillId="0" borderId="1" applyAlignment="1" pivotButton="0" quotePrefix="0" xfId="0">
      <alignment horizontal="left" vertical="center" wrapText="1"/>
    </xf>
    <xf numFmtId="1"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14" fillId="0" borderId="1" applyAlignment="1" pivotButton="0" quotePrefix="0" xfId="0">
      <alignment horizontal="left" vertical="center" wrapText="1"/>
    </xf>
    <xf numFmtId="0" fontId="3" fillId="14" borderId="1" applyAlignment="1" pivotButton="0" quotePrefix="0" xfId="0">
      <alignment horizontal="left" vertical="center" wrapText="1"/>
    </xf>
    <xf numFmtId="0" fontId="1" fillId="14" borderId="0" applyAlignment="1" pivotButton="0" quotePrefix="0" xfId="0">
      <alignment horizontal="left" vertical="center" wrapText="1"/>
    </xf>
    <xf numFmtId="0" fontId="9" fillId="7" borderId="0" applyAlignment="1" pivotButton="0" quotePrefix="0" xfId="0">
      <alignment horizontal="left" vertical="center" wrapText="1"/>
    </xf>
    <xf numFmtId="0" fontId="10" fillId="4" borderId="1" pivotButton="0" quotePrefix="0" xfId="0"/>
    <xf numFmtId="0" fontId="10" fillId="5" borderId="1" pivotButton="0" quotePrefix="0" xfId="0"/>
    <xf numFmtId="0" fontId="11" fillId="15" borderId="1" pivotButton="0" quotePrefix="0" xfId="0"/>
    <xf numFmtId="0" fontId="12" fillId="0" borderId="0" applyAlignment="1" pivotButton="0" quotePrefix="0" xfId="0">
      <alignment horizontal="right" vertical="center" wrapText="1"/>
    </xf>
    <xf numFmtId="0" fontId="13" fillId="7" borderId="1" applyAlignment="1" pivotButton="0" quotePrefix="0" xfId="0">
      <alignment horizontal="left" vertical="center" wrapText="1"/>
    </xf>
    <xf numFmtId="0" fontId="3" fillId="2" borderId="1" applyAlignment="1" pivotButton="0" quotePrefix="0" xfId="0">
      <alignment horizontal="center" vertical="center" wrapText="1"/>
    </xf>
    <xf numFmtId="0" fontId="3" fillId="1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4"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left" vertical="center" wrapText="1"/>
      <protection locked="0" hidden="0"/>
    </xf>
    <xf numFmtId="165" fontId="8" fillId="4" borderId="1" applyAlignment="1" applyProtection="1" pivotButton="0" quotePrefix="0" xfId="0">
      <alignment horizontal="center" vertical="center" wrapText="1"/>
      <protection locked="0" hidden="0"/>
    </xf>
    <xf numFmtId="9" fontId="8" fillId="4" borderId="1" applyAlignment="1" applyProtection="1" pivotButton="0" quotePrefix="0" xfId="0">
      <alignment horizontal="center" vertical="center" wrapText="1"/>
      <protection locked="0" hidden="0"/>
    </xf>
    <xf numFmtId="9" fontId="8"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6" fillId="5" borderId="1" applyAlignment="1" pivotButton="0" quotePrefix="0" xfId="0">
      <alignment horizontal="left" vertical="center" wrapText="1"/>
    </xf>
    <xf numFmtId="164" fontId="8" fillId="5" borderId="1" applyAlignment="1" pivotButton="0" quotePrefix="0" xfId="0">
      <alignment horizontal="center" vertical="center" wrapText="1"/>
    </xf>
    <xf numFmtId="0" fontId="1" fillId="2" borderId="0" applyAlignment="1" pivotButton="0" quotePrefix="0" xfId="0">
      <alignment horizontal="left" vertical="center" wrapText="1"/>
    </xf>
    <xf numFmtId="0" fontId="16" fillId="2"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1" borderId="1" applyAlignment="1" pivotButton="0" quotePrefix="0" xfId="0">
      <alignment horizontal="center" vertical="center" wrapText="1"/>
    </xf>
    <xf numFmtId="164" fontId="4" fillId="0" borderId="1" applyAlignment="1" pivotButton="0" quotePrefix="0" xfId="0">
      <alignment horizontal="center" vertical="center" wrapText="1"/>
    </xf>
    <xf numFmtId="9" fontId="4" fillId="0" borderId="1" applyAlignment="1" pivotButton="0" quotePrefix="0" xfId="0">
      <alignment horizontal="center" vertical="center" wrapText="1"/>
    </xf>
    <xf numFmtId="0" fontId="1" fillId="6" borderId="0" applyAlignment="1" pivotButton="0" quotePrefix="0" xfId="0">
      <alignment horizontal="left" vertical="center" wrapText="1"/>
    </xf>
    <xf numFmtId="0" fontId="11" fillId="8" borderId="1" pivotButton="0" quotePrefix="0" xfId="0"/>
    <xf numFmtId="0" fontId="13" fillId="7" borderId="0" applyAlignment="1" pivotButton="0" quotePrefix="0" xfId="0">
      <alignment horizontal="left" vertical="center" wrapText="1"/>
    </xf>
    <xf numFmtId="0" fontId="13" fillId="0" borderId="0" pivotButton="0" quotePrefix="0" xfId="0"/>
    <xf numFmtId="164" fontId="5" fillId="7" borderId="0" applyAlignment="1" pivotButton="0" quotePrefix="0" xfId="0">
      <alignment horizontal="left" vertical="center" wrapText="1"/>
    </xf>
    <xf numFmtId="0" fontId="15" fillId="0" borderId="0" applyAlignment="1" pivotButton="0" quotePrefix="0" xfId="0">
      <alignment horizontal="right" vertical="center"/>
    </xf>
    <xf numFmtId="168" fontId="15" fillId="7" borderId="1" applyAlignment="1" pivotButton="0" quotePrefix="0" xfId="0">
      <alignment horizontal="center" vertical="center" wrapText="1"/>
    </xf>
    <xf numFmtId="165" fontId="8" fillId="5" borderId="1" applyAlignment="1" pivotButton="0" quotePrefix="0" xfId="0">
      <alignment horizontal="center" vertical="center" wrapText="1"/>
    </xf>
    <xf numFmtId="0" fontId="1" fillId="9" borderId="0" applyAlignment="1" pivotButton="0" quotePrefix="0" xfId="0">
      <alignment horizontal="left" vertical="center" wrapText="1"/>
    </xf>
    <xf numFmtId="0" fontId="11" fillId="10" borderId="1" pivotButton="0" quotePrefix="0" xfId="0"/>
    <xf numFmtId="0" fontId="1" fillId="11" borderId="0" applyAlignment="1" pivotButton="0" quotePrefix="0" xfId="0">
      <alignment horizontal="left" vertical="center" wrapText="1"/>
    </xf>
    <xf numFmtId="0" fontId="11" fillId="12" borderId="1" pivotButton="0" quotePrefix="0" xfId="0"/>
    <xf numFmtId="0" fontId="1" fillId="3" borderId="0" applyAlignment="1" pivotButton="0" quotePrefix="0" xfId="0">
      <alignment horizontal="left" vertical="center" wrapText="1"/>
    </xf>
    <xf numFmtId="0" fontId="11" fillId="13" borderId="1" pivotButton="0" quotePrefix="0" xfId="0"/>
    <xf numFmtId="0" fontId="27" fillId="3" borderId="0" applyAlignment="1" pivotButton="0" quotePrefix="0" xfId="0">
      <alignment horizontal="left" vertical="center" wrapText="1"/>
    </xf>
    <xf numFmtId="0" fontId="8" fillId="0" borderId="0" applyAlignment="1" pivotButton="0" quotePrefix="0" xfId="0">
      <alignment horizontal="left" vertical="top" wrapText="1"/>
    </xf>
    <xf numFmtId="0" fontId="2" fillId="0" borderId="0" pivotButton="0" quotePrefix="0" xfId="0"/>
    <xf numFmtId="0" fontId="4" fillId="0" borderId="1" applyAlignment="1" pivotButton="0" quotePrefix="0" xfId="0">
      <alignment horizontal="left" vertical="center" wrapText="1"/>
    </xf>
    <xf numFmtId="164" fontId="5" fillId="4" borderId="1" applyAlignment="1" applyProtection="1" pivotButton="0" quotePrefix="0" xfId="0">
      <alignment horizontal="center" vertical="center" wrapText="1"/>
      <protection locked="0" hidden="0"/>
    </xf>
    <xf numFmtId="165" fontId="5" fillId="4" borderId="1" applyAlignment="1" applyProtection="1" pivotButton="0" quotePrefix="0" xfId="0">
      <alignment horizontal="center" vertical="center" wrapText="1"/>
      <protection locked="0" hidden="0"/>
    </xf>
    <xf numFmtId="166" fontId="5" fillId="5" borderId="1" applyAlignment="1" pivotButton="0" quotePrefix="0" xfId="0">
      <alignment horizontal="center" vertical="center" wrapText="1"/>
    </xf>
    <xf numFmtId="1" fontId="5" fillId="4" borderId="1" applyAlignment="1" applyProtection="1" pivotButton="0" quotePrefix="0" xfId="0">
      <alignment horizontal="center" vertical="center" wrapText="1"/>
      <protection locked="0" hidden="0"/>
    </xf>
    <xf numFmtId="49" fontId="5" fillId="4" borderId="1" applyAlignment="1" applyProtection="1" pivotButton="0" quotePrefix="0" xfId="0">
      <alignment horizontal="center" vertical="center" wrapText="1"/>
      <protection locked="0" hidden="0"/>
    </xf>
    <xf numFmtId="9" fontId="5" fillId="5" borderId="1" applyAlignment="1" pivotButton="0" quotePrefix="0" xfId="0">
      <alignment horizontal="center" vertical="center" wrapText="1"/>
    </xf>
    <xf numFmtId="0" fontId="3" fillId="3" borderId="0" applyAlignment="1" pivotButton="0" quotePrefix="0" xfId="0">
      <alignment horizontal="left" vertical="center" wrapText="1"/>
    </xf>
    <xf numFmtId="0" fontId="4" fillId="0" borderId="1" pivotButton="0" quotePrefix="0" xfId="0"/>
    <xf numFmtId="9" fontId="5" fillId="4" borderId="1" applyAlignment="1" applyProtection="1" pivotButton="0" quotePrefix="0" xfId="0">
      <alignment horizontal="center" vertical="center" wrapText="1"/>
      <protection locked="0" hidden="0"/>
    </xf>
    <xf numFmtId="0" fontId="6" fillId="0" borderId="1" pivotButton="0" quotePrefix="0" xfId="0"/>
    <xf numFmtId="0" fontId="3" fillId="2" borderId="0" applyAlignment="1" pivotButton="0" quotePrefix="0" xfId="0">
      <alignment horizontal="left" vertical="center" wrapText="1"/>
    </xf>
    <xf numFmtId="0" fontId="7" fillId="0" borderId="0" pivotButton="0" quotePrefix="0" xfId="0"/>
    <xf numFmtId="0" fontId="8" fillId="0" borderId="1" pivotButton="0" quotePrefix="0" xfId="0"/>
    <xf numFmtId="0" fontId="6" fillId="0" borderId="0" applyAlignment="1" pivotButton="0" quotePrefix="0" xfId="0">
      <alignment horizontal="left" vertical="top" wrapText="1"/>
    </xf>
    <xf numFmtId="0" fontId="14" fillId="0" borderId="0" pivotButton="0" quotePrefix="0" xfId="0"/>
    <xf numFmtId="0" fontId="16" fillId="2" borderId="0" applyAlignment="1" pivotButton="0" quotePrefix="0" xfId="0">
      <alignment horizontal="center" vertical="center" wrapText="1"/>
    </xf>
    <xf numFmtId="169" fontId="0" fillId="0" borderId="0" pivotButton="0" quotePrefix="0" xfId="0"/>
    <xf numFmtId="1" fontId="0" fillId="0" borderId="0" pivotButton="0" quotePrefix="0" xfId="0"/>
    <xf numFmtId="0" fontId="17" fillId="0" borderId="0" pivotButton="0" quotePrefix="0" xfId="0"/>
    <xf numFmtId="164" fontId="0" fillId="0" borderId="0" pivotButton="0" quotePrefix="0" xfId="0"/>
  </cellXfs>
  <cellStyles count="1">
    <cellStyle name="Normal" xfId="0" builtinId="0" hidden="0"/>
  </cellStyles>
  <dxfs count="28">
    <dxf>
      <font>
        <b val="1"/>
        <color rgb="00006100"/>
      </font>
      <fill>
        <patternFill patternType="solid">
          <fgColor rgb="00C6EFCE"/>
          <bgColor rgb="00C6EFCE"/>
        </patternFill>
      </fill>
    </dxf>
    <dxf>
      <font>
        <b val="1"/>
        <color rgb="007F6000"/>
      </font>
      <fill>
        <patternFill patternType="solid">
          <fgColor rgb="00FFE699"/>
          <bgColor rgb="00FFE699"/>
        </patternFill>
      </fill>
    </dxf>
    <dxf>
      <font>
        <b val="1"/>
        <color rgb="009C0006"/>
      </font>
      <fill>
        <patternFill patternType="solid">
          <fgColor rgb="00FFC7CE"/>
          <bgColor rgb="00FFC7CE"/>
        </patternFill>
      </fill>
    </dxf>
    <dxf>
      <font>
        <b val="1"/>
        <color rgb="00FFFFFF"/>
      </font>
      <fill>
        <patternFill patternType="solid">
          <fgColor rgb="001E7B34"/>
          <bgColor rgb="001E7B34"/>
        </patternFill>
      </fill>
    </dxf>
    <dxf>
      <font>
        <b val="1"/>
        <color rgb="001F3864"/>
      </font>
      <fill>
        <patternFill patternType="solid">
          <fgColor rgb="00BDD7EE"/>
          <bgColor rgb="00BDD7EE"/>
        </patternFill>
      </fill>
    </dxf>
    <dxf>
      <font>
        <color rgb="009C0006"/>
      </font>
      <fill>
        <patternFill patternType="solid">
          <fgColor rgb="00FFC7CE"/>
          <bgColor rgb="00FFC7CE"/>
        </patternFill>
      </fill>
    </dxf>
    <dxf>
      <font>
        <b val="1"/>
        <color rgb="00833C0B"/>
      </font>
      <fill>
        <patternFill patternType="solid">
          <fgColor rgb="00F8CBAD"/>
          <bgColor rgb="00F8CBAD"/>
        </patternFill>
      </fill>
    </dxf>
    <dxf>
      <font>
        <color rgb="007F6000"/>
      </font>
      <fill>
        <patternFill patternType="solid">
          <fgColor rgb="00FFE699"/>
          <bgColor rgb="00FFE699"/>
        </patternFill>
      </fill>
    </dxf>
    <dxf>
      <font>
        <b val="1"/>
        <color rgb="00FFFFFF"/>
      </font>
      <fill>
        <patternFill patternType="solid">
          <fgColor rgb="00C00000"/>
          <bgColor rgb="00C00000"/>
        </patternFill>
      </fill>
    </dxf>
    <dxf>
      <font>
        <b val="1"/>
        <color rgb="003F2F00"/>
      </font>
      <fill>
        <patternFill patternType="solid">
          <fgColor rgb="00FFC000"/>
          <bgColor rgb="00FFC000"/>
        </patternFill>
      </fill>
    </dxf>
    <dxf>
      <font>
        <b val="1"/>
        <color rgb="007F6000"/>
      </font>
      <fill>
        <patternFill patternType="solid">
          <fgColor rgb="00FFF2CC"/>
          <bgColor rgb="00FFF2CC"/>
        </patternFill>
      </fill>
    </dxf>
    <dxf>
      <font>
        <color rgb="00404040"/>
      </font>
      <numFmt numFmtId="200" formatCode="&quot;      ↳  &quot;@"/>
    </dxf>
    <dxf>
      <font>
        <i val="1"/>
        <color rgb="00404040"/>
      </font>
    </dxf>
    <dxf>
      <font>
        <b val="1"/>
      </font>
      <fill>
        <patternFill patternType="solid">
          <fgColor rgb="00DDDDDD"/>
          <bgColor rgb="00DDDDDD"/>
        </patternFill>
      </fill>
      <border>
        <top style="medium">
          <color rgb="00595959"/>
        </top>
      </border>
    </dxf>
    <dxf>
      <font>
        <color rgb="00375623"/>
      </font>
      <fill>
        <patternFill patternType="solid">
          <fgColor rgb="00E2EFDA"/>
          <bgColor rgb="00E2EFDA"/>
        </patternFill>
      </fill>
    </dxf>
    <dxf>
      <font>
        <b val="1"/>
        <color rgb="00FFFFFF"/>
      </font>
      <fill>
        <patternFill patternType="solid">
          <fgColor rgb="0070AD47"/>
          <bgColor rgb="0070AD47"/>
        </patternFill>
      </fill>
    </dxf>
    <dxf>
      <fill>
        <patternFill patternType="solid">
          <fgColor rgb="00EAF3FB"/>
          <bgColor rgb="00EAF3FB"/>
        </patternFill>
      </fill>
    </dxf>
    <dxf>
      <font>
        <b val="1"/>
        <color rgb="00006100"/>
      </font>
    </dxf>
    <dxf>
      <font>
        <color rgb="001F3864"/>
      </font>
      <fill>
        <patternFill patternType="solid">
          <fgColor rgb="00BDD7EE"/>
          <bgColor rgb="00BDD7EE"/>
        </patternFill>
      </fill>
    </dxf>
    <dxf>
      <font>
        <i val="1"/>
        <color rgb="007F7F7F"/>
      </font>
    </dxf>
    <dxf>
      <font>
        <b val="1"/>
      </font>
      <fill>
        <patternFill patternType="solid">
          <fgColor rgb="00F3DECF"/>
          <bgColor rgb="00F3DECF"/>
        </patternFill>
      </fill>
      <border>
        <top style="medium">
          <color rgb="00C55A11"/>
        </top>
      </border>
    </dxf>
    <dxf>
      <font>
        <b val="1"/>
        <color rgb="00FFFFFF"/>
      </font>
      <fill>
        <patternFill patternType="solid">
          <fgColor rgb="00C55A11"/>
          <bgColor rgb="00C55A11"/>
        </patternFill>
      </fill>
    </dxf>
    <dxf>
      <font>
        <b val="1"/>
      </font>
      <fill>
        <patternFill patternType="solid">
          <fgColor rgb="00E2D5EC"/>
          <bgColor rgb="00E2D5EC"/>
        </patternFill>
      </fill>
      <border>
        <top style="medium">
          <color rgb="007030A0"/>
        </top>
      </border>
    </dxf>
    <dxf>
      <font>
        <b val="1"/>
        <color rgb="00FFFFFF"/>
      </font>
      <fill>
        <patternFill patternType="solid">
          <fgColor rgb="007030A0"/>
          <bgColor rgb="007030A0"/>
        </patternFill>
      </fill>
    </dxf>
    <dxf>
      <font>
        <b val="1"/>
      </font>
      <fill>
        <patternFill patternType="solid">
          <fgColor rgb="00DCE6D6"/>
          <bgColor rgb="00DCE6D6"/>
        </patternFill>
      </fill>
      <border>
        <top style="medium">
          <color rgb="00548235"/>
        </top>
      </border>
    </dxf>
    <dxf>
      <font>
        <b val="1"/>
        <color rgb="00FFFFFF"/>
      </font>
      <fill>
        <patternFill patternType="solid">
          <fgColor rgb="00548235"/>
          <bgColor rgb="00548235"/>
        </patternFill>
      </fill>
    </dxf>
    <dxf>
      <font>
        <b val="1"/>
      </font>
      <fill>
        <patternFill patternType="solid">
          <fgColor rgb="00D5E3F0"/>
          <bgColor rgb="00D5E3F0"/>
        </patternFill>
      </fill>
      <border>
        <top style="medium">
          <color rgb="002E75B6"/>
        </top>
      </border>
    </dxf>
    <dxf>
      <font>
        <b val="1"/>
        <color rgb="00FFFFFF"/>
      </font>
      <fill>
        <patternFill patternType="solid">
          <fgColor rgb="002E75B6"/>
          <bgColor rgb="002E75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Avance ponderado de cada puesto en el mes</a:t>
            </a:r>
          </a:p>
        </rich>
      </tx>
    </title>
    <plotArea>
      <barChart>
        <barDir val="bar"/>
        <grouping val="clustered"/>
        <ser>
          <idx val="0"/>
          <order val="0"/>
          <spPr>
            <a:ln xmlns:a="http://schemas.openxmlformats.org/drawingml/2006/main">
              <a:prstDash val="solid"/>
            </a:ln>
          </spPr>
          <dPt>
            <idx val="0"/>
            <spPr>
              <a:solidFill xmlns:a="http://schemas.openxmlformats.org/drawingml/2006/main">
                <a:srgbClr val="C55A11"/>
              </a:solidFill>
              <a:ln xmlns:a="http://schemas.openxmlformats.org/drawingml/2006/main">
                <a:solidFill>
                  <a:srgbClr val="C55A11"/>
                </a:solidFill>
                <a:prstDash val="solid"/>
              </a:ln>
            </spPr>
          </dPt>
          <dPt>
            <idx val="1"/>
            <spPr>
              <a:solidFill xmlns:a="http://schemas.openxmlformats.org/drawingml/2006/main">
                <a:srgbClr val="7030A0"/>
              </a:solidFill>
              <a:ln xmlns:a="http://schemas.openxmlformats.org/drawingml/2006/main">
                <a:solidFill>
                  <a:srgbClr val="7030A0"/>
                </a:solidFill>
                <a:prstDash val="solid"/>
              </a:ln>
            </spPr>
          </dPt>
          <dPt>
            <idx val="2"/>
            <spPr>
              <a:solidFill xmlns:a="http://schemas.openxmlformats.org/drawingml/2006/main">
                <a:srgbClr val="548235"/>
              </a:solidFill>
              <a:ln xmlns:a="http://schemas.openxmlformats.org/drawingml/2006/main">
                <a:solidFill>
                  <a:srgbClr val="548235"/>
                </a:solidFill>
                <a:prstDash val="solid"/>
              </a:ln>
            </spPr>
          </dPt>
          <dPt>
            <idx val="3"/>
            <spPr>
              <a:solidFill xmlns:a="http://schemas.openxmlformats.org/drawingml/2006/main">
                <a:srgbClr val="2E75B6"/>
              </a:solidFill>
              <a:ln xmlns:a="http://schemas.openxmlformats.org/drawingml/2006/main">
                <a:solidFill>
                  <a:srgbClr val="2E75B6"/>
                </a:solidFill>
                <a:prstDash val="solid"/>
              </a:ln>
            </spPr>
          </dPt>
          <cat>
            <numRef>
              <f>'Dashboard - Consolidado'!$P$16:$P$19</f>
            </numRef>
          </cat>
          <val>
            <numRef>
              <f>'Dashboard - Consolidado'!$D$16:$D$19</f>
            </numRef>
          </val>
        </ser>
        <dLbls>
          <numFmt formatCode="0%"/>
          <dLblPos val="outEnd"/>
          <showLegendKey val="0"/>
          <showVal val="1"/>
          <showCatName val="0"/>
          <showSerName val="0"/>
          <showPercent val="0"/>
        </dLbls>
        <gapWidth val="6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 sourceLinked="0"/>
        <majorTickMark val="none"/>
        <minorTickMark val="none"/>
        <crossAx val="10"/>
        <majorUnit val="0.25"/>
      </valAx>
    </plotArea>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Avance acumulado por semana de cada puesto vs plan de referencia</a:t>
            </a:r>
          </a:p>
        </rich>
      </tx>
    </title>
    <plotArea>
      <barChart>
        <barDir val="col"/>
        <grouping val="clustered"/>
        <ser>
          <idx val="0"/>
          <order val="0"/>
          <tx>
            <v>R. Operacional</v>
          </tx>
          <spPr>
            <a:solidFill xmlns:a="http://schemas.openxmlformats.org/drawingml/2006/main">
              <a:srgbClr val="C55A11"/>
            </a:solidFill>
            <a:ln xmlns:a="http://schemas.openxmlformats.org/drawingml/2006/main">
              <a:solidFill>
                <a:srgbClr val="C55A11"/>
              </a:solidFill>
              <a:prstDash val="solid"/>
            </a:ln>
          </spPr>
          <cat>
            <numRef>
              <f>'Dashboard - Consolidado'!$C$24:$F$24</f>
            </numRef>
          </cat>
          <val>
            <numRef>
              <f>'Dashboard - Consolidado'!$C$25:$F$25</f>
            </numRef>
          </val>
        </ser>
        <ser>
          <idx val="1"/>
          <order val="1"/>
          <tx>
            <v>R. Normativo</v>
          </tx>
          <spPr>
            <a:solidFill xmlns:a="http://schemas.openxmlformats.org/drawingml/2006/main">
              <a:srgbClr val="7030A0"/>
            </a:solidFill>
            <a:ln xmlns:a="http://schemas.openxmlformats.org/drawingml/2006/main">
              <a:solidFill>
                <a:srgbClr val="7030A0"/>
              </a:solidFill>
              <a:prstDash val="solid"/>
            </a:ln>
          </spPr>
          <cat>
            <numRef>
              <f>'Dashboard - Consolidado'!$C$24:$F$24</f>
            </numRef>
          </cat>
          <val>
            <numRef>
              <f>'Dashboard - Consolidado'!$C$26:$F$26</f>
            </numRef>
          </val>
        </ser>
        <ser>
          <idx val="2"/>
          <order val="2"/>
          <tx>
            <v>R. Financiero</v>
          </tx>
          <spPr>
            <a:solidFill xmlns:a="http://schemas.openxmlformats.org/drawingml/2006/main">
              <a:srgbClr val="548235"/>
            </a:solidFill>
            <a:ln xmlns:a="http://schemas.openxmlformats.org/drawingml/2006/main">
              <a:solidFill>
                <a:srgbClr val="548235"/>
              </a:solidFill>
              <a:prstDash val="solid"/>
            </a:ln>
          </spPr>
          <cat>
            <numRef>
              <f>'Dashboard - Consolidado'!$C$24:$F$24</f>
            </numRef>
          </cat>
          <val>
            <numRef>
              <f>'Dashboard - Consolidado'!$C$27:$F$27</f>
            </numRef>
          </val>
        </ser>
        <ser>
          <idx val="3"/>
          <order val="3"/>
          <tx>
            <v>Asistente Técnico</v>
          </tx>
          <spPr>
            <a:solidFill xmlns:a="http://schemas.openxmlformats.org/drawingml/2006/main">
              <a:srgbClr val="2E75B6"/>
            </a:solidFill>
            <a:ln xmlns:a="http://schemas.openxmlformats.org/drawingml/2006/main">
              <a:solidFill>
                <a:srgbClr val="2E75B6"/>
              </a:solidFill>
              <a:prstDash val="solid"/>
            </a:ln>
          </spPr>
          <cat>
            <numRef>
              <f>'Dashboard - Consolidado'!$C$24:$F$24</f>
            </numRef>
          </cat>
          <val>
            <numRef>
              <f>'Dashboard - Consolidado'!$C$28:$F$28</f>
            </numRef>
          </val>
        </ser>
        <gapWidth val="80"/>
        <overlap val="-10"/>
        <axId val="10"/>
        <axId val="100"/>
      </barChart>
      <lineChart>
        <grouping val="standard"/>
        <ser>
          <idx val="4"/>
          <order val="4"/>
          <tx>
            <v>Plan de referencia</v>
          </tx>
          <spPr>
            <a:ln xmlns:a="http://schemas.openxmlformats.org/drawingml/2006/main" w="22000">
              <a:solidFill>
                <a:srgbClr val="7F7F7F"/>
              </a:solidFill>
              <a:prstDash val="dash"/>
            </a:ln>
          </spPr>
          <marker>
            <symbol val="circle"/>
            <size val="6"/>
            <spPr>
              <a:ln xmlns:a="http://schemas.openxmlformats.org/drawingml/2006/main">
                <a:prstDash val="solid"/>
              </a:ln>
            </spPr>
          </marker>
          <val>
            <numRef>
              <f>'Dashboard - Consolidado'!$C$30:$F$30</f>
            </numRef>
          </val>
        </ser>
        <axId val="10"/>
        <axId val="100"/>
      </line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majorUnit val="0.25"/>
      </valAx>
    </plotArea>
    <legend>
      <legendPos val="b"/>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Avance por puesto – últimos 6 meses</a:t>
            </a:r>
          </a:p>
        </rich>
      </tx>
    </title>
    <plotArea>
      <barChart>
        <barDir val="col"/>
        <grouping val="clustered"/>
        <ser>
          <idx val="0"/>
          <order val="0"/>
          <tx>
            <strRef>
              <f>'Historial mensual'!N5</f>
            </strRef>
          </tx>
          <spPr>
            <a:solidFill xmlns:a="http://schemas.openxmlformats.org/drawingml/2006/main">
              <a:srgbClr val="C55A11"/>
            </a:solidFill>
            <a:ln xmlns:a="http://schemas.openxmlformats.org/drawingml/2006/main">
              <a:solidFill>
                <a:srgbClr val="C55A11"/>
              </a:solidFill>
              <a:prstDash val="solid"/>
            </a:ln>
          </spPr>
          <cat>
            <numRef>
              <f>'Historial mensual'!$M$6:$M$11</f>
            </numRef>
          </cat>
          <val>
            <numRef>
              <f>'Historial mensual'!$N$6:$N$11</f>
            </numRef>
          </val>
        </ser>
        <ser>
          <idx val="1"/>
          <order val="1"/>
          <tx>
            <strRef>
              <f>'Historial mensual'!O5</f>
            </strRef>
          </tx>
          <spPr>
            <a:solidFill xmlns:a="http://schemas.openxmlformats.org/drawingml/2006/main">
              <a:srgbClr val="7030A0"/>
            </a:solidFill>
            <a:ln xmlns:a="http://schemas.openxmlformats.org/drawingml/2006/main">
              <a:solidFill>
                <a:srgbClr val="7030A0"/>
              </a:solidFill>
              <a:prstDash val="solid"/>
            </a:ln>
          </spPr>
          <cat>
            <numRef>
              <f>'Historial mensual'!$M$6:$M$11</f>
            </numRef>
          </cat>
          <val>
            <numRef>
              <f>'Historial mensual'!$O$6:$O$11</f>
            </numRef>
          </val>
        </ser>
        <ser>
          <idx val="2"/>
          <order val="2"/>
          <tx>
            <strRef>
              <f>'Historial mensual'!P5</f>
            </strRef>
          </tx>
          <spPr>
            <a:solidFill xmlns:a="http://schemas.openxmlformats.org/drawingml/2006/main">
              <a:srgbClr val="548235"/>
            </a:solidFill>
            <a:ln xmlns:a="http://schemas.openxmlformats.org/drawingml/2006/main">
              <a:solidFill>
                <a:srgbClr val="548235"/>
              </a:solidFill>
              <a:prstDash val="solid"/>
            </a:ln>
          </spPr>
          <cat>
            <numRef>
              <f>'Historial mensual'!$M$6:$M$11</f>
            </numRef>
          </cat>
          <val>
            <numRef>
              <f>'Historial mensual'!$P$6:$P$11</f>
            </numRef>
          </val>
        </ser>
        <ser>
          <idx val="3"/>
          <order val="3"/>
          <tx>
            <strRef>
              <f>'Historial mensual'!Q5</f>
            </strRef>
          </tx>
          <spPr>
            <a:solidFill xmlns:a="http://schemas.openxmlformats.org/drawingml/2006/main">
              <a:srgbClr val="2E75B6"/>
            </a:solidFill>
            <a:ln xmlns:a="http://schemas.openxmlformats.org/drawingml/2006/main">
              <a:solidFill>
                <a:srgbClr val="2E75B6"/>
              </a:solidFill>
              <a:prstDash val="solid"/>
            </a:ln>
          </spPr>
          <cat>
            <numRef>
              <f>'Historial mensual'!$M$6:$M$11</f>
            </numRef>
          </cat>
          <val>
            <numRef>
              <f>'Historial mensual'!$Q$6:$Q$11</f>
            </numRef>
          </val>
        </ser>
        <gapWidth val="120"/>
        <overlap val="-1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majorUnit val="0.25"/>
      </valAx>
    </plotArea>
    <legend>
      <legendPos val="b"/>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1</col>
      <colOff>0</colOff>
      <row>34</row>
      <rowOff>0</rowOff>
    </from>
    <ext cx="111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50</row>
      <rowOff>0</rowOff>
    </from>
    <ext cx="111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col>
      <colOff>0</colOff>
      <row>30</row>
      <rowOff>0</rowOff>
    </from>
    <ext cx="93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Act_ADM" displayName="tblAct_ADM" ref="A4:AS304" headerRowCount="1">
  <autoFilter ref="A4:AS304"/>
  <tableColumns count="45">
    <tableColumn id="1" name="N°">
      <calculatedColumnFormula>IF(NOT((COUNTA(tblAct_ADM[[#This Row],[Tipo]:[Delegar a]])+COUNTA(tblAct_ADM[[#This Row],[Fecha de cumplimiento]:[Peso / % de la subactividad]])+COUNTA(tblAct_ADM[[#This Row],[Observaciones]]))&gt;0),"",IF(tblAct_ADM[[#This Row],[Tipo (aux)]]="Macro",COUNTIFS(INDEX(tblAct_ADM[Tipo (aux)],1):tblAct_ADM[[#This Row],[Tipo (aux)]],"Macro",INDEX(tblAct_ADM[Mes],1):tblAct_ADM[[#This Row],[Mes]],tblAct_ADM[[#This Row],[Mes]]),IF(N(tblAct_ADM[[#This Row],[Grupo (aux)]])=0,"?",COUNTIFS(INDEX($V$5:$V$1000,1):INDEX($V$5:$V$1000,tblAct_ADM[[#This Row],[Grupo (aux)]]-4),"Macro",INDEX($S$5:$S$1000,1):INDEX($S$5:$S$1000,tblAct_ADM[[#This Row],[Grupo (aux)]]-4),INDEX($S$5:$S$1000,tblAct_ADM[[#This Row],[Grupo (aux)]]-4))&amp;"."&amp;COUNTIFS(INDEX(tblAct_ADM[Grupo (aux)],1):tblAct_ADM[[#This Row],[Grupo (aux)]],tblAct_ADM[[#This Row],[Grupo (aux)]],INDEX(tblAct_ADM[Tipo (aux)],1):tblAct_ADM[[#This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IF(NOT((COUNTA(tblAct_ADM[[#This Row],[Tipo]:[Delegar a]])+COUNTA(tblAct_ADM[[#This Row],[Fecha de cumplimiento]:[Peso / % de la subactividad]])+COUNTA(tblAct_ADM[[#This Row],[Observaciones]]))&gt;0),"",IF(AND(tblAct_ADM[[#This Row],[Delegar a]]&lt;&gt;"",tblAct_ADM[[#This Row],[Tipo (aux)]]="Macro"),IF(N(tblAct_ADM[[#This Row],[Fila en el puesto (aux)]])&gt;0,N(CHOOSE(MATCH(tblAct_ADM[[#This Row],[Delegar a]],ListaPuestos,0),INDEX('Cronograma R. Operacional'!$M$5:$M$1000,tblAct_ADM[[#This Row],[Fila en el puesto (aux)]]),INDEX('Cronograma R. Normativo'!$M$5:$M$1000,tblAct_ADM[[#This Row],[Fila en el puesto (aux)]]),INDEX('Cronograma R. Financiero'!$M$5:$M$1000,tblAct_ADM[[#This Row],[Fila en el puesto (aux)]]),INDEX('Cronograma Asistente Técnico'!$M$5:$M$1000,tblAct_ADM[[#This Row],[Fila en el puesto (aux)]]))),0),IF(ISNUMBER(tblAct_ADM[[#This Row],[Fecha de cumplimiento]]),1,IF(N(tblAct_ADM[[#This Row],[N subactividades (aux)]])&gt;0,MIN(1,SUMIFS($Y$5:$Y$1000,$U$5:$U$1000,ROW(),$V$5:$V$1000,"Sub")),tblAct_ADM[[#This Row],[Avance propio (aux)]]))))</calculatedColumnFormula>
    </tableColumn>
    <tableColumn id="14" name="Estado">
      <calculatedColumnFormula>IF(OR(tblAct_ADM[[#This Row],[% de Avance Total Actual]]="",tblAct_ADM[[#This Row],[Tipo (aux)]]="Sub"),"",IF(tblAct_ADM[[#This Row],[% de Avance Total Actual]]&gt;=1,"Completado",IF(tblAct_ADM[[#This Row],[% de Avance Total Actual]]&gt;0,"En curso","Pendiente")))</calculatedColumnFormula>
    </tableColumn>
    <tableColumn id="15" name="Alerta de plazo">
      <calculatedColumnFormula>IF(NOT((COUNTA(tblAct_ADM[[#This Row],[Tipo]:[Delegar a]])+COUNTA(tblAct_ADM[[#This Row],[Fecha de cumplimiento]:[Peso / % de la subactividad]])+COUNTA(tblAct_ADM[[#This Row],[Observaciones]]))&gt;0),"",IF(AND(AND(tblAct_ADM[[#This Row],[Delegar a]]&lt;&gt;"",tblAct_ADM[[#This Row],[Tipo (aux)]]="Macro"),N(tblAct_ADM[[#This Row],[Fila en el puesto (aux)]])&gt;0),CHOOSE(MATCH(tblAct_ADM[[#This Row],[Delegar a]],ListaPuestos,0),INDEX('Cronograma R. Operacional'!$O$5:$O$1000,tblAct_ADM[[#This Row],[Fila en el puesto (aux)]]),INDEX('Cronograma R. Normativo'!$O$5:$O$1000,tblAct_ADM[[#This Row],[Fila en el puesto (aux)]]),INDEX('Cronograma R. Financiero'!$O$5:$O$1000,tblAct_ADM[[#This Row],[Fila en el puesto (aux)]]),INDEX('Cronograma Asistente Técnico'!$O$5:$O$1000,tblAct_ADM[[#This Row],[Fila en el puesto (aux)]]))&amp;"",IF(ISNUMBER(tblAct_ADM[[#This Row],[Fecha de cumplimiento]]),IF(AND(ISNUMBER(tblAct_ADM[[#This Row],[Límite efectivo (aux)]]),tblAct_ADM[[#This Row],[Fecha de cumplimiento]]&gt;tblAct_ADM[[#This Row],[Límite efectivo (aux)]]),"Cumplida con "&amp;(tblAct_ADM[[#This Row],[Fecha de cumplimiento]]-tblAct_ADM[[#This Row],[Límite efectivo (aux)]])&amp;IF(tblAct_ADM[[#This Row],[Fecha de cumplimiento]]-tblAct_ADM[[#This Row],[Límite efectivo (aux)]]=1," día"," días")&amp;" de retraso","Cumplida"),IF(N(tblAct_ADM[[#This Row],[% de Avance Total Actual]])&gt;=1,"Cumplida",IF(NOT(ISNUMBER(tblAct_ADM[[#This Row],[Límite efectivo (aux)]])),"Sin fecha límite",IF(tblAct_ADM[[#This Row],[Límite efectivo (aux)]]&lt;FechaRef,"Vencida hace "&amp;(FechaRef-tblAct_ADM[[#This Row],[Límite efectivo (aux)]])&amp;IF(FechaRef-tblAct_ADM[[#This Row],[Límite efectivo (aux)]]=1," día"," días"),IF(tblAct_ADM[[#This Row],[Límite efectivo (aux)]]=FechaRef,"Vence hoy",IF(tblAct_ADM[[#This Row],[Límite efectivo (aux)]]-FechaRef&lt;=DiasAlerta,"Vence en "&amp;(tblAct_ADM[[#This Row],[Límite efectivo (aux)]]-FechaRef)&amp;IF(tblAct_ADM[[#This Row],[Límite efectivo (aux)]]-FechaRef=1," día"," días"),"En plazo"))))))))</calculatedColumnFormula>
    </tableColumn>
    <tableColumn id="16" name="Seguimiento de la delegación">
      <calculatedColumnFormula>IF(NOT((COUNTA(tblAct_ADM[[#This Row],[Tipo]:[Delegar a]])+COUNTA(tblAct_ADM[[#This Row],[Fecha de cumplimiento]:[Peso / % de la subactividad]])+COUNTA(tblAct_ADM[[#This Row],[Observaciones]]))&gt;0),"",IF(tblAct_ADM[[#This Row],[Delegar a]]="","Propia",IF(tblAct_ADM[[#This Row],[Tipo (aux)]]&lt;&gt;"Macro","Solo se delegan macroactividades",IF(N(tblAct_ADM[[#This Row],[Fila en el puesto (aux)]])&gt;0,"✔ Recibida por "&amp;tblAct_ADM[[#This Row],[Delegar a]],"⚠ "&amp;tblAct_ADM[[#This Row],[Delegar a]]&amp;" aún no la agrega"))))</calculatedColumnFormula>
    </tableColumn>
    <tableColumn id="17" name="Observaciones"/>
    <tableColumn id="18" name="Revisión automática (alertas)">
      <calculatedColumnFormula>IF(NOT((COUNTA(tblAct_ADM[[#This Row],[Tipo]:[Delegar a]])+COUNTA(tblAct_ADM[[#This Row],[Fecha de cumplimiento]:[Peso / % de la subactividad]])+COUNTA(tblAct_ADM[[#This Row],[Observaciones]]))&gt;0),"",IF((IF(tblAct_ADM[[#This Row],[Actividad]]="","Falta el nombre de la actividad"&amp;" · ","")&amp;IF(AND(tblAct_ADM[[#This Row],[Tipo (aux)]]="Sub",N(tblAct_ADM[[#This Row],[Grupo (aux)]])=0),"Subactividad sin macroactividad arriba"&amp;" · ","")&amp;IF(AND(tblAct_ADM[[#This Row],[Tipo (aux)]]="Macro",tblAct_ADM[[#This Row],[Inicio efectivo (aux)]]=""),"Sin fecha de inicio"&amp;" · ","")&amp;IF(AND(tblAct_ADM[[#This Row],[Tipo (aux)]]="Macro",tblAct_ADM[[#This Row],[Límite efectivo (aux)]]=""),"Sin fecha límite"&amp;" · ","")&amp;IF(AND(LEFT(tblAct_ADM[[#This Row],[Actividad]],11)="[Jefatura] ",N(tblAct_ADM[[#This Row],[Fila en Administración (aux)]])=0),"No se encuentra en la hoja de la jefatura (elíjala de nuevo en la lista)"&amp;" · ","")&amp;IF(OR(AND(tblAct_ADM[[#This Row],[Fecha de inicio]]&lt;&gt;"",NOT(ISNUMBER(tblAct_ADM[[#This Row],[Fecha de inicio]]))),AND(tblAct_ADM[[#This Row],[Fecha límite]]&lt;&gt;"",NOT(ISNUMBER(tblAct_ADM[[#This Row],[Fecha límite]]))),AND(tblAct_ADM[[#This Row],[Fecha de cumplimiento]]&lt;&gt;"",NOT(ISNUMBER(tblAct_ADM[[#This Row],[Fecha de cumplimiento]])))),"Fecha no válida"&amp;" · ","")&amp;IF(AND(ISNUMBER(tblAct_ADM[[#This Row],[Inicio efectivo (aux)]]),ISNUMBER(tblAct_ADM[[#This Row],[Límite efectivo (aux)]]),tblAct_ADM[[#This Row],[Inicio efectivo (aux)]]&gt;tblAct_ADM[[#This Row],[Límite efectivo (aux)]]),"Inicio posterior a fecha límite"&amp;" · ","")&amp;IF(AND(tblAct_ADM[[#This Row],[Tipo (aux)]]="Macro",tblAct_ADM[[#This Row],[Peso / % de la subactividad]]&lt;&gt;"",OR(NOT(ISNUMBER(tblAct_ADM[[#This Row],[Peso / % de la subactividad]])),tblAct_ADM[[#This Row],[Peso / % de la subactividad]]&lt;0,tblAct_ADM[[#This Row],[Peso / % de la subactividad]]&gt;1)),"Peso fuera de rango"&amp;" · ","")&amp;IF(AND(tblAct_ADM[[#This Row],[Tipo (aux)]]="Sub",tblAct_ADM[[#This Row],[Peso / % de la subactividad]]&lt;&gt;"",OR(NOT(ISNUMBER(tblAct_ADM[[#This Row],[Peso / % de la subactividad]])),tblAct_ADM[[#This Row],[Peso / % de la subactividad]]&lt;0,tblAct_ADM[[#This Row],[Peso / % de la subactividad]]&gt;1)),"% de la subactividad fuera de rango 0-100%"&amp;" · ","")&amp;IF(AND(N(tblAct_ADM[[#This Row],[N subactividades (aux)]])&gt;0,SUMIFS($H$5:$H$1000,$U$5:$U$1000,ROW(),$V$5:$V$1000,"Sub")&gt;1.0001),"Las subactividades suman más de 100%"&amp;" · ","")&amp;IF(AND(N(tblAct_ADM[[#This Row],[N subactividades (aux)]])&gt;0,OR(IF(ISNUMBER(tblAct_ADM[[#This Row],[Avance Semana 1 (%)]]),ROUND(tblAct_ADM[[#This Row],[Avance Semana 1 (%)]],6)&lt;&gt;ROUND(MIN(1,SUMIFS($AD$5:$AD$1000,$U$5:$U$1000,ROW(),$V$5:$V$1000,"Sub")),6),FALSE),IF(ISNUMBER(tblAct_ADM[[#This Row],[Avance Semana 2 (%)]]),ROUND(tblAct_ADM[[#This Row],[Avance Semana 2 (%)]],6)&lt;&gt;ROUND(MIN(1,SUMIFS($AE$5:$AE$1000,$U$5:$U$1000,ROW(),$V$5:$V$1000,"Sub")),6),FALSE),IF(ISNUMBER(tblAct_ADM[[#This Row],[Avance Semana 3 (%)]]),ROUND(tblAct_ADM[[#This Row],[Avance Semana 3 (%)]],6)&lt;&gt;ROUND(MIN(1,SUMIFS($AF$5:$AF$1000,$U$5:$U$1000,ROW(),$V$5:$V$1000,"Sub")),6),FALSE),IF(ISNUMBER(tblAct_ADM[[#This Row],[Avance Semana 4 (%)]]),ROUND(tblAct_ADM[[#This Row],[Avance Semana 4 (%)]],6)&lt;&gt;ROUND(MIN(1,SUMIFS($AG$5:$AG$1000,$U$5:$U$1000,ROW(),$V$5:$V$1000,"Sub")),6),FALSE))),"Con subactividades: no escriba en las semanas (se llenan solas)"&amp;" · ","")&amp;IF((COUNTIF(tblAct_ADM[[#This Row],[Avance Semana 1 (%)]:[Avance Semana 4 (%)]],"&gt;1")+COUNTIF(tblAct_ADM[[#This Row],[Avance Semana 1 (%)]:[Avance Semana 4 (%)]],"&lt;0")+SUMPRODUCT((LEN(tblAct_ADM[[#This Row],[Avance Semana 1 (%)]:[Avance Semana 4 (%)]])&gt;0)*NOT(ISNUMBER(tblAct_ADM[[#This Row],[Avance Semana 1 (%)]:[Avance Semana 4 (%)]]))))&gt;0,"Avance fuera de rango 0-100%"&amp;" · ","")&amp;IF(OR(AND(ISNUMBER(tblAct_ADM[[#This Row],[Avance Semana 2 (%)]]),tblAct_ADM[[#This Row],[Avance Semana 2 (%)]]&lt;N(tblAct_ADM[[#This Row],[Avance Semana 1 (%)]])),AND(ISNUMBER(tblAct_ADM[[#This Row],[Avance Semana 3 (%)]]),tblAct_ADM[[#This Row],[Avance Semana 3 (%)]]&lt;MAX(tblAct_ADM[[#This Row],[Avance Semana 1 (%)]:[Avance Semana 2 (%)]])),AND(ISNUMBER(tblAct_ADM[[#This Row],[Avance Semana 4 (%)]]),tblAct_ADM[[#This Row],[Avance Semana 4 (%)]]&lt;MAX(tblAct_ADM[[#This Row],[Avance Semana 1 (%)]:[Avance Semana 3 (%)]]))),"Avance semanal decreciente"&amp;" · ","")&amp;IF(AND(ISNUMBER(tblAct_ADM[[#This Row],[Límite efectivo (aux)]]),tblAct_ADM[[#This Row],[Límite efectivo (aux)]]&lt;FechaRef,IF(tblAct_ADM[[#This Row],[Tipo (aux)]]="Sub",1,N(tblAct_ADM[[#This Row],[% de Avance Total Actual]]))&lt;1),"Vencida"&amp;" · ","")&amp;IF(AND(ObsObligatoria="Sí",ISNUMBER(tblAct_ADM[[#This Row],[Límite efectivo (aux)]]),tblAct_ADM[[#This Row],[Límite efectivo (aux)]]&lt;FechaRef,IF(tblAct_ADM[[#This Row],[Tipo (aux)]]="Sub",1,N(tblAct_ADM[[#This Row],[% de Avance Total Actual]]))&lt;1,tblAct_ADM[[#This Row],[Observaciones]]=""),"Vencida sin observación"&amp;" · ",""))="","✔ OK","⚠ "&amp;LEFT(IF(tblAct_ADM[[#This Row],[Actividad]]="","Falta el nombre de la actividad"&amp;" · ","")&amp;IF(AND(tblAct_ADM[[#This Row],[Tipo (aux)]]="Sub",N(tblAct_ADM[[#This Row],[Grupo (aux)]])=0),"Subactividad sin macroactividad arriba"&amp;" · ","")&amp;IF(AND(tblAct_ADM[[#This Row],[Tipo (aux)]]="Macro",tblAct_ADM[[#This Row],[Inicio efectivo (aux)]]=""),"Sin fecha de inicio"&amp;" · ","")&amp;IF(AND(tblAct_ADM[[#This Row],[Tipo (aux)]]="Macro",tblAct_ADM[[#This Row],[Límite efectivo (aux)]]=""),"Sin fecha límite"&amp;" · ","")&amp;IF(AND(LEFT(tblAct_ADM[[#This Row],[Actividad]],11)="[Jefatura] ",N(tblAct_ADM[[#This Row],[Fila en Administración (aux)]])=0),"No se encuentra en la hoja de la jefatura (elíjala de nuevo en la lista)"&amp;" · ","")&amp;IF(OR(AND(tblAct_ADM[[#This Row],[Fecha de inicio]]&lt;&gt;"",NOT(ISNUMBER(tblAct_ADM[[#This Row],[Fecha de inicio]]))),AND(tblAct_ADM[[#This Row],[Fecha límite]]&lt;&gt;"",NOT(ISNUMBER(tblAct_ADM[[#This Row],[Fecha límite]]))),AND(tblAct_ADM[[#This Row],[Fecha de cumplimiento]]&lt;&gt;"",NOT(ISNUMBER(tblAct_ADM[[#This Row],[Fecha de cumplimiento]])))),"Fecha no válida"&amp;" · ","")&amp;IF(AND(ISNUMBER(tblAct_ADM[[#This Row],[Inicio efectivo (aux)]]),ISNUMBER(tblAct_ADM[[#This Row],[Límite efectivo (aux)]]),tblAct_ADM[[#This Row],[Inicio efectivo (aux)]]&gt;tblAct_ADM[[#This Row],[Límite efectivo (aux)]]),"Inicio posterior a fecha límite"&amp;" · ","")&amp;IF(AND(tblAct_ADM[[#This Row],[Tipo (aux)]]="Macro",tblAct_ADM[[#This Row],[Peso / % de la subactividad]]&lt;&gt;"",OR(NOT(ISNUMBER(tblAct_ADM[[#This Row],[Peso / % de la subactividad]])),tblAct_ADM[[#This Row],[Peso / % de la subactividad]]&lt;0,tblAct_ADM[[#This Row],[Peso / % de la subactividad]]&gt;1)),"Peso fuera de rango"&amp;" · ","")&amp;IF(AND(tblAct_ADM[[#This Row],[Tipo (aux)]]="Sub",tblAct_ADM[[#This Row],[Peso / % de la subactividad]]&lt;&gt;"",OR(NOT(ISNUMBER(tblAct_ADM[[#This Row],[Peso / % de la subactividad]])),tblAct_ADM[[#This Row],[Peso / % de la subactividad]]&lt;0,tblAct_ADM[[#This Row],[Peso / % de la subactividad]]&gt;1)),"% de la subactividad fuera de rango 0-100%"&amp;" · ","")&amp;IF(AND(N(tblAct_ADM[[#This Row],[N subactividades (aux)]])&gt;0,SUMIFS($H$5:$H$1000,$U$5:$U$1000,ROW(),$V$5:$V$1000,"Sub")&gt;1.0001),"Las subactividades suman más de 100%"&amp;" · ","")&amp;IF(AND(N(tblAct_ADM[[#This Row],[N subactividades (aux)]])&gt;0,OR(IF(ISNUMBER(tblAct_ADM[[#This Row],[Avance Semana 1 (%)]]),ROUND(tblAct_ADM[[#This Row],[Avance Semana 1 (%)]],6)&lt;&gt;ROUND(MIN(1,SUMIFS($AD$5:$AD$1000,$U$5:$U$1000,ROW(),$V$5:$V$1000,"Sub")),6),FALSE),IF(ISNUMBER(tblAct_ADM[[#This Row],[Avance Semana 2 (%)]]),ROUND(tblAct_ADM[[#This Row],[Avance Semana 2 (%)]],6)&lt;&gt;ROUND(MIN(1,SUMIFS($AE$5:$AE$1000,$U$5:$U$1000,ROW(),$V$5:$V$1000,"Sub")),6),FALSE),IF(ISNUMBER(tblAct_ADM[[#This Row],[Avance Semana 3 (%)]]),ROUND(tblAct_ADM[[#This Row],[Avance Semana 3 (%)]],6)&lt;&gt;ROUND(MIN(1,SUMIFS($AF$5:$AF$1000,$U$5:$U$1000,ROW(),$V$5:$V$1000,"Sub")),6),FALSE),IF(ISNUMBER(tblAct_ADM[[#This Row],[Avance Semana 4 (%)]]),ROUND(tblAct_ADM[[#This Row],[Avance Semana 4 (%)]],6)&lt;&gt;ROUND(MIN(1,SUMIFS($AG$5:$AG$1000,$U$5:$U$1000,ROW(),$V$5:$V$1000,"Sub")),6),FALSE))),"Con subactividades: no escriba en las semanas (se llenan solas)"&amp;" · ","")&amp;IF((COUNTIF(tblAct_ADM[[#This Row],[Avance Semana 1 (%)]:[Avance Semana 4 (%)]],"&gt;1")+COUNTIF(tblAct_ADM[[#This Row],[Avance Semana 1 (%)]:[Avance Semana 4 (%)]],"&lt;0")+SUMPRODUCT((LEN(tblAct_ADM[[#This Row],[Avance Semana 1 (%)]:[Avance Semana 4 (%)]])&gt;0)*NOT(ISNUMBER(tblAct_ADM[[#This Row],[Avance Semana 1 (%)]:[Avance Semana 4 (%)]]))))&gt;0,"Avance fuera de rango 0-100%"&amp;" · ","")&amp;IF(OR(AND(ISNUMBER(tblAct_ADM[[#This Row],[Avance Semana 2 (%)]]),tblAct_ADM[[#This Row],[Avance Semana 2 (%)]]&lt;N(tblAct_ADM[[#This Row],[Avance Semana 1 (%)]])),AND(ISNUMBER(tblAct_ADM[[#This Row],[Avance Semana 3 (%)]]),tblAct_ADM[[#This Row],[Avance Semana 3 (%)]]&lt;MAX(tblAct_ADM[[#This Row],[Avance Semana 1 (%)]:[Avance Semana 2 (%)]])),AND(ISNUMBER(tblAct_ADM[[#This Row],[Avance Semana 4 (%)]]),tblAct_ADM[[#This Row],[Avance Semana 4 (%)]]&lt;MAX(tblAct_ADM[[#This Row],[Avance Semana 1 (%)]:[Avance Semana 3 (%)]]))),"Avance semanal decreciente"&amp;" · ","")&amp;IF(AND(ISNUMBER(tblAct_ADM[[#This Row],[Límite efectivo (aux)]]),tblAct_ADM[[#This Row],[Límite efectivo (aux)]]&lt;FechaRef,IF(tblAct_ADM[[#This Row],[Tipo (aux)]]="Sub",1,N(tblAct_ADM[[#This Row],[% de Avance Total Actual]]))&lt;1),"Vencida"&amp;" · ","")&amp;IF(AND(ObsObligatoria="Sí",ISNUMBER(tblAct_ADM[[#This Row],[Límite efectivo (aux)]]),tblAct_ADM[[#This Row],[Límite efectivo (aux)]]&lt;FechaRef,IF(tblAct_ADM[[#This Row],[Tipo (aux)]]="Sub",1,N(tblAct_ADM[[#This Row],[% de Avance Total Actual]]))&lt;1,tblAct_ADM[[#This Row],[Observaciones]]=""),"Vencida sin observación"&amp;" · ",""),LEN(IF(tblAct_ADM[[#This Row],[Actividad]]="","Falta el nombre de la actividad"&amp;" · ","")&amp;IF(AND(tblAct_ADM[[#This Row],[Tipo (aux)]]="Sub",N(tblAct_ADM[[#This Row],[Grupo (aux)]])=0),"Subactividad sin macroactividad arriba"&amp;" · ","")&amp;IF(AND(tblAct_ADM[[#This Row],[Tipo (aux)]]="Macro",tblAct_ADM[[#This Row],[Inicio efectivo (aux)]]=""),"Sin fecha de inicio"&amp;" · ","")&amp;IF(AND(tblAct_ADM[[#This Row],[Tipo (aux)]]="Macro",tblAct_ADM[[#This Row],[Límite efectivo (aux)]]=""),"Sin fecha límite"&amp;" · ","")&amp;IF(AND(LEFT(tblAct_ADM[[#This Row],[Actividad]],11)="[Jefatura] ",N(tblAct_ADM[[#This Row],[Fila en Administración (aux)]])=0),"No se encuentra en la hoja de la jefatura (elíjala de nuevo en la lista)"&amp;" · ","")&amp;IF(OR(AND(tblAct_ADM[[#This Row],[Fecha de inicio]]&lt;&gt;"",NOT(ISNUMBER(tblAct_ADM[[#This Row],[Fecha de inicio]]))),AND(tblAct_ADM[[#This Row],[Fecha límite]]&lt;&gt;"",NOT(ISNUMBER(tblAct_ADM[[#This Row],[Fecha límite]]))),AND(tblAct_ADM[[#This Row],[Fecha de cumplimiento]]&lt;&gt;"",NOT(ISNUMBER(tblAct_ADM[[#This Row],[Fecha de cumplimiento]])))),"Fecha no válida"&amp;" · ","")&amp;IF(AND(ISNUMBER(tblAct_ADM[[#This Row],[Inicio efectivo (aux)]]),ISNUMBER(tblAct_ADM[[#This Row],[Límite efectivo (aux)]]),tblAct_ADM[[#This Row],[Inicio efectivo (aux)]]&gt;tblAct_ADM[[#This Row],[Límite efectivo (aux)]]),"Inicio posterior a fecha límite"&amp;" · ","")&amp;IF(AND(tblAct_ADM[[#This Row],[Tipo (aux)]]="Macro",tblAct_ADM[[#This Row],[Peso / % de la subactividad]]&lt;&gt;"",OR(NOT(ISNUMBER(tblAct_ADM[[#This Row],[Peso / % de la subactividad]])),tblAct_ADM[[#This Row],[Peso / % de la subactividad]]&lt;0,tblAct_ADM[[#This Row],[Peso / % de la subactividad]]&gt;1)),"Peso fuera de rango"&amp;" · ","")&amp;IF(AND(tblAct_ADM[[#This Row],[Tipo (aux)]]="Sub",tblAct_ADM[[#This Row],[Peso / % de la subactividad]]&lt;&gt;"",OR(NOT(ISNUMBER(tblAct_ADM[[#This Row],[Peso / % de la subactividad]])),tblAct_ADM[[#This Row],[Peso / % de la subactividad]]&lt;0,tblAct_ADM[[#This Row],[Peso / % de la subactividad]]&gt;1)),"% de la subactividad fuera de rango 0-100%"&amp;" · ","")&amp;IF(AND(N(tblAct_ADM[[#This Row],[N subactividades (aux)]])&gt;0,SUMIFS($H$5:$H$1000,$U$5:$U$1000,ROW(),$V$5:$V$1000,"Sub")&gt;1.0001),"Las subactividades suman más de 100%"&amp;" · ","")&amp;IF(AND(N(tblAct_ADM[[#This Row],[N subactividades (aux)]])&gt;0,OR(IF(ISNUMBER(tblAct_ADM[[#This Row],[Avance Semana 1 (%)]]),ROUND(tblAct_ADM[[#This Row],[Avance Semana 1 (%)]],6)&lt;&gt;ROUND(MIN(1,SUMIFS($AD$5:$AD$1000,$U$5:$U$1000,ROW(),$V$5:$V$1000,"Sub")),6),FALSE),IF(ISNUMBER(tblAct_ADM[[#This Row],[Avance Semana 2 (%)]]),ROUND(tblAct_ADM[[#This Row],[Avance Semana 2 (%)]],6)&lt;&gt;ROUND(MIN(1,SUMIFS($AE$5:$AE$1000,$U$5:$U$1000,ROW(),$V$5:$V$1000,"Sub")),6),FALSE),IF(ISNUMBER(tblAct_ADM[[#This Row],[Avance Semana 3 (%)]]),ROUND(tblAct_ADM[[#This Row],[Avance Semana 3 (%)]],6)&lt;&gt;ROUND(MIN(1,SUMIFS($AF$5:$AF$1000,$U$5:$U$1000,ROW(),$V$5:$V$1000,"Sub")),6),FALSE),IF(ISNUMBER(tblAct_ADM[[#This Row],[Avance Semana 4 (%)]]),ROUND(tblAct_ADM[[#This Row],[Avance Semana 4 (%)]],6)&lt;&gt;ROUND(MIN(1,SUMIFS($AG$5:$AG$1000,$U$5:$U$1000,ROW(),$V$5:$V$1000,"Sub")),6),FALSE))),"Con subactividades: no escriba en las semanas (se llenan solas)"&amp;" · ","")&amp;IF((COUNTIF(tblAct_ADM[[#This Row],[Avance Semana 1 (%)]:[Avance Semana 4 (%)]],"&gt;1")+COUNTIF(tblAct_ADM[[#This Row],[Avance Semana 1 (%)]:[Avance Semana 4 (%)]],"&lt;0")+SUMPRODUCT((LEN(tblAct_ADM[[#This Row],[Avance Semana 1 (%)]:[Avance Semana 4 (%)]])&gt;0)*NOT(ISNUMBER(tblAct_ADM[[#This Row],[Avance Semana 1 (%)]:[Avance Semana 4 (%)]]))))&gt;0,"Avance fuera de rango 0-100%"&amp;" · ","")&amp;IF(OR(AND(ISNUMBER(tblAct_ADM[[#This Row],[Avance Semana 2 (%)]]),tblAct_ADM[[#This Row],[Avance Semana 2 (%)]]&lt;N(tblAct_ADM[[#This Row],[Avance Semana 1 (%)]])),AND(ISNUMBER(tblAct_ADM[[#This Row],[Avance Semana 3 (%)]]),tblAct_ADM[[#This Row],[Avance Semana 3 (%)]]&lt;MAX(tblAct_ADM[[#This Row],[Avance Semana 1 (%)]:[Avance Semana 2 (%)]])),AND(ISNUMBER(tblAct_ADM[[#This Row],[Avance Semana 4 (%)]]),tblAct_ADM[[#This Row],[Avance Semana 4 (%)]]&lt;MAX(tblAct_ADM[[#This Row],[Avance Semana 1 (%)]:[Avance Semana 3 (%)]]))),"Avance semanal decreciente"&amp;" · ","")&amp;IF(AND(ISNUMBER(tblAct_ADM[[#This Row],[Límite efectivo (aux)]]),tblAct_ADM[[#This Row],[Límite efectivo (aux)]]&lt;FechaRef,IF(tblAct_ADM[[#This Row],[Tipo (aux)]]="Sub",1,N(tblAct_ADM[[#This Row],[% de Avance Total Actual]]))&lt;1),"Vencida"&amp;" · ","")&amp;IF(AND(ObsObligatoria="Sí",ISNUMBER(tblAct_ADM[[#This Row],[Límite efectivo (aux)]]),tblAct_ADM[[#This Row],[Límite efectivo (aux)]]&lt;FechaRef,IF(tblAct_ADM[[#This Row],[Tipo (aux)]]="Sub",1,N(tblAct_ADM[[#This Row],[% de Avance Total Actual]]))&lt;1,tblAct_ADM[[#This Row],[Observaciones]]=""),"Vencida sin observación"&amp;" · ",""))-3)))</calculatedColumnFormula>
    </tableColumn>
    <tableColumn id="19" name="Mes">
      <calculatedColumnFormula>IF(NOT((COUNTA(tblAct_ADM[[#This Row],[Tipo]:[Delegar a]])+COUNTA(tblAct_ADM[[#This Row],[Fecha de cumplimiento]:[Peso / % de la subactividad]])+COUNTA(tblAct_ADM[[#This Row],[Observaciones]]))&gt;0),"",IF(AND(tblAct_ADM[[#This Row],[Tipo (aux)]]="Sub",N(tblAct_ADM[[#This Row],[Grupo (aux)]])&gt;0),IF(ISNUMBER(INDEX($AR$5:$AR$1000,tblAct_ADM[[#This Row],[Grupo (aux)]]-4)),DATE(YEAR(INDEX($AR$5:$AR$1000,tblAct_ADM[[#This Row],[Grupo (aux)]]-4)),MONTH(INDEX($AR$5:$AR$1000,tblAct_ADM[[#This Row],[Grupo (aux)]]-4)),1),IF(ISNUMBER(INDEX($AS$5:$AS$1000,tblAct_ADM[[#This Row],[Grupo (aux)]]-4)),DATE(YEAR(INDEX($AS$5:$AS$1000,tblAct_ADM[[#This Row],[Grupo (aux)]]-4)),MONTH(INDEX($AS$5:$AS$1000,tblAct_ADM[[#This Row],[Grupo (aux)]]-4)),1),MesCiclo)),IF(ISNUMBER(tblAct_ADM[[#This Row],[Inicio efectivo (aux)]]),DATE(YEAR(tblAct_ADM[[#This Row],[Inicio efectivo (aux)]]),MONTH(tblAct_ADM[[#This Row],[Inicio efectivo (aux)]]),1),IF(ISNUMBER(tblAct_ADM[[#This Row],[Límite efectivo (aux)]]),DATE(YEAR(tblAct_ADM[[#This Row],[Límite efectivo (aux)]]),MONTH(tblAct_ADM[[#This Row],[Límite efectivo (aux)]]),1),MesCiclo))))</calculatedColumnFormula>
    </tableColumn>
    <tableColumn id="20" name="Orden en el mes (aux)">
      <calculatedColumnFormula>IF(OR(tblAct_ADM[[#This Row],[Mes]]="",tblAct_ADM[[#This Row],[Mes]]&lt;&gt;MesCiclo,tblAct_ADM[[#This Row],[Tipo (aux)]]&lt;&gt;"Macro"),"",COUNTIFS(INDEX(tblAct_ADM[Mes],1):tblAct_ADM[[#This Row],[Mes]],MesCiclo,INDEX(tblAct_ADM[Tipo (aux)],1):tblAct_ADM[[#This Row],[Tipo (aux)]],"Macro"))</calculatedColumnFormula>
    </tableColumn>
    <tableColumn id="21" name="Grupo (aux)">
      <calculatedColumnFormula>IF(tblAct_ADM[[#This Row],[Tipo (aux)]]="","",IF(tblAct_ADM[[#This Row],[Tipo (aux)]]="Macro",ROW(),IFERROR(LOOKUP(2,1/(INDEX(tblAct_ADM[Tipo (aux)],1):tblAct_ADM[[#This Row],[Tipo (aux)]]="Macro"),ROW(INDEX(tblAct_ADM[Tipo (aux)],1):tblAct_ADM[[#This Row],[Tipo (aux)]])),0)))</calculatedColumnFormula>
    </tableColumn>
    <tableColumn id="22" name="Tipo (aux)">
      <calculatedColumnFormula>IF(NOT((COUNTA(tblAct_ADM[[#This Row],[Tipo]:[Delegar a]])+COUNTA(tblAct_ADM[[#This Row],[Fecha de cumplimiento]:[Peso / % de la subactividad]])+COUNTA(tblAct_ADM[[#This Row],[Observaciones]]))&gt;0),"",IF(tblAct_ADM[[#This Row],[Tipo]]="Subactividad","Sub","Macro"))</calculatedColumnFormula>
    </tableColumn>
    <tableColumn id="23" name="N subactividades (aux)">
      <calculatedColumnFormula>IF(tblAct_ADM[[#This Row],[Tipo (aux)]]="Macro",COUNTIFS($U$5:$U$1000,ROW(),$V$5:$V$1000,"Sub"),"")</calculatedColumnFormula>
    </tableColumn>
    <tableColumn id="24" name="% efectivo de la subactividad (aux)">
      <calculatedColumnFormula>IF(tblAct_ADM[[#This Row],[Tipo (aux)]]&lt;&gt;"Sub","",IF(AND(ISNUMBER(tblAct_ADM[[#This Row],[Peso / % de la subactividad]]),N(tblAct_ADM[[#This Row],[Peso / % de la subactividad]])&gt;0),tblAct_ADM[[#This Row],[Peso / % de la subactividad]],IFERROR(MAX(0,1-SUMIFS($H$5:$H$1000,$U$5:$U$1000,tblAct_ADM[[#This Row],[Grupo (aux)]],$V$5:$V$1000,"Sub"))/(COUNTIFS($U$5:$U$1000,tblAct_ADM[[#This Row],[Grupo (aux)]],$V$5:$V$1000,"Sub")-COUNTIFS($U$5:$U$1000,tblAct_ADM[[#This Row],[Grupo (aux)]],$V$5:$V$1000,"Sub",$H$5:$H$1000,"&gt;0")),0)))</calculatedColumnFormula>
    </tableColumn>
    <tableColumn id="25" name="Avance propio (aux)">
      <calculatedColumnFormula>IF(tblAct_ADM[[#This Row],[Tipo (aux)]]="","",IF(tblAct_ADM[[#This Row],[Tipo (aux)]]="Sub",N(tblAct_ADM[[#This Row],[% efectivo de la subactividad (aux)]])*IF(ISNUMBER(tblAct_ADM[[#This Row],[Fecha de cumplimiento]]),1,MIN(1,MAX(0,IFERROR(LOOKUP(2,1/ISNUMBER(tblAct_ADM[[#This Row],[Avance Semana 1 (%)]:[Avance Semana 4 (%)]]),tblAct_ADM[[#This Row],[Avance Semana 1 (%)]:[Avance Semana 4 (%)]]),0)))),IF(ISNUMBER(tblAct_ADM[[#This Row],[Fecha de cumplimiento]]),1,IFERROR(LOOKUP(2,1/(tblAct_ADM[[#This Row],[Avance Semana 1 (%)]:[Avance Semana 4 (%)]]&lt;&gt;""),tblAct_ADM[[#This Row],[Avance Semana 1 (%)]:[Avance Semana 4 (%)]]),0))))</calculatedColumnFormula>
    </tableColumn>
    <tableColumn id="26" name="Propio S1 (aux)">
      <calculatedColumnFormula>IF(tblAct_ADM[[#This Row],[Tipo (aux)]]="","",IF(AND(ISNUMBER(tblAct_ADM[[#This Row],[Fecha de cumplimiento]]),tblAct_ADM[[#This Row],[Fecha de cumplimiento]]&lt;=IF(tblAct_ADM[[#This Row],[Mes]]=MesCiclo,InicioCiclo,tblAct_ADM[[#This Row],[Mes]]+MOD(2-WEEKDAY(tblAct_ADM[[#This Row],[Mes]]),7))+6),1,IF(ISNUMBER(tblAct_ADM[[#This Row],[Avance Semana 1 (%)]]),tblAct_ADM[[#This Row],[Avance Semana 1 (%)]],0)))</calculatedColumnFormula>
    </tableColumn>
    <tableColumn id="27" name="Propio S2 (aux)">
      <calculatedColumnFormula>IF(tblAct_ADM[[#This Row],[Tipo (aux)]]="","",IF(AND(ISNUMBER(tblAct_ADM[[#This Row],[Fecha de cumplimiento]]),tblAct_ADM[[#This Row],[Fecha de cumplimiento]]&lt;=IF(tblAct_ADM[[#This Row],[Mes]]=MesCiclo,InicioCiclo,tblAct_ADM[[#This Row],[Mes]]+MOD(2-WEEKDAY(tblAct_ADM[[#This Row],[Mes]]),7))+13),1,IF(ISNUMBER(tblAct_ADM[[#This Row],[Avance Semana 2 (%)]]),tblAct_ADM[[#This Row],[Avance Semana 2 (%)]],tblAct_ADM[[#This Row],[Propio S1 (aux)]])))</calculatedColumnFormula>
    </tableColumn>
    <tableColumn id="28" name="Propio S3 (aux)">
      <calculatedColumnFormula>IF(tblAct_ADM[[#This Row],[Tipo (aux)]]="","",IF(AND(ISNUMBER(tblAct_ADM[[#This Row],[Fecha de cumplimiento]]),tblAct_ADM[[#This Row],[Fecha de cumplimiento]]&lt;=IF(tblAct_ADM[[#This Row],[Mes]]=MesCiclo,InicioCiclo,tblAct_ADM[[#This Row],[Mes]]+MOD(2-WEEKDAY(tblAct_ADM[[#This Row],[Mes]]),7))+20),1,IF(ISNUMBER(tblAct_ADM[[#This Row],[Avance Semana 3 (%)]]),tblAct_ADM[[#This Row],[Avance Semana 3 (%)]],tblAct_ADM[[#This Row],[Propio S2 (aux)]])))</calculatedColumnFormula>
    </tableColumn>
    <tableColumn id="29" name="Propio S4 (aux)">
      <calculatedColumnFormula>IF(tblAct_ADM[[#This Row],[Tipo (aux)]]="","",IF(AND(ISNUMBER(tblAct_ADM[[#This Row],[Fecha de cumplimiento]]),tblAct_ADM[[#This Row],[Fecha de cumplimiento]]&lt;=IF(tblAct_ADM[[#This Row],[Mes]]=MesCiclo,InicioCiclo,tblAct_ADM[[#This Row],[Mes]]+MOD(2-WEEKDAY(tblAct_ADM[[#This Row],[Mes]]),7))+27),1,IF(ISNUMBER(tblAct_ADM[[#This Row],[Avance Semana 4 (%)]]),tblAct_ADM[[#This Row],[Avance Semana 4 (%)]],tblAct_ADM[[#This Row],[Propio S3 (aux)]])))</calculatedColumnFormula>
    </tableColumn>
    <tableColumn id="30" name="Sub cumplida S1 (aux)">
      <calculatedColumnFormula>IF(tblAct_ADM[[#This Row],[Tipo (aux)]]&lt;&gt;"Sub","",N(tblAct_ADM[[#This Row],[% efectivo de la subactividad (aux)]])*IF(AND(ISNUMBER(tblAct_ADM[[#This Row],[Fecha de cumplimiento]]),tblAct_ADM[[#This Row],[Fecha de cumplimiento]]&lt;=IF(tblAct_ADM[[#This Row],[Mes]]=MesCiclo,InicioCiclo,tblAct_ADM[[#This Row],[Mes]]+MOD(2-WEEKDAY(tblAct_ADM[[#This Row],[Mes]]),7))+6),1,MIN(1,MAX(0,IF(ISNUMBER(OFFSET($A$1,ROW()-1,8)),OFFSET($A$1,ROW()-1,8),0)))))</calculatedColumnFormula>
    </tableColumn>
    <tableColumn id="31" name="Sub cumplida S2 (aux)">
      <calculatedColumnFormula>IF(tblAct_ADM[[#This Row],[Tipo (aux)]]&lt;&gt;"Sub","",N(tblAct_ADM[[#This Row],[% efectivo de la subactividad (aux)]])*IF(AND(ISNUMBER(tblAct_ADM[[#This Row],[Fecha de cumplimiento]]),tblAct_ADM[[#This Row],[Fecha de cumplimiento]]&lt;=IF(tblAct_ADM[[#This Row],[Mes]]=MesCiclo,InicioCiclo,tblAct_ADM[[#This Row],[Mes]]+MOD(2-WEEKDAY(tblAct_ADM[[#This Row],[Mes]]),7))+13),1,MIN(1,MAX(0,IF(ISNUMBER(OFFSET($A$1,ROW()-1,9)),OFFSET($A$1,ROW()-1,9),IF(ISNUMBER(OFFSET($A$1,ROW()-1,8)),OFFSET($A$1,ROW()-1,8),0))))))</calculatedColumnFormula>
    </tableColumn>
    <tableColumn id="32" name="Sub cumplida S3 (aux)">
      <calculatedColumnFormula>IF(tblAct_ADM[[#This Row],[Tipo (aux)]]&lt;&gt;"Sub","",N(tblAct_ADM[[#This Row],[% efectivo de la subactividad (aux)]])*IF(AND(ISNUMBER(tblAct_ADM[[#This Row],[Fecha de cumplimiento]]),tblAct_ADM[[#This Row],[Fecha de cumplimiento]]&lt;=IF(tblAct_ADM[[#This Row],[Mes]]=MesCiclo,InicioCiclo,tblAct_ADM[[#This Row],[Mes]]+MOD(2-WEEKDAY(tblAct_ADM[[#This Row],[Mes]]),7))+20),1,MIN(1,MAX(0,IF(ISNUMBER(OFFSET($A$1,ROW()-1,10)),OFFSET($A$1,ROW()-1,10),IF(ISNUMBER(OFFSET($A$1,ROW()-1,9)),OFFSET($A$1,ROW()-1,9),IF(ISNUMBER(OFFSET($A$1,ROW()-1,8)),OFFSET($A$1,ROW()-1,8),0)))))))</calculatedColumnFormula>
    </tableColumn>
    <tableColumn id="33" name="Sub cumplida S4 (aux)">
      <calculatedColumnFormula>IF(tblAct_ADM[[#This Row],[Tipo (aux)]]&lt;&gt;"Sub","",N(tblAct_ADM[[#This Row],[% efectivo de la subactividad (aux)]])*IF(AND(ISNUMBER(tblAct_ADM[[#This Row],[Fecha de cumplimiento]]),tblAct_ADM[[#This Row],[Fecha de cumplimiento]]&lt;=IF(tblAct_ADM[[#This Row],[Mes]]=MesCiclo,InicioCiclo,tblAct_ADM[[#This Row],[Mes]]+MOD(2-WEEKDAY(tblAct_ADM[[#This Row],[Mes]]),7))+27),1,MIN(1,MAX(0,IF(ISNUMBER(OFFSET($A$1,ROW()-1,11)),OFFSET($A$1,ROW()-1,11),IF(ISNUMBER(OFFSET($A$1,ROW()-1,10)),OFFSET($A$1,ROW()-1,10),IF(ISNUMBER(OFFSET($A$1,ROW()-1,9)),OFFSET($A$1,ROW()-1,9),IF(ISNUMBER(OFFSET($A$1,ROW()-1,8)),OFFSET($A$1,ROW()-1,8),0))))))))</calculatedColumnFormula>
    </tableColumn>
    <tableColumn id="34" name="Efectivo S1 (aux)">
      <calculatedColumnFormula>IF(tblAct_ADM[[#This Row],[Tipo (aux)]]="","",IF(AND(ISNUMBER(tblAct_ADM[[#This Row],[Fecha de cumplimiento]]),tblAct_ADM[[#This Row],[Fecha de cumplimiento]]&lt;=IF(tblAct_ADM[[#This Row],[Mes]]=MesCiclo,InicioCiclo,tblAct_ADM[[#This Row],[Mes]]+MOD(2-WEEKDAY(tblAct_ADM[[#This Row],[Mes]]),7))+6),1,IF(N(tblAct_ADM[[#This Row],[N subactividades (aux)]])&gt;0,MIN(1,SUMIFS($AD$5:$AD$1000,$U$5:$U$1000,ROW(),$V$5:$V$1000,"Sub")),tblAct_ADM[[#This Row],[Propio S1 (aux)]])))</calculatedColumnFormula>
    </tableColumn>
    <tableColumn id="35" name="Efectivo S2 (aux)">
      <calculatedColumnFormula>IF(tblAct_ADM[[#This Row],[Tipo (aux)]]="","",IF(AND(ISNUMBER(tblAct_ADM[[#This Row],[Fecha de cumplimiento]]),tblAct_ADM[[#This Row],[Fecha de cumplimiento]]&lt;=IF(tblAct_ADM[[#This Row],[Mes]]=MesCiclo,InicioCiclo,tblAct_ADM[[#This Row],[Mes]]+MOD(2-WEEKDAY(tblAct_ADM[[#This Row],[Mes]]),7))+13),1,IF(N(tblAct_ADM[[#This Row],[N subactividades (aux)]])&gt;0,MIN(1,SUMIFS($AE$5:$AE$1000,$U$5:$U$1000,ROW(),$V$5:$V$1000,"Sub")),tblAct_ADM[[#This Row],[Propio S2 (aux)]])))</calculatedColumnFormula>
    </tableColumn>
    <tableColumn id="36" name="Efectivo S3 (aux)">
      <calculatedColumnFormula>IF(tblAct_ADM[[#This Row],[Tipo (aux)]]="","",IF(AND(ISNUMBER(tblAct_ADM[[#This Row],[Fecha de cumplimiento]]),tblAct_ADM[[#This Row],[Fecha de cumplimiento]]&lt;=IF(tblAct_ADM[[#This Row],[Mes]]=MesCiclo,InicioCiclo,tblAct_ADM[[#This Row],[Mes]]+MOD(2-WEEKDAY(tblAct_ADM[[#This Row],[Mes]]),7))+20),1,IF(N(tblAct_ADM[[#This Row],[N subactividades (aux)]])&gt;0,MIN(1,SUMIFS($AF$5:$AF$1000,$U$5:$U$1000,ROW(),$V$5:$V$1000,"Sub")),tblAct_ADM[[#This Row],[Propio S3 (aux)]])))</calculatedColumnFormula>
    </tableColumn>
    <tableColumn id="37" name="Efectivo S4 (aux)">
      <calculatedColumnFormula>IF(tblAct_ADM[[#This Row],[Tipo (aux)]]="","",IF(AND(ISNUMBER(tblAct_ADM[[#This Row],[Fecha de cumplimiento]]),tblAct_ADM[[#This Row],[Fecha de cumplimiento]]&lt;=IF(tblAct_ADM[[#This Row],[Mes]]=MesCiclo,InicioCiclo,tblAct_ADM[[#This Row],[Mes]]+MOD(2-WEEKDAY(tblAct_ADM[[#This Row],[Mes]]),7))+27),1,IF(N(tblAct_ADM[[#This Row],[N subactividades (aux)]])&gt;0,MIN(1,SUMIFS($AG$5:$AG$1000,$U$5:$U$1000,ROW(),$V$5:$V$1000,"Sub")),tblAct_ADM[[#This Row],[Propio S4 (aux)]])))</calculatedColumnFormula>
    </tableColumn>
    <tableColumn id="38" name="Peso efectivo (aux)">
      <calculatedColumnFormula>IF(tblAct_ADM[[#This Row],[Tipo (aux)]]&lt;&gt;"Macro","",IF(COUNTIFS($S$5:$S$1000,tblAct_ADM[[#This Row],[Mes]],$V$5:$V$1000,"Macro",$H$5:$H$1000,"&gt;0")=0,1/COUNTIFS($S$5:$S$1000,tblAct_ADM[[#This Row],[Mes]],$V$5:$V$1000,"Macro"),IF(AND(ISNUMBER(tblAct_ADM[[#This Row],[Peso / % de la subactividad]]),N(tblAct_ADM[[#This Row],[Peso / % de la subactividad]])&gt;0),tblAct_ADM[[#This Row],[Peso / % de la subactividad]],SUMIFS($H$5:$H$1000,$S$5:$S$1000,tblAct_ADM[[#This Row],[Mes]],$V$5:$V$1000,"Macro")/COUNTIFS($S$5:$S$1000,tblAct_ADM[[#This Row],[Mes]],$V$5:$V$1000,"Macro",$H$5:$H$1000,"&gt;0"))/(COUNTIFS($S$5:$S$1000,tblAct_ADM[[#This Row],[Mes]],$V$5:$V$1000,"Macro")*SUMIFS($H$5:$H$1000,$S$5:$S$1000,tblAct_ADM[[#This Row],[Mes]],$V$5:$V$1000,"Macro")/COUNTIFS($S$5:$S$1000,tblAct_ADM[[#This Row],[Mes]],$V$5:$V$1000,"Macro",$H$5:$H$1000,"&gt;0"))))</calculatedColumnFormula>
    </tableColumn>
    <tableColumn id="39" name="Fila en el puesto (aux)">
      <calculatedColumnFormula>IF(NOT(AND(tblAct_ADM[[#This Row],[Delegar a]]&lt;&gt;"",tblAct_ADM[[#This Row],[Tipo (aux)]]="Macro")),"",IFERROR(CHOOSE(MATCH(tblAct_ADM[[#This Row],[Delegar a]],ListaPuestos,0),MATCH("[Jefatura] "&amp;tblAct_ADM[[#This Row],[Actividad]],'Cronograma R. Operacional'!$C$5:$C$1000,0),MATCH("[Jefatura] "&amp;tblAct_ADM[[#This Row],[Actividad]],'Cronograma R. Normativo'!$C$5:$C$1000,0),MATCH("[Jefatura] "&amp;tblAct_ADM[[#This Row],[Actividad]],'Cronograma R. Financiero'!$C$5:$C$1000,0),MATCH("[Jefatura] "&amp;tblAct_ADM[[#This Row],[Actividad]],'Cronograma Asistente Técnico'!$C$5:$C$1000,0)),0))</calculatedColumnFormula>
    </tableColumn>
    <tableColumn id="40" name="N° delegada en el mes (aux)">
      <calculatedColumnFormula>IF(AND(AND(tblAct_ADM[[#This Row],[Delegar a]]&lt;&gt;"",tblAct_ADM[[#This Row],[Tipo (aux)]]="Macro"),tblAct_ADM[[#This Row],[Mes]]=MesCiclo),COUNTIFS(INDEX(tblAct_ADM[Delegar a],1):tblAct_ADM[[#This Row],[Delegar a]],tblAct_ADM[[#This Row],[Delegar a]],INDEX(tblAct_ADM[Mes],1):tblAct_ADM[[#This Row],[Mes]],MesCiclo,INDEX(tblAct_ADM[Tipo (aux)],1):tblAct_ADM[[#This Row],[Tipo (aux)]],"Macro"),"")</calculatedColumnFormula>
    </tableColumn>
    <tableColumn id="41" name="Clave delegada (aux)">
      <calculatedColumnFormula>IF(tblAct_ADM[[#This Row],[N° delegada en el mes (aux)]]="","",tblAct_ADM[[#This Row],[Delegar a]]&amp;"|"&amp;tblAct_ADM[[#This Row],[N° delegada en el mes (aux)]])</calculatedColumnFormula>
    </tableColumn>
    <tableColumn id="42" name="Clave puesto-actividad (aux)">
      <calculatedColumnFormula>IF(AND(tblAct_ADM[[#This Row],[Delegar a]]&lt;&gt;"",tblAct_ADM[[#This Row],[Tipo (aux)]]="Macro"),tblAct_ADM[[#This Row],[Delegar a]]&amp;"|"&amp;tblAct_ADM[[#This Row],[Actividad]],"")</calculatedColumnFormula>
    </tableColumn>
    <tableColumn id="43" name="Fila en Administración (aux)">
      <calculatedColumnFormula>""</calculatedColumnFormula>
    </tableColumn>
    <tableColumn id="44" name="Inicio efectivo (aux)">
      <calculatedColumnFormula>IF(N(tblAct_ADM[[#This Row],[Fila en Administración (aux)]])&gt;0,INDEX(rIni_ADM,tblAct_ADM[[#This Row],[Fila en Administración (aux)]]),IF(ISNUMBER(tblAct_ADM[[#This Row],[Fecha de inicio]]),tblAct_ADM[[#This Row],[Fecha de inicio]],""))</calculatedColumnFormula>
    </tableColumn>
    <tableColumn id="45" name="Límite efectivo (aux)">
      <calculatedColumnFormula>IF(N(tblAct_ADM[[#This Row],[Fila en Administración (aux)]])&gt;0,INDEX(rLim_ADM,tblAct_ADM[[#This Row],[Fila en Administración (aux)]]),IF(ISNUMBER(tblAct_ADM[[#This Row],[Fecha límite]]),tblAct_ADM[[#This Row],[Fecha límite]],""))</calculatedColumnFormula>
    </tableColumn>
  </tableColumns>
  <tableStyleInfo name="TableStyleLight1" showRowStripes="0"/>
</table>
</file>

<file path=xl/tables/table2.xml><?xml version="1.0" encoding="utf-8"?>
<table xmlns="http://schemas.openxmlformats.org/spreadsheetml/2006/main" id="2" name="tblAct_RO" displayName="tblAct_RO" ref="A4:AS304" headerRowCount="1">
  <autoFilter ref="A4:AS304"/>
  <tableColumns count="45">
    <tableColumn id="1" name="N°">
      <calculatedColumnFormula>IF(NOT((COUNTA(tblAct_RO[[#This Row],[Tipo]:[Delegar a]])+COUNTA(tblAct_RO[[#This Row],[Fecha de cumplimiento]:[Peso / % de la subactividad]])+COUNTA(tblAct_RO[[#This Row],[Observaciones]]))&gt;0),"",IF(tblAct_RO[[#This Row],[Tipo (aux)]]="Macro",COUNTIFS(INDEX(tblAct_RO[Tipo (aux)],1):tblAct_RO[[#This Row],[Tipo (aux)]],"Macro",INDEX(tblAct_RO[Mes],1):tblAct_RO[[#This Row],[Mes]],tblAct_RO[[#This Row],[Mes]]),IF(N(tblAct_RO[[#This Row],[Grupo (aux)]])=0,"?",COUNTIFS(INDEX($V$5:$V$1000,1):INDEX($V$5:$V$1000,tblAct_RO[[#This Row],[Grupo (aux)]]-4),"Macro",INDEX($S$5:$S$1000,1):INDEX($S$5:$S$1000,tblAct_RO[[#This Row],[Grupo (aux)]]-4),INDEX($S$5:$S$1000,tblAct_RO[[#This Row],[Grupo (aux)]]-4))&amp;"."&amp;COUNTIFS(INDEX(tblAct_RO[Grupo (aux)],1):tblAct_RO[[#This Row],[Grupo (aux)]],tblAct_RO[[#This Row],[Grupo (aux)]],INDEX(tblAct_RO[Tipo (aux)],1):tblAct_RO[[#This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IF(OR(NOT((COUNTA(tblAct_RO[[#This Row],[Tipo]:[Delegar a]])+COUNTA(tblAct_RO[[#This Row],[Fecha de cumplimiento]:[Peso / % de la subactividad]])+COUNTA(tblAct_RO[[#This Row],[Observaciones]]))&gt;0),tblAct_RO[[#This Row],[Tipo (aux)]]="Sub"),"",IF(ISNUMBER(tblAct_RO[[#This Row],[Fecha de cumplimiento]]),1,IF(N(tblAct_RO[[#This Row],[N subactividades (aux)]])&gt;0,MIN(1,SUMIFS($Y$5:$Y$1000,$U$5:$U$1000,ROW(),$V$5:$V$1000,"Sub")),tblAct_RO[[#This Row],[Avance propio (aux)]])))</calculatedColumnFormula>
    </tableColumn>
    <tableColumn id="14" name="Estado">
      <calculatedColumnFormula>IF(OR(tblAct_RO[[#This Row],[% de Avance Total Actual]]="",tblAct_RO[[#This Row],[Tipo (aux)]]="Sub"),"",IF(tblAct_RO[[#This Row],[% de Avance Total Actual]]&gt;=1,"Completado",IF(tblAct_RO[[#This Row],[% de Avance Total Actual]]&gt;0,"En curso","Pendiente")))</calculatedColumnFormula>
    </tableColumn>
    <tableColumn id="15" name="Alerta de plazo">
      <calculatedColumnFormula>IF(OR(NOT((COUNTA(tblAct_RO[[#This Row],[Tipo]:[Delegar a]])+COUNTA(tblAct_RO[[#This Row],[Fecha de cumplimiento]:[Peso / % de la subactividad]])+COUNTA(tblAct_RO[[#This Row],[Observaciones]]))&gt;0),tblAct_RO[[#This Row],[Tipo (aux)]]="Sub"),"",IF(ISNUMBER(tblAct_RO[[#This Row],[Fecha de cumplimiento]]),IF(AND(ISNUMBER(tblAct_RO[[#This Row],[Límite efectivo (aux)]]),tblAct_RO[[#This Row],[Fecha de cumplimiento]]&gt;tblAct_RO[[#This Row],[Límite efectivo (aux)]]),"Cumplida con "&amp;(tblAct_RO[[#This Row],[Fecha de cumplimiento]]-tblAct_RO[[#This Row],[Límite efectivo (aux)]])&amp;IF(tblAct_RO[[#This Row],[Fecha de cumplimiento]]-tblAct_RO[[#This Row],[Límite efectivo (aux)]]=1," día"," días")&amp;" de retraso","Cumplida"),IF(N(tblAct_RO[[#This Row],[% de Avance Total Actual]])&gt;=1,"Cumplida",IF(NOT(ISNUMBER(tblAct_RO[[#This Row],[Límite efectivo (aux)]])),"Sin fecha límite",IF(tblAct_RO[[#This Row],[Límite efectivo (aux)]]&lt;FechaRef,"Vencida hace "&amp;(FechaRef-tblAct_RO[[#This Row],[Límite efectivo (aux)]])&amp;IF(FechaRef-tblAct_RO[[#This Row],[Límite efectivo (aux)]]=1," día"," días"),IF(tblAct_RO[[#This Row],[Límite efectivo (aux)]]=FechaRef,"Vence hoy",IF(tblAct_RO[[#This Row],[Límite efectivo (aux)]]-FechaRef&lt;=DiasAlerta,"Vence en "&amp;(tblAct_RO[[#This Row],[Límite efectivo (aux)]]-FechaRef)&amp;IF(tblAct_RO[[#This Row],[Límite efectivo (aux)]]-FechaRef=1," día"," días"),"En plazo")))))))</calculatedColumnFormula>
    </tableColumn>
    <tableColumn id="16" name="Seguimiento de la delegación"/>
    <tableColumn id="17" name="Observaciones"/>
    <tableColumn id="18" name="Revisión automática (alertas)">
      <calculatedColumnFormula>IF(NOT((COUNTA(tblAct_RO[[#This Row],[Tipo]:[Delegar a]])+COUNTA(tblAct_RO[[#This Row],[Fecha de cumplimiento]:[Peso / % de la subactividad]])+COUNTA(tblAct_RO[[#This Row],[Observaciones]]))&gt;0),"",IF((IF(tblAct_RO[[#This Row],[Actividad]]="","Falta el nombre de la actividad"&amp;" · ","")&amp;IF(AND(tblAct_RO[[#This Row],[Tipo (aux)]]="Sub",N(tblAct_RO[[#This Row],[Grupo (aux)]])=0),"Subactividad sin macroactividad arriba"&amp;" · ","")&amp;IF(AND(tblAct_RO[[#This Row],[Tipo (aux)]]="Macro",tblAct_RO[[#This Row],[Inicio efectivo (aux)]]=""),"Sin fecha de inicio"&amp;" · ","")&amp;IF(AND(tblAct_RO[[#This Row],[Tipo (aux)]]="Macro",tblAct_RO[[#This Row],[Límite efectivo (aux)]]=""),"Sin fecha límite"&amp;" · ","")&amp;IF(AND(LEFT(tblAct_RO[[#This Row],[Actividad]],11)="[Jefatura] ",N(tblAct_RO[[#This Row],[Fila en Administración (aux)]])=0),"No se encuentra en la hoja de la jefatura (elíjala de nuevo en la lista)"&amp;" · ","")&amp;IF(OR(AND(tblAct_RO[[#This Row],[Fecha de inicio]]&lt;&gt;"",NOT(ISNUMBER(tblAct_RO[[#This Row],[Fecha de inicio]]))),AND(tblAct_RO[[#This Row],[Fecha límite]]&lt;&gt;"",NOT(ISNUMBER(tblAct_RO[[#This Row],[Fecha límite]]))),AND(tblAct_RO[[#This Row],[Fecha de cumplimiento]]&lt;&gt;"",NOT(ISNUMBER(tblAct_RO[[#This Row],[Fecha de cumplimiento]])))),"Fecha no válida"&amp;" · ","")&amp;IF(AND(ISNUMBER(tblAct_RO[[#This Row],[Inicio efectivo (aux)]]),ISNUMBER(tblAct_RO[[#This Row],[Límite efectivo (aux)]]),tblAct_RO[[#This Row],[Inicio efectivo (aux)]]&gt;tblAct_RO[[#This Row],[Límite efectivo (aux)]]),"Inicio posterior a fecha límite"&amp;" · ","")&amp;IF(AND(tblAct_RO[[#This Row],[Tipo (aux)]]="Macro",tblAct_RO[[#This Row],[Peso / % de la subactividad]]&lt;&gt;"",OR(NOT(ISNUMBER(tblAct_RO[[#This Row],[Peso / % de la subactividad]])),tblAct_RO[[#This Row],[Peso / % de la subactividad]]&lt;0,tblAct_RO[[#This Row],[Peso / % de la subactividad]]&gt;1)),"Peso fuera de rango"&amp;" · ","")&amp;IF(AND(tblAct_RO[[#This Row],[Tipo (aux)]]="Sub",tblAct_RO[[#This Row],[Peso / % de la subactividad]]&lt;&gt;"",OR(NOT(ISNUMBER(tblAct_RO[[#This Row],[Peso / % de la subactividad]])),tblAct_RO[[#This Row],[Peso / % de la subactividad]]&lt;0,tblAct_RO[[#This Row],[Peso / % de la subactividad]]&gt;1)),"% de la subactividad fuera de rango 0-100%"&amp;" · ","")&amp;IF(AND(N(tblAct_RO[[#This Row],[N subactividades (aux)]])&gt;0,SUMIFS($H$5:$H$1000,$U$5:$U$1000,ROW(),$V$5:$V$1000,"Sub")&gt;1.0001),"Las subactividades suman más de 100%"&amp;" · ","")&amp;IF(AND(N(tblAct_RO[[#This Row],[N subactividades (aux)]])&gt;0,OR(IF(ISNUMBER(tblAct_RO[[#This Row],[Avance Semana 1 (%)]]),ROUND(tblAct_RO[[#This Row],[Avance Semana 1 (%)]],6)&lt;&gt;ROUND(MIN(1,SUMIFS($AD$5:$AD$1000,$U$5:$U$1000,ROW(),$V$5:$V$1000,"Sub")),6),FALSE),IF(ISNUMBER(tblAct_RO[[#This Row],[Avance Semana 2 (%)]]),ROUND(tblAct_RO[[#This Row],[Avance Semana 2 (%)]],6)&lt;&gt;ROUND(MIN(1,SUMIFS($AE$5:$AE$1000,$U$5:$U$1000,ROW(),$V$5:$V$1000,"Sub")),6),FALSE),IF(ISNUMBER(tblAct_RO[[#This Row],[Avance Semana 3 (%)]]),ROUND(tblAct_RO[[#This Row],[Avance Semana 3 (%)]],6)&lt;&gt;ROUND(MIN(1,SUMIFS($AF$5:$AF$1000,$U$5:$U$1000,ROW(),$V$5:$V$1000,"Sub")),6),FALSE),IF(ISNUMBER(tblAct_RO[[#This Row],[Avance Semana 4 (%)]]),ROUND(tblAct_RO[[#This Row],[Avance Semana 4 (%)]],6)&lt;&gt;ROUND(MIN(1,SUMIFS($AG$5:$AG$1000,$U$5:$U$1000,ROW(),$V$5:$V$1000,"Sub")),6),FALSE))),"Con subactividades: no escriba en las semanas (se llenan solas)"&amp;" · ","")&amp;IF((COUNTIF(tblAct_RO[[#This Row],[Avance Semana 1 (%)]:[Avance Semana 4 (%)]],"&gt;1")+COUNTIF(tblAct_RO[[#This Row],[Avance Semana 1 (%)]:[Avance Semana 4 (%)]],"&lt;0")+SUMPRODUCT((LEN(tblAct_RO[[#This Row],[Avance Semana 1 (%)]:[Avance Semana 4 (%)]])&gt;0)*NOT(ISNUMBER(tblAct_RO[[#This Row],[Avance Semana 1 (%)]:[Avance Semana 4 (%)]]))))&gt;0,"Avance fuera de rango 0-100%"&amp;" · ","")&amp;IF(OR(AND(ISNUMBER(tblAct_RO[[#This Row],[Avance Semana 2 (%)]]),tblAct_RO[[#This Row],[Avance Semana 2 (%)]]&lt;N(tblAct_RO[[#This Row],[Avance Semana 1 (%)]])),AND(ISNUMBER(tblAct_RO[[#This Row],[Avance Semana 3 (%)]]),tblAct_RO[[#This Row],[Avance Semana 3 (%)]]&lt;MAX(tblAct_RO[[#This Row],[Avance Semana 1 (%)]:[Avance Semana 2 (%)]])),AND(ISNUMBER(tblAct_RO[[#This Row],[Avance Semana 4 (%)]]),tblAct_RO[[#This Row],[Avance Semana 4 (%)]]&lt;MAX(tblAct_RO[[#This Row],[Avance Semana 1 (%)]:[Avance Semana 3 (%)]]))),"Avance semanal decreciente"&amp;" · ","")&amp;IF(AND(ISNUMBER(tblAct_RO[[#This Row],[Límite efectivo (aux)]]),tblAct_RO[[#This Row],[Límite efectivo (aux)]]&lt;FechaRef,IF(tblAct_RO[[#This Row],[Tipo (aux)]]="Sub",1,N(tblAct_RO[[#This Row],[% de Avance Total Actual]]))&lt;1),"Vencida"&amp;" · ","")&amp;IF(AND(ObsObligatoria="Sí",ISNUMBER(tblAct_RO[[#This Row],[Límite efectivo (aux)]]),tblAct_RO[[#This Row],[Límite efectivo (aux)]]&lt;FechaRef,IF(tblAct_RO[[#This Row],[Tipo (aux)]]="Sub",1,N(tblAct_RO[[#This Row],[% de Avance Total Actual]]))&lt;1,tblAct_RO[[#This Row],[Observaciones]]=""),"Vencida sin observación"&amp;" · ",""))="","✔ OK","⚠ "&amp;LEFT(IF(tblAct_RO[[#This Row],[Actividad]]="","Falta el nombre de la actividad"&amp;" · ","")&amp;IF(AND(tblAct_RO[[#This Row],[Tipo (aux)]]="Sub",N(tblAct_RO[[#This Row],[Grupo (aux)]])=0),"Subactividad sin macroactividad arriba"&amp;" · ","")&amp;IF(AND(tblAct_RO[[#This Row],[Tipo (aux)]]="Macro",tblAct_RO[[#This Row],[Inicio efectivo (aux)]]=""),"Sin fecha de inicio"&amp;" · ","")&amp;IF(AND(tblAct_RO[[#This Row],[Tipo (aux)]]="Macro",tblAct_RO[[#This Row],[Límite efectivo (aux)]]=""),"Sin fecha límite"&amp;" · ","")&amp;IF(AND(LEFT(tblAct_RO[[#This Row],[Actividad]],11)="[Jefatura] ",N(tblAct_RO[[#This Row],[Fila en Administración (aux)]])=0),"No se encuentra en la hoja de la jefatura (elíjala de nuevo en la lista)"&amp;" · ","")&amp;IF(OR(AND(tblAct_RO[[#This Row],[Fecha de inicio]]&lt;&gt;"",NOT(ISNUMBER(tblAct_RO[[#This Row],[Fecha de inicio]]))),AND(tblAct_RO[[#This Row],[Fecha límite]]&lt;&gt;"",NOT(ISNUMBER(tblAct_RO[[#This Row],[Fecha límite]]))),AND(tblAct_RO[[#This Row],[Fecha de cumplimiento]]&lt;&gt;"",NOT(ISNUMBER(tblAct_RO[[#This Row],[Fecha de cumplimiento]])))),"Fecha no válida"&amp;" · ","")&amp;IF(AND(ISNUMBER(tblAct_RO[[#This Row],[Inicio efectivo (aux)]]),ISNUMBER(tblAct_RO[[#This Row],[Límite efectivo (aux)]]),tblAct_RO[[#This Row],[Inicio efectivo (aux)]]&gt;tblAct_RO[[#This Row],[Límite efectivo (aux)]]),"Inicio posterior a fecha límite"&amp;" · ","")&amp;IF(AND(tblAct_RO[[#This Row],[Tipo (aux)]]="Macro",tblAct_RO[[#This Row],[Peso / % de la subactividad]]&lt;&gt;"",OR(NOT(ISNUMBER(tblAct_RO[[#This Row],[Peso / % de la subactividad]])),tblAct_RO[[#This Row],[Peso / % de la subactividad]]&lt;0,tblAct_RO[[#This Row],[Peso / % de la subactividad]]&gt;1)),"Peso fuera de rango"&amp;" · ","")&amp;IF(AND(tblAct_RO[[#This Row],[Tipo (aux)]]="Sub",tblAct_RO[[#This Row],[Peso / % de la subactividad]]&lt;&gt;"",OR(NOT(ISNUMBER(tblAct_RO[[#This Row],[Peso / % de la subactividad]])),tblAct_RO[[#This Row],[Peso / % de la subactividad]]&lt;0,tblAct_RO[[#This Row],[Peso / % de la subactividad]]&gt;1)),"% de la subactividad fuera de rango 0-100%"&amp;" · ","")&amp;IF(AND(N(tblAct_RO[[#This Row],[N subactividades (aux)]])&gt;0,SUMIFS($H$5:$H$1000,$U$5:$U$1000,ROW(),$V$5:$V$1000,"Sub")&gt;1.0001),"Las subactividades suman más de 100%"&amp;" · ","")&amp;IF(AND(N(tblAct_RO[[#This Row],[N subactividades (aux)]])&gt;0,OR(IF(ISNUMBER(tblAct_RO[[#This Row],[Avance Semana 1 (%)]]),ROUND(tblAct_RO[[#This Row],[Avance Semana 1 (%)]],6)&lt;&gt;ROUND(MIN(1,SUMIFS($AD$5:$AD$1000,$U$5:$U$1000,ROW(),$V$5:$V$1000,"Sub")),6),FALSE),IF(ISNUMBER(tblAct_RO[[#This Row],[Avance Semana 2 (%)]]),ROUND(tblAct_RO[[#This Row],[Avance Semana 2 (%)]],6)&lt;&gt;ROUND(MIN(1,SUMIFS($AE$5:$AE$1000,$U$5:$U$1000,ROW(),$V$5:$V$1000,"Sub")),6),FALSE),IF(ISNUMBER(tblAct_RO[[#This Row],[Avance Semana 3 (%)]]),ROUND(tblAct_RO[[#This Row],[Avance Semana 3 (%)]],6)&lt;&gt;ROUND(MIN(1,SUMIFS($AF$5:$AF$1000,$U$5:$U$1000,ROW(),$V$5:$V$1000,"Sub")),6),FALSE),IF(ISNUMBER(tblAct_RO[[#This Row],[Avance Semana 4 (%)]]),ROUND(tblAct_RO[[#This Row],[Avance Semana 4 (%)]],6)&lt;&gt;ROUND(MIN(1,SUMIFS($AG$5:$AG$1000,$U$5:$U$1000,ROW(),$V$5:$V$1000,"Sub")),6),FALSE))),"Con subactividades: no escriba en las semanas (se llenan solas)"&amp;" · ","")&amp;IF((COUNTIF(tblAct_RO[[#This Row],[Avance Semana 1 (%)]:[Avance Semana 4 (%)]],"&gt;1")+COUNTIF(tblAct_RO[[#This Row],[Avance Semana 1 (%)]:[Avance Semana 4 (%)]],"&lt;0")+SUMPRODUCT((LEN(tblAct_RO[[#This Row],[Avance Semana 1 (%)]:[Avance Semana 4 (%)]])&gt;0)*NOT(ISNUMBER(tblAct_RO[[#This Row],[Avance Semana 1 (%)]:[Avance Semana 4 (%)]]))))&gt;0,"Avance fuera de rango 0-100%"&amp;" · ","")&amp;IF(OR(AND(ISNUMBER(tblAct_RO[[#This Row],[Avance Semana 2 (%)]]),tblAct_RO[[#This Row],[Avance Semana 2 (%)]]&lt;N(tblAct_RO[[#This Row],[Avance Semana 1 (%)]])),AND(ISNUMBER(tblAct_RO[[#This Row],[Avance Semana 3 (%)]]),tblAct_RO[[#This Row],[Avance Semana 3 (%)]]&lt;MAX(tblAct_RO[[#This Row],[Avance Semana 1 (%)]:[Avance Semana 2 (%)]])),AND(ISNUMBER(tblAct_RO[[#This Row],[Avance Semana 4 (%)]]),tblAct_RO[[#This Row],[Avance Semana 4 (%)]]&lt;MAX(tblAct_RO[[#This Row],[Avance Semana 1 (%)]:[Avance Semana 3 (%)]]))),"Avance semanal decreciente"&amp;" · ","")&amp;IF(AND(ISNUMBER(tblAct_RO[[#This Row],[Límite efectivo (aux)]]),tblAct_RO[[#This Row],[Límite efectivo (aux)]]&lt;FechaRef,IF(tblAct_RO[[#This Row],[Tipo (aux)]]="Sub",1,N(tblAct_RO[[#This Row],[% de Avance Total Actual]]))&lt;1),"Vencida"&amp;" · ","")&amp;IF(AND(ObsObligatoria="Sí",ISNUMBER(tblAct_RO[[#This Row],[Límite efectivo (aux)]]),tblAct_RO[[#This Row],[Límite efectivo (aux)]]&lt;FechaRef,IF(tblAct_RO[[#This Row],[Tipo (aux)]]="Sub",1,N(tblAct_RO[[#This Row],[% de Avance Total Actual]]))&lt;1,tblAct_RO[[#This Row],[Observaciones]]=""),"Vencida sin observación"&amp;" · ",""),LEN(IF(tblAct_RO[[#This Row],[Actividad]]="","Falta el nombre de la actividad"&amp;" · ","")&amp;IF(AND(tblAct_RO[[#This Row],[Tipo (aux)]]="Sub",N(tblAct_RO[[#This Row],[Grupo (aux)]])=0),"Subactividad sin macroactividad arriba"&amp;" · ","")&amp;IF(AND(tblAct_RO[[#This Row],[Tipo (aux)]]="Macro",tblAct_RO[[#This Row],[Inicio efectivo (aux)]]=""),"Sin fecha de inicio"&amp;" · ","")&amp;IF(AND(tblAct_RO[[#This Row],[Tipo (aux)]]="Macro",tblAct_RO[[#This Row],[Límite efectivo (aux)]]=""),"Sin fecha límite"&amp;" · ","")&amp;IF(AND(LEFT(tblAct_RO[[#This Row],[Actividad]],11)="[Jefatura] ",N(tblAct_RO[[#This Row],[Fila en Administración (aux)]])=0),"No se encuentra en la hoja de la jefatura (elíjala de nuevo en la lista)"&amp;" · ","")&amp;IF(OR(AND(tblAct_RO[[#This Row],[Fecha de inicio]]&lt;&gt;"",NOT(ISNUMBER(tblAct_RO[[#This Row],[Fecha de inicio]]))),AND(tblAct_RO[[#This Row],[Fecha límite]]&lt;&gt;"",NOT(ISNUMBER(tblAct_RO[[#This Row],[Fecha límite]]))),AND(tblAct_RO[[#This Row],[Fecha de cumplimiento]]&lt;&gt;"",NOT(ISNUMBER(tblAct_RO[[#This Row],[Fecha de cumplimiento]])))),"Fecha no válida"&amp;" · ","")&amp;IF(AND(ISNUMBER(tblAct_RO[[#This Row],[Inicio efectivo (aux)]]),ISNUMBER(tblAct_RO[[#This Row],[Límite efectivo (aux)]]),tblAct_RO[[#This Row],[Inicio efectivo (aux)]]&gt;tblAct_RO[[#This Row],[Límite efectivo (aux)]]),"Inicio posterior a fecha límite"&amp;" · ","")&amp;IF(AND(tblAct_RO[[#This Row],[Tipo (aux)]]="Macro",tblAct_RO[[#This Row],[Peso / % de la subactividad]]&lt;&gt;"",OR(NOT(ISNUMBER(tblAct_RO[[#This Row],[Peso / % de la subactividad]])),tblAct_RO[[#This Row],[Peso / % de la subactividad]]&lt;0,tblAct_RO[[#This Row],[Peso / % de la subactividad]]&gt;1)),"Peso fuera de rango"&amp;" · ","")&amp;IF(AND(tblAct_RO[[#This Row],[Tipo (aux)]]="Sub",tblAct_RO[[#This Row],[Peso / % de la subactividad]]&lt;&gt;"",OR(NOT(ISNUMBER(tblAct_RO[[#This Row],[Peso / % de la subactividad]])),tblAct_RO[[#This Row],[Peso / % de la subactividad]]&lt;0,tblAct_RO[[#This Row],[Peso / % de la subactividad]]&gt;1)),"% de la subactividad fuera de rango 0-100%"&amp;" · ","")&amp;IF(AND(N(tblAct_RO[[#This Row],[N subactividades (aux)]])&gt;0,SUMIFS($H$5:$H$1000,$U$5:$U$1000,ROW(),$V$5:$V$1000,"Sub")&gt;1.0001),"Las subactividades suman más de 100%"&amp;" · ","")&amp;IF(AND(N(tblAct_RO[[#This Row],[N subactividades (aux)]])&gt;0,OR(IF(ISNUMBER(tblAct_RO[[#This Row],[Avance Semana 1 (%)]]),ROUND(tblAct_RO[[#This Row],[Avance Semana 1 (%)]],6)&lt;&gt;ROUND(MIN(1,SUMIFS($AD$5:$AD$1000,$U$5:$U$1000,ROW(),$V$5:$V$1000,"Sub")),6),FALSE),IF(ISNUMBER(tblAct_RO[[#This Row],[Avance Semana 2 (%)]]),ROUND(tblAct_RO[[#This Row],[Avance Semana 2 (%)]],6)&lt;&gt;ROUND(MIN(1,SUMIFS($AE$5:$AE$1000,$U$5:$U$1000,ROW(),$V$5:$V$1000,"Sub")),6),FALSE),IF(ISNUMBER(tblAct_RO[[#This Row],[Avance Semana 3 (%)]]),ROUND(tblAct_RO[[#This Row],[Avance Semana 3 (%)]],6)&lt;&gt;ROUND(MIN(1,SUMIFS($AF$5:$AF$1000,$U$5:$U$1000,ROW(),$V$5:$V$1000,"Sub")),6),FALSE),IF(ISNUMBER(tblAct_RO[[#This Row],[Avance Semana 4 (%)]]),ROUND(tblAct_RO[[#This Row],[Avance Semana 4 (%)]],6)&lt;&gt;ROUND(MIN(1,SUMIFS($AG$5:$AG$1000,$U$5:$U$1000,ROW(),$V$5:$V$1000,"Sub")),6),FALSE))),"Con subactividades: no escriba en las semanas (se llenan solas)"&amp;" · ","")&amp;IF((COUNTIF(tblAct_RO[[#This Row],[Avance Semana 1 (%)]:[Avance Semana 4 (%)]],"&gt;1")+COUNTIF(tblAct_RO[[#This Row],[Avance Semana 1 (%)]:[Avance Semana 4 (%)]],"&lt;0")+SUMPRODUCT((LEN(tblAct_RO[[#This Row],[Avance Semana 1 (%)]:[Avance Semana 4 (%)]])&gt;0)*NOT(ISNUMBER(tblAct_RO[[#This Row],[Avance Semana 1 (%)]:[Avance Semana 4 (%)]]))))&gt;0,"Avance fuera de rango 0-100%"&amp;" · ","")&amp;IF(OR(AND(ISNUMBER(tblAct_RO[[#This Row],[Avance Semana 2 (%)]]),tblAct_RO[[#This Row],[Avance Semana 2 (%)]]&lt;N(tblAct_RO[[#This Row],[Avance Semana 1 (%)]])),AND(ISNUMBER(tblAct_RO[[#This Row],[Avance Semana 3 (%)]]),tblAct_RO[[#This Row],[Avance Semana 3 (%)]]&lt;MAX(tblAct_RO[[#This Row],[Avance Semana 1 (%)]:[Avance Semana 2 (%)]])),AND(ISNUMBER(tblAct_RO[[#This Row],[Avance Semana 4 (%)]]),tblAct_RO[[#This Row],[Avance Semana 4 (%)]]&lt;MAX(tblAct_RO[[#This Row],[Avance Semana 1 (%)]:[Avance Semana 3 (%)]]))),"Avance semanal decreciente"&amp;" · ","")&amp;IF(AND(ISNUMBER(tblAct_RO[[#This Row],[Límite efectivo (aux)]]),tblAct_RO[[#This Row],[Límite efectivo (aux)]]&lt;FechaRef,IF(tblAct_RO[[#This Row],[Tipo (aux)]]="Sub",1,N(tblAct_RO[[#This Row],[% de Avance Total Actual]]))&lt;1),"Vencida"&amp;" · ","")&amp;IF(AND(ObsObligatoria="Sí",ISNUMBER(tblAct_RO[[#This Row],[Límite efectivo (aux)]]),tblAct_RO[[#This Row],[Límite efectivo (aux)]]&lt;FechaRef,IF(tblAct_RO[[#This Row],[Tipo (aux)]]="Sub",1,N(tblAct_RO[[#This Row],[% de Avance Total Actual]]))&lt;1,tblAct_RO[[#This Row],[Observaciones]]=""),"Vencida sin observación"&amp;" · ",""))-3)))</calculatedColumnFormula>
    </tableColumn>
    <tableColumn id="19" name="Mes">
      <calculatedColumnFormula>IF(NOT((COUNTA(tblAct_RO[[#This Row],[Tipo]:[Delegar a]])+COUNTA(tblAct_RO[[#This Row],[Fecha de cumplimiento]:[Peso / % de la subactividad]])+COUNTA(tblAct_RO[[#This Row],[Observaciones]]))&gt;0),"",IF(AND(tblAct_RO[[#This Row],[Tipo (aux)]]="Sub",N(tblAct_RO[[#This Row],[Grupo (aux)]])&gt;0),IF(ISNUMBER(INDEX($AR$5:$AR$1000,tblAct_RO[[#This Row],[Grupo (aux)]]-4)),DATE(YEAR(INDEX($AR$5:$AR$1000,tblAct_RO[[#This Row],[Grupo (aux)]]-4)),MONTH(INDEX($AR$5:$AR$1000,tblAct_RO[[#This Row],[Grupo (aux)]]-4)),1),IF(ISNUMBER(INDEX($AS$5:$AS$1000,tblAct_RO[[#This Row],[Grupo (aux)]]-4)),DATE(YEAR(INDEX($AS$5:$AS$1000,tblAct_RO[[#This Row],[Grupo (aux)]]-4)),MONTH(INDEX($AS$5:$AS$1000,tblAct_RO[[#This Row],[Grupo (aux)]]-4)),1),MesCiclo)),IF(ISNUMBER(tblAct_RO[[#This Row],[Inicio efectivo (aux)]]),DATE(YEAR(tblAct_RO[[#This Row],[Inicio efectivo (aux)]]),MONTH(tblAct_RO[[#This Row],[Inicio efectivo (aux)]]),1),IF(ISNUMBER(tblAct_RO[[#This Row],[Límite efectivo (aux)]]),DATE(YEAR(tblAct_RO[[#This Row],[Límite efectivo (aux)]]),MONTH(tblAct_RO[[#This Row],[Límite efectivo (aux)]]),1),MesCiclo))))</calculatedColumnFormula>
    </tableColumn>
    <tableColumn id="20" name="Orden en el mes (aux)">
      <calculatedColumnFormula>IF(OR(tblAct_RO[[#This Row],[Mes]]="",tblAct_RO[[#This Row],[Mes]]&lt;&gt;MesCiclo,tblAct_RO[[#This Row],[Tipo (aux)]]&lt;&gt;"Macro"),"",COUNTIFS(INDEX(tblAct_RO[Mes],1):tblAct_RO[[#This Row],[Mes]],MesCiclo,INDEX(tblAct_RO[Tipo (aux)],1):tblAct_RO[[#This Row],[Tipo (aux)]],"Macro"))</calculatedColumnFormula>
    </tableColumn>
    <tableColumn id="21" name="Grupo (aux)">
      <calculatedColumnFormula>IF(tblAct_RO[[#This Row],[Tipo (aux)]]="","",IF(tblAct_RO[[#This Row],[Tipo (aux)]]="Macro",ROW(),IFERROR(LOOKUP(2,1/(INDEX(tblAct_RO[Tipo (aux)],1):tblAct_RO[[#This Row],[Tipo (aux)]]="Macro"),ROW(INDEX(tblAct_RO[Tipo (aux)],1):tblAct_RO[[#This Row],[Tipo (aux)]])),0)))</calculatedColumnFormula>
    </tableColumn>
    <tableColumn id="22" name="Tipo (aux)">
      <calculatedColumnFormula>IF(NOT((COUNTA(tblAct_RO[[#This Row],[Tipo]:[Delegar a]])+COUNTA(tblAct_RO[[#This Row],[Fecha de cumplimiento]:[Peso / % de la subactividad]])+COUNTA(tblAct_RO[[#This Row],[Observaciones]]))&gt;0),"",IF(tblAct_RO[[#This Row],[Tipo]]="Subactividad","Sub","Macro"))</calculatedColumnFormula>
    </tableColumn>
    <tableColumn id="23" name="N subactividades (aux)">
      <calculatedColumnFormula>IF(tblAct_RO[[#This Row],[Tipo (aux)]]="Macro",COUNTIFS($U$5:$U$1000,ROW(),$V$5:$V$1000,"Sub"),"")</calculatedColumnFormula>
    </tableColumn>
    <tableColumn id="24" name="% efectivo de la subactividad (aux)">
      <calculatedColumnFormula>IF(tblAct_RO[[#This Row],[Tipo (aux)]]&lt;&gt;"Sub","",IF(AND(ISNUMBER(tblAct_RO[[#This Row],[Peso / % de la subactividad]]),N(tblAct_RO[[#This Row],[Peso / % de la subactividad]])&gt;0),tblAct_RO[[#This Row],[Peso / % de la subactividad]],IFERROR(MAX(0,1-SUMIFS($H$5:$H$1000,$U$5:$U$1000,tblAct_RO[[#This Row],[Grupo (aux)]],$V$5:$V$1000,"Sub"))/(COUNTIFS($U$5:$U$1000,tblAct_RO[[#This Row],[Grupo (aux)]],$V$5:$V$1000,"Sub")-COUNTIFS($U$5:$U$1000,tblAct_RO[[#This Row],[Grupo (aux)]],$V$5:$V$1000,"Sub",$H$5:$H$1000,"&gt;0")),0)))</calculatedColumnFormula>
    </tableColumn>
    <tableColumn id="25" name="Avance propio (aux)">
      <calculatedColumnFormula>IF(tblAct_RO[[#This Row],[Tipo (aux)]]="","",IF(tblAct_RO[[#This Row],[Tipo (aux)]]="Sub",N(tblAct_RO[[#This Row],[% efectivo de la subactividad (aux)]])*IF(ISNUMBER(tblAct_RO[[#This Row],[Fecha de cumplimiento]]),1,MIN(1,MAX(0,IFERROR(LOOKUP(2,1/ISNUMBER(tblAct_RO[[#This Row],[Avance Semana 1 (%)]:[Avance Semana 4 (%)]]),tblAct_RO[[#This Row],[Avance Semana 1 (%)]:[Avance Semana 4 (%)]]),0)))),IF(ISNUMBER(tblAct_RO[[#This Row],[Fecha de cumplimiento]]),1,IFERROR(LOOKUP(2,1/(tblAct_RO[[#This Row],[Avance Semana 1 (%)]:[Avance Semana 4 (%)]]&lt;&gt;""),tblAct_RO[[#This Row],[Avance Semana 1 (%)]:[Avance Semana 4 (%)]]),0))))</calculatedColumnFormula>
    </tableColumn>
    <tableColumn id="26" name="Propio S1 (aux)">
      <calculatedColumnFormula>IF(tblAct_RO[[#This Row],[Tipo (aux)]]="","",IF(AND(ISNUMBER(tblAct_RO[[#This Row],[Fecha de cumplimiento]]),tblAct_RO[[#This Row],[Fecha de cumplimiento]]&lt;=IF(tblAct_RO[[#This Row],[Mes]]=MesCiclo,InicioCiclo,tblAct_RO[[#This Row],[Mes]]+MOD(2-WEEKDAY(tblAct_RO[[#This Row],[Mes]]),7))+6),1,IF(ISNUMBER(tblAct_RO[[#This Row],[Avance Semana 1 (%)]]),tblAct_RO[[#This Row],[Avance Semana 1 (%)]],0)))</calculatedColumnFormula>
    </tableColumn>
    <tableColumn id="27" name="Propio S2 (aux)">
      <calculatedColumnFormula>IF(tblAct_RO[[#This Row],[Tipo (aux)]]="","",IF(AND(ISNUMBER(tblAct_RO[[#This Row],[Fecha de cumplimiento]]),tblAct_RO[[#This Row],[Fecha de cumplimiento]]&lt;=IF(tblAct_RO[[#This Row],[Mes]]=MesCiclo,InicioCiclo,tblAct_RO[[#This Row],[Mes]]+MOD(2-WEEKDAY(tblAct_RO[[#This Row],[Mes]]),7))+13),1,IF(ISNUMBER(tblAct_RO[[#This Row],[Avance Semana 2 (%)]]),tblAct_RO[[#This Row],[Avance Semana 2 (%)]],tblAct_RO[[#This Row],[Propio S1 (aux)]])))</calculatedColumnFormula>
    </tableColumn>
    <tableColumn id="28" name="Propio S3 (aux)">
      <calculatedColumnFormula>IF(tblAct_RO[[#This Row],[Tipo (aux)]]="","",IF(AND(ISNUMBER(tblAct_RO[[#This Row],[Fecha de cumplimiento]]),tblAct_RO[[#This Row],[Fecha de cumplimiento]]&lt;=IF(tblAct_RO[[#This Row],[Mes]]=MesCiclo,InicioCiclo,tblAct_RO[[#This Row],[Mes]]+MOD(2-WEEKDAY(tblAct_RO[[#This Row],[Mes]]),7))+20),1,IF(ISNUMBER(tblAct_RO[[#This Row],[Avance Semana 3 (%)]]),tblAct_RO[[#This Row],[Avance Semana 3 (%)]],tblAct_RO[[#This Row],[Propio S2 (aux)]])))</calculatedColumnFormula>
    </tableColumn>
    <tableColumn id="29" name="Propio S4 (aux)">
      <calculatedColumnFormula>IF(tblAct_RO[[#This Row],[Tipo (aux)]]="","",IF(AND(ISNUMBER(tblAct_RO[[#This Row],[Fecha de cumplimiento]]),tblAct_RO[[#This Row],[Fecha de cumplimiento]]&lt;=IF(tblAct_RO[[#This Row],[Mes]]=MesCiclo,InicioCiclo,tblAct_RO[[#This Row],[Mes]]+MOD(2-WEEKDAY(tblAct_RO[[#This Row],[Mes]]),7))+27),1,IF(ISNUMBER(tblAct_RO[[#This Row],[Avance Semana 4 (%)]]),tblAct_RO[[#This Row],[Avance Semana 4 (%)]],tblAct_RO[[#This Row],[Propio S3 (aux)]])))</calculatedColumnFormula>
    </tableColumn>
    <tableColumn id="30" name="Sub cumplida S1 (aux)">
      <calculatedColumnFormula>IF(tblAct_RO[[#This Row],[Tipo (aux)]]&lt;&gt;"Sub","",N(tblAct_RO[[#This Row],[% efectivo de la subactividad (aux)]])*IF(AND(ISNUMBER(tblAct_RO[[#This Row],[Fecha de cumplimiento]]),tblAct_RO[[#This Row],[Fecha de cumplimiento]]&lt;=IF(tblAct_RO[[#This Row],[Mes]]=MesCiclo,InicioCiclo,tblAct_RO[[#This Row],[Mes]]+MOD(2-WEEKDAY(tblAct_RO[[#This Row],[Mes]]),7))+6),1,MIN(1,MAX(0,IF(ISNUMBER(OFFSET($A$1,ROW()-1,8)),OFFSET($A$1,ROW()-1,8),0)))))</calculatedColumnFormula>
    </tableColumn>
    <tableColumn id="31" name="Sub cumplida S2 (aux)">
      <calculatedColumnFormula>IF(tblAct_RO[[#This Row],[Tipo (aux)]]&lt;&gt;"Sub","",N(tblAct_RO[[#This Row],[% efectivo de la subactividad (aux)]])*IF(AND(ISNUMBER(tblAct_RO[[#This Row],[Fecha de cumplimiento]]),tblAct_RO[[#This Row],[Fecha de cumplimiento]]&lt;=IF(tblAct_RO[[#This Row],[Mes]]=MesCiclo,InicioCiclo,tblAct_RO[[#This Row],[Mes]]+MOD(2-WEEKDAY(tblAct_RO[[#This Row],[Mes]]),7))+13),1,MIN(1,MAX(0,IF(ISNUMBER(OFFSET($A$1,ROW()-1,9)),OFFSET($A$1,ROW()-1,9),IF(ISNUMBER(OFFSET($A$1,ROW()-1,8)),OFFSET($A$1,ROW()-1,8),0))))))</calculatedColumnFormula>
    </tableColumn>
    <tableColumn id="32" name="Sub cumplida S3 (aux)">
      <calculatedColumnFormula>IF(tblAct_RO[[#This Row],[Tipo (aux)]]&lt;&gt;"Sub","",N(tblAct_RO[[#This Row],[% efectivo de la subactividad (aux)]])*IF(AND(ISNUMBER(tblAct_RO[[#This Row],[Fecha de cumplimiento]]),tblAct_RO[[#This Row],[Fecha de cumplimiento]]&lt;=IF(tblAct_RO[[#This Row],[Mes]]=MesCiclo,InicioCiclo,tblAct_RO[[#This Row],[Mes]]+MOD(2-WEEKDAY(tblAct_RO[[#This Row],[Mes]]),7))+20),1,MIN(1,MAX(0,IF(ISNUMBER(OFFSET($A$1,ROW()-1,10)),OFFSET($A$1,ROW()-1,10),IF(ISNUMBER(OFFSET($A$1,ROW()-1,9)),OFFSET($A$1,ROW()-1,9),IF(ISNUMBER(OFFSET($A$1,ROW()-1,8)),OFFSET($A$1,ROW()-1,8),0)))))))</calculatedColumnFormula>
    </tableColumn>
    <tableColumn id="33" name="Sub cumplida S4 (aux)">
      <calculatedColumnFormula>IF(tblAct_RO[[#This Row],[Tipo (aux)]]&lt;&gt;"Sub","",N(tblAct_RO[[#This Row],[% efectivo de la subactividad (aux)]])*IF(AND(ISNUMBER(tblAct_RO[[#This Row],[Fecha de cumplimiento]]),tblAct_RO[[#This Row],[Fecha de cumplimiento]]&lt;=IF(tblAct_RO[[#This Row],[Mes]]=MesCiclo,InicioCiclo,tblAct_RO[[#This Row],[Mes]]+MOD(2-WEEKDAY(tblAct_RO[[#This Row],[Mes]]),7))+27),1,MIN(1,MAX(0,IF(ISNUMBER(OFFSET($A$1,ROW()-1,11)),OFFSET($A$1,ROW()-1,11),IF(ISNUMBER(OFFSET($A$1,ROW()-1,10)),OFFSET($A$1,ROW()-1,10),IF(ISNUMBER(OFFSET($A$1,ROW()-1,9)),OFFSET($A$1,ROW()-1,9),IF(ISNUMBER(OFFSET($A$1,ROW()-1,8)),OFFSET($A$1,ROW()-1,8),0))))))))</calculatedColumnFormula>
    </tableColumn>
    <tableColumn id="34" name="Efectivo S1 (aux)">
      <calculatedColumnFormula>IF(tblAct_RO[[#This Row],[Tipo (aux)]]="","",IF(AND(ISNUMBER(tblAct_RO[[#This Row],[Fecha de cumplimiento]]),tblAct_RO[[#This Row],[Fecha de cumplimiento]]&lt;=IF(tblAct_RO[[#This Row],[Mes]]=MesCiclo,InicioCiclo,tblAct_RO[[#This Row],[Mes]]+MOD(2-WEEKDAY(tblAct_RO[[#This Row],[Mes]]),7))+6),1,IF(N(tblAct_RO[[#This Row],[N subactividades (aux)]])&gt;0,MIN(1,SUMIFS($AD$5:$AD$1000,$U$5:$U$1000,ROW(),$V$5:$V$1000,"Sub")),tblAct_RO[[#This Row],[Propio S1 (aux)]])))</calculatedColumnFormula>
    </tableColumn>
    <tableColumn id="35" name="Efectivo S2 (aux)">
      <calculatedColumnFormula>IF(tblAct_RO[[#This Row],[Tipo (aux)]]="","",IF(AND(ISNUMBER(tblAct_RO[[#This Row],[Fecha de cumplimiento]]),tblAct_RO[[#This Row],[Fecha de cumplimiento]]&lt;=IF(tblAct_RO[[#This Row],[Mes]]=MesCiclo,InicioCiclo,tblAct_RO[[#This Row],[Mes]]+MOD(2-WEEKDAY(tblAct_RO[[#This Row],[Mes]]),7))+13),1,IF(N(tblAct_RO[[#This Row],[N subactividades (aux)]])&gt;0,MIN(1,SUMIFS($AE$5:$AE$1000,$U$5:$U$1000,ROW(),$V$5:$V$1000,"Sub")),tblAct_RO[[#This Row],[Propio S2 (aux)]])))</calculatedColumnFormula>
    </tableColumn>
    <tableColumn id="36" name="Efectivo S3 (aux)">
      <calculatedColumnFormula>IF(tblAct_RO[[#This Row],[Tipo (aux)]]="","",IF(AND(ISNUMBER(tblAct_RO[[#This Row],[Fecha de cumplimiento]]),tblAct_RO[[#This Row],[Fecha de cumplimiento]]&lt;=IF(tblAct_RO[[#This Row],[Mes]]=MesCiclo,InicioCiclo,tblAct_RO[[#This Row],[Mes]]+MOD(2-WEEKDAY(tblAct_RO[[#This Row],[Mes]]),7))+20),1,IF(N(tblAct_RO[[#This Row],[N subactividades (aux)]])&gt;0,MIN(1,SUMIFS($AF$5:$AF$1000,$U$5:$U$1000,ROW(),$V$5:$V$1000,"Sub")),tblAct_RO[[#This Row],[Propio S3 (aux)]])))</calculatedColumnFormula>
    </tableColumn>
    <tableColumn id="37" name="Efectivo S4 (aux)">
      <calculatedColumnFormula>IF(tblAct_RO[[#This Row],[Tipo (aux)]]="","",IF(AND(ISNUMBER(tblAct_RO[[#This Row],[Fecha de cumplimiento]]),tblAct_RO[[#This Row],[Fecha de cumplimiento]]&lt;=IF(tblAct_RO[[#This Row],[Mes]]=MesCiclo,InicioCiclo,tblAct_RO[[#This Row],[Mes]]+MOD(2-WEEKDAY(tblAct_RO[[#This Row],[Mes]]),7))+27),1,IF(N(tblAct_RO[[#This Row],[N subactividades (aux)]])&gt;0,MIN(1,SUMIFS($AG$5:$AG$1000,$U$5:$U$1000,ROW(),$V$5:$V$1000,"Sub")),tblAct_RO[[#This Row],[Propio S4 (aux)]])))</calculatedColumnFormula>
    </tableColumn>
    <tableColumn id="38" name="Peso efectivo (aux)">
      <calculatedColumnFormula>IF(tblAct_RO[[#This Row],[Tipo (aux)]]&lt;&gt;"Macro","",IF(COUNTIFS($S$5:$S$1000,tblAct_RO[[#This Row],[Mes]],$V$5:$V$1000,"Macro",$H$5:$H$1000,"&gt;0")=0,1/COUNTIFS($S$5:$S$1000,tblAct_RO[[#This Row],[Mes]],$V$5:$V$1000,"Macro"),IF(AND(ISNUMBER(tblAct_RO[[#This Row],[Peso / % de la subactividad]]),N(tblAct_RO[[#This Row],[Peso / % de la subactividad]])&gt;0),tblAct_RO[[#This Row],[Peso / % de la subactividad]],SUMIFS($H$5:$H$1000,$S$5:$S$1000,tblAct_RO[[#This Row],[Mes]],$V$5:$V$1000,"Macro")/COUNTIFS($S$5:$S$1000,tblAct_RO[[#This Row],[Mes]],$V$5:$V$1000,"Macro",$H$5:$H$1000,"&gt;0"))/(COUNTIFS($S$5:$S$1000,tblAct_RO[[#This Row],[Mes]],$V$5:$V$1000,"Macro")*SUMIFS($H$5:$H$1000,$S$5:$S$1000,tblAct_RO[[#This Row],[Mes]],$V$5:$V$1000,"Macro")/COUNTIFS($S$5:$S$1000,tblAct_RO[[#This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IF(LEFT(tblAct_RO[[#This Row],[Actividad]],11)="[Jefatura] ",IFERROR(MATCH("Riesgo Operacional|"&amp;MID(tblAct_RO[[#This Row],[Actividad]],12,500),rDname_ADM,0),0),"")</calculatedColumnFormula>
    </tableColumn>
    <tableColumn id="44" name="Inicio efectivo (aux)">
      <calculatedColumnFormula>IF(N(tblAct_RO[[#This Row],[Fila en Administración (aux)]])&gt;0,INDEX(rIni_ADM,tblAct_RO[[#This Row],[Fila en Administración (aux)]]),IF(ISNUMBER(tblAct_RO[[#This Row],[Fecha de inicio]]),tblAct_RO[[#This Row],[Fecha de inicio]],""))</calculatedColumnFormula>
    </tableColumn>
    <tableColumn id="45" name="Límite efectivo (aux)">
      <calculatedColumnFormula>IF(N(tblAct_RO[[#This Row],[Fila en Administración (aux)]])&gt;0,INDEX(rLim_ADM,tblAct_RO[[#This Row],[Fila en Administración (aux)]]),IF(ISNUMBER(tblAct_RO[[#This Row],[Fecha límite]]),tblAct_RO[[#This Row],[Fecha límite]],""))</calculatedColumnFormula>
    </tableColumn>
  </tableColumns>
  <tableStyleInfo name="TableStyleLight1" showRowStripes="0"/>
</table>
</file>

<file path=xl/tables/table3.xml><?xml version="1.0" encoding="utf-8"?>
<table xmlns="http://schemas.openxmlformats.org/spreadsheetml/2006/main" id="3" name="tblSem_RO" displayName="tblSem_RO"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ables/table4.xml><?xml version="1.0" encoding="utf-8"?>
<table xmlns="http://schemas.openxmlformats.org/spreadsheetml/2006/main" id="4" name="tblAct_RN" displayName="tblAct_RN" ref="A4:AS304" headerRowCount="1">
  <autoFilter ref="A4:AS304"/>
  <tableColumns count="45">
    <tableColumn id="1" name="N°">
      <calculatedColumnFormula>IF(NOT((COUNTA(tblAct_RN[[#This Row],[Tipo]:[Delegar a]])+COUNTA(tblAct_RN[[#This Row],[Fecha de cumplimiento]:[Peso / % de la subactividad]])+COUNTA(tblAct_RN[[#This Row],[Observaciones]]))&gt;0),"",IF(tblAct_RN[[#This Row],[Tipo (aux)]]="Macro",COUNTIFS(INDEX(tblAct_RN[Tipo (aux)],1):tblAct_RN[[#This Row],[Tipo (aux)]],"Macro",INDEX(tblAct_RN[Mes],1):tblAct_RN[[#This Row],[Mes]],tblAct_RN[[#This Row],[Mes]]),IF(N(tblAct_RN[[#This Row],[Grupo (aux)]])=0,"?",COUNTIFS(INDEX($V$5:$V$1000,1):INDEX($V$5:$V$1000,tblAct_RN[[#This Row],[Grupo (aux)]]-4),"Macro",INDEX($S$5:$S$1000,1):INDEX($S$5:$S$1000,tblAct_RN[[#This Row],[Grupo (aux)]]-4),INDEX($S$5:$S$1000,tblAct_RN[[#This Row],[Grupo (aux)]]-4))&amp;"."&amp;COUNTIFS(INDEX(tblAct_RN[Grupo (aux)],1):tblAct_RN[[#This Row],[Grupo (aux)]],tblAct_RN[[#This Row],[Grupo (aux)]],INDEX(tblAct_RN[Tipo (aux)],1):tblAct_RN[[#This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IF(OR(NOT((COUNTA(tblAct_RN[[#This Row],[Tipo]:[Delegar a]])+COUNTA(tblAct_RN[[#This Row],[Fecha de cumplimiento]:[Peso / % de la subactividad]])+COUNTA(tblAct_RN[[#This Row],[Observaciones]]))&gt;0),tblAct_RN[[#This Row],[Tipo (aux)]]="Sub"),"",IF(ISNUMBER(tblAct_RN[[#This Row],[Fecha de cumplimiento]]),1,IF(N(tblAct_RN[[#This Row],[N subactividades (aux)]])&gt;0,MIN(1,SUMIFS($Y$5:$Y$1000,$U$5:$U$1000,ROW(),$V$5:$V$1000,"Sub")),tblAct_RN[[#This Row],[Avance propio (aux)]])))</calculatedColumnFormula>
    </tableColumn>
    <tableColumn id="14" name="Estado">
      <calculatedColumnFormula>IF(OR(tblAct_RN[[#This Row],[% de Avance Total Actual]]="",tblAct_RN[[#This Row],[Tipo (aux)]]="Sub"),"",IF(tblAct_RN[[#This Row],[% de Avance Total Actual]]&gt;=1,"Completado",IF(tblAct_RN[[#This Row],[% de Avance Total Actual]]&gt;0,"En curso","Pendiente")))</calculatedColumnFormula>
    </tableColumn>
    <tableColumn id="15" name="Alerta de plazo">
      <calculatedColumnFormula>IF(OR(NOT((COUNTA(tblAct_RN[[#This Row],[Tipo]:[Delegar a]])+COUNTA(tblAct_RN[[#This Row],[Fecha de cumplimiento]:[Peso / % de la subactividad]])+COUNTA(tblAct_RN[[#This Row],[Observaciones]]))&gt;0),tblAct_RN[[#This Row],[Tipo (aux)]]="Sub"),"",IF(ISNUMBER(tblAct_RN[[#This Row],[Fecha de cumplimiento]]),IF(AND(ISNUMBER(tblAct_RN[[#This Row],[Límite efectivo (aux)]]),tblAct_RN[[#This Row],[Fecha de cumplimiento]]&gt;tblAct_RN[[#This Row],[Límite efectivo (aux)]]),"Cumplida con "&amp;(tblAct_RN[[#This Row],[Fecha de cumplimiento]]-tblAct_RN[[#This Row],[Límite efectivo (aux)]])&amp;IF(tblAct_RN[[#This Row],[Fecha de cumplimiento]]-tblAct_RN[[#This Row],[Límite efectivo (aux)]]=1," día"," días")&amp;" de retraso","Cumplida"),IF(N(tblAct_RN[[#This Row],[% de Avance Total Actual]])&gt;=1,"Cumplida",IF(NOT(ISNUMBER(tblAct_RN[[#This Row],[Límite efectivo (aux)]])),"Sin fecha límite",IF(tblAct_RN[[#This Row],[Límite efectivo (aux)]]&lt;FechaRef,"Vencida hace "&amp;(FechaRef-tblAct_RN[[#This Row],[Límite efectivo (aux)]])&amp;IF(FechaRef-tblAct_RN[[#This Row],[Límite efectivo (aux)]]=1," día"," días"),IF(tblAct_RN[[#This Row],[Límite efectivo (aux)]]=FechaRef,"Vence hoy",IF(tblAct_RN[[#This Row],[Límite efectivo (aux)]]-FechaRef&lt;=DiasAlerta,"Vence en "&amp;(tblAct_RN[[#This Row],[Límite efectivo (aux)]]-FechaRef)&amp;IF(tblAct_RN[[#This Row],[Límite efectivo (aux)]]-FechaRef=1," día"," días"),"En plazo")))))))</calculatedColumnFormula>
    </tableColumn>
    <tableColumn id="16" name="Seguimiento de la delegación"/>
    <tableColumn id="17" name="Observaciones"/>
    <tableColumn id="18" name="Revisión automática (alertas)">
      <calculatedColumnFormula>IF(NOT((COUNTA(tblAct_RN[[#This Row],[Tipo]:[Delegar a]])+COUNTA(tblAct_RN[[#This Row],[Fecha de cumplimiento]:[Peso / % de la subactividad]])+COUNTA(tblAct_RN[[#This Row],[Observaciones]]))&gt;0),"",IF((IF(tblAct_RN[[#This Row],[Actividad]]="","Falta el nombre de la actividad"&amp;" · ","")&amp;IF(AND(tblAct_RN[[#This Row],[Tipo (aux)]]="Sub",N(tblAct_RN[[#This Row],[Grupo (aux)]])=0),"Subactividad sin macroactividad arriba"&amp;" · ","")&amp;IF(AND(tblAct_RN[[#This Row],[Tipo (aux)]]="Macro",tblAct_RN[[#This Row],[Inicio efectivo (aux)]]=""),"Sin fecha de inicio"&amp;" · ","")&amp;IF(AND(tblAct_RN[[#This Row],[Tipo (aux)]]="Macro",tblAct_RN[[#This Row],[Límite efectivo (aux)]]=""),"Sin fecha límite"&amp;" · ","")&amp;IF(AND(LEFT(tblAct_RN[[#This Row],[Actividad]],11)="[Jefatura] ",N(tblAct_RN[[#This Row],[Fila en Administración (aux)]])=0),"No se encuentra en la hoja de la jefatura (elíjala de nuevo en la lista)"&amp;" · ","")&amp;IF(OR(AND(tblAct_RN[[#This Row],[Fecha de inicio]]&lt;&gt;"",NOT(ISNUMBER(tblAct_RN[[#This Row],[Fecha de inicio]]))),AND(tblAct_RN[[#This Row],[Fecha límite]]&lt;&gt;"",NOT(ISNUMBER(tblAct_RN[[#This Row],[Fecha límite]]))),AND(tblAct_RN[[#This Row],[Fecha de cumplimiento]]&lt;&gt;"",NOT(ISNUMBER(tblAct_RN[[#This Row],[Fecha de cumplimiento]])))),"Fecha no válida"&amp;" · ","")&amp;IF(AND(ISNUMBER(tblAct_RN[[#This Row],[Inicio efectivo (aux)]]),ISNUMBER(tblAct_RN[[#This Row],[Límite efectivo (aux)]]),tblAct_RN[[#This Row],[Inicio efectivo (aux)]]&gt;tblAct_RN[[#This Row],[Límite efectivo (aux)]]),"Inicio posterior a fecha límite"&amp;" · ","")&amp;IF(AND(tblAct_RN[[#This Row],[Tipo (aux)]]="Macro",tblAct_RN[[#This Row],[Peso / % de la subactividad]]&lt;&gt;"",OR(NOT(ISNUMBER(tblAct_RN[[#This Row],[Peso / % de la subactividad]])),tblAct_RN[[#This Row],[Peso / % de la subactividad]]&lt;0,tblAct_RN[[#This Row],[Peso / % de la subactividad]]&gt;1)),"Peso fuera de rango"&amp;" · ","")&amp;IF(AND(tblAct_RN[[#This Row],[Tipo (aux)]]="Sub",tblAct_RN[[#This Row],[Peso / % de la subactividad]]&lt;&gt;"",OR(NOT(ISNUMBER(tblAct_RN[[#This Row],[Peso / % de la subactividad]])),tblAct_RN[[#This Row],[Peso / % de la subactividad]]&lt;0,tblAct_RN[[#This Row],[Peso / % de la subactividad]]&gt;1)),"% de la subactividad fuera de rango 0-100%"&amp;" · ","")&amp;IF(AND(N(tblAct_RN[[#This Row],[N subactividades (aux)]])&gt;0,SUMIFS($H$5:$H$1000,$U$5:$U$1000,ROW(),$V$5:$V$1000,"Sub")&gt;1.0001),"Las subactividades suman más de 100%"&amp;" · ","")&amp;IF(AND(N(tblAct_RN[[#This Row],[N subactividades (aux)]])&gt;0,OR(IF(ISNUMBER(tblAct_RN[[#This Row],[Avance Semana 1 (%)]]),ROUND(tblAct_RN[[#This Row],[Avance Semana 1 (%)]],6)&lt;&gt;ROUND(MIN(1,SUMIFS($AD$5:$AD$1000,$U$5:$U$1000,ROW(),$V$5:$V$1000,"Sub")),6),FALSE),IF(ISNUMBER(tblAct_RN[[#This Row],[Avance Semana 2 (%)]]),ROUND(tblAct_RN[[#This Row],[Avance Semana 2 (%)]],6)&lt;&gt;ROUND(MIN(1,SUMIFS($AE$5:$AE$1000,$U$5:$U$1000,ROW(),$V$5:$V$1000,"Sub")),6),FALSE),IF(ISNUMBER(tblAct_RN[[#This Row],[Avance Semana 3 (%)]]),ROUND(tblAct_RN[[#This Row],[Avance Semana 3 (%)]],6)&lt;&gt;ROUND(MIN(1,SUMIFS($AF$5:$AF$1000,$U$5:$U$1000,ROW(),$V$5:$V$1000,"Sub")),6),FALSE),IF(ISNUMBER(tblAct_RN[[#This Row],[Avance Semana 4 (%)]]),ROUND(tblAct_RN[[#This Row],[Avance Semana 4 (%)]],6)&lt;&gt;ROUND(MIN(1,SUMIFS($AG$5:$AG$1000,$U$5:$U$1000,ROW(),$V$5:$V$1000,"Sub")),6),FALSE))),"Con subactividades: no escriba en las semanas (se llenan solas)"&amp;" · ","")&amp;IF((COUNTIF(tblAct_RN[[#This Row],[Avance Semana 1 (%)]:[Avance Semana 4 (%)]],"&gt;1")+COUNTIF(tblAct_RN[[#This Row],[Avance Semana 1 (%)]:[Avance Semana 4 (%)]],"&lt;0")+SUMPRODUCT((LEN(tblAct_RN[[#This Row],[Avance Semana 1 (%)]:[Avance Semana 4 (%)]])&gt;0)*NOT(ISNUMBER(tblAct_RN[[#This Row],[Avance Semana 1 (%)]:[Avance Semana 4 (%)]]))))&gt;0,"Avance fuera de rango 0-100%"&amp;" · ","")&amp;IF(OR(AND(ISNUMBER(tblAct_RN[[#This Row],[Avance Semana 2 (%)]]),tblAct_RN[[#This Row],[Avance Semana 2 (%)]]&lt;N(tblAct_RN[[#This Row],[Avance Semana 1 (%)]])),AND(ISNUMBER(tblAct_RN[[#This Row],[Avance Semana 3 (%)]]),tblAct_RN[[#This Row],[Avance Semana 3 (%)]]&lt;MAX(tblAct_RN[[#This Row],[Avance Semana 1 (%)]:[Avance Semana 2 (%)]])),AND(ISNUMBER(tblAct_RN[[#This Row],[Avance Semana 4 (%)]]),tblAct_RN[[#This Row],[Avance Semana 4 (%)]]&lt;MAX(tblAct_RN[[#This Row],[Avance Semana 1 (%)]:[Avance Semana 3 (%)]]))),"Avance semanal decreciente"&amp;" · ","")&amp;IF(AND(ISNUMBER(tblAct_RN[[#This Row],[Límite efectivo (aux)]]),tblAct_RN[[#This Row],[Límite efectivo (aux)]]&lt;FechaRef,IF(tblAct_RN[[#This Row],[Tipo (aux)]]="Sub",1,N(tblAct_RN[[#This Row],[% de Avance Total Actual]]))&lt;1),"Vencida"&amp;" · ","")&amp;IF(AND(ObsObligatoria="Sí",ISNUMBER(tblAct_RN[[#This Row],[Límite efectivo (aux)]]),tblAct_RN[[#This Row],[Límite efectivo (aux)]]&lt;FechaRef,IF(tblAct_RN[[#This Row],[Tipo (aux)]]="Sub",1,N(tblAct_RN[[#This Row],[% de Avance Total Actual]]))&lt;1,tblAct_RN[[#This Row],[Observaciones]]=""),"Vencida sin observación"&amp;" · ",""))="","✔ OK","⚠ "&amp;LEFT(IF(tblAct_RN[[#This Row],[Actividad]]="","Falta el nombre de la actividad"&amp;" · ","")&amp;IF(AND(tblAct_RN[[#This Row],[Tipo (aux)]]="Sub",N(tblAct_RN[[#This Row],[Grupo (aux)]])=0),"Subactividad sin macroactividad arriba"&amp;" · ","")&amp;IF(AND(tblAct_RN[[#This Row],[Tipo (aux)]]="Macro",tblAct_RN[[#This Row],[Inicio efectivo (aux)]]=""),"Sin fecha de inicio"&amp;" · ","")&amp;IF(AND(tblAct_RN[[#This Row],[Tipo (aux)]]="Macro",tblAct_RN[[#This Row],[Límite efectivo (aux)]]=""),"Sin fecha límite"&amp;" · ","")&amp;IF(AND(LEFT(tblAct_RN[[#This Row],[Actividad]],11)="[Jefatura] ",N(tblAct_RN[[#This Row],[Fila en Administración (aux)]])=0),"No se encuentra en la hoja de la jefatura (elíjala de nuevo en la lista)"&amp;" · ","")&amp;IF(OR(AND(tblAct_RN[[#This Row],[Fecha de inicio]]&lt;&gt;"",NOT(ISNUMBER(tblAct_RN[[#This Row],[Fecha de inicio]]))),AND(tblAct_RN[[#This Row],[Fecha límite]]&lt;&gt;"",NOT(ISNUMBER(tblAct_RN[[#This Row],[Fecha límite]]))),AND(tblAct_RN[[#This Row],[Fecha de cumplimiento]]&lt;&gt;"",NOT(ISNUMBER(tblAct_RN[[#This Row],[Fecha de cumplimiento]])))),"Fecha no válida"&amp;" · ","")&amp;IF(AND(ISNUMBER(tblAct_RN[[#This Row],[Inicio efectivo (aux)]]),ISNUMBER(tblAct_RN[[#This Row],[Límite efectivo (aux)]]),tblAct_RN[[#This Row],[Inicio efectivo (aux)]]&gt;tblAct_RN[[#This Row],[Límite efectivo (aux)]]),"Inicio posterior a fecha límite"&amp;" · ","")&amp;IF(AND(tblAct_RN[[#This Row],[Tipo (aux)]]="Macro",tblAct_RN[[#This Row],[Peso / % de la subactividad]]&lt;&gt;"",OR(NOT(ISNUMBER(tblAct_RN[[#This Row],[Peso / % de la subactividad]])),tblAct_RN[[#This Row],[Peso / % de la subactividad]]&lt;0,tblAct_RN[[#This Row],[Peso / % de la subactividad]]&gt;1)),"Peso fuera de rango"&amp;" · ","")&amp;IF(AND(tblAct_RN[[#This Row],[Tipo (aux)]]="Sub",tblAct_RN[[#This Row],[Peso / % de la subactividad]]&lt;&gt;"",OR(NOT(ISNUMBER(tblAct_RN[[#This Row],[Peso / % de la subactividad]])),tblAct_RN[[#This Row],[Peso / % de la subactividad]]&lt;0,tblAct_RN[[#This Row],[Peso / % de la subactividad]]&gt;1)),"% de la subactividad fuera de rango 0-100%"&amp;" · ","")&amp;IF(AND(N(tblAct_RN[[#This Row],[N subactividades (aux)]])&gt;0,SUMIFS($H$5:$H$1000,$U$5:$U$1000,ROW(),$V$5:$V$1000,"Sub")&gt;1.0001),"Las subactividades suman más de 100%"&amp;" · ","")&amp;IF(AND(N(tblAct_RN[[#This Row],[N subactividades (aux)]])&gt;0,OR(IF(ISNUMBER(tblAct_RN[[#This Row],[Avance Semana 1 (%)]]),ROUND(tblAct_RN[[#This Row],[Avance Semana 1 (%)]],6)&lt;&gt;ROUND(MIN(1,SUMIFS($AD$5:$AD$1000,$U$5:$U$1000,ROW(),$V$5:$V$1000,"Sub")),6),FALSE),IF(ISNUMBER(tblAct_RN[[#This Row],[Avance Semana 2 (%)]]),ROUND(tblAct_RN[[#This Row],[Avance Semana 2 (%)]],6)&lt;&gt;ROUND(MIN(1,SUMIFS($AE$5:$AE$1000,$U$5:$U$1000,ROW(),$V$5:$V$1000,"Sub")),6),FALSE),IF(ISNUMBER(tblAct_RN[[#This Row],[Avance Semana 3 (%)]]),ROUND(tblAct_RN[[#This Row],[Avance Semana 3 (%)]],6)&lt;&gt;ROUND(MIN(1,SUMIFS($AF$5:$AF$1000,$U$5:$U$1000,ROW(),$V$5:$V$1000,"Sub")),6),FALSE),IF(ISNUMBER(tblAct_RN[[#This Row],[Avance Semana 4 (%)]]),ROUND(tblAct_RN[[#This Row],[Avance Semana 4 (%)]],6)&lt;&gt;ROUND(MIN(1,SUMIFS($AG$5:$AG$1000,$U$5:$U$1000,ROW(),$V$5:$V$1000,"Sub")),6),FALSE))),"Con subactividades: no escriba en las semanas (se llenan solas)"&amp;" · ","")&amp;IF((COUNTIF(tblAct_RN[[#This Row],[Avance Semana 1 (%)]:[Avance Semana 4 (%)]],"&gt;1")+COUNTIF(tblAct_RN[[#This Row],[Avance Semana 1 (%)]:[Avance Semana 4 (%)]],"&lt;0")+SUMPRODUCT((LEN(tblAct_RN[[#This Row],[Avance Semana 1 (%)]:[Avance Semana 4 (%)]])&gt;0)*NOT(ISNUMBER(tblAct_RN[[#This Row],[Avance Semana 1 (%)]:[Avance Semana 4 (%)]]))))&gt;0,"Avance fuera de rango 0-100%"&amp;" · ","")&amp;IF(OR(AND(ISNUMBER(tblAct_RN[[#This Row],[Avance Semana 2 (%)]]),tblAct_RN[[#This Row],[Avance Semana 2 (%)]]&lt;N(tblAct_RN[[#This Row],[Avance Semana 1 (%)]])),AND(ISNUMBER(tblAct_RN[[#This Row],[Avance Semana 3 (%)]]),tblAct_RN[[#This Row],[Avance Semana 3 (%)]]&lt;MAX(tblAct_RN[[#This Row],[Avance Semana 1 (%)]:[Avance Semana 2 (%)]])),AND(ISNUMBER(tblAct_RN[[#This Row],[Avance Semana 4 (%)]]),tblAct_RN[[#This Row],[Avance Semana 4 (%)]]&lt;MAX(tblAct_RN[[#This Row],[Avance Semana 1 (%)]:[Avance Semana 3 (%)]]))),"Avance semanal decreciente"&amp;" · ","")&amp;IF(AND(ISNUMBER(tblAct_RN[[#This Row],[Límite efectivo (aux)]]),tblAct_RN[[#This Row],[Límite efectivo (aux)]]&lt;FechaRef,IF(tblAct_RN[[#This Row],[Tipo (aux)]]="Sub",1,N(tblAct_RN[[#This Row],[% de Avance Total Actual]]))&lt;1),"Vencida"&amp;" · ","")&amp;IF(AND(ObsObligatoria="Sí",ISNUMBER(tblAct_RN[[#This Row],[Límite efectivo (aux)]]),tblAct_RN[[#This Row],[Límite efectivo (aux)]]&lt;FechaRef,IF(tblAct_RN[[#This Row],[Tipo (aux)]]="Sub",1,N(tblAct_RN[[#This Row],[% de Avance Total Actual]]))&lt;1,tblAct_RN[[#This Row],[Observaciones]]=""),"Vencida sin observación"&amp;" · ",""),LEN(IF(tblAct_RN[[#This Row],[Actividad]]="","Falta el nombre de la actividad"&amp;" · ","")&amp;IF(AND(tblAct_RN[[#This Row],[Tipo (aux)]]="Sub",N(tblAct_RN[[#This Row],[Grupo (aux)]])=0),"Subactividad sin macroactividad arriba"&amp;" · ","")&amp;IF(AND(tblAct_RN[[#This Row],[Tipo (aux)]]="Macro",tblAct_RN[[#This Row],[Inicio efectivo (aux)]]=""),"Sin fecha de inicio"&amp;" · ","")&amp;IF(AND(tblAct_RN[[#This Row],[Tipo (aux)]]="Macro",tblAct_RN[[#This Row],[Límite efectivo (aux)]]=""),"Sin fecha límite"&amp;" · ","")&amp;IF(AND(LEFT(tblAct_RN[[#This Row],[Actividad]],11)="[Jefatura] ",N(tblAct_RN[[#This Row],[Fila en Administración (aux)]])=0),"No se encuentra en la hoja de la jefatura (elíjala de nuevo en la lista)"&amp;" · ","")&amp;IF(OR(AND(tblAct_RN[[#This Row],[Fecha de inicio]]&lt;&gt;"",NOT(ISNUMBER(tblAct_RN[[#This Row],[Fecha de inicio]]))),AND(tblAct_RN[[#This Row],[Fecha límite]]&lt;&gt;"",NOT(ISNUMBER(tblAct_RN[[#This Row],[Fecha límite]]))),AND(tblAct_RN[[#This Row],[Fecha de cumplimiento]]&lt;&gt;"",NOT(ISNUMBER(tblAct_RN[[#This Row],[Fecha de cumplimiento]])))),"Fecha no válida"&amp;" · ","")&amp;IF(AND(ISNUMBER(tblAct_RN[[#This Row],[Inicio efectivo (aux)]]),ISNUMBER(tblAct_RN[[#This Row],[Límite efectivo (aux)]]),tblAct_RN[[#This Row],[Inicio efectivo (aux)]]&gt;tblAct_RN[[#This Row],[Límite efectivo (aux)]]),"Inicio posterior a fecha límite"&amp;" · ","")&amp;IF(AND(tblAct_RN[[#This Row],[Tipo (aux)]]="Macro",tblAct_RN[[#This Row],[Peso / % de la subactividad]]&lt;&gt;"",OR(NOT(ISNUMBER(tblAct_RN[[#This Row],[Peso / % de la subactividad]])),tblAct_RN[[#This Row],[Peso / % de la subactividad]]&lt;0,tblAct_RN[[#This Row],[Peso / % de la subactividad]]&gt;1)),"Peso fuera de rango"&amp;" · ","")&amp;IF(AND(tblAct_RN[[#This Row],[Tipo (aux)]]="Sub",tblAct_RN[[#This Row],[Peso / % de la subactividad]]&lt;&gt;"",OR(NOT(ISNUMBER(tblAct_RN[[#This Row],[Peso / % de la subactividad]])),tblAct_RN[[#This Row],[Peso / % de la subactividad]]&lt;0,tblAct_RN[[#This Row],[Peso / % de la subactividad]]&gt;1)),"% de la subactividad fuera de rango 0-100%"&amp;" · ","")&amp;IF(AND(N(tblAct_RN[[#This Row],[N subactividades (aux)]])&gt;0,SUMIFS($H$5:$H$1000,$U$5:$U$1000,ROW(),$V$5:$V$1000,"Sub")&gt;1.0001),"Las subactividades suman más de 100%"&amp;" · ","")&amp;IF(AND(N(tblAct_RN[[#This Row],[N subactividades (aux)]])&gt;0,OR(IF(ISNUMBER(tblAct_RN[[#This Row],[Avance Semana 1 (%)]]),ROUND(tblAct_RN[[#This Row],[Avance Semana 1 (%)]],6)&lt;&gt;ROUND(MIN(1,SUMIFS($AD$5:$AD$1000,$U$5:$U$1000,ROW(),$V$5:$V$1000,"Sub")),6),FALSE),IF(ISNUMBER(tblAct_RN[[#This Row],[Avance Semana 2 (%)]]),ROUND(tblAct_RN[[#This Row],[Avance Semana 2 (%)]],6)&lt;&gt;ROUND(MIN(1,SUMIFS($AE$5:$AE$1000,$U$5:$U$1000,ROW(),$V$5:$V$1000,"Sub")),6),FALSE),IF(ISNUMBER(tblAct_RN[[#This Row],[Avance Semana 3 (%)]]),ROUND(tblAct_RN[[#This Row],[Avance Semana 3 (%)]],6)&lt;&gt;ROUND(MIN(1,SUMIFS($AF$5:$AF$1000,$U$5:$U$1000,ROW(),$V$5:$V$1000,"Sub")),6),FALSE),IF(ISNUMBER(tblAct_RN[[#This Row],[Avance Semana 4 (%)]]),ROUND(tblAct_RN[[#This Row],[Avance Semana 4 (%)]],6)&lt;&gt;ROUND(MIN(1,SUMIFS($AG$5:$AG$1000,$U$5:$U$1000,ROW(),$V$5:$V$1000,"Sub")),6),FALSE))),"Con subactividades: no escriba en las semanas (se llenan solas)"&amp;" · ","")&amp;IF((COUNTIF(tblAct_RN[[#This Row],[Avance Semana 1 (%)]:[Avance Semana 4 (%)]],"&gt;1")+COUNTIF(tblAct_RN[[#This Row],[Avance Semana 1 (%)]:[Avance Semana 4 (%)]],"&lt;0")+SUMPRODUCT((LEN(tblAct_RN[[#This Row],[Avance Semana 1 (%)]:[Avance Semana 4 (%)]])&gt;0)*NOT(ISNUMBER(tblAct_RN[[#This Row],[Avance Semana 1 (%)]:[Avance Semana 4 (%)]]))))&gt;0,"Avance fuera de rango 0-100%"&amp;" · ","")&amp;IF(OR(AND(ISNUMBER(tblAct_RN[[#This Row],[Avance Semana 2 (%)]]),tblAct_RN[[#This Row],[Avance Semana 2 (%)]]&lt;N(tblAct_RN[[#This Row],[Avance Semana 1 (%)]])),AND(ISNUMBER(tblAct_RN[[#This Row],[Avance Semana 3 (%)]]),tblAct_RN[[#This Row],[Avance Semana 3 (%)]]&lt;MAX(tblAct_RN[[#This Row],[Avance Semana 1 (%)]:[Avance Semana 2 (%)]])),AND(ISNUMBER(tblAct_RN[[#This Row],[Avance Semana 4 (%)]]),tblAct_RN[[#This Row],[Avance Semana 4 (%)]]&lt;MAX(tblAct_RN[[#This Row],[Avance Semana 1 (%)]:[Avance Semana 3 (%)]]))),"Avance semanal decreciente"&amp;" · ","")&amp;IF(AND(ISNUMBER(tblAct_RN[[#This Row],[Límite efectivo (aux)]]),tblAct_RN[[#This Row],[Límite efectivo (aux)]]&lt;FechaRef,IF(tblAct_RN[[#This Row],[Tipo (aux)]]="Sub",1,N(tblAct_RN[[#This Row],[% de Avance Total Actual]]))&lt;1),"Vencida"&amp;" · ","")&amp;IF(AND(ObsObligatoria="Sí",ISNUMBER(tblAct_RN[[#This Row],[Límite efectivo (aux)]]),tblAct_RN[[#This Row],[Límite efectivo (aux)]]&lt;FechaRef,IF(tblAct_RN[[#This Row],[Tipo (aux)]]="Sub",1,N(tblAct_RN[[#This Row],[% de Avance Total Actual]]))&lt;1,tblAct_RN[[#This Row],[Observaciones]]=""),"Vencida sin observación"&amp;" · ",""))-3)))</calculatedColumnFormula>
    </tableColumn>
    <tableColumn id="19" name="Mes">
      <calculatedColumnFormula>IF(NOT((COUNTA(tblAct_RN[[#This Row],[Tipo]:[Delegar a]])+COUNTA(tblAct_RN[[#This Row],[Fecha de cumplimiento]:[Peso / % de la subactividad]])+COUNTA(tblAct_RN[[#This Row],[Observaciones]]))&gt;0),"",IF(AND(tblAct_RN[[#This Row],[Tipo (aux)]]="Sub",N(tblAct_RN[[#This Row],[Grupo (aux)]])&gt;0),IF(ISNUMBER(INDEX($AR$5:$AR$1000,tblAct_RN[[#This Row],[Grupo (aux)]]-4)),DATE(YEAR(INDEX($AR$5:$AR$1000,tblAct_RN[[#This Row],[Grupo (aux)]]-4)),MONTH(INDEX($AR$5:$AR$1000,tblAct_RN[[#This Row],[Grupo (aux)]]-4)),1),IF(ISNUMBER(INDEX($AS$5:$AS$1000,tblAct_RN[[#This Row],[Grupo (aux)]]-4)),DATE(YEAR(INDEX($AS$5:$AS$1000,tblAct_RN[[#This Row],[Grupo (aux)]]-4)),MONTH(INDEX($AS$5:$AS$1000,tblAct_RN[[#This Row],[Grupo (aux)]]-4)),1),MesCiclo)),IF(ISNUMBER(tblAct_RN[[#This Row],[Inicio efectivo (aux)]]),DATE(YEAR(tblAct_RN[[#This Row],[Inicio efectivo (aux)]]),MONTH(tblAct_RN[[#This Row],[Inicio efectivo (aux)]]),1),IF(ISNUMBER(tblAct_RN[[#This Row],[Límite efectivo (aux)]]),DATE(YEAR(tblAct_RN[[#This Row],[Límite efectivo (aux)]]),MONTH(tblAct_RN[[#This Row],[Límite efectivo (aux)]]),1),MesCiclo))))</calculatedColumnFormula>
    </tableColumn>
    <tableColumn id="20" name="Orden en el mes (aux)">
      <calculatedColumnFormula>IF(OR(tblAct_RN[[#This Row],[Mes]]="",tblAct_RN[[#This Row],[Mes]]&lt;&gt;MesCiclo,tblAct_RN[[#This Row],[Tipo (aux)]]&lt;&gt;"Macro"),"",COUNTIFS(INDEX(tblAct_RN[Mes],1):tblAct_RN[[#This Row],[Mes]],MesCiclo,INDEX(tblAct_RN[Tipo (aux)],1):tblAct_RN[[#This Row],[Tipo (aux)]],"Macro"))</calculatedColumnFormula>
    </tableColumn>
    <tableColumn id="21" name="Grupo (aux)">
      <calculatedColumnFormula>IF(tblAct_RN[[#This Row],[Tipo (aux)]]="","",IF(tblAct_RN[[#This Row],[Tipo (aux)]]="Macro",ROW(),IFERROR(LOOKUP(2,1/(INDEX(tblAct_RN[Tipo (aux)],1):tblAct_RN[[#This Row],[Tipo (aux)]]="Macro"),ROW(INDEX(tblAct_RN[Tipo (aux)],1):tblAct_RN[[#This Row],[Tipo (aux)]])),0)))</calculatedColumnFormula>
    </tableColumn>
    <tableColumn id="22" name="Tipo (aux)">
      <calculatedColumnFormula>IF(NOT((COUNTA(tblAct_RN[[#This Row],[Tipo]:[Delegar a]])+COUNTA(tblAct_RN[[#This Row],[Fecha de cumplimiento]:[Peso / % de la subactividad]])+COUNTA(tblAct_RN[[#This Row],[Observaciones]]))&gt;0),"",IF(tblAct_RN[[#This Row],[Tipo]]="Subactividad","Sub","Macro"))</calculatedColumnFormula>
    </tableColumn>
    <tableColumn id="23" name="N subactividades (aux)">
      <calculatedColumnFormula>IF(tblAct_RN[[#This Row],[Tipo (aux)]]="Macro",COUNTIFS($U$5:$U$1000,ROW(),$V$5:$V$1000,"Sub"),"")</calculatedColumnFormula>
    </tableColumn>
    <tableColumn id="24" name="% efectivo de la subactividad (aux)">
      <calculatedColumnFormula>IF(tblAct_RN[[#This Row],[Tipo (aux)]]&lt;&gt;"Sub","",IF(AND(ISNUMBER(tblAct_RN[[#This Row],[Peso / % de la subactividad]]),N(tblAct_RN[[#This Row],[Peso / % de la subactividad]])&gt;0),tblAct_RN[[#This Row],[Peso / % de la subactividad]],IFERROR(MAX(0,1-SUMIFS($H$5:$H$1000,$U$5:$U$1000,tblAct_RN[[#This Row],[Grupo (aux)]],$V$5:$V$1000,"Sub"))/(COUNTIFS($U$5:$U$1000,tblAct_RN[[#This Row],[Grupo (aux)]],$V$5:$V$1000,"Sub")-COUNTIFS($U$5:$U$1000,tblAct_RN[[#This Row],[Grupo (aux)]],$V$5:$V$1000,"Sub",$H$5:$H$1000,"&gt;0")),0)))</calculatedColumnFormula>
    </tableColumn>
    <tableColumn id="25" name="Avance propio (aux)">
      <calculatedColumnFormula>IF(tblAct_RN[[#This Row],[Tipo (aux)]]="","",IF(tblAct_RN[[#This Row],[Tipo (aux)]]="Sub",N(tblAct_RN[[#This Row],[% efectivo de la subactividad (aux)]])*IF(ISNUMBER(tblAct_RN[[#This Row],[Fecha de cumplimiento]]),1,MIN(1,MAX(0,IFERROR(LOOKUP(2,1/ISNUMBER(tblAct_RN[[#This Row],[Avance Semana 1 (%)]:[Avance Semana 4 (%)]]),tblAct_RN[[#This Row],[Avance Semana 1 (%)]:[Avance Semana 4 (%)]]),0)))),IF(ISNUMBER(tblAct_RN[[#This Row],[Fecha de cumplimiento]]),1,IFERROR(LOOKUP(2,1/(tblAct_RN[[#This Row],[Avance Semana 1 (%)]:[Avance Semana 4 (%)]]&lt;&gt;""),tblAct_RN[[#This Row],[Avance Semana 1 (%)]:[Avance Semana 4 (%)]]),0))))</calculatedColumnFormula>
    </tableColumn>
    <tableColumn id="26" name="Propio S1 (aux)">
      <calculatedColumnFormula>IF(tblAct_RN[[#This Row],[Tipo (aux)]]="","",IF(AND(ISNUMBER(tblAct_RN[[#This Row],[Fecha de cumplimiento]]),tblAct_RN[[#This Row],[Fecha de cumplimiento]]&lt;=IF(tblAct_RN[[#This Row],[Mes]]=MesCiclo,InicioCiclo,tblAct_RN[[#This Row],[Mes]]+MOD(2-WEEKDAY(tblAct_RN[[#This Row],[Mes]]),7))+6),1,IF(ISNUMBER(tblAct_RN[[#This Row],[Avance Semana 1 (%)]]),tblAct_RN[[#This Row],[Avance Semana 1 (%)]],0)))</calculatedColumnFormula>
    </tableColumn>
    <tableColumn id="27" name="Propio S2 (aux)">
      <calculatedColumnFormula>IF(tblAct_RN[[#This Row],[Tipo (aux)]]="","",IF(AND(ISNUMBER(tblAct_RN[[#This Row],[Fecha de cumplimiento]]),tblAct_RN[[#This Row],[Fecha de cumplimiento]]&lt;=IF(tblAct_RN[[#This Row],[Mes]]=MesCiclo,InicioCiclo,tblAct_RN[[#This Row],[Mes]]+MOD(2-WEEKDAY(tblAct_RN[[#This Row],[Mes]]),7))+13),1,IF(ISNUMBER(tblAct_RN[[#This Row],[Avance Semana 2 (%)]]),tblAct_RN[[#This Row],[Avance Semana 2 (%)]],tblAct_RN[[#This Row],[Propio S1 (aux)]])))</calculatedColumnFormula>
    </tableColumn>
    <tableColumn id="28" name="Propio S3 (aux)">
      <calculatedColumnFormula>IF(tblAct_RN[[#This Row],[Tipo (aux)]]="","",IF(AND(ISNUMBER(tblAct_RN[[#This Row],[Fecha de cumplimiento]]),tblAct_RN[[#This Row],[Fecha de cumplimiento]]&lt;=IF(tblAct_RN[[#This Row],[Mes]]=MesCiclo,InicioCiclo,tblAct_RN[[#This Row],[Mes]]+MOD(2-WEEKDAY(tblAct_RN[[#This Row],[Mes]]),7))+20),1,IF(ISNUMBER(tblAct_RN[[#This Row],[Avance Semana 3 (%)]]),tblAct_RN[[#This Row],[Avance Semana 3 (%)]],tblAct_RN[[#This Row],[Propio S2 (aux)]])))</calculatedColumnFormula>
    </tableColumn>
    <tableColumn id="29" name="Propio S4 (aux)">
      <calculatedColumnFormula>IF(tblAct_RN[[#This Row],[Tipo (aux)]]="","",IF(AND(ISNUMBER(tblAct_RN[[#This Row],[Fecha de cumplimiento]]),tblAct_RN[[#This Row],[Fecha de cumplimiento]]&lt;=IF(tblAct_RN[[#This Row],[Mes]]=MesCiclo,InicioCiclo,tblAct_RN[[#This Row],[Mes]]+MOD(2-WEEKDAY(tblAct_RN[[#This Row],[Mes]]),7))+27),1,IF(ISNUMBER(tblAct_RN[[#This Row],[Avance Semana 4 (%)]]),tblAct_RN[[#This Row],[Avance Semana 4 (%)]],tblAct_RN[[#This Row],[Propio S3 (aux)]])))</calculatedColumnFormula>
    </tableColumn>
    <tableColumn id="30" name="Sub cumplida S1 (aux)">
      <calculatedColumnFormula>IF(tblAct_RN[[#This Row],[Tipo (aux)]]&lt;&gt;"Sub","",N(tblAct_RN[[#This Row],[% efectivo de la subactividad (aux)]])*IF(AND(ISNUMBER(tblAct_RN[[#This Row],[Fecha de cumplimiento]]),tblAct_RN[[#This Row],[Fecha de cumplimiento]]&lt;=IF(tblAct_RN[[#This Row],[Mes]]=MesCiclo,InicioCiclo,tblAct_RN[[#This Row],[Mes]]+MOD(2-WEEKDAY(tblAct_RN[[#This Row],[Mes]]),7))+6),1,MIN(1,MAX(0,IF(ISNUMBER(OFFSET($A$1,ROW()-1,8)),OFFSET($A$1,ROW()-1,8),0)))))</calculatedColumnFormula>
    </tableColumn>
    <tableColumn id="31" name="Sub cumplida S2 (aux)">
      <calculatedColumnFormula>IF(tblAct_RN[[#This Row],[Tipo (aux)]]&lt;&gt;"Sub","",N(tblAct_RN[[#This Row],[% efectivo de la subactividad (aux)]])*IF(AND(ISNUMBER(tblAct_RN[[#This Row],[Fecha de cumplimiento]]),tblAct_RN[[#This Row],[Fecha de cumplimiento]]&lt;=IF(tblAct_RN[[#This Row],[Mes]]=MesCiclo,InicioCiclo,tblAct_RN[[#This Row],[Mes]]+MOD(2-WEEKDAY(tblAct_RN[[#This Row],[Mes]]),7))+13),1,MIN(1,MAX(0,IF(ISNUMBER(OFFSET($A$1,ROW()-1,9)),OFFSET($A$1,ROW()-1,9),IF(ISNUMBER(OFFSET($A$1,ROW()-1,8)),OFFSET($A$1,ROW()-1,8),0))))))</calculatedColumnFormula>
    </tableColumn>
    <tableColumn id="32" name="Sub cumplida S3 (aux)">
      <calculatedColumnFormula>IF(tblAct_RN[[#This Row],[Tipo (aux)]]&lt;&gt;"Sub","",N(tblAct_RN[[#This Row],[% efectivo de la subactividad (aux)]])*IF(AND(ISNUMBER(tblAct_RN[[#This Row],[Fecha de cumplimiento]]),tblAct_RN[[#This Row],[Fecha de cumplimiento]]&lt;=IF(tblAct_RN[[#This Row],[Mes]]=MesCiclo,InicioCiclo,tblAct_RN[[#This Row],[Mes]]+MOD(2-WEEKDAY(tblAct_RN[[#This Row],[Mes]]),7))+20),1,MIN(1,MAX(0,IF(ISNUMBER(OFFSET($A$1,ROW()-1,10)),OFFSET($A$1,ROW()-1,10),IF(ISNUMBER(OFFSET($A$1,ROW()-1,9)),OFFSET($A$1,ROW()-1,9),IF(ISNUMBER(OFFSET($A$1,ROW()-1,8)),OFFSET($A$1,ROW()-1,8),0)))))))</calculatedColumnFormula>
    </tableColumn>
    <tableColumn id="33" name="Sub cumplida S4 (aux)">
      <calculatedColumnFormula>IF(tblAct_RN[[#This Row],[Tipo (aux)]]&lt;&gt;"Sub","",N(tblAct_RN[[#This Row],[% efectivo de la subactividad (aux)]])*IF(AND(ISNUMBER(tblAct_RN[[#This Row],[Fecha de cumplimiento]]),tblAct_RN[[#This Row],[Fecha de cumplimiento]]&lt;=IF(tblAct_RN[[#This Row],[Mes]]=MesCiclo,InicioCiclo,tblAct_RN[[#This Row],[Mes]]+MOD(2-WEEKDAY(tblAct_RN[[#This Row],[Mes]]),7))+27),1,MIN(1,MAX(0,IF(ISNUMBER(OFFSET($A$1,ROW()-1,11)),OFFSET($A$1,ROW()-1,11),IF(ISNUMBER(OFFSET($A$1,ROW()-1,10)),OFFSET($A$1,ROW()-1,10),IF(ISNUMBER(OFFSET($A$1,ROW()-1,9)),OFFSET($A$1,ROW()-1,9),IF(ISNUMBER(OFFSET($A$1,ROW()-1,8)),OFFSET($A$1,ROW()-1,8),0))))))))</calculatedColumnFormula>
    </tableColumn>
    <tableColumn id="34" name="Efectivo S1 (aux)">
      <calculatedColumnFormula>IF(tblAct_RN[[#This Row],[Tipo (aux)]]="","",IF(AND(ISNUMBER(tblAct_RN[[#This Row],[Fecha de cumplimiento]]),tblAct_RN[[#This Row],[Fecha de cumplimiento]]&lt;=IF(tblAct_RN[[#This Row],[Mes]]=MesCiclo,InicioCiclo,tblAct_RN[[#This Row],[Mes]]+MOD(2-WEEKDAY(tblAct_RN[[#This Row],[Mes]]),7))+6),1,IF(N(tblAct_RN[[#This Row],[N subactividades (aux)]])&gt;0,MIN(1,SUMIFS($AD$5:$AD$1000,$U$5:$U$1000,ROW(),$V$5:$V$1000,"Sub")),tblAct_RN[[#This Row],[Propio S1 (aux)]])))</calculatedColumnFormula>
    </tableColumn>
    <tableColumn id="35" name="Efectivo S2 (aux)">
      <calculatedColumnFormula>IF(tblAct_RN[[#This Row],[Tipo (aux)]]="","",IF(AND(ISNUMBER(tblAct_RN[[#This Row],[Fecha de cumplimiento]]),tblAct_RN[[#This Row],[Fecha de cumplimiento]]&lt;=IF(tblAct_RN[[#This Row],[Mes]]=MesCiclo,InicioCiclo,tblAct_RN[[#This Row],[Mes]]+MOD(2-WEEKDAY(tblAct_RN[[#This Row],[Mes]]),7))+13),1,IF(N(tblAct_RN[[#This Row],[N subactividades (aux)]])&gt;0,MIN(1,SUMIFS($AE$5:$AE$1000,$U$5:$U$1000,ROW(),$V$5:$V$1000,"Sub")),tblAct_RN[[#This Row],[Propio S2 (aux)]])))</calculatedColumnFormula>
    </tableColumn>
    <tableColumn id="36" name="Efectivo S3 (aux)">
      <calculatedColumnFormula>IF(tblAct_RN[[#This Row],[Tipo (aux)]]="","",IF(AND(ISNUMBER(tblAct_RN[[#This Row],[Fecha de cumplimiento]]),tblAct_RN[[#This Row],[Fecha de cumplimiento]]&lt;=IF(tblAct_RN[[#This Row],[Mes]]=MesCiclo,InicioCiclo,tblAct_RN[[#This Row],[Mes]]+MOD(2-WEEKDAY(tblAct_RN[[#This Row],[Mes]]),7))+20),1,IF(N(tblAct_RN[[#This Row],[N subactividades (aux)]])&gt;0,MIN(1,SUMIFS($AF$5:$AF$1000,$U$5:$U$1000,ROW(),$V$5:$V$1000,"Sub")),tblAct_RN[[#This Row],[Propio S3 (aux)]])))</calculatedColumnFormula>
    </tableColumn>
    <tableColumn id="37" name="Efectivo S4 (aux)">
      <calculatedColumnFormula>IF(tblAct_RN[[#This Row],[Tipo (aux)]]="","",IF(AND(ISNUMBER(tblAct_RN[[#This Row],[Fecha de cumplimiento]]),tblAct_RN[[#This Row],[Fecha de cumplimiento]]&lt;=IF(tblAct_RN[[#This Row],[Mes]]=MesCiclo,InicioCiclo,tblAct_RN[[#This Row],[Mes]]+MOD(2-WEEKDAY(tblAct_RN[[#This Row],[Mes]]),7))+27),1,IF(N(tblAct_RN[[#This Row],[N subactividades (aux)]])&gt;0,MIN(1,SUMIFS($AG$5:$AG$1000,$U$5:$U$1000,ROW(),$V$5:$V$1000,"Sub")),tblAct_RN[[#This Row],[Propio S4 (aux)]])))</calculatedColumnFormula>
    </tableColumn>
    <tableColumn id="38" name="Peso efectivo (aux)">
      <calculatedColumnFormula>IF(tblAct_RN[[#This Row],[Tipo (aux)]]&lt;&gt;"Macro","",IF(COUNTIFS($S$5:$S$1000,tblAct_RN[[#This Row],[Mes]],$V$5:$V$1000,"Macro",$H$5:$H$1000,"&gt;0")=0,1/COUNTIFS($S$5:$S$1000,tblAct_RN[[#This Row],[Mes]],$V$5:$V$1000,"Macro"),IF(AND(ISNUMBER(tblAct_RN[[#This Row],[Peso / % de la subactividad]]),N(tblAct_RN[[#This Row],[Peso / % de la subactividad]])&gt;0),tblAct_RN[[#This Row],[Peso / % de la subactividad]],SUMIFS($H$5:$H$1000,$S$5:$S$1000,tblAct_RN[[#This Row],[Mes]],$V$5:$V$1000,"Macro")/COUNTIFS($S$5:$S$1000,tblAct_RN[[#This Row],[Mes]],$V$5:$V$1000,"Macro",$H$5:$H$1000,"&gt;0"))/(COUNTIFS($S$5:$S$1000,tblAct_RN[[#This Row],[Mes]],$V$5:$V$1000,"Macro")*SUMIFS($H$5:$H$1000,$S$5:$S$1000,tblAct_RN[[#This Row],[Mes]],$V$5:$V$1000,"Macro")/COUNTIFS($S$5:$S$1000,tblAct_RN[[#This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IF(LEFT(tblAct_RN[[#This Row],[Actividad]],11)="[Jefatura] ",IFERROR(MATCH("Riesgo Normativo|"&amp;MID(tblAct_RN[[#This Row],[Actividad]],12,500),rDname_ADM,0),0),"")</calculatedColumnFormula>
    </tableColumn>
    <tableColumn id="44" name="Inicio efectivo (aux)">
      <calculatedColumnFormula>IF(N(tblAct_RN[[#This Row],[Fila en Administración (aux)]])&gt;0,INDEX(rIni_ADM,tblAct_RN[[#This Row],[Fila en Administración (aux)]]),IF(ISNUMBER(tblAct_RN[[#This Row],[Fecha de inicio]]),tblAct_RN[[#This Row],[Fecha de inicio]],""))</calculatedColumnFormula>
    </tableColumn>
    <tableColumn id="45" name="Límite efectivo (aux)">
      <calculatedColumnFormula>IF(N(tblAct_RN[[#This Row],[Fila en Administración (aux)]])&gt;0,INDEX(rLim_ADM,tblAct_RN[[#This Row],[Fila en Administración (aux)]]),IF(ISNUMBER(tblAct_RN[[#This Row],[Fecha límite]]),tblAct_RN[[#This Row],[Fecha límite]],""))</calculatedColumnFormula>
    </tableColumn>
  </tableColumns>
  <tableStyleInfo name="TableStyleLight1" showRowStripes="0"/>
</table>
</file>

<file path=xl/tables/table5.xml><?xml version="1.0" encoding="utf-8"?>
<table xmlns="http://schemas.openxmlformats.org/spreadsheetml/2006/main" id="5" name="tblSem_RN" displayName="tblSem_RN"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ables/table6.xml><?xml version="1.0" encoding="utf-8"?>
<table xmlns="http://schemas.openxmlformats.org/spreadsheetml/2006/main" id="6" name="tblAct_RF" displayName="tblAct_RF" ref="A4:AS304" headerRowCount="1">
  <autoFilter ref="A4:AS304"/>
  <tableColumns count="45">
    <tableColumn id="1" name="N°">
      <calculatedColumnFormula>IF(NOT((COUNTA(tblAct_RF[[#This Row],[Tipo]:[Delegar a]])+COUNTA(tblAct_RF[[#This Row],[Fecha de cumplimiento]:[Peso / % de la subactividad]])+COUNTA(tblAct_RF[[#This Row],[Observaciones]]))&gt;0),"",IF(tblAct_RF[[#This Row],[Tipo (aux)]]="Macro",COUNTIFS(INDEX(tblAct_RF[Tipo (aux)],1):tblAct_RF[[#This Row],[Tipo (aux)]],"Macro",INDEX(tblAct_RF[Mes],1):tblAct_RF[[#This Row],[Mes]],tblAct_RF[[#This Row],[Mes]]),IF(N(tblAct_RF[[#This Row],[Grupo (aux)]])=0,"?",COUNTIFS(INDEX($V$5:$V$1000,1):INDEX($V$5:$V$1000,tblAct_RF[[#This Row],[Grupo (aux)]]-4),"Macro",INDEX($S$5:$S$1000,1):INDEX($S$5:$S$1000,tblAct_RF[[#This Row],[Grupo (aux)]]-4),INDEX($S$5:$S$1000,tblAct_RF[[#This Row],[Grupo (aux)]]-4))&amp;"."&amp;COUNTIFS(INDEX(tblAct_RF[Grupo (aux)],1):tblAct_RF[[#This Row],[Grupo (aux)]],tblAct_RF[[#This Row],[Grupo (aux)]],INDEX(tblAct_RF[Tipo (aux)],1):tblAct_RF[[#This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IF(OR(NOT((COUNTA(tblAct_RF[[#This Row],[Tipo]:[Delegar a]])+COUNTA(tblAct_RF[[#This Row],[Fecha de cumplimiento]:[Peso / % de la subactividad]])+COUNTA(tblAct_RF[[#This Row],[Observaciones]]))&gt;0),tblAct_RF[[#This Row],[Tipo (aux)]]="Sub"),"",IF(ISNUMBER(tblAct_RF[[#This Row],[Fecha de cumplimiento]]),1,IF(N(tblAct_RF[[#This Row],[N subactividades (aux)]])&gt;0,MIN(1,SUMIFS($Y$5:$Y$1000,$U$5:$U$1000,ROW(),$V$5:$V$1000,"Sub")),tblAct_RF[[#This Row],[Avance propio (aux)]])))</calculatedColumnFormula>
    </tableColumn>
    <tableColumn id="14" name="Estado">
      <calculatedColumnFormula>IF(OR(tblAct_RF[[#This Row],[% de Avance Total Actual]]="",tblAct_RF[[#This Row],[Tipo (aux)]]="Sub"),"",IF(tblAct_RF[[#This Row],[% de Avance Total Actual]]&gt;=1,"Completado",IF(tblAct_RF[[#This Row],[% de Avance Total Actual]]&gt;0,"En curso","Pendiente")))</calculatedColumnFormula>
    </tableColumn>
    <tableColumn id="15" name="Alerta de plazo">
      <calculatedColumnFormula>IF(OR(NOT((COUNTA(tblAct_RF[[#This Row],[Tipo]:[Delegar a]])+COUNTA(tblAct_RF[[#This Row],[Fecha de cumplimiento]:[Peso / % de la subactividad]])+COUNTA(tblAct_RF[[#This Row],[Observaciones]]))&gt;0),tblAct_RF[[#This Row],[Tipo (aux)]]="Sub"),"",IF(ISNUMBER(tblAct_RF[[#This Row],[Fecha de cumplimiento]]),IF(AND(ISNUMBER(tblAct_RF[[#This Row],[Límite efectivo (aux)]]),tblAct_RF[[#This Row],[Fecha de cumplimiento]]&gt;tblAct_RF[[#This Row],[Límite efectivo (aux)]]),"Cumplida con "&amp;(tblAct_RF[[#This Row],[Fecha de cumplimiento]]-tblAct_RF[[#This Row],[Límite efectivo (aux)]])&amp;IF(tblAct_RF[[#This Row],[Fecha de cumplimiento]]-tblAct_RF[[#This Row],[Límite efectivo (aux)]]=1," día"," días")&amp;" de retraso","Cumplida"),IF(N(tblAct_RF[[#This Row],[% de Avance Total Actual]])&gt;=1,"Cumplida",IF(NOT(ISNUMBER(tblAct_RF[[#This Row],[Límite efectivo (aux)]])),"Sin fecha límite",IF(tblAct_RF[[#This Row],[Límite efectivo (aux)]]&lt;FechaRef,"Vencida hace "&amp;(FechaRef-tblAct_RF[[#This Row],[Límite efectivo (aux)]])&amp;IF(FechaRef-tblAct_RF[[#This Row],[Límite efectivo (aux)]]=1," día"," días"),IF(tblAct_RF[[#This Row],[Límite efectivo (aux)]]=FechaRef,"Vence hoy",IF(tblAct_RF[[#This Row],[Límite efectivo (aux)]]-FechaRef&lt;=DiasAlerta,"Vence en "&amp;(tblAct_RF[[#This Row],[Límite efectivo (aux)]]-FechaRef)&amp;IF(tblAct_RF[[#This Row],[Límite efectivo (aux)]]-FechaRef=1," día"," días"),"En plazo")))))))</calculatedColumnFormula>
    </tableColumn>
    <tableColumn id="16" name="Seguimiento de la delegación"/>
    <tableColumn id="17" name="Observaciones"/>
    <tableColumn id="18" name="Revisión automática (alertas)">
      <calculatedColumnFormula>IF(NOT((COUNTA(tblAct_RF[[#This Row],[Tipo]:[Delegar a]])+COUNTA(tblAct_RF[[#This Row],[Fecha de cumplimiento]:[Peso / % de la subactividad]])+COUNTA(tblAct_RF[[#This Row],[Observaciones]]))&gt;0),"",IF((IF(tblAct_RF[[#This Row],[Actividad]]="","Falta el nombre de la actividad"&amp;" · ","")&amp;IF(AND(tblAct_RF[[#This Row],[Tipo (aux)]]="Sub",N(tblAct_RF[[#This Row],[Grupo (aux)]])=0),"Subactividad sin macroactividad arriba"&amp;" · ","")&amp;IF(AND(tblAct_RF[[#This Row],[Tipo (aux)]]="Macro",tblAct_RF[[#This Row],[Inicio efectivo (aux)]]=""),"Sin fecha de inicio"&amp;" · ","")&amp;IF(AND(tblAct_RF[[#This Row],[Tipo (aux)]]="Macro",tblAct_RF[[#This Row],[Límite efectivo (aux)]]=""),"Sin fecha límite"&amp;" · ","")&amp;IF(AND(LEFT(tblAct_RF[[#This Row],[Actividad]],11)="[Jefatura] ",N(tblAct_RF[[#This Row],[Fila en Administración (aux)]])=0),"No se encuentra en la hoja de la jefatura (elíjala de nuevo en la lista)"&amp;" · ","")&amp;IF(OR(AND(tblAct_RF[[#This Row],[Fecha de inicio]]&lt;&gt;"",NOT(ISNUMBER(tblAct_RF[[#This Row],[Fecha de inicio]]))),AND(tblAct_RF[[#This Row],[Fecha límite]]&lt;&gt;"",NOT(ISNUMBER(tblAct_RF[[#This Row],[Fecha límite]]))),AND(tblAct_RF[[#This Row],[Fecha de cumplimiento]]&lt;&gt;"",NOT(ISNUMBER(tblAct_RF[[#This Row],[Fecha de cumplimiento]])))),"Fecha no válida"&amp;" · ","")&amp;IF(AND(ISNUMBER(tblAct_RF[[#This Row],[Inicio efectivo (aux)]]),ISNUMBER(tblAct_RF[[#This Row],[Límite efectivo (aux)]]),tblAct_RF[[#This Row],[Inicio efectivo (aux)]]&gt;tblAct_RF[[#This Row],[Límite efectivo (aux)]]),"Inicio posterior a fecha límite"&amp;" · ","")&amp;IF(AND(tblAct_RF[[#This Row],[Tipo (aux)]]="Macro",tblAct_RF[[#This Row],[Peso / % de la subactividad]]&lt;&gt;"",OR(NOT(ISNUMBER(tblAct_RF[[#This Row],[Peso / % de la subactividad]])),tblAct_RF[[#This Row],[Peso / % de la subactividad]]&lt;0,tblAct_RF[[#This Row],[Peso / % de la subactividad]]&gt;1)),"Peso fuera de rango"&amp;" · ","")&amp;IF(AND(tblAct_RF[[#This Row],[Tipo (aux)]]="Sub",tblAct_RF[[#This Row],[Peso / % de la subactividad]]&lt;&gt;"",OR(NOT(ISNUMBER(tblAct_RF[[#This Row],[Peso / % de la subactividad]])),tblAct_RF[[#This Row],[Peso / % de la subactividad]]&lt;0,tblAct_RF[[#This Row],[Peso / % de la subactividad]]&gt;1)),"% de la subactividad fuera de rango 0-100%"&amp;" · ","")&amp;IF(AND(N(tblAct_RF[[#This Row],[N subactividades (aux)]])&gt;0,SUMIFS($H$5:$H$1000,$U$5:$U$1000,ROW(),$V$5:$V$1000,"Sub")&gt;1.0001),"Las subactividades suman más de 100%"&amp;" · ","")&amp;IF(AND(N(tblAct_RF[[#This Row],[N subactividades (aux)]])&gt;0,OR(IF(ISNUMBER(tblAct_RF[[#This Row],[Avance Semana 1 (%)]]),ROUND(tblAct_RF[[#This Row],[Avance Semana 1 (%)]],6)&lt;&gt;ROUND(MIN(1,SUMIFS($AD$5:$AD$1000,$U$5:$U$1000,ROW(),$V$5:$V$1000,"Sub")),6),FALSE),IF(ISNUMBER(tblAct_RF[[#This Row],[Avance Semana 2 (%)]]),ROUND(tblAct_RF[[#This Row],[Avance Semana 2 (%)]],6)&lt;&gt;ROUND(MIN(1,SUMIFS($AE$5:$AE$1000,$U$5:$U$1000,ROW(),$V$5:$V$1000,"Sub")),6),FALSE),IF(ISNUMBER(tblAct_RF[[#This Row],[Avance Semana 3 (%)]]),ROUND(tblAct_RF[[#This Row],[Avance Semana 3 (%)]],6)&lt;&gt;ROUND(MIN(1,SUMIFS($AF$5:$AF$1000,$U$5:$U$1000,ROW(),$V$5:$V$1000,"Sub")),6),FALSE),IF(ISNUMBER(tblAct_RF[[#This Row],[Avance Semana 4 (%)]]),ROUND(tblAct_RF[[#This Row],[Avance Semana 4 (%)]],6)&lt;&gt;ROUND(MIN(1,SUMIFS($AG$5:$AG$1000,$U$5:$U$1000,ROW(),$V$5:$V$1000,"Sub")),6),FALSE))),"Con subactividades: no escriba en las semanas (se llenan solas)"&amp;" · ","")&amp;IF((COUNTIF(tblAct_RF[[#This Row],[Avance Semana 1 (%)]:[Avance Semana 4 (%)]],"&gt;1")+COUNTIF(tblAct_RF[[#This Row],[Avance Semana 1 (%)]:[Avance Semana 4 (%)]],"&lt;0")+SUMPRODUCT((LEN(tblAct_RF[[#This Row],[Avance Semana 1 (%)]:[Avance Semana 4 (%)]])&gt;0)*NOT(ISNUMBER(tblAct_RF[[#This Row],[Avance Semana 1 (%)]:[Avance Semana 4 (%)]]))))&gt;0,"Avance fuera de rango 0-100%"&amp;" · ","")&amp;IF(OR(AND(ISNUMBER(tblAct_RF[[#This Row],[Avance Semana 2 (%)]]),tblAct_RF[[#This Row],[Avance Semana 2 (%)]]&lt;N(tblAct_RF[[#This Row],[Avance Semana 1 (%)]])),AND(ISNUMBER(tblAct_RF[[#This Row],[Avance Semana 3 (%)]]),tblAct_RF[[#This Row],[Avance Semana 3 (%)]]&lt;MAX(tblAct_RF[[#This Row],[Avance Semana 1 (%)]:[Avance Semana 2 (%)]])),AND(ISNUMBER(tblAct_RF[[#This Row],[Avance Semana 4 (%)]]),tblAct_RF[[#This Row],[Avance Semana 4 (%)]]&lt;MAX(tblAct_RF[[#This Row],[Avance Semana 1 (%)]:[Avance Semana 3 (%)]]))),"Avance semanal decreciente"&amp;" · ","")&amp;IF(AND(ISNUMBER(tblAct_RF[[#This Row],[Límite efectivo (aux)]]),tblAct_RF[[#This Row],[Límite efectivo (aux)]]&lt;FechaRef,IF(tblAct_RF[[#This Row],[Tipo (aux)]]="Sub",1,N(tblAct_RF[[#This Row],[% de Avance Total Actual]]))&lt;1),"Vencida"&amp;" · ","")&amp;IF(AND(ObsObligatoria="Sí",ISNUMBER(tblAct_RF[[#This Row],[Límite efectivo (aux)]]),tblAct_RF[[#This Row],[Límite efectivo (aux)]]&lt;FechaRef,IF(tblAct_RF[[#This Row],[Tipo (aux)]]="Sub",1,N(tblAct_RF[[#This Row],[% de Avance Total Actual]]))&lt;1,tblAct_RF[[#This Row],[Observaciones]]=""),"Vencida sin observación"&amp;" · ",""))="","✔ OK","⚠ "&amp;LEFT(IF(tblAct_RF[[#This Row],[Actividad]]="","Falta el nombre de la actividad"&amp;" · ","")&amp;IF(AND(tblAct_RF[[#This Row],[Tipo (aux)]]="Sub",N(tblAct_RF[[#This Row],[Grupo (aux)]])=0),"Subactividad sin macroactividad arriba"&amp;" · ","")&amp;IF(AND(tblAct_RF[[#This Row],[Tipo (aux)]]="Macro",tblAct_RF[[#This Row],[Inicio efectivo (aux)]]=""),"Sin fecha de inicio"&amp;" · ","")&amp;IF(AND(tblAct_RF[[#This Row],[Tipo (aux)]]="Macro",tblAct_RF[[#This Row],[Límite efectivo (aux)]]=""),"Sin fecha límite"&amp;" · ","")&amp;IF(AND(LEFT(tblAct_RF[[#This Row],[Actividad]],11)="[Jefatura] ",N(tblAct_RF[[#This Row],[Fila en Administración (aux)]])=0),"No se encuentra en la hoja de la jefatura (elíjala de nuevo en la lista)"&amp;" · ","")&amp;IF(OR(AND(tblAct_RF[[#This Row],[Fecha de inicio]]&lt;&gt;"",NOT(ISNUMBER(tblAct_RF[[#This Row],[Fecha de inicio]]))),AND(tblAct_RF[[#This Row],[Fecha límite]]&lt;&gt;"",NOT(ISNUMBER(tblAct_RF[[#This Row],[Fecha límite]]))),AND(tblAct_RF[[#This Row],[Fecha de cumplimiento]]&lt;&gt;"",NOT(ISNUMBER(tblAct_RF[[#This Row],[Fecha de cumplimiento]])))),"Fecha no válida"&amp;" · ","")&amp;IF(AND(ISNUMBER(tblAct_RF[[#This Row],[Inicio efectivo (aux)]]),ISNUMBER(tblAct_RF[[#This Row],[Límite efectivo (aux)]]),tblAct_RF[[#This Row],[Inicio efectivo (aux)]]&gt;tblAct_RF[[#This Row],[Límite efectivo (aux)]]),"Inicio posterior a fecha límite"&amp;" · ","")&amp;IF(AND(tblAct_RF[[#This Row],[Tipo (aux)]]="Macro",tblAct_RF[[#This Row],[Peso / % de la subactividad]]&lt;&gt;"",OR(NOT(ISNUMBER(tblAct_RF[[#This Row],[Peso / % de la subactividad]])),tblAct_RF[[#This Row],[Peso / % de la subactividad]]&lt;0,tblAct_RF[[#This Row],[Peso / % de la subactividad]]&gt;1)),"Peso fuera de rango"&amp;" · ","")&amp;IF(AND(tblAct_RF[[#This Row],[Tipo (aux)]]="Sub",tblAct_RF[[#This Row],[Peso / % de la subactividad]]&lt;&gt;"",OR(NOT(ISNUMBER(tblAct_RF[[#This Row],[Peso / % de la subactividad]])),tblAct_RF[[#This Row],[Peso / % de la subactividad]]&lt;0,tblAct_RF[[#This Row],[Peso / % de la subactividad]]&gt;1)),"% de la subactividad fuera de rango 0-100%"&amp;" · ","")&amp;IF(AND(N(tblAct_RF[[#This Row],[N subactividades (aux)]])&gt;0,SUMIFS($H$5:$H$1000,$U$5:$U$1000,ROW(),$V$5:$V$1000,"Sub")&gt;1.0001),"Las subactividades suman más de 100%"&amp;" · ","")&amp;IF(AND(N(tblAct_RF[[#This Row],[N subactividades (aux)]])&gt;0,OR(IF(ISNUMBER(tblAct_RF[[#This Row],[Avance Semana 1 (%)]]),ROUND(tblAct_RF[[#This Row],[Avance Semana 1 (%)]],6)&lt;&gt;ROUND(MIN(1,SUMIFS($AD$5:$AD$1000,$U$5:$U$1000,ROW(),$V$5:$V$1000,"Sub")),6),FALSE),IF(ISNUMBER(tblAct_RF[[#This Row],[Avance Semana 2 (%)]]),ROUND(tblAct_RF[[#This Row],[Avance Semana 2 (%)]],6)&lt;&gt;ROUND(MIN(1,SUMIFS($AE$5:$AE$1000,$U$5:$U$1000,ROW(),$V$5:$V$1000,"Sub")),6),FALSE),IF(ISNUMBER(tblAct_RF[[#This Row],[Avance Semana 3 (%)]]),ROUND(tblAct_RF[[#This Row],[Avance Semana 3 (%)]],6)&lt;&gt;ROUND(MIN(1,SUMIFS($AF$5:$AF$1000,$U$5:$U$1000,ROW(),$V$5:$V$1000,"Sub")),6),FALSE),IF(ISNUMBER(tblAct_RF[[#This Row],[Avance Semana 4 (%)]]),ROUND(tblAct_RF[[#This Row],[Avance Semana 4 (%)]],6)&lt;&gt;ROUND(MIN(1,SUMIFS($AG$5:$AG$1000,$U$5:$U$1000,ROW(),$V$5:$V$1000,"Sub")),6),FALSE))),"Con subactividades: no escriba en las semanas (se llenan solas)"&amp;" · ","")&amp;IF((COUNTIF(tblAct_RF[[#This Row],[Avance Semana 1 (%)]:[Avance Semana 4 (%)]],"&gt;1")+COUNTIF(tblAct_RF[[#This Row],[Avance Semana 1 (%)]:[Avance Semana 4 (%)]],"&lt;0")+SUMPRODUCT((LEN(tblAct_RF[[#This Row],[Avance Semana 1 (%)]:[Avance Semana 4 (%)]])&gt;0)*NOT(ISNUMBER(tblAct_RF[[#This Row],[Avance Semana 1 (%)]:[Avance Semana 4 (%)]]))))&gt;0,"Avance fuera de rango 0-100%"&amp;" · ","")&amp;IF(OR(AND(ISNUMBER(tblAct_RF[[#This Row],[Avance Semana 2 (%)]]),tblAct_RF[[#This Row],[Avance Semana 2 (%)]]&lt;N(tblAct_RF[[#This Row],[Avance Semana 1 (%)]])),AND(ISNUMBER(tblAct_RF[[#This Row],[Avance Semana 3 (%)]]),tblAct_RF[[#This Row],[Avance Semana 3 (%)]]&lt;MAX(tblAct_RF[[#This Row],[Avance Semana 1 (%)]:[Avance Semana 2 (%)]])),AND(ISNUMBER(tblAct_RF[[#This Row],[Avance Semana 4 (%)]]),tblAct_RF[[#This Row],[Avance Semana 4 (%)]]&lt;MAX(tblAct_RF[[#This Row],[Avance Semana 1 (%)]:[Avance Semana 3 (%)]]))),"Avance semanal decreciente"&amp;" · ","")&amp;IF(AND(ISNUMBER(tblAct_RF[[#This Row],[Límite efectivo (aux)]]),tblAct_RF[[#This Row],[Límite efectivo (aux)]]&lt;FechaRef,IF(tblAct_RF[[#This Row],[Tipo (aux)]]="Sub",1,N(tblAct_RF[[#This Row],[% de Avance Total Actual]]))&lt;1),"Vencida"&amp;" · ","")&amp;IF(AND(ObsObligatoria="Sí",ISNUMBER(tblAct_RF[[#This Row],[Límite efectivo (aux)]]),tblAct_RF[[#This Row],[Límite efectivo (aux)]]&lt;FechaRef,IF(tblAct_RF[[#This Row],[Tipo (aux)]]="Sub",1,N(tblAct_RF[[#This Row],[% de Avance Total Actual]]))&lt;1,tblAct_RF[[#This Row],[Observaciones]]=""),"Vencida sin observación"&amp;" · ",""),LEN(IF(tblAct_RF[[#This Row],[Actividad]]="","Falta el nombre de la actividad"&amp;" · ","")&amp;IF(AND(tblAct_RF[[#This Row],[Tipo (aux)]]="Sub",N(tblAct_RF[[#This Row],[Grupo (aux)]])=0),"Subactividad sin macroactividad arriba"&amp;" · ","")&amp;IF(AND(tblAct_RF[[#This Row],[Tipo (aux)]]="Macro",tblAct_RF[[#This Row],[Inicio efectivo (aux)]]=""),"Sin fecha de inicio"&amp;" · ","")&amp;IF(AND(tblAct_RF[[#This Row],[Tipo (aux)]]="Macro",tblAct_RF[[#This Row],[Límite efectivo (aux)]]=""),"Sin fecha límite"&amp;" · ","")&amp;IF(AND(LEFT(tblAct_RF[[#This Row],[Actividad]],11)="[Jefatura] ",N(tblAct_RF[[#This Row],[Fila en Administración (aux)]])=0),"No se encuentra en la hoja de la jefatura (elíjala de nuevo en la lista)"&amp;" · ","")&amp;IF(OR(AND(tblAct_RF[[#This Row],[Fecha de inicio]]&lt;&gt;"",NOT(ISNUMBER(tblAct_RF[[#This Row],[Fecha de inicio]]))),AND(tblAct_RF[[#This Row],[Fecha límite]]&lt;&gt;"",NOT(ISNUMBER(tblAct_RF[[#This Row],[Fecha límite]]))),AND(tblAct_RF[[#This Row],[Fecha de cumplimiento]]&lt;&gt;"",NOT(ISNUMBER(tblAct_RF[[#This Row],[Fecha de cumplimiento]])))),"Fecha no válida"&amp;" · ","")&amp;IF(AND(ISNUMBER(tblAct_RF[[#This Row],[Inicio efectivo (aux)]]),ISNUMBER(tblAct_RF[[#This Row],[Límite efectivo (aux)]]),tblAct_RF[[#This Row],[Inicio efectivo (aux)]]&gt;tblAct_RF[[#This Row],[Límite efectivo (aux)]]),"Inicio posterior a fecha límite"&amp;" · ","")&amp;IF(AND(tblAct_RF[[#This Row],[Tipo (aux)]]="Macro",tblAct_RF[[#This Row],[Peso / % de la subactividad]]&lt;&gt;"",OR(NOT(ISNUMBER(tblAct_RF[[#This Row],[Peso / % de la subactividad]])),tblAct_RF[[#This Row],[Peso / % de la subactividad]]&lt;0,tblAct_RF[[#This Row],[Peso / % de la subactividad]]&gt;1)),"Peso fuera de rango"&amp;" · ","")&amp;IF(AND(tblAct_RF[[#This Row],[Tipo (aux)]]="Sub",tblAct_RF[[#This Row],[Peso / % de la subactividad]]&lt;&gt;"",OR(NOT(ISNUMBER(tblAct_RF[[#This Row],[Peso / % de la subactividad]])),tblAct_RF[[#This Row],[Peso / % de la subactividad]]&lt;0,tblAct_RF[[#This Row],[Peso / % de la subactividad]]&gt;1)),"% de la subactividad fuera de rango 0-100%"&amp;" · ","")&amp;IF(AND(N(tblAct_RF[[#This Row],[N subactividades (aux)]])&gt;0,SUMIFS($H$5:$H$1000,$U$5:$U$1000,ROW(),$V$5:$V$1000,"Sub")&gt;1.0001),"Las subactividades suman más de 100%"&amp;" · ","")&amp;IF(AND(N(tblAct_RF[[#This Row],[N subactividades (aux)]])&gt;0,OR(IF(ISNUMBER(tblAct_RF[[#This Row],[Avance Semana 1 (%)]]),ROUND(tblAct_RF[[#This Row],[Avance Semana 1 (%)]],6)&lt;&gt;ROUND(MIN(1,SUMIFS($AD$5:$AD$1000,$U$5:$U$1000,ROW(),$V$5:$V$1000,"Sub")),6),FALSE),IF(ISNUMBER(tblAct_RF[[#This Row],[Avance Semana 2 (%)]]),ROUND(tblAct_RF[[#This Row],[Avance Semana 2 (%)]],6)&lt;&gt;ROUND(MIN(1,SUMIFS($AE$5:$AE$1000,$U$5:$U$1000,ROW(),$V$5:$V$1000,"Sub")),6),FALSE),IF(ISNUMBER(tblAct_RF[[#This Row],[Avance Semana 3 (%)]]),ROUND(tblAct_RF[[#This Row],[Avance Semana 3 (%)]],6)&lt;&gt;ROUND(MIN(1,SUMIFS($AF$5:$AF$1000,$U$5:$U$1000,ROW(),$V$5:$V$1000,"Sub")),6),FALSE),IF(ISNUMBER(tblAct_RF[[#This Row],[Avance Semana 4 (%)]]),ROUND(tblAct_RF[[#This Row],[Avance Semana 4 (%)]],6)&lt;&gt;ROUND(MIN(1,SUMIFS($AG$5:$AG$1000,$U$5:$U$1000,ROW(),$V$5:$V$1000,"Sub")),6),FALSE))),"Con subactividades: no escriba en las semanas (se llenan solas)"&amp;" · ","")&amp;IF((COUNTIF(tblAct_RF[[#This Row],[Avance Semana 1 (%)]:[Avance Semana 4 (%)]],"&gt;1")+COUNTIF(tblAct_RF[[#This Row],[Avance Semana 1 (%)]:[Avance Semana 4 (%)]],"&lt;0")+SUMPRODUCT((LEN(tblAct_RF[[#This Row],[Avance Semana 1 (%)]:[Avance Semana 4 (%)]])&gt;0)*NOT(ISNUMBER(tblAct_RF[[#This Row],[Avance Semana 1 (%)]:[Avance Semana 4 (%)]]))))&gt;0,"Avance fuera de rango 0-100%"&amp;" · ","")&amp;IF(OR(AND(ISNUMBER(tblAct_RF[[#This Row],[Avance Semana 2 (%)]]),tblAct_RF[[#This Row],[Avance Semana 2 (%)]]&lt;N(tblAct_RF[[#This Row],[Avance Semana 1 (%)]])),AND(ISNUMBER(tblAct_RF[[#This Row],[Avance Semana 3 (%)]]),tblAct_RF[[#This Row],[Avance Semana 3 (%)]]&lt;MAX(tblAct_RF[[#This Row],[Avance Semana 1 (%)]:[Avance Semana 2 (%)]])),AND(ISNUMBER(tblAct_RF[[#This Row],[Avance Semana 4 (%)]]),tblAct_RF[[#This Row],[Avance Semana 4 (%)]]&lt;MAX(tblAct_RF[[#This Row],[Avance Semana 1 (%)]:[Avance Semana 3 (%)]]))),"Avance semanal decreciente"&amp;" · ","")&amp;IF(AND(ISNUMBER(tblAct_RF[[#This Row],[Límite efectivo (aux)]]),tblAct_RF[[#This Row],[Límite efectivo (aux)]]&lt;FechaRef,IF(tblAct_RF[[#This Row],[Tipo (aux)]]="Sub",1,N(tblAct_RF[[#This Row],[% de Avance Total Actual]]))&lt;1),"Vencida"&amp;" · ","")&amp;IF(AND(ObsObligatoria="Sí",ISNUMBER(tblAct_RF[[#This Row],[Límite efectivo (aux)]]),tblAct_RF[[#This Row],[Límite efectivo (aux)]]&lt;FechaRef,IF(tblAct_RF[[#This Row],[Tipo (aux)]]="Sub",1,N(tblAct_RF[[#This Row],[% de Avance Total Actual]]))&lt;1,tblAct_RF[[#This Row],[Observaciones]]=""),"Vencida sin observación"&amp;" · ",""))-3)))</calculatedColumnFormula>
    </tableColumn>
    <tableColumn id="19" name="Mes">
      <calculatedColumnFormula>IF(NOT((COUNTA(tblAct_RF[[#This Row],[Tipo]:[Delegar a]])+COUNTA(tblAct_RF[[#This Row],[Fecha de cumplimiento]:[Peso / % de la subactividad]])+COUNTA(tblAct_RF[[#This Row],[Observaciones]]))&gt;0),"",IF(AND(tblAct_RF[[#This Row],[Tipo (aux)]]="Sub",N(tblAct_RF[[#This Row],[Grupo (aux)]])&gt;0),IF(ISNUMBER(INDEX($AR$5:$AR$1000,tblAct_RF[[#This Row],[Grupo (aux)]]-4)),DATE(YEAR(INDEX($AR$5:$AR$1000,tblAct_RF[[#This Row],[Grupo (aux)]]-4)),MONTH(INDEX($AR$5:$AR$1000,tblAct_RF[[#This Row],[Grupo (aux)]]-4)),1),IF(ISNUMBER(INDEX($AS$5:$AS$1000,tblAct_RF[[#This Row],[Grupo (aux)]]-4)),DATE(YEAR(INDEX($AS$5:$AS$1000,tblAct_RF[[#This Row],[Grupo (aux)]]-4)),MONTH(INDEX($AS$5:$AS$1000,tblAct_RF[[#This Row],[Grupo (aux)]]-4)),1),MesCiclo)),IF(ISNUMBER(tblAct_RF[[#This Row],[Inicio efectivo (aux)]]),DATE(YEAR(tblAct_RF[[#This Row],[Inicio efectivo (aux)]]),MONTH(tblAct_RF[[#This Row],[Inicio efectivo (aux)]]),1),IF(ISNUMBER(tblAct_RF[[#This Row],[Límite efectivo (aux)]]),DATE(YEAR(tblAct_RF[[#This Row],[Límite efectivo (aux)]]),MONTH(tblAct_RF[[#This Row],[Límite efectivo (aux)]]),1),MesCiclo))))</calculatedColumnFormula>
    </tableColumn>
    <tableColumn id="20" name="Orden en el mes (aux)">
      <calculatedColumnFormula>IF(OR(tblAct_RF[[#This Row],[Mes]]="",tblAct_RF[[#This Row],[Mes]]&lt;&gt;MesCiclo,tblAct_RF[[#This Row],[Tipo (aux)]]&lt;&gt;"Macro"),"",COUNTIFS(INDEX(tblAct_RF[Mes],1):tblAct_RF[[#This Row],[Mes]],MesCiclo,INDEX(tblAct_RF[Tipo (aux)],1):tblAct_RF[[#This Row],[Tipo (aux)]],"Macro"))</calculatedColumnFormula>
    </tableColumn>
    <tableColumn id="21" name="Grupo (aux)">
      <calculatedColumnFormula>IF(tblAct_RF[[#This Row],[Tipo (aux)]]="","",IF(tblAct_RF[[#This Row],[Tipo (aux)]]="Macro",ROW(),IFERROR(LOOKUP(2,1/(INDEX(tblAct_RF[Tipo (aux)],1):tblAct_RF[[#This Row],[Tipo (aux)]]="Macro"),ROW(INDEX(tblAct_RF[Tipo (aux)],1):tblAct_RF[[#This Row],[Tipo (aux)]])),0)))</calculatedColumnFormula>
    </tableColumn>
    <tableColumn id="22" name="Tipo (aux)">
      <calculatedColumnFormula>IF(NOT((COUNTA(tblAct_RF[[#This Row],[Tipo]:[Delegar a]])+COUNTA(tblAct_RF[[#This Row],[Fecha de cumplimiento]:[Peso / % de la subactividad]])+COUNTA(tblAct_RF[[#This Row],[Observaciones]]))&gt;0),"",IF(tblAct_RF[[#This Row],[Tipo]]="Subactividad","Sub","Macro"))</calculatedColumnFormula>
    </tableColumn>
    <tableColumn id="23" name="N subactividades (aux)">
      <calculatedColumnFormula>IF(tblAct_RF[[#This Row],[Tipo (aux)]]="Macro",COUNTIFS($U$5:$U$1000,ROW(),$V$5:$V$1000,"Sub"),"")</calculatedColumnFormula>
    </tableColumn>
    <tableColumn id="24" name="% efectivo de la subactividad (aux)">
      <calculatedColumnFormula>IF(tblAct_RF[[#This Row],[Tipo (aux)]]&lt;&gt;"Sub","",IF(AND(ISNUMBER(tblAct_RF[[#This Row],[Peso / % de la subactividad]]),N(tblAct_RF[[#This Row],[Peso / % de la subactividad]])&gt;0),tblAct_RF[[#This Row],[Peso / % de la subactividad]],IFERROR(MAX(0,1-SUMIFS($H$5:$H$1000,$U$5:$U$1000,tblAct_RF[[#This Row],[Grupo (aux)]],$V$5:$V$1000,"Sub"))/(COUNTIFS($U$5:$U$1000,tblAct_RF[[#This Row],[Grupo (aux)]],$V$5:$V$1000,"Sub")-COUNTIFS($U$5:$U$1000,tblAct_RF[[#This Row],[Grupo (aux)]],$V$5:$V$1000,"Sub",$H$5:$H$1000,"&gt;0")),0)))</calculatedColumnFormula>
    </tableColumn>
    <tableColumn id="25" name="Avance propio (aux)">
      <calculatedColumnFormula>IF(tblAct_RF[[#This Row],[Tipo (aux)]]="","",IF(tblAct_RF[[#This Row],[Tipo (aux)]]="Sub",N(tblAct_RF[[#This Row],[% efectivo de la subactividad (aux)]])*IF(ISNUMBER(tblAct_RF[[#This Row],[Fecha de cumplimiento]]),1,MIN(1,MAX(0,IFERROR(LOOKUP(2,1/ISNUMBER(tblAct_RF[[#This Row],[Avance Semana 1 (%)]:[Avance Semana 4 (%)]]),tblAct_RF[[#This Row],[Avance Semana 1 (%)]:[Avance Semana 4 (%)]]),0)))),IF(ISNUMBER(tblAct_RF[[#This Row],[Fecha de cumplimiento]]),1,IFERROR(LOOKUP(2,1/(tblAct_RF[[#This Row],[Avance Semana 1 (%)]:[Avance Semana 4 (%)]]&lt;&gt;""),tblAct_RF[[#This Row],[Avance Semana 1 (%)]:[Avance Semana 4 (%)]]),0))))</calculatedColumnFormula>
    </tableColumn>
    <tableColumn id="26" name="Propio S1 (aux)">
      <calculatedColumnFormula>IF(tblAct_RF[[#This Row],[Tipo (aux)]]="","",IF(AND(ISNUMBER(tblAct_RF[[#This Row],[Fecha de cumplimiento]]),tblAct_RF[[#This Row],[Fecha de cumplimiento]]&lt;=IF(tblAct_RF[[#This Row],[Mes]]=MesCiclo,InicioCiclo,tblAct_RF[[#This Row],[Mes]]+MOD(2-WEEKDAY(tblAct_RF[[#This Row],[Mes]]),7))+6),1,IF(ISNUMBER(tblAct_RF[[#This Row],[Avance Semana 1 (%)]]),tblAct_RF[[#This Row],[Avance Semana 1 (%)]],0)))</calculatedColumnFormula>
    </tableColumn>
    <tableColumn id="27" name="Propio S2 (aux)">
      <calculatedColumnFormula>IF(tblAct_RF[[#This Row],[Tipo (aux)]]="","",IF(AND(ISNUMBER(tblAct_RF[[#This Row],[Fecha de cumplimiento]]),tblAct_RF[[#This Row],[Fecha de cumplimiento]]&lt;=IF(tblAct_RF[[#This Row],[Mes]]=MesCiclo,InicioCiclo,tblAct_RF[[#This Row],[Mes]]+MOD(2-WEEKDAY(tblAct_RF[[#This Row],[Mes]]),7))+13),1,IF(ISNUMBER(tblAct_RF[[#This Row],[Avance Semana 2 (%)]]),tblAct_RF[[#This Row],[Avance Semana 2 (%)]],tblAct_RF[[#This Row],[Propio S1 (aux)]])))</calculatedColumnFormula>
    </tableColumn>
    <tableColumn id="28" name="Propio S3 (aux)">
      <calculatedColumnFormula>IF(tblAct_RF[[#This Row],[Tipo (aux)]]="","",IF(AND(ISNUMBER(tblAct_RF[[#This Row],[Fecha de cumplimiento]]),tblAct_RF[[#This Row],[Fecha de cumplimiento]]&lt;=IF(tblAct_RF[[#This Row],[Mes]]=MesCiclo,InicioCiclo,tblAct_RF[[#This Row],[Mes]]+MOD(2-WEEKDAY(tblAct_RF[[#This Row],[Mes]]),7))+20),1,IF(ISNUMBER(tblAct_RF[[#This Row],[Avance Semana 3 (%)]]),tblAct_RF[[#This Row],[Avance Semana 3 (%)]],tblAct_RF[[#This Row],[Propio S2 (aux)]])))</calculatedColumnFormula>
    </tableColumn>
    <tableColumn id="29" name="Propio S4 (aux)">
      <calculatedColumnFormula>IF(tblAct_RF[[#This Row],[Tipo (aux)]]="","",IF(AND(ISNUMBER(tblAct_RF[[#This Row],[Fecha de cumplimiento]]),tblAct_RF[[#This Row],[Fecha de cumplimiento]]&lt;=IF(tblAct_RF[[#This Row],[Mes]]=MesCiclo,InicioCiclo,tblAct_RF[[#This Row],[Mes]]+MOD(2-WEEKDAY(tblAct_RF[[#This Row],[Mes]]),7))+27),1,IF(ISNUMBER(tblAct_RF[[#This Row],[Avance Semana 4 (%)]]),tblAct_RF[[#This Row],[Avance Semana 4 (%)]],tblAct_RF[[#This Row],[Propio S3 (aux)]])))</calculatedColumnFormula>
    </tableColumn>
    <tableColumn id="30" name="Sub cumplida S1 (aux)">
      <calculatedColumnFormula>IF(tblAct_RF[[#This Row],[Tipo (aux)]]&lt;&gt;"Sub","",N(tblAct_RF[[#This Row],[% efectivo de la subactividad (aux)]])*IF(AND(ISNUMBER(tblAct_RF[[#This Row],[Fecha de cumplimiento]]),tblAct_RF[[#This Row],[Fecha de cumplimiento]]&lt;=IF(tblAct_RF[[#This Row],[Mes]]=MesCiclo,InicioCiclo,tblAct_RF[[#This Row],[Mes]]+MOD(2-WEEKDAY(tblAct_RF[[#This Row],[Mes]]),7))+6),1,MIN(1,MAX(0,IF(ISNUMBER(OFFSET($A$1,ROW()-1,8)),OFFSET($A$1,ROW()-1,8),0)))))</calculatedColumnFormula>
    </tableColumn>
    <tableColumn id="31" name="Sub cumplida S2 (aux)">
      <calculatedColumnFormula>IF(tblAct_RF[[#This Row],[Tipo (aux)]]&lt;&gt;"Sub","",N(tblAct_RF[[#This Row],[% efectivo de la subactividad (aux)]])*IF(AND(ISNUMBER(tblAct_RF[[#This Row],[Fecha de cumplimiento]]),tblAct_RF[[#This Row],[Fecha de cumplimiento]]&lt;=IF(tblAct_RF[[#This Row],[Mes]]=MesCiclo,InicioCiclo,tblAct_RF[[#This Row],[Mes]]+MOD(2-WEEKDAY(tblAct_RF[[#This Row],[Mes]]),7))+13),1,MIN(1,MAX(0,IF(ISNUMBER(OFFSET($A$1,ROW()-1,9)),OFFSET($A$1,ROW()-1,9),IF(ISNUMBER(OFFSET($A$1,ROW()-1,8)),OFFSET($A$1,ROW()-1,8),0))))))</calculatedColumnFormula>
    </tableColumn>
    <tableColumn id="32" name="Sub cumplida S3 (aux)">
      <calculatedColumnFormula>IF(tblAct_RF[[#This Row],[Tipo (aux)]]&lt;&gt;"Sub","",N(tblAct_RF[[#This Row],[% efectivo de la subactividad (aux)]])*IF(AND(ISNUMBER(tblAct_RF[[#This Row],[Fecha de cumplimiento]]),tblAct_RF[[#This Row],[Fecha de cumplimiento]]&lt;=IF(tblAct_RF[[#This Row],[Mes]]=MesCiclo,InicioCiclo,tblAct_RF[[#This Row],[Mes]]+MOD(2-WEEKDAY(tblAct_RF[[#This Row],[Mes]]),7))+20),1,MIN(1,MAX(0,IF(ISNUMBER(OFFSET($A$1,ROW()-1,10)),OFFSET($A$1,ROW()-1,10),IF(ISNUMBER(OFFSET($A$1,ROW()-1,9)),OFFSET($A$1,ROW()-1,9),IF(ISNUMBER(OFFSET($A$1,ROW()-1,8)),OFFSET($A$1,ROW()-1,8),0)))))))</calculatedColumnFormula>
    </tableColumn>
    <tableColumn id="33" name="Sub cumplida S4 (aux)">
      <calculatedColumnFormula>IF(tblAct_RF[[#This Row],[Tipo (aux)]]&lt;&gt;"Sub","",N(tblAct_RF[[#This Row],[% efectivo de la subactividad (aux)]])*IF(AND(ISNUMBER(tblAct_RF[[#This Row],[Fecha de cumplimiento]]),tblAct_RF[[#This Row],[Fecha de cumplimiento]]&lt;=IF(tblAct_RF[[#This Row],[Mes]]=MesCiclo,InicioCiclo,tblAct_RF[[#This Row],[Mes]]+MOD(2-WEEKDAY(tblAct_RF[[#This Row],[Mes]]),7))+27),1,MIN(1,MAX(0,IF(ISNUMBER(OFFSET($A$1,ROW()-1,11)),OFFSET($A$1,ROW()-1,11),IF(ISNUMBER(OFFSET($A$1,ROW()-1,10)),OFFSET($A$1,ROW()-1,10),IF(ISNUMBER(OFFSET($A$1,ROW()-1,9)),OFFSET($A$1,ROW()-1,9),IF(ISNUMBER(OFFSET($A$1,ROW()-1,8)),OFFSET($A$1,ROW()-1,8),0))))))))</calculatedColumnFormula>
    </tableColumn>
    <tableColumn id="34" name="Efectivo S1 (aux)">
      <calculatedColumnFormula>IF(tblAct_RF[[#This Row],[Tipo (aux)]]="","",IF(AND(ISNUMBER(tblAct_RF[[#This Row],[Fecha de cumplimiento]]),tblAct_RF[[#This Row],[Fecha de cumplimiento]]&lt;=IF(tblAct_RF[[#This Row],[Mes]]=MesCiclo,InicioCiclo,tblAct_RF[[#This Row],[Mes]]+MOD(2-WEEKDAY(tblAct_RF[[#This Row],[Mes]]),7))+6),1,IF(N(tblAct_RF[[#This Row],[N subactividades (aux)]])&gt;0,MIN(1,SUMIFS($AD$5:$AD$1000,$U$5:$U$1000,ROW(),$V$5:$V$1000,"Sub")),tblAct_RF[[#This Row],[Propio S1 (aux)]])))</calculatedColumnFormula>
    </tableColumn>
    <tableColumn id="35" name="Efectivo S2 (aux)">
      <calculatedColumnFormula>IF(tblAct_RF[[#This Row],[Tipo (aux)]]="","",IF(AND(ISNUMBER(tblAct_RF[[#This Row],[Fecha de cumplimiento]]),tblAct_RF[[#This Row],[Fecha de cumplimiento]]&lt;=IF(tblAct_RF[[#This Row],[Mes]]=MesCiclo,InicioCiclo,tblAct_RF[[#This Row],[Mes]]+MOD(2-WEEKDAY(tblAct_RF[[#This Row],[Mes]]),7))+13),1,IF(N(tblAct_RF[[#This Row],[N subactividades (aux)]])&gt;0,MIN(1,SUMIFS($AE$5:$AE$1000,$U$5:$U$1000,ROW(),$V$5:$V$1000,"Sub")),tblAct_RF[[#This Row],[Propio S2 (aux)]])))</calculatedColumnFormula>
    </tableColumn>
    <tableColumn id="36" name="Efectivo S3 (aux)">
      <calculatedColumnFormula>IF(tblAct_RF[[#This Row],[Tipo (aux)]]="","",IF(AND(ISNUMBER(tblAct_RF[[#This Row],[Fecha de cumplimiento]]),tblAct_RF[[#This Row],[Fecha de cumplimiento]]&lt;=IF(tblAct_RF[[#This Row],[Mes]]=MesCiclo,InicioCiclo,tblAct_RF[[#This Row],[Mes]]+MOD(2-WEEKDAY(tblAct_RF[[#This Row],[Mes]]),7))+20),1,IF(N(tblAct_RF[[#This Row],[N subactividades (aux)]])&gt;0,MIN(1,SUMIFS($AF$5:$AF$1000,$U$5:$U$1000,ROW(),$V$5:$V$1000,"Sub")),tblAct_RF[[#This Row],[Propio S3 (aux)]])))</calculatedColumnFormula>
    </tableColumn>
    <tableColumn id="37" name="Efectivo S4 (aux)">
      <calculatedColumnFormula>IF(tblAct_RF[[#This Row],[Tipo (aux)]]="","",IF(AND(ISNUMBER(tblAct_RF[[#This Row],[Fecha de cumplimiento]]),tblAct_RF[[#This Row],[Fecha de cumplimiento]]&lt;=IF(tblAct_RF[[#This Row],[Mes]]=MesCiclo,InicioCiclo,tblAct_RF[[#This Row],[Mes]]+MOD(2-WEEKDAY(tblAct_RF[[#This Row],[Mes]]),7))+27),1,IF(N(tblAct_RF[[#This Row],[N subactividades (aux)]])&gt;0,MIN(1,SUMIFS($AG$5:$AG$1000,$U$5:$U$1000,ROW(),$V$5:$V$1000,"Sub")),tblAct_RF[[#This Row],[Propio S4 (aux)]])))</calculatedColumnFormula>
    </tableColumn>
    <tableColumn id="38" name="Peso efectivo (aux)">
      <calculatedColumnFormula>IF(tblAct_RF[[#This Row],[Tipo (aux)]]&lt;&gt;"Macro","",IF(COUNTIFS($S$5:$S$1000,tblAct_RF[[#This Row],[Mes]],$V$5:$V$1000,"Macro",$H$5:$H$1000,"&gt;0")=0,1/COUNTIFS($S$5:$S$1000,tblAct_RF[[#This Row],[Mes]],$V$5:$V$1000,"Macro"),IF(AND(ISNUMBER(tblAct_RF[[#This Row],[Peso / % de la subactividad]]),N(tblAct_RF[[#This Row],[Peso / % de la subactividad]])&gt;0),tblAct_RF[[#This Row],[Peso / % de la subactividad]],SUMIFS($H$5:$H$1000,$S$5:$S$1000,tblAct_RF[[#This Row],[Mes]],$V$5:$V$1000,"Macro")/COUNTIFS($S$5:$S$1000,tblAct_RF[[#This Row],[Mes]],$V$5:$V$1000,"Macro",$H$5:$H$1000,"&gt;0"))/(COUNTIFS($S$5:$S$1000,tblAct_RF[[#This Row],[Mes]],$V$5:$V$1000,"Macro")*SUMIFS($H$5:$H$1000,$S$5:$S$1000,tblAct_RF[[#This Row],[Mes]],$V$5:$V$1000,"Macro")/COUNTIFS($S$5:$S$1000,tblAct_RF[[#This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IF(LEFT(tblAct_RF[[#This Row],[Actividad]],11)="[Jefatura] ",IFERROR(MATCH("Riesgo Financiero|"&amp;MID(tblAct_RF[[#This Row],[Actividad]],12,500),rDname_ADM,0),0),"")</calculatedColumnFormula>
    </tableColumn>
    <tableColumn id="44" name="Inicio efectivo (aux)">
      <calculatedColumnFormula>IF(N(tblAct_RF[[#This Row],[Fila en Administración (aux)]])&gt;0,INDEX(rIni_ADM,tblAct_RF[[#This Row],[Fila en Administración (aux)]]),IF(ISNUMBER(tblAct_RF[[#This Row],[Fecha de inicio]]),tblAct_RF[[#This Row],[Fecha de inicio]],""))</calculatedColumnFormula>
    </tableColumn>
    <tableColumn id="45" name="Límite efectivo (aux)">
      <calculatedColumnFormula>IF(N(tblAct_RF[[#This Row],[Fila en Administración (aux)]])&gt;0,INDEX(rLim_ADM,tblAct_RF[[#This Row],[Fila en Administración (aux)]]),IF(ISNUMBER(tblAct_RF[[#This Row],[Fecha límite]]),tblAct_RF[[#This Row],[Fecha límite]],""))</calculatedColumnFormula>
    </tableColumn>
  </tableColumns>
  <tableStyleInfo name="TableStyleLight1" showRowStripes="0"/>
</table>
</file>

<file path=xl/tables/table7.xml><?xml version="1.0" encoding="utf-8"?>
<table xmlns="http://schemas.openxmlformats.org/spreadsheetml/2006/main" id="7" name="tblSem_RF" displayName="tblSem_RF"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ables/table8.xml><?xml version="1.0" encoding="utf-8"?>
<table xmlns="http://schemas.openxmlformats.org/spreadsheetml/2006/main" id="8" name="tblAct_ATR" displayName="tblAct_ATR" ref="A4:AS304" headerRowCount="1">
  <autoFilter ref="A4:AS304"/>
  <tableColumns count="45">
    <tableColumn id="1" name="N°">
      <calculatedColumnFormula>IF(NOT((COUNTA(tblAct_ATR[[#This Row],[Tipo]:[Delegar a]])+COUNTA(tblAct_ATR[[#This Row],[Fecha de cumplimiento]:[Peso / % de la subactividad]])+COUNTA(tblAct_ATR[[#This Row],[Observaciones]]))&gt;0),"",IF(tblAct_ATR[[#This Row],[Tipo (aux)]]="Macro",COUNTIFS(INDEX(tblAct_ATR[Tipo (aux)],1):tblAct_ATR[[#This Row],[Tipo (aux)]],"Macro",INDEX(tblAct_ATR[Mes],1):tblAct_ATR[[#This Row],[Mes]],tblAct_ATR[[#This Row],[Mes]]),IF(N(tblAct_ATR[[#This Row],[Grupo (aux)]])=0,"?",COUNTIFS(INDEX($V$5:$V$1000,1):INDEX($V$5:$V$1000,tblAct_ATR[[#This Row],[Grupo (aux)]]-4),"Macro",INDEX($S$5:$S$1000,1):INDEX($S$5:$S$1000,tblAct_ATR[[#This Row],[Grupo (aux)]]-4),INDEX($S$5:$S$1000,tblAct_ATR[[#This Row],[Grupo (aux)]]-4))&amp;"."&amp;COUNTIFS(INDEX(tblAct_ATR[Grupo (aux)],1):tblAct_ATR[[#This Row],[Grupo (aux)]],tblAct_ATR[[#This Row],[Grupo (aux)]],INDEX(tblAct_ATR[Tipo (aux)],1):tblAct_ATR[[#This Row],[Tipo (aux)]],"Sub"))))</calculatedColumnFormula>
    </tableColumn>
    <tableColumn id="2" name="Tipo"/>
    <tableColumn id="3" name="Actividad"/>
    <tableColumn id="4" name="Delegar a"/>
    <tableColumn id="5" name="Fecha de inicio"/>
    <tableColumn id="6" name="Fecha límite"/>
    <tableColumn id="7" name="Fecha de cumplimiento"/>
    <tableColumn id="8" name="Peso / % de la subactividad"/>
    <tableColumn id="9" name="Avance Semana 1 (%)"/>
    <tableColumn id="10" name="Avance Semana 2 (%)"/>
    <tableColumn id="11" name="Avance Semana 3 (%)"/>
    <tableColumn id="12" name="Avance Semana 4 (%)"/>
    <tableColumn id="13" name="% de Avance Total Actual">
      <calculatedColumnFormula>IF(OR(NOT((COUNTA(tblAct_ATR[[#This Row],[Tipo]:[Delegar a]])+COUNTA(tblAct_ATR[[#This Row],[Fecha de cumplimiento]:[Peso / % de la subactividad]])+COUNTA(tblAct_ATR[[#This Row],[Observaciones]]))&gt;0),tblAct_ATR[[#This Row],[Tipo (aux)]]="Sub"),"",IF(ISNUMBER(tblAct_ATR[[#This Row],[Fecha de cumplimiento]]),1,IF(N(tblAct_ATR[[#This Row],[N subactividades (aux)]])&gt;0,MIN(1,SUMIFS($Y$5:$Y$1000,$U$5:$U$1000,ROW(),$V$5:$V$1000,"Sub")),tblAct_ATR[[#This Row],[Avance propio (aux)]])))</calculatedColumnFormula>
    </tableColumn>
    <tableColumn id="14" name="Estado">
      <calculatedColumnFormula>IF(OR(tblAct_ATR[[#This Row],[% de Avance Total Actual]]="",tblAct_ATR[[#This Row],[Tipo (aux)]]="Sub"),"",IF(tblAct_ATR[[#This Row],[% de Avance Total Actual]]&gt;=1,"Completado",IF(tblAct_ATR[[#This Row],[% de Avance Total Actual]]&gt;0,"En curso","Pendiente")))</calculatedColumnFormula>
    </tableColumn>
    <tableColumn id="15" name="Alerta de plazo">
      <calculatedColumnFormula>IF(OR(NOT((COUNTA(tblAct_ATR[[#This Row],[Tipo]:[Delegar a]])+COUNTA(tblAct_ATR[[#This Row],[Fecha de cumplimiento]:[Peso / % de la subactividad]])+COUNTA(tblAct_ATR[[#This Row],[Observaciones]]))&gt;0),tblAct_ATR[[#This Row],[Tipo (aux)]]="Sub"),"",IF(ISNUMBER(tblAct_ATR[[#This Row],[Fecha de cumplimiento]]),IF(AND(ISNUMBER(tblAct_ATR[[#This Row],[Límite efectivo (aux)]]),tblAct_ATR[[#This Row],[Fecha de cumplimiento]]&gt;tblAct_ATR[[#This Row],[Límite efectivo (aux)]]),"Cumplida con "&amp;(tblAct_ATR[[#This Row],[Fecha de cumplimiento]]-tblAct_ATR[[#This Row],[Límite efectivo (aux)]])&amp;IF(tblAct_ATR[[#This Row],[Fecha de cumplimiento]]-tblAct_ATR[[#This Row],[Límite efectivo (aux)]]=1," día"," días")&amp;" de retraso","Cumplida"),IF(N(tblAct_ATR[[#This Row],[% de Avance Total Actual]])&gt;=1,"Cumplida",IF(NOT(ISNUMBER(tblAct_ATR[[#This Row],[Límite efectivo (aux)]])),"Sin fecha límite",IF(tblAct_ATR[[#This Row],[Límite efectivo (aux)]]&lt;FechaRef,"Vencida hace "&amp;(FechaRef-tblAct_ATR[[#This Row],[Límite efectivo (aux)]])&amp;IF(FechaRef-tblAct_ATR[[#This Row],[Límite efectivo (aux)]]=1," día"," días"),IF(tblAct_ATR[[#This Row],[Límite efectivo (aux)]]=FechaRef,"Vence hoy",IF(tblAct_ATR[[#This Row],[Límite efectivo (aux)]]-FechaRef&lt;=DiasAlerta,"Vence en "&amp;(tblAct_ATR[[#This Row],[Límite efectivo (aux)]]-FechaRef)&amp;IF(tblAct_ATR[[#This Row],[Límite efectivo (aux)]]-FechaRef=1," día"," días"),"En plazo")))))))</calculatedColumnFormula>
    </tableColumn>
    <tableColumn id="16" name="Seguimiento de la delegación"/>
    <tableColumn id="17" name="Observaciones"/>
    <tableColumn id="18" name="Revisión automática (alertas)">
      <calculatedColumnFormula>IF(NOT((COUNTA(tblAct_ATR[[#This Row],[Tipo]:[Delegar a]])+COUNTA(tblAct_ATR[[#This Row],[Fecha de cumplimiento]:[Peso / % de la subactividad]])+COUNTA(tblAct_ATR[[#This Row],[Observaciones]]))&gt;0),"",IF((IF(tblAct_ATR[[#This Row],[Actividad]]="","Falta el nombre de la actividad"&amp;" · ","")&amp;IF(AND(tblAct_ATR[[#This Row],[Tipo (aux)]]="Sub",N(tblAct_ATR[[#This Row],[Grupo (aux)]])=0),"Subactividad sin macroactividad arriba"&amp;" · ","")&amp;IF(AND(tblAct_ATR[[#This Row],[Tipo (aux)]]="Macro",tblAct_ATR[[#This Row],[Inicio efectivo (aux)]]=""),"Sin fecha de inicio"&amp;" · ","")&amp;IF(AND(tblAct_ATR[[#This Row],[Tipo (aux)]]="Macro",tblAct_ATR[[#This Row],[Límite efectivo (aux)]]=""),"Sin fecha límite"&amp;" · ","")&amp;IF(AND(LEFT(tblAct_ATR[[#This Row],[Actividad]],11)="[Jefatura] ",N(tblAct_ATR[[#This Row],[Fila en Administración (aux)]])=0),"No se encuentra en la hoja de la jefatura (elíjala de nuevo en la lista)"&amp;" · ","")&amp;IF(OR(AND(tblAct_ATR[[#This Row],[Fecha de inicio]]&lt;&gt;"",NOT(ISNUMBER(tblAct_ATR[[#This Row],[Fecha de inicio]]))),AND(tblAct_ATR[[#This Row],[Fecha límite]]&lt;&gt;"",NOT(ISNUMBER(tblAct_ATR[[#This Row],[Fecha límite]]))),AND(tblAct_ATR[[#This Row],[Fecha de cumplimiento]]&lt;&gt;"",NOT(ISNUMBER(tblAct_ATR[[#This Row],[Fecha de cumplimiento]])))),"Fecha no válida"&amp;" · ","")&amp;IF(AND(ISNUMBER(tblAct_ATR[[#This Row],[Inicio efectivo (aux)]]),ISNUMBER(tblAct_ATR[[#This Row],[Límite efectivo (aux)]]),tblAct_ATR[[#This Row],[Inicio efectivo (aux)]]&gt;tblAct_ATR[[#This Row],[Límite efectivo (aux)]]),"Inicio posterior a fecha límite"&amp;" · ","")&amp;IF(AND(tblAct_ATR[[#This Row],[Tipo (aux)]]="Macro",tblAct_ATR[[#This Row],[Peso / % de la subactividad]]&lt;&gt;"",OR(NOT(ISNUMBER(tblAct_ATR[[#This Row],[Peso / % de la subactividad]])),tblAct_ATR[[#This Row],[Peso / % de la subactividad]]&lt;0,tblAct_ATR[[#This Row],[Peso / % de la subactividad]]&gt;1)),"Peso fuera de rango"&amp;" · ","")&amp;IF(AND(tblAct_ATR[[#This Row],[Tipo (aux)]]="Sub",tblAct_ATR[[#This Row],[Peso / % de la subactividad]]&lt;&gt;"",OR(NOT(ISNUMBER(tblAct_ATR[[#This Row],[Peso / % de la subactividad]])),tblAct_ATR[[#This Row],[Peso / % de la subactividad]]&lt;0,tblAct_ATR[[#This Row],[Peso / % de la subactividad]]&gt;1)),"% de la subactividad fuera de rango 0-100%"&amp;" · ","")&amp;IF(AND(N(tblAct_ATR[[#This Row],[N subactividades (aux)]])&gt;0,SUMIFS($H$5:$H$1000,$U$5:$U$1000,ROW(),$V$5:$V$1000,"Sub")&gt;1.0001),"Las subactividades suman más de 100%"&amp;" · ","")&amp;IF(AND(N(tblAct_ATR[[#This Row],[N subactividades (aux)]])&gt;0,OR(IF(ISNUMBER(tblAct_ATR[[#This Row],[Avance Semana 1 (%)]]),ROUND(tblAct_ATR[[#This Row],[Avance Semana 1 (%)]],6)&lt;&gt;ROUND(MIN(1,SUMIFS($AD$5:$AD$1000,$U$5:$U$1000,ROW(),$V$5:$V$1000,"Sub")),6),FALSE),IF(ISNUMBER(tblAct_ATR[[#This Row],[Avance Semana 2 (%)]]),ROUND(tblAct_ATR[[#This Row],[Avance Semana 2 (%)]],6)&lt;&gt;ROUND(MIN(1,SUMIFS($AE$5:$AE$1000,$U$5:$U$1000,ROW(),$V$5:$V$1000,"Sub")),6),FALSE),IF(ISNUMBER(tblAct_ATR[[#This Row],[Avance Semana 3 (%)]]),ROUND(tblAct_ATR[[#This Row],[Avance Semana 3 (%)]],6)&lt;&gt;ROUND(MIN(1,SUMIFS($AF$5:$AF$1000,$U$5:$U$1000,ROW(),$V$5:$V$1000,"Sub")),6),FALSE),IF(ISNUMBER(tblAct_ATR[[#This Row],[Avance Semana 4 (%)]]),ROUND(tblAct_ATR[[#This Row],[Avance Semana 4 (%)]],6)&lt;&gt;ROUND(MIN(1,SUMIFS($AG$5:$AG$1000,$U$5:$U$1000,ROW(),$V$5:$V$1000,"Sub")),6),FALSE))),"Con subactividades: no escriba en las semanas (se llenan solas)"&amp;" · ","")&amp;IF((COUNTIF(tblAct_ATR[[#This Row],[Avance Semana 1 (%)]:[Avance Semana 4 (%)]],"&gt;1")+COUNTIF(tblAct_ATR[[#This Row],[Avance Semana 1 (%)]:[Avance Semana 4 (%)]],"&lt;0")+SUMPRODUCT((LEN(tblAct_ATR[[#This Row],[Avance Semana 1 (%)]:[Avance Semana 4 (%)]])&gt;0)*NOT(ISNUMBER(tblAct_ATR[[#This Row],[Avance Semana 1 (%)]:[Avance Semana 4 (%)]]))))&gt;0,"Avance fuera de rango 0-100%"&amp;" · ","")&amp;IF(OR(AND(ISNUMBER(tblAct_ATR[[#This Row],[Avance Semana 2 (%)]]),tblAct_ATR[[#This Row],[Avance Semana 2 (%)]]&lt;N(tblAct_ATR[[#This Row],[Avance Semana 1 (%)]])),AND(ISNUMBER(tblAct_ATR[[#This Row],[Avance Semana 3 (%)]]),tblAct_ATR[[#This Row],[Avance Semana 3 (%)]]&lt;MAX(tblAct_ATR[[#This Row],[Avance Semana 1 (%)]:[Avance Semana 2 (%)]])),AND(ISNUMBER(tblAct_ATR[[#This Row],[Avance Semana 4 (%)]]),tblAct_ATR[[#This Row],[Avance Semana 4 (%)]]&lt;MAX(tblAct_ATR[[#This Row],[Avance Semana 1 (%)]:[Avance Semana 3 (%)]]))),"Avance semanal decreciente"&amp;" · ","")&amp;IF(AND(ISNUMBER(tblAct_ATR[[#This Row],[Límite efectivo (aux)]]),tblAct_ATR[[#This Row],[Límite efectivo (aux)]]&lt;FechaRef,IF(tblAct_ATR[[#This Row],[Tipo (aux)]]="Sub",1,N(tblAct_ATR[[#This Row],[% de Avance Total Actual]]))&lt;1),"Vencida"&amp;" · ","")&amp;IF(AND(ObsObligatoria="Sí",ISNUMBER(tblAct_ATR[[#This Row],[Límite efectivo (aux)]]),tblAct_ATR[[#This Row],[Límite efectivo (aux)]]&lt;FechaRef,IF(tblAct_ATR[[#This Row],[Tipo (aux)]]="Sub",1,N(tblAct_ATR[[#This Row],[% de Avance Total Actual]]))&lt;1,tblAct_ATR[[#This Row],[Observaciones]]=""),"Vencida sin observación"&amp;" · ",""))="","✔ OK","⚠ "&amp;LEFT(IF(tblAct_ATR[[#This Row],[Actividad]]="","Falta el nombre de la actividad"&amp;" · ","")&amp;IF(AND(tblAct_ATR[[#This Row],[Tipo (aux)]]="Sub",N(tblAct_ATR[[#This Row],[Grupo (aux)]])=0),"Subactividad sin macroactividad arriba"&amp;" · ","")&amp;IF(AND(tblAct_ATR[[#This Row],[Tipo (aux)]]="Macro",tblAct_ATR[[#This Row],[Inicio efectivo (aux)]]=""),"Sin fecha de inicio"&amp;" · ","")&amp;IF(AND(tblAct_ATR[[#This Row],[Tipo (aux)]]="Macro",tblAct_ATR[[#This Row],[Límite efectivo (aux)]]=""),"Sin fecha límite"&amp;" · ","")&amp;IF(AND(LEFT(tblAct_ATR[[#This Row],[Actividad]],11)="[Jefatura] ",N(tblAct_ATR[[#This Row],[Fila en Administración (aux)]])=0),"No se encuentra en la hoja de la jefatura (elíjala de nuevo en la lista)"&amp;" · ","")&amp;IF(OR(AND(tblAct_ATR[[#This Row],[Fecha de inicio]]&lt;&gt;"",NOT(ISNUMBER(tblAct_ATR[[#This Row],[Fecha de inicio]]))),AND(tblAct_ATR[[#This Row],[Fecha límite]]&lt;&gt;"",NOT(ISNUMBER(tblAct_ATR[[#This Row],[Fecha límite]]))),AND(tblAct_ATR[[#This Row],[Fecha de cumplimiento]]&lt;&gt;"",NOT(ISNUMBER(tblAct_ATR[[#This Row],[Fecha de cumplimiento]])))),"Fecha no válida"&amp;" · ","")&amp;IF(AND(ISNUMBER(tblAct_ATR[[#This Row],[Inicio efectivo (aux)]]),ISNUMBER(tblAct_ATR[[#This Row],[Límite efectivo (aux)]]),tblAct_ATR[[#This Row],[Inicio efectivo (aux)]]&gt;tblAct_ATR[[#This Row],[Límite efectivo (aux)]]),"Inicio posterior a fecha límite"&amp;" · ","")&amp;IF(AND(tblAct_ATR[[#This Row],[Tipo (aux)]]="Macro",tblAct_ATR[[#This Row],[Peso / % de la subactividad]]&lt;&gt;"",OR(NOT(ISNUMBER(tblAct_ATR[[#This Row],[Peso / % de la subactividad]])),tblAct_ATR[[#This Row],[Peso / % de la subactividad]]&lt;0,tblAct_ATR[[#This Row],[Peso / % de la subactividad]]&gt;1)),"Peso fuera de rango"&amp;" · ","")&amp;IF(AND(tblAct_ATR[[#This Row],[Tipo (aux)]]="Sub",tblAct_ATR[[#This Row],[Peso / % de la subactividad]]&lt;&gt;"",OR(NOT(ISNUMBER(tblAct_ATR[[#This Row],[Peso / % de la subactividad]])),tblAct_ATR[[#This Row],[Peso / % de la subactividad]]&lt;0,tblAct_ATR[[#This Row],[Peso / % de la subactividad]]&gt;1)),"% de la subactividad fuera de rango 0-100%"&amp;" · ","")&amp;IF(AND(N(tblAct_ATR[[#This Row],[N subactividades (aux)]])&gt;0,SUMIFS($H$5:$H$1000,$U$5:$U$1000,ROW(),$V$5:$V$1000,"Sub")&gt;1.0001),"Las subactividades suman más de 100%"&amp;" · ","")&amp;IF(AND(N(tblAct_ATR[[#This Row],[N subactividades (aux)]])&gt;0,OR(IF(ISNUMBER(tblAct_ATR[[#This Row],[Avance Semana 1 (%)]]),ROUND(tblAct_ATR[[#This Row],[Avance Semana 1 (%)]],6)&lt;&gt;ROUND(MIN(1,SUMIFS($AD$5:$AD$1000,$U$5:$U$1000,ROW(),$V$5:$V$1000,"Sub")),6),FALSE),IF(ISNUMBER(tblAct_ATR[[#This Row],[Avance Semana 2 (%)]]),ROUND(tblAct_ATR[[#This Row],[Avance Semana 2 (%)]],6)&lt;&gt;ROUND(MIN(1,SUMIFS($AE$5:$AE$1000,$U$5:$U$1000,ROW(),$V$5:$V$1000,"Sub")),6),FALSE),IF(ISNUMBER(tblAct_ATR[[#This Row],[Avance Semana 3 (%)]]),ROUND(tblAct_ATR[[#This Row],[Avance Semana 3 (%)]],6)&lt;&gt;ROUND(MIN(1,SUMIFS($AF$5:$AF$1000,$U$5:$U$1000,ROW(),$V$5:$V$1000,"Sub")),6),FALSE),IF(ISNUMBER(tblAct_ATR[[#This Row],[Avance Semana 4 (%)]]),ROUND(tblAct_ATR[[#This Row],[Avance Semana 4 (%)]],6)&lt;&gt;ROUND(MIN(1,SUMIFS($AG$5:$AG$1000,$U$5:$U$1000,ROW(),$V$5:$V$1000,"Sub")),6),FALSE))),"Con subactividades: no escriba en las semanas (se llenan solas)"&amp;" · ","")&amp;IF((COUNTIF(tblAct_ATR[[#This Row],[Avance Semana 1 (%)]:[Avance Semana 4 (%)]],"&gt;1")+COUNTIF(tblAct_ATR[[#This Row],[Avance Semana 1 (%)]:[Avance Semana 4 (%)]],"&lt;0")+SUMPRODUCT((LEN(tblAct_ATR[[#This Row],[Avance Semana 1 (%)]:[Avance Semana 4 (%)]])&gt;0)*NOT(ISNUMBER(tblAct_ATR[[#This Row],[Avance Semana 1 (%)]:[Avance Semana 4 (%)]]))))&gt;0,"Avance fuera de rango 0-100%"&amp;" · ","")&amp;IF(OR(AND(ISNUMBER(tblAct_ATR[[#This Row],[Avance Semana 2 (%)]]),tblAct_ATR[[#This Row],[Avance Semana 2 (%)]]&lt;N(tblAct_ATR[[#This Row],[Avance Semana 1 (%)]])),AND(ISNUMBER(tblAct_ATR[[#This Row],[Avance Semana 3 (%)]]),tblAct_ATR[[#This Row],[Avance Semana 3 (%)]]&lt;MAX(tblAct_ATR[[#This Row],[Avance Semana 1 (%)]:[Avance Semana 2 (%)]])),AND(ISNUMBER(tblAct_ATR[[#This Row],[Avance Semana 4 (%)]]),tblAct_ATR[[#This Row],[Avance Semana 4 (%)]]&lt;MAX(tblAct_ATR[[#This Row],[Avance Semana 1 (%)]:[Avance Semana 3 (%)]]))),"Avance semanal decreciente"&amp;" · ","")&amp;IF(AND(ISNUMBER(tblAct_ATR[[#This Row],[Límite efectivo (aux)]]),tblAct_ATR[[#This Row],[Límite efectivo (aux)]]&lt;FechaRef,IF(tblAct_ATR[[#This Row],[Tipo (aux)]]="Sub",1,N(tblAct_ATR[[#This Row],[% de Avance Total Actual]]))&lt;1),"Vencida"&amp;" · ","")&amp;IF(AND(ObsObligatoria="Sí",ISNUMBER(tblAct_ATR[[#This Row],[Límite efectivo (aux)]]),tblAct_ATR[[#This Row],[Límite efectivo (aux)]]&lt;FechaRef,IF(tblAct_ATR[[#This Row],[Tipo (aux)]]="Sub",1,N(tblAct_ATR[[#This Row],[% de Avance Total Actual]]))&lt;1,tblAct_ATR[[#This Row],[Observaciones]]=""),"Vencida sin observación"&amp;" · ",""),LEN(IF(tblAct_ATR[[#This Row],[Actividad]]="","Falta el nombre de la actividad"&amp;" · ","")&amp;IF(AND(tblAct_ATR[[#This Row],[Tipo (aux)]]="Sub",N(tblAct_ATR[[#This Row],[Grupo (aux)]])=0),"Subactividad sin macroactividad arriba"&amp;" · ","")&amp;IF(AND(tblAct_ATR[[#This Row],[Tipo (aux)]]="Macro",tblAct_ATR[[#This Row],[Inicio efectivo (aux)]]=""),"Sin fecha de inicio"&amp;" · ","")&amp;IF(AND(tblAct_ATR[[#This Row],[Tipo (aux)]]="Macro",tblAct_ATR[[#This Row],[Límite efectivo (aux)]]=""),"Sin fecha límite"&amp;" · ","")&amp;IF(AND(LEFT(tblAct_ATR[[#This Row],[Actividad]],11)="[Jefatura] ",N(tblAct_ATR[[#This Row],[Fila en Administración (aux)]])=0),"No se encuentra en la hoja de la jefatura (elíjala de nuevo en la lista)"&amp;" · ","")&amp;IF(OR(AND(tblAct_ATR[[#This Row],[Fecha de inicio]]&lt;&gt;"",NOT(ISNUMBER(tblAct_ATR[[#This Row],[Fecha de inicio]]))),AND(tblAct_ATR[[#This Row],[Fecha límite]]&lt;&gt;"",NOT(ISNUMBER(tblAct_ATR[[#This Row],[Fecha límite]]))),AND(tblAct_ATR[[#This Row],[Fecha de cumplimiento]]&lt;&gt;"",NOT(ISNUMBER(tblAct_ATR[[#This Row],[Fecha de cumplimiento]])))),"Fecha no válida"&amp;" · ","")&amp;IF(AND(ISNUMBER(tblAct_ATR[[#This Row],[Inicio efectivo (aux)]]),ISNUMBER(tblAct_ATR[[#This Row],[Límite efectivo (aux)]]),tblAct_ATR[[#This Row],[Inicio efectivo (aux)]]&gt;tblAct_ATR[[#This Row],[Límite efectivo (aux)]]),"Inicio posterior a fecha límite"&amp;" · ","")&amp;IF(AND(tblAct_ATR[[#This Row],[Tipo (aux)]]="Macro",tblAct_ATR[[#This Row],[Peso / % de la subactividad]]&lt;&gt;"",OR(NOT(ISNUMBER(tblAct_ATR[[#This Row],[Peso / % de la subactividad]])),tblAct_ATR[[#This Row],[Peso / % de la subactividad]]&lt;0,tblAct_ATR[[#This Row],[Peso / % de la subactividad]]&gt;1)),"Peso fuera de rango"&amp;" · ","")&amp;IF(AND(tblAct_ATR[[#This Row],[Tipo (aux)]]="Sub",tblAct_ATR[[#This Row],[Peso / % de la subactividad]]&lt;&gt;"",OR(NOT(ISNUMBER(tblAct_ATR[[#This Row],[Peso / % de la subactividad]])),tblAct_ATR[[#This Row],[Peso / % de la subactividad]]&lt;0,tblAct_ATR[[#This Row],[Peso / % de la subactividad]]&gt;1)),"% de la subactividad fuera de rango 0-100%"&amp;" · ","")&amp;IF(AND(N(tblAct_ATR[[#This Row],[N subactividades (aux)]])&gt;0,SUMIFS($H$5:$H$1000,$U$5:$U$1000,ROW(),$V$5:$V$1000,"Sub")&gt;1.0001),"Las subactividades suman más de 100%"&amp;" · ","")&amp;IF(AND(N(tblAct_ATR[[#This Row],[N subactividades (aux)]])&gt;0,OR(IF(ISNUMBER(tblAct_ATR[[#This Row],[Avance Semana 1 (%)]]),ROUND(tblAct_ATR[[#This Row],[Avance Semana 1 (%)]],6)&lt;&gt;ROUND(MIN(1,SUMIFS($AD$5:$AD$1000,$U$5:$U$1000,ROW(),$V$5:$V$1000,"Sub")),6),FALSE),IF(ISNUMBER(tblAct_ATR[[#This Row],[Avance Semana 2 (%)]]),ROUND(tblAct_ATR[[#This Row],[Avance Semana 2 (%)]],6)&lt;&gt;ROUND(MIN(1,SUMIFS($AE$5:$AE$1000,$U$5:$U$1000,ROW(),$V$5:$V$1000,"Sub")),6),FALSE),IF(ISNUMBER(tblAct_ATR[[#This Row],[Avance Semana 3 (%)]]),ROUND(tblAct_ATR[[#This Row],[Avance Semana 3 (%)]],6)&lt;&gt;ROUND(MIN(1,SUMIFS($AF$5:$AF$1000,$U$5:$U$1000,ROW(),$V$5:$V$1000,"Sub")),6),FALSE),IF(ISNUMBER(tblAct_ATR[[#This Row],[Avance Semana 4 (%)]]),ROUND(tblAct_ATR[[#This Row],[Avance Semana 4 (%)]],6)&lt;&gt;ROUND(MIN(1,SUMIFS($AG$5:$AG$1000,$U$5:$U$1000,ROW(),$V$5:$V$1000,"Sub")),6),FALSE))),"Con subactividades: no escriba en las semanas (se llenan solas)"&amp;" · ","")&amp;IF((COUNTIF(tblAct_ATR[[#This Row],[Avance Semana 1 (%)]:[Avance Semana 4 (%)]],"&gt;1")+COUNTIF(tblAct_ATR[[#This Row],[Avance Semana 1 (%)]:[Avance Semana 4 (%)]],"&lt;0")+SUMPRODUCT((LEN(tblAct_ATR[[#This Row],[Avance Semana 1 (%)]:[Avance Semana 4 (%)]])&gt;0)*NOT(ISNUMBER(tblAct_ATR[[#This Row],[Avance Semana 1 (%)]:[Avance Semana 4 (%)]]))))&gt;0,"Avance fuera de rango 0-100%"&amp;" · ","")&amp;IF(OR(AND(ISNUMBER(tblAct_ATR[[#This Row],[Avance Semana 2 (%)]]),tblAct_ATR[[#This Row],[Avance Semana 2 (%)]]&lt;N(tblAct_ATR[[#This Row],[Avance Semana 1 (%)]])),AND(ISNUMBER(tblAct_ATR[[#This Row],[Avance Semana 3 (%)]]),tblAct_ATR[[#This Row],[Avance Semana 3 (%)]]&lt;MAX(tblAct_ATR[[#This Row],[Avance Semana 1 (%)]:[Avance Semana 2 (%)]])),AND(ISNUMBER(tblAct_ATR[[#This Row],[Avance Semana 4 (%)]]),tblAct_ATR[[#This Row],[Avance Semana 4 (%)]]&lt;MAX(tblAct_ATR[[#This Row],[Avance Semana 1 (%)]:[Avance Semana 3 (%)]]))),"Avance semanal decreciente"&amp;" · ","")&amp;IF(AND(ISNUMBER(tblAct_ATR[[#This Row],[Límite efectivo (aux)]]),tblAct_ATR[[#This Row],[Límite efectivo (aux)]]&lt;FechaRef,IF(tblAct_ATR[[#This Row],[Tipo (aux)]]="Sub",1,N(tblAct_ATR[[#This Row],[% de Avance Total Actual]]))&lt;1),"Vencida"&amp;" · ","")&amp;IF(AND(ObsObligatoria="Sí",ISNUMBER(tblAct_ATR[[#This Row],[Límite efectivo (aux)]]),tblAct_ATR[[#This Row],[Límite efectivo (aux)]]&lt;FechaRef,IF(tblAct_ATR[[#This Row],[Tipo (aux)]]="Sub",1,N(tblAct_ATR[[#This Row],[% de Avance Total Actual]]))&lt;1,tblAct_ATR[[#This Row],[Observaciones]]=""),"Vencida sin observación"&amp;" · ",""))-3)))</calculatedColumnFormula>
    </tableColumn>
    <tableColumn id="19" name="Mes">
      <calculatedColumnFormula>IF(NOT((COUNTA(tblAct_ATR[[#This Row],[Tipo]:[Delegar a]])+COUNTA(tblAct_ATR[[#This Row],[Fecha de cumplimiento]:[Peso / % de la subactividad]])+COUNTA(tblAct_ATR[[#This Row],[Observaciones]]))&gt;0),"",IF(AND(tblAct_ATR[[#This Row],[Tipo (aux)]]="Sub",N(tblAct_ATR[[#This Row],[Grupo (aux)]])&gt;0),IF(ISNUMBER(INDEX($AR$5:$AR$1000,tblAct_ATR[[#This Row],[Grupo (aux)]]-4)),DATE(YEAR(INDEX($AR$5:$AR$1000,tblAct_ATR[[#This Row],[Grupo (aux)]]-4)),MONTH(INDEX($AR$5:$AR$1000,tblAct_ATR[[#This Row],[Grupo (aux)]]-4)),1),IF(ISNUMBER(INDEX($AS$5:$AS$1000,tblAct_ATR[[#This Row],[Grupo (aux)]]-4)),DATE(YEAR(INDEX($AS$5:$AS$1000,tblAct_ATR[[#This Row],[Grupo (aux)]]-4)),MONTH(INDEX($AS$5:$AS$1000,tblAct_ATR[[#This Row],[Grupo (aux)]]-4)),1),MesCiclo)),IF(ISNUMBER(tblAct_ATR[[#This Row],[Inicio efectivo (aux)]]),DATE(YEAR(tblAct_ATR[[#This Row],[Inicio efectivo (aux)]]),MONTH(tblAct_ATR[[#This Row],[Inicio efectivo (aux)]]),1),IF(ISNUMBER(tblAct_ATR[[#This Row],[Límite efectivo (aux)]]),DATE(YEAR(tblAct_ATR[[#This Row],[Límite efectivo (aux)]]),MONTH(tblAct_ATR[[#This Row],[Límite efectivo (aux)]]),1),MesCiclo))))</calculatedColumnFormula>
    </tableColumn>
    <tableColumn id="20" name="Orden en el mes (aux)">
      <calculatedColumnFormula>IF(OR(tblAct_ATR[[#This Row],[Mes]]="",tblAct_ATR[[#This Row],[Mes]]&lt;&gt;MesCiclo,tblAct_ATR[[#This Row],[Tipo (aux)]]&lt;&gt;"Macro"),"",COUNTIFS(INDEX(tblAct_ATR[Mes],1):tblAct_ATR[[#This Row],[Mes]],MesCiclo,INDEX(tblAct_ATR[Tipo (aux)],1):tblAct_ATR[[#This Row],[Tipo (aux)]],"Macro"))</calculatedColumnFormula>
    </tableColumn>
    <tableColumn id="21" name="Grupo (aux)">
      <calculatedColumnFormula>IF(tblAct_ATR[[#This Row],[Tipo (aux)]]="","",IF(tblAct_ATR[[#This Row],[Tipo (aux)]]="Macro",ROW(),IFERROR(LOOKUP(2,1/(INDEX(tblAct_ATR[Tipo (aux)],1):tblAct_ATR[[#This Row],[Tipo (aux)]]="Macro"),ROW(INDEX(tblAct_ATR[Tipo (aux)],1):tblAct_ATR[[#This Row],[Tipo (aux)]])),0)))</calculatedColumnFormula>
    </tableColumn>
    <tableColumn id="22" name="Tipo (aux)">
      <calculatedColumnFormula>IF(NOT((COUNTA(tblAct_ATR[[#This Row],[Tipo]:[Delegar a]])+COUNTA(tblAct_ATR[[#This Row],[Fecha de cumplimiento]:[Peso / % de la subactividad]])+COUNTA(tblAct_ATR[[#This Row],[Observaciones]]))&gt;0),"",IF(tblAct_ATR[[#This Row],[Tipo]]="Subactividad","Sub","Macro"))</calculatedColumnFormula>
    </tableColumn>
    <tableColumn id="23" name="N subactividades (aux)">
      <calculatedColumnFormula>IF(tblAct_ATR[[#This Row],[Tipo (aux)]]="Macro",COUNTIFS($U$5:$U$1000,ROW(),$V$5:$V$1000,"Sub"),"")</calculatedColumnFormula>
    </tableColumn>
    <tableColumn id="24" name="% efectivo de la subactividad (aux)">
      <calculatedColumnFormula>IF(tblAct_ATR[[#This Row],[Tipo (aux)]]&lt;&gt;"Sub","",IF(AND(ISNUMBER(tblAct_ATR[[#This Row],[Peso / % de la subactividad]]),N(tblAct_ATR[[#This Row],[Peso / % de la subactividad]])&gt;0),tblAct_ATR[[#This Row],[Peso / % de la subactividad]],IFERROR(MAX(0,1-SUMIFS($H$5:$H$1000,$U$5:$U$1000,tblAct_ATR[[#This Row],[Grupo (aux)]],$V$5:$V$1000,"Sub"))/(COUNTIFS($U$5:$U$1000,tblAct_ATR[[#This Row],[Grupo (aux)]],$V$5:$V$1000,"Sub")-COUNTIFS($U$5:$U$1000,tblAct_ATR[[#This Row],[Grupo (aux)]],$V$5:$V$1000,"Sub",$H$5:$H$1000,"&gt;0")),0)))</calculatedColumnFormula>
    </tableColumn>
    <tableColumn id="25" name="Avance propio (aux)">
      <calculatedColumnFormula>IF(tblAct_ATR[[#This Row],[Tipo (aux)]]="","",IF(tblAct_ATR[[#This Row],[Tipo (aux)]]="Sub",N(tblAct_ATR[[#This Row],[% efectivo de la subactividad (aux)]])*IF(ISNUMBER(tblAct_ATR[[#This Row],[Fecha de cumplimiento]]),1,MIN(1,MAX(0,IFERROR(LOOKUP(2,1/ISNUMBER(tblAct_ATR[[#This Row],[Avance Semana 1 (%)]:[Avance Semana 4 (%)]]),tblAct_ATR[[#This Row],[Avance Semana 1 (%)]:[Avance Semana 4 (%)]]),0)))),IF(ISNUMBER(tblAct_ATR[[#This Row],[Fecha de cumplimiento]]),1,IFERROR(LOOKUP(2,1/(tblAct_ATR[[#This Row],[Avance Semana 1 (%)]:[Avance Semana 4 (%)]]&lt;&gt;""),tblAct_ATR[[#This Row],[Avance Semana 1 (%)]:[Avance Semana 4 (%)]]),0))))</calculatedColumnFormula>
    </tableColumn>
    <tableColumn id="26" name="Propio S1 (aux)">
      <calculatedColumnFormula>IF(tblAct_ATR[[#This Row],[Tipo (aux)]]="","",IF(AND(ISNUMBER(tblAct_ATR[[#This Row],[Fecha de cumplimiento]]),tblAct_ATR[[#This Row],[Fecha de cumplimiento]]&lt;=IF(tblAct_ATR[[#This Row],[Mes]]=MesCiclo,InicioCiclo,tblAct_ATR[[#This Row],[Mes]]+MOD(2-WEEKDAY(tblAct_ATR[[#This Row],[Mes]]),7))+6),1,IF(ISNUMBER(tblAct_ATR[[#This Row],[Avance Semana 1 (%)]]),tblAct_ATR[[#This Row],[Avance Semana 1 (%)]],0)))</calculatedColumnFormula>
    </tableColumn>
    <tableColumn id="27" name="Propio S2 (aux)">
      <calculatedColumnFormula>IF(tblAct_ATR[[#This Row],[Tipo (aux)]]="","",IF(AND(ISNUMBER(tblAct_ATR[[#This Row],[Fecha de cumplimiento]]),tblAct_ATR[[#This Row],[Fecha de cumplimiento]]&lt;=IF(tblAct_ATR[[#This Row],[Mes]]=MesCiclo,InicioCiclo,tblAct_ATR[[#This Row],[Mes]]+MOD(2-WEEKDAY(tblAct_ATR[[#This Row],[Mes]]),7))+13),1,IF(ISNUMBER(tblAct_ATR[[#This Row],[Avance Semana 2 (%)]]),tblAct_ATR[[#This Row],[Avance Semana 2 (%)]],tblAct_ATR[[#This Row],[Propio S1 (aux)]])))</calculatedColumnFormula>
    </tableColumn>
    <tableColumn id="28" name="Propio S3 (aux)">
      <calculatedColumnFormula>IF(tblAct_ATR[[#This Row],[Tipo (aux)]]="","",IF(AND(ISNUMBER(tblAct_ATR[[#This Row],[Fecha de cumplimiento]]),tblAct_ATR[[#This Row],[Fecha de cumplimiento]]&lt;=IF(tblAct_ATR[[#This Row],[Mes]]=MesCiclo,InicioCiclo,tblAct_ATR[[#This Row],[Mes]]+MOD(2-WEEKDAY(tblAct_ATR[[#This Row],[Mes]]),7))+20),1,IF(ISNUMBER(tblAct_ATR[[#This Row],[Avance Semana 3 (%)]]),tblAct_ATR[[#This Row],[Avance Semana 3 (%)]],tblAct_ATR[[#This Row],[Propio S2 (aux)]])))</calculatedColumnFormula>
    </tableColumn>
    <tableColumn id="29" name="Propio S4 (aux)">
      <calculatedColumnFormula>IF(tblAct_ATR[[#This Row],[Tipo (aux)]]="","",IF(AND(ISNUMBER(tblAct_ATR[[#This Row],[Fecha de cumplimiento]]),tblAct_ATR[[#This Row],[Fecha de cumplimiento]]&lt;=IF(tblAct_ATR[[#This Row],[Mes]]=MesCiclo,InicioCiclo,tblAct_ATR[[#This Row],[Mes]]+MOD(2-WEEKDAY(tblAct_ATR[[#This Row],[Mes]]),7))+27),1,IF(ISNUMBER(tblAct_ATR[[#This Row],[Avance Semana 4 (%)]]),tblAct_ATR[[#This Row],[Avance Semana 4 (%)]],tblAct_ATR[[#This Row],[Propio S3 (aux)]])))</calculatedColumnFormula>
    </tableColumn>
    <tableColumn id="30" name="Sub cumplida S1 (aux)">
      <calculatedColumnFormula>IF(tblAct_ATR[[#This Row],[Tipo (aux)]]&lt;&gt;"Sub","",N(tblAct_ATR[[#This Row],[% efectivo de la subactividad (aux)]])*IF(AND(ISNUMBER(tblAct_ATR[[#This Row],[Fecha de cumplimiento]]),tblAct_ATR[[#This Row],[Fecha de cumplimiento]]&lt;=IF(tblAct_ATR[[#This Row],[Mes]]=MesCiclo,InicioCiclo,tblAct_ATR[[#This Row],[Mes]]+MOD(2-WEEKDAY(tblAct_ATR[[#This Row],[Mes]]),7))+6),1,MIN(1,MAX(0,IF(ISNUMBER(OFFSET($A$1,ROW()-1,8)),OFFSET($A$1,ROW()-1,8),0)))))</calculatedColumnFormula>
    </tableColumn>
    <tableColumn id="31" name="Sub cumplida S2 (aux)">
      <calculatedColumnFormula>IF(tblAct_ATR[[#This Row],[Tipo (aux)]]&lt;&gt;"Sub","",N(tblAct_ATR[[#This Row],[% efectivo de la subactividad (aux)]])*IF(AND(ISNUMBER(tblAct_ATR[[#This Row],[Fecha de cumplimiento]]),tblAct_ATR[[#This Row],[Fecha de cumplimiento]]&lt;=IF(tblAct_ATR[[#This Row],[Mes]]=MesCiclo,InicioCiclo,tblAct_ATR[[#This Row],[Mes]]+MOD(2-WEEKDAY(tblAct_ATR[[#This Row],[Mes]]),7))+13),1,MIN(1,MAX(0,IF(ISNUMBER(OFFSET($A$1,ROW()-1,9)),OFFSET($A$1,ROW()-1,9),IF(ISNUMBER(OFFSET($A$1,ROW()-1,8)),OFFSET($A$1,ROW()-1,8),0))))))</calculatedColumnFormula>
    </tableColumn>
    <tableColumn id="32" name="Sub cumplida S3 (aux)">
      <calculatedColumnFormula>IF(tblAct_ATR[[#This Row],[Tipo (aux)]]&lt;&gt;"Sub","",N(tblAct_ATR[[#This Row],[% efectivo de la subactividad (aux)]])*IF(AND(ISNUMBER(tblAct_ATR[[#This Row],[Fecha de cumplimiento]]),tblAct_ATR[[#This Row],[Fecha de cumplimiento]]&lt;=IF(tblAct_ATR[[#This Row],[Mes]]=MesCiclo,InicioCiclo,tblAct_ATR[[#This Row],[Mes]]+MOD(2-WEEKDAY(tblAct_ATR[[#This Row],[Mes]]),7))+20),1,MIN(1,MAX(0,IF(ISNUMBER(OFFSET($A$1,ROW()-1,10)),OFFSET($A$1,ROW()-1,10),IF(ISNUMBER(OFFSET($A$1,ROW()-1,9)),OFFSET($A$1,ROW()-1,9),IF(ISNUMBER(OFFSET($A$1,ROW()-1,8)),OFFSET($A$1,ROW()-1,8),0)))))))</calculatedColumnFormula>
    </tableColumn>
    <tableColumn id="33" name="Sub cumplida S4 (aux)">
      <calculatedColumnFormula>IF(tblAct_ATR[[#This Row],[Tipo (aux)]]&lt;&gt;"Sub","",N(tblAct_ATR[[#This Row],[% efectivo de la subactividad (aux)]])*IF(AND(ISNUMBER(tblAct_ATR[[#This Row],[Fecha de cumplimiento]]),tblAct_ATR[[#This Row],[Fecha de cumplimiento]]&lt;=IF(tblAct_ATR[[#This Row],[Mes]]=MesCiclo,InicioCiclo,tblAct_ATR[[#This Row],[Mes]]+MOD(2-WEEKDAY(tblAct_ATR[[#This Row],[Mes]]),7))+27),1,MIN(1,MAX(0,IF(ISNUMBER(OFFSET($A$1,ROW()-1,11)),OFFSET($A$1,ROW()-1,11),IF(ISNUMBER(OFFSET($A$1,ROW()-1,10)),OFFSET($A$1,ROW()-1,10),IF(ISNUMBER(OFFSET($A$1,ROW()-1,9)),OFFSET($A$1,ROW()-1,9),IF(ISNUMBER(OFFSET($A$1,ROW()-1,8)),OFFSET($A$1,ROW()-1,8),0))))))))</calculatedColumnFormula>
    </tableColumn>
    <tableColumn id="34" name="Efectivo S1 (aux)">
      <calculatedColumnFormula>IF(tblAct_ATR[[#This Row],[Tipo (aux)]]="","",IF(AND(ISNUMBER(tblAct_ATR[[#This Row],[Fecha de cumplimiento]]),tblAct_ATR[[#This Row],[Fecha de cumplimiento]]&lt;=IF(tblAct_ATR[[#This Row],[Mes]]=MesCiclo,InicioCiclo,tblAct_ATR[[#This Row],[Mes]]+MOD(2-WEEKDAY(tblAct_ATR[[#This Row],[Mes]]),7))+6),1,IF(N(tblAct_ATR[[#This Row],[N subactividades (aux)]])&gt;0,MIN(1,SUMIFS($AD$5:$AD$1000,$U$5:$U$1000,ROW(),$V$5:$V$1000,"Sub")),tblAct_ATR[[#This Row],[Propio S1 (aux)]])))</calculatedColumnFormula>
    </tableColumn>
    <tableColumn id="35" name="Efectivo S2 (aux)">
      <calculatedColumnFormula>IF(tblAct_ATR[[#This Row],[Tipo (aux)]]="","",IF(AND(ISNUMBER(tblAct_ATR[[#This Row],[Fecha de cumplimiento]]),tblAct_ATR[[#This Row],[Fecha de cumplimiento]]&lt;=IF(tblAct_ATR[[#This Row],[Mes]]=MesCiclo,InicioCiclo,tblAct_ATR[[#This Row],[Mes]]+MOD(2-WEEKDAY(tblAct_ATR[[#This Row],[Mes]]),7))+13),1,IF(N(tblAct_ATR[[#This Row],[N subactividades (aux)]])&gt;0,MIN(1,SUMIFS($AE$5:$AE$1000,$U$5:$U$1000,ROW(),$V$5:$V$1000,"Sub")),tblAct_ATR[[#This Row],[Propio S2 (aux)]])))</calculatedColumnFormula>
    </tableColumn>
    <tableColumn id="36" name="Efectivo S3 (aux)">
      <calculatedColumnFormula>IF(tblAct_ATR[[#This Row],[Tipo (aux)]]="","",IF(AND(ISNUMBER(tblAct_ATR[[#This Row],[Fecha de cumplimiento]]),tblAct_ATR[[#This Row],[Fecha de cumplimiento]]&lt;=IF(tblAct_ATR[[#This Row],[Mes]]=MesCiclo,InicioCiclo,tblAct_ATR[[#This Row],[Mes]]+MOD(2-WEEKDAY(tblAct_ATR[[#This Row],[Mes]]),7))+20),1,IF(N(tblAct_ATR[[#This Row],[N subactividades (aux)]])&gt;0,MIN(1,SUMIFS($AF$5:$AF$1000,$U$5:$U$1000,ROW(),$V$5:$V$1000,"Sub")),tblAct_ATR[[#This Row],[Propio S3 (aux)]])))</calculatedColumnFormula>
    </tableColumn>
    <tableColumn id="37" name="Efectivo S4 (aux)">
      <calculatedColumnFormula>IF(tblAct_ATR[[#This Row],[Tipo (aux)]]="","",IF(AND(ISNUMBER(tblAct_ATR[[#This Row],[Fecha de cumplimiento]]),tblAct_ATR[[#This Row],[Fecha de cumplimiento]]&lt;=IF(tblAct_ATR[[#This Row],[Mes]]=MesCiclo,InicioCiclo,tblAct_ATR[[#This Row],[Mes]]+MOD(2-WEEKDAY(tblAct_ATR[[#This Row],[Mes]]),7))+27),1,IF(N(tblAct_ATR[[#This Row],[N subactividades (aux)]])&gt;0,MIN(1,SUMIFS($AG$5:$AG$1000,$U$5:$U$1000,ROW(),$V$5:$V$1000,"Sub")),tblAct_ATR[[#This Row],[Propio S4 (aux)]])))</calculatedColumnFormula>
    </tableColumn>
    <tableColumn id="38" name="Peso efectivo (aux)">
      <calculatedColumnFormula>IF(tblAct_ATR[[#This Row],[Tipo (aux)]]&lt;&gt;"Macro","",IF(COUNTIFS($S$5:$S$1000,tblAct_ATR[[#This Row],[Mes]],$V$5:$V$1000,"Macro",$H$5:$H$1000,"&gt;0")=0,1/COUNTIFS($S$5:$S$1000,tblAct_ATR[[#This Row],[Mes]],$V$5:$V$1000,"Macro"),IF(AND(ISNUMBER(tblAct_ATR[[#This Row],[Peso / % de la subactividad]]),N(tblAct_ATR[[#This Row],[Peso / % de la subactividad]])&gt;0),tblAct_ATR[[#This Row],[Peso / % de la subactividad]],SUMIFS($H$5:$H$1000,$S$5:$S$1000,tblAct_ATR[[#This Row],[Mes]],$V$5:$V$1000,"Macro")/COUNTIFS($S$5:$S$1000,tblAct_ATR[[#This Row],[Mes]],$V$5:$V$1000,"Macro",$H$5:$H$1000,"&gt;0"))/(COUNTIFS($S$5:$S$1000,tblAct_ATR[[#This Row],[Mes]],$V$5:$V$1000,"Macro")*SUMIFS($H$5:$H$1000,$S$5:$S$1000,tblAct_ATR[[#This Row],[Mes]],$V$5:$V$1000,"Macro")/COUNTIFS($S$5:$S$1000,tblAct_ATR[[#This Row],[Mes]],$V$5:$V$1000,"Macro",$H$5:$H$1000,"&gt;0"))))</calculatedColumnFormula>
    </tableColumn>
    <tableColumn id="39" name="Fila en el puesto (aux)"/>
    <tableColumn id="40" name="N° delegada en el mes (aux)"/>
    <tableColumn id="41" name="Clave delegada (aux)"/>
    <tableColumn id="42" name="Clave puesto-actividad (aux)"/>
    <tableColumn id="43" name="Fila en Administración (aux)">
      <calculatedColumnFormula>IF(LEFT(tblAct_ATR[[#This Row],[Actividad]],11)="[Jefatura] ",IFERROR(MATCH("Asistente Técnico de Riesgo|"&amp;MID(tblAct_ATR[[#This Row],[Actividad]],12,500),rDname_ADM,0),0),"")</calculatedColumnFormula>
    </tableColumn>
    <tableColumn id="44" name="Inicio efectivo (aux)">
      <calculatedColumnFormula>IF(N(tblAct_ATR[[#This Row],[Fila en Administración (aux)]])&gt;0,INDEX(rIni_ADM,tblAct_ATR[[#This Row],[Fila en Administración (aux)]]),IF(ISNUMBER(tblAct_ATR[[#This Row],[Fecha de inicio]]),tblAct_ATR[[#This Row],[Fecha de inicio]],""))</calculatedColumnFormula>
    </tableColumn>
    <tableColumn id="45" name="Límite efectivo (aux)">
      <calculatedColumnFormula>IF(N(tblAct_ATR[[#This Row],[Fila en Administración (aux)]])&gt;0,INDEX(rLim_ADM,tblAct_ATR[[#This Row],[Fila en Administración (aux)]]),IF(ISNUMBER(tblAct_ATR[[#This Row],[Fecha límite]]),tblAct_ATR[[#This Row],[Fecha límite]],""))</calculatedColumnFormula>
    </tableColumn>
  </tableColumns>
  <tableStyleInfo name="TableStyleLight1" showRowStripes="0"/>
</table>
</file>

<file path=xl/tables/table9.xml><?xml version="1.0" encoding="utf-8"?>
<table xmlns="http://schemas.openxmlformats.org/spreadsheetml/2006/main" id="9" name="tblSem_ATR" displayName="tblSem_ATR" ref="A4:M104" headerRowCount="1">
  <autoFilter ref="A4:M104"/>
  <tableColumns count="13">
    <tableColumn id="1" name="N°"/>
    <tableColumn id="2" name="Actividad"/>
    <tableColumn id="3" name="Fecha de inicio"/>
    <tableColumn id="4" name="Fecha límite"/>
    <tableColumn id="5" name="Semana de entrega"/>
    <tableColumn id="6" name="Semana 1"/>
    <tableColumn id="7" name="Semana 2"/>
    <tableColumn id="8" name="Semana 3"/>
    <tableColumn id="9" name="Semana 4"/>
    <tableColumn id="10" name="% Avance actual"/>
    <tableColumn id="11" name="Estado"/>
    <tableColumn id="12" name="Alerta de plazo"/>
    <tableColumn id="13" name="Observaciones"/>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ronograma R. Operacional'!A1" TargetMode="External" Id="rId1"/><Relationship Type="http://schemas.openxmlformats.org/officeDocument/2006/relationships/hyperlink" Target="#'Cronograma R. Normativo'!A1" TargetMode="External" Id="rId2"/><Relationship Type="http://schemas.openxmlformats.org/officeDocument/2006/relationships/hyperlink" Target="#'Cronograma R. Financiero'!A1" TargetMode="External" Id="rId3"/><Relationship Type="http://schemas.openxmlformats.org/officeDocument/2006/relationships/hyperlink" Target="#'Cronograma Asistente T&#233;cnico'!A1" TargetMode="External" Id="rId4"/><Relationship Type="http://schemas.openxmlformats.org/officeDocument/2006/relationships/hyperlink" Target="#'Actividades R. Operacional'!A1" TargetMode="External" Id="rId5"/><Relationship Type="http://schemas.openxmlformats.org/officeDocument/2006/relationships/hyperlink" Target="#'Actividades R. Normativo'!A1" TargetMode="External" Id="rId6"/><Relationship Type="http://schemas.openxmlformats.org/officeDocument/2006/relationships/hyperlink" Target="#'Actividades R. Financiero'!A1" TargetMode="External" Id="rId7"/><Relationship Type="http://schemas.openxmlformats.org/officeDocument/2006/relationships/hyperlink" Target="#'Actividades Asistente T&#233;cnico'!A1" TargetMode="External" Id="rId8"/><Relationship Type="http://schemas.openxmlformats.org/officeDocument/2006/relationships/hyperlink" Target="#'Administraci&#243;n'!A1" TargetMode="External" Id="rId9"/><Relationship Type="http://schemas.openxmlformats.org/officeDocument/2006/relationships/drawing" Target="/xl/drawings/drawing1.xml" Id="rId10"/></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fitToPage="1"/>
  </sheetPr>
  <dimension ref="B1:P90"/>
  <sheetViews>
    <sheetView showGridLines="0" zoomScale="90" workbookViewId="0">
      <pane ySplit="2" topLeftCell="A3" activePane="bottomLeft" state="frozen"/>
      <selection pane="bottomLeft" activeCell="A1" sqref="A1"/>
    </sheetView>
  </sheetViews>
  <sheetFormatPr baseColWidth="8" defaultRowHeight="15"/>
  <cols>
    <col width="2" customWidth="1" min="1" max="1"/>
    <col width="30" customWidth="1" min="2" max="2"/>
    <col width="18" customWidth="1" min="3" max="3"/>
    <col width="16" customWidth="1" min="4" max="4"/>
    <col width="13" customWidth="1" min="5" max="5"/>
    <col width="13" customWidth="1" min="6" max="6"/>
    <col width="13" customWidth="1" min="7" max="7"/>
    <col width="13" customWidth="1" min="8" max="8"/>
    <col width="13" customWidth="1" min="9" max="9"/>
    <col width="13" customWidth="1" min="10" max="10"/>
    <col width="22" customWidth="1" min="11" max="11"/>
    <col width="20" customWidth="1" min="12" max="12"/>
    <col width="24" customWidth="1" min="13" max="13"/>
    <col width="2" customWidth="1" min="14" max="14"/>
    <col hidden="1" width="13" customWidth="1" min="16" max="16"/>
  </cols>
  <sheetData>
    <row r="1" ht="34" customHeight="1">
      <c r="B1" s="1" t="inlineStr">
        <is>
          <t>Dashboard Consolidado – Gestión de Riesgos · Ciclo mensual de 4 semanas</t>
        </is>
      </c>
      <c r="C1" s="1" t="n"/>
      <c r="D1" s="1" t="n"/>
      <c r="E1" s="1" t="n"/>
      <c r="F1" s="1" t="n"/>
      <c r="G1" s="1" t="n"/>
      <c r="H1" s="1" t="n"/>
      <c r="I1" s="1" t="n"/>
      <c r="J1" s="1" t="n"/>
      <c r="K1" s="1" t="n"/>
      <c r="L1" s="1" t="n"/>
      <c r="M1" s="1" t="n"/>
    </row>
    <row r="2" ht="22" customHeight="1">
      <c r="B2" s="2" t="inlineStr">
        <is>
          <t>Período:</t>
        </is>
      </c>
      <c r="C2" s="3">
        <f>MesCiclo</f>
        <v/>
      </c>
      <c r="D2" s="2" t="inlineStr">
        <is>
          <t>Semana actual:</t>
        </is>
      </c>
      <c r="E2" s="4">
        <f>SemanaActual</f>
        <v/>
      </c>
      <c r="F2" s="2" t="inlineStr">
        <is>
          <t>Fecha de corte:</t>
        </is>
      </c>
      <c r="G2" s="5">
        <f>FechaRef</f>
        <v/>
      </c>
      <c r="H2" s="6" t="inlineStr">
        <is>
          <t>Se actualiza solo con las hojas «Cronograma …» y «Actividades …» de cada puesto. El período y la semana se calculan con la fecha de hoy (ver Configuración).</t>
        </is>
      </c>
      <c r="I2" s="6" t="n"/>
      <c r="J2" s="6" t="n"/>
      <c r="K2" s="6" t="n"/>
      <c r="L2" s="6" t="n"/>
      <c r="M2" s="6" t="n"/>
    </row>
    <row r="4" ht="20" customHeight="1">
      <c r="B4" s="7" t="inlineStr">
        <is>
          <t>Avance general de las actividades</t>
        </is>
      </c>
      <c r="C4" s="7" t="n"/>
      <c r="D4" s="7" t="n"/>
      <c r="E4" s="7" t="inlineStr">
        <is>
          <t>Meta de cumplimiento</t>
        </is>
      </c>
      <c r="F4" s="7" t="n"/>
      <c r="G4" s="7" t="n"/>
      <c r="H4" s="7" t="inlineStr">
        <is>
          <t>Macroactividades registradas</t>
        </is>
      </c>
      <c r="I4" s="7" t="n"/>
      <c r="J4" s="7" t="n"/>
      <c r="K4" s="7" t="inlineStr">
        <is>
          <t>Actividades completadas</t>
        </is>
      </c>
      <c r="L4" s="7" t="n"/>
      <c r="M4" s="7" t="n"/>
    </row>
    <row r="5" ht="38" customHeight="1">
      <c r="B5" s="8">
        <f>IF('Calculos'!$E$8,'Calculos'!$F$8,"No definitivo")</f>
        <v/>
      </c>
      <c r="C5" s="9" t="n"/>
      <c r="D5" s="9" t="n"/>
      <c r="E5" s="8">
        <f>MetaFinal</f>
        <v/>
      </c>
      <c r="F5" s="9" t="n"/>
      <c r="G5" s="9" t="n"/>
      <c r="H5" s="10">
        <f>'Calculos'!$B$11</f>
        <v/>
      </c>
      <c r="I5" s="9" t="n"/>
      <c r="J5" s="9" t="n"/>
      <c r="K5" s="10">
        <f>'Calculos'!$N$8</f>
        <v/>
      </c>
      <c r="L5" s="9" t="n"/>
      <c r="M5" s="9" t="n"/>
    </row>
    <row r="6" ht="18" customHeight="1">
      <c r="B6" s="11">
        <f>IF('Calculos'!$E$8,"Promedio simple de los 4 puestos",IF('Calculos'!$C$8=0,"Ningún puesto con datos válidos","Provisional "&amp;TEXT('Calculos'!$D$8,"0%")&amp;" ("&amp;'Calculos'!$C$8&amp;" de 4 puestos válidos)"))</f>
        <v/>
      </c>
      <c r="C6" s="11" t="n"/>
      <c r="D6" s="11" t="n"/>
      <c r="E6" s="11" t="inlineStr">
        <is>
          <t>Al cierre de la Semana 4</t>
        </is>
      </c>
      <c r="F6" s="11" t="n"/>
      <c r="G6" s="11" t="n"/>
      <c r="H6" s="11">
        <f>"En los 4 cronogramas · "&amp;'Calculos'!$U$8&amp;" delegada(s) por la jefatura"</f>
        <v/>
      </c>
      <c r="I6" s="11" t="n"/>
      <c r="J6" s="11" t="n"/>
      <c r="K6" s="11">
        <f>IF('Calculos'!$B$11=0,"—",TEXT('Calculos'!$N$8/'Calculos'!$B$11,"0%")&amp;" del total")</f>
        <v/>
      </c>
      <c r="L6" s="11" t="n"/>
      <c r="M6" s="11" t="n"/>
    </row>
    <row r="7" ht="8" customHeight="1"/>
    <row r="8" ht="20" customHeight="1">
      <c r="B8" s="7" t="inlineStr">
        <is>
          <t>Actividades en curso</t>
        </is>
      </c>
      <c r="C8" s="7" t="n"/>
      <c r="D8" s="7" t="n"/>
      <c r="E8" s="7" t="inlineStr">
        <is>
          <t>Actividades pendientes</t>
        </is>
      </c>
      <c r="F8" s="7" t="n"/>
      <c r="G8" s="7" t="n"/>
      <c r="H8" s="7" t="inlineStr">
        <is>
          <t>Puestos que alcanzaron el 100%</t>
        </is>
      </c>
      <c r="I8" s="7" t="n"/>
      <c r="J8" s="7" t="n"/>
      <c r="K8" s="7" t="inlineStr">
        <is>
          <t>Actividades con alertas</t>
        </is>
      </c>
      <c r="L8" s="7" t="n"/>
      <c r="M8" s="7" t="n"/>
    </row>
    <row r="9" ht="38" customHeight="1">
      <c r="B9" s="10">
        <f>'Calculos'!$O$8</f>
        <v/>
      </c>
      <c r="C9" s="9" t="n"/>
      <c r="D9" s="9" t="n"/>
      <c r="E9" s="10">
        <f>'Calculos'!$P$8</f>
        <v/>
      </c>
      <c r="F9" s="9" t="n"/>
      <c r="G9" s="9" t="n"/>
      <c r="H9" s="12">
        <f>'Calculos'!$B$12</f>
        <v/>
      </c>
      <c r="I9" s="9" t="n"/>
      <c r="J9" s="9" t="n"/>
      <c r="K9" s="10">
        <f>'Calculos'!$R$8</f>
        <v/>
      </c>
      <c r="L9" s="9" t="n"/>
      <c r="M9" s="9" t="n"/>
    </row>
    <row r="10" ht="18" customHeight="1">
      <c r="B10" s="11" t="inlineStr">
        <is>
          <t>Avance &gt; 0% y &lt; 100%</t>
        </is>
      </c>
      <c r="C10" s="11" t="n"/>
      <c r="D10" s="11" t="n"/>
      <c r="E10" s="11">
        <f>"De todas las actividades, vencidas: "&amp;'Calculos'!$Q$8</f>
        <v/>
      </c>
      <c r="F10" s="11" t="n"/>
      <c r="G10" s="11" t="n"/>
      <c r="H10" s="11" t="inlineStr">
        <is>
          <t>Con ponderación válida</t>
        </is>
      </c>
      <c r="I10" s="11" t="n"/>
      <c r="J10" s="11" t="n"/>
      <c r="K10" s="11">
        <f>"Próximas a vencer: "&amp;'Calculos'!$B$13</f>
        <v/>
      </c>
      <c r="L10" s="11" t="n"/>
      <c r="M10" s="11" t="n"/>
    </row>
    <row r="12" ht="30" customHeight="1">
      <c r="B12" s="13">
        <f>IF('Calculos'!$E$8,"Avance general vs meta 100%","Avance PROVISIONAL vs meta")</f>
        <v/>
      </c>
      <c r="C12" s="14">
        <f>IF('Calculos'!$E$8,'Calculos'!$F$8,N('Calculos'!$D$8))</f>
        <v/>
      </c>
      <c r="D12" s="15" t="n"/>
      <c r="E12" s="15" t="n"/>
      <c r="F12" s="15" t="n"/>
      <c r="G12" s="16">
        <f>IF('Calculos'!$B$11=0,"⚠ No hay actividades registradas en este mes. Cada puesto registra sus actividades y pesos en su hoja «Cronograma …».",IF(NOT('Calculos'!$E$8),"⚠ Avance general NO definitivo: "&amp;(4-'Calculos'!$C$8)&amp;" puesto(s) sin actividades válidas o con pesos que no suman 100%.",IF('Calculos'!$M$8,"Actividades del mes: ¡Enhorabuena, completado anticipadamente!",IF('Calculos'!$L$8,"Actividades del mes completadas: meta del 100% alcanzada.","Actividades del mes en ejecución – Semana "&amp;SemanaActual&amp;" de 4."))))</f>
        <v/>
      </c>
      <c r="H12" s="16" t="n"/>
      <c r="I12" s="16" t="n"/>
      <c r="J12" s="16" t="n"/>
      <c r="K12" s="16" t="n"/>
      <c r="L12" s="16" t="n"/>
      <c r="M12" s="16" t="n"/>
    </row>
    <row r="14" ht="24" customHeight="1">
      <c r="B14" s="17" t="inlineStr">
        <is>
          <t>Avance individual por puesto (ponderado por el peso de cada actividad)</t>
        </is>
      </c>
      <c r="C14" s="17" t="n"/>
      <c r="D14" s="17" t="n"/>
      <c r="E14" s="17" t="n"/>
      <c r="F14" s="17" t="n"/>
      <c r="G14" s="17" t="n"/>
      <c r="H14" s="17" t="n"/>
      <c r="I14" s="17" t="n"/>
      <c r="J14" s="17" t="n"/>
      <c r="K14" s="17" t="n"/>
      <c r="L14" s="17" t="n"/>
      <c r="M14" s="17" t="n"/>
    </row>
    <row r="15" ht="30" customHeight="1">
      <c r="B15" s="7" t="inlineStr">
        <is>
          <t>Puesto</t>
        </is>
      </c>
      <c r="C15" s="7" t="inlineStr">
        <is>
          <t>Avance ponderado</t>
        </is>
      </c>
      <c r="D15" s="7" t="inlineStr">
        <is>
          <t>Progreso</t>
        </is>
      </c>
      <c r="E15" s="7" t="inlineStr">
        <is>
          <t>Total actividades</t>
        </is>
      </c>
      <c r="F15" s="7" t="inlineStr">
        <is>
          <t>Completadas</t>
        </is>
      </c>
      <c r="G15" s="7" t="inlineStr">
        <is>
          <t>En curso</t>
        </is>
      </c>
      <c r="H15" s="7" t="inlineStr">
        <is>
          <t>Pendientes</t>
        </is>
      </c>
      <c r="I15" s="7" t="inlineStr">
        <is>
          <t>Vencidas</t>
        </is>
      </c>
      <c r="J15" s="7" t="inlineStr">
        <is>
          <t>Con alertas</t>
        </is>
      </c>
      <c r="K15" s="7" t="inlineStr">
        <is>
          <t>Estado general</t>
        </is>
      </c>
      <c r="L15" s="7" t="inlineStr">
        <is>
          <t>Mensaje de finalización</t>
        </is>
      </c>
      <c r="M15" s="18" t="n"/>
    </row>
    <row r="16" ht="28" customHeight="1">
      <c r="B16" s="19">
        <f>'Calculos'!A4</f>
        <v/>
      </c>
      <c r="C16" s="20">
        <f>IF('Calculos'!B4=0,"Sin actividades",IF(NOT('Calculos'!E4),"Revisar pesos",'Calculos'!F4))</f>
        <v/>
      </c>
      <c r="D16" s="21">
        <f>IF(ISNUMBER(C16),C16,0)</f>
        <v/>
      </c>
      <c r="E16" s="22">
        <f>'Calculos'!B4</f>
        <v/>
      </c>
      <c r="F16" s="22">
        <f>'Calculos'!N4</f>
        <v/>
      </c>
      <c r="G16" s="22">
        <f>'Calculos'!O4</f>
        <v/>
      </c>
      <c r="H16" s="22">
        <f>'Calculos'!P4</f>
        <v/>
      </c>
      <c r="I16" s="22">
        <f>'Calculos'!Q4</f>
        <v/>
      </c>
      <c r="J16" s="22">
        <f>'Calculos'!R4</f>
        <v/>
      </c>
      <c r="K16" s="22">
        <f>IF('Calculos'!B4=0,"Sin actividades",IF(NOT('Calculos'!E4),"Pesos no válidos",IF('Calculos'!L4,"Completado",IF('Calculos'!F4&gt;0,"En curso","Pendiente"))))</f>
        <v/>
      </c>
      <c r="L16" s="22">
        <f>IF('Calculos'!B4=0,"⚠ Registrar actividades",IF(NOT('Calculos'!E4),"⚠ Corregir pesos no válidos",IF('Calculos'!M4,"¡Enhorabuena, completado anticipadamente!",IF('Calculos'!L4,"Completado","En ejecución"))))</f>
        <v/>
      </c>
      <c r="M16" s="22" t="n"/>
      <c r="P16" t="inlineStr">
        <is>
          <t>R. Operacional</t>
        </is>
      </c>
    </row>
    <row r="17" ht="28" customHeight="1">
      <c r="B17" s="23">
        <f>'Calculos'!A5</f>
        <v/>
      </c>
      <c r="C17" s="20">
        <f>IF('Calculos'!B5=0,"Sin actividades",IF(NOT('Calculos'!E5),"Revisar pesos",'Calculos'!F5))</f>
        <v/>
      </c>
      <c r="D17" s="21">
        <f>IF(ISNUMBER(C17),C17,0)</f>
        <v/>
      </c>
      <c r="E17" s="22">
        <f>'Calculos'!B5</f>
        <v/>
      </c>
      <c r="F17" s="22">
        <f>'Calculos'!N5</f>
        <v/>
      </c>
      <c r="G17" s="22">
        <f>'Calculos'!O5</f>
        <v/>
      </c>
      <c r="H17" s="22">
        <f>'Calculos'!P5</f>
        <v/>
      </c>
      <c r="I17" s="22">
        <f>'Calculos'!Q5</f>
        <v/>
      </c>
      <c r="J17" s="22">
        <f>'Calculos'!R5</f>
        <v/>
      </c>
      <c r="K17" s="22">
        <f>IF('Calculos'!B5=0,"Sin actividades",IF(NOT('Calculos'!E5),"Pesos no válidos",IF('Calculos'!L5,"Completado",IF('Calculos'!F5&gt;0,"En curso","Pendiente"))))</f>
        <v/>
      </c>
      <c r="L17" s="22">
        <f>IF('Calculos'!B5=0,"⚠ Registrar actividades",IF(NOT('Calculos'!E5),"⚠ Corregir pesos no válidos",IF('Calculos'!M5,"¡Enhorabuena, completado anticipadamente!",IF('Calculos'!L5,"Completado","En ejecución"))))</f>
        <v/>
      </c>
      <c r="M17" s="22" t="n"/>
      <c r="P17" t="inlineStr">
        <is>
          <t>R. Normativo</t>
        </is>
      </c>
    </row>
    <row r="18" ht="28" customHeight="1">
      <c r="B18" s="24">
        <f>'Calculos'!A6</f>
        <v/>
      </c>
      <c r="C18" s="20">
        <f>IF('Calculos'!B6=0,"Sin actividades",IF(NOT('Calculos'!E6),"Revisar pesos",'Calculos'!F6))</f>
        <v/>
      </c>
      <c r="D18" s="21">
        <f>IF(ISNUMBER(C18),C18,0)</f>
        <v/>
      </c>
      <c r="E18" s="22">
        <f>'Calculos'!B6</f>
        <v/>
      </c>
      <c r="F18" s="22">
        <f>'Calculos'!N6</f>
        <v/>
      </c>
      <c r="G18" s="22">
        <f>'Calculos'!O6</f>
        <v/>
      </c>
      <c r="H18" s="22">
        <f>'Calculos'!P6</f>
        <v/>
      </c>
      <c r="I18" s="22">
        <f>'Calculos'!Q6</f>
        <v/>
      </c>
      <c r="J18" s="22">
        <f>'Calculos'!R6</f>
        <v/>
      </c>
      <c r="K18" s="22">
        <f>IF('Calculos'!B6=0,"Sin actividades",IF(NOT('Calculos'!E6),"Pesos no válidos",IF('Calculos'!L6,"Completado",IF('Calculos'!F6&gt;0,"En curso","Pendiente"))))</f>
        <v/>
      </c>
      <c r="L18" s="22">
        <f>IF('Calculos'!B6=0,"⚠ Registrar actividades",IF(NOT('Calculos'!E6),"⚠ Corregir pesos no válidos",IF('Calculos'!M6,"¡Enhorabuena, completado anticipadamente!",IF('Calculos'!L6,"Completado","En ejecución"))))</f>
        <v/>
      </c>
      <c r="M18" s="22" t="n"/>
      <c r="P18" t="inlineStr">
        <is>
          <t>R. Financiero</t>
        </is>
      </c>
    </row>
    <row r="19" ht="28" customHeight="1">
      <c r="B19" s="25">
        <f>'Calculos'!A7</f>
        <v/>
      </c>
      <c r="C19" s="20">
        <f>IF('Calculos'!B7=0,"Sin actividades",IF(NOT('Calculos'!E7),"Revisar pesos",'Calculos'!F7))</f>
        <v/>
      </c>
      <c r="D19" s="21">
        <f>IF(ISNUMBER(C19),C19,0)</f>
        <v/>
      </c>
      <c r="E19" s="22">
        <f>'Calculos'!B7</f>
        <v/>
      </c>
      <c r="F19" s="22">
        <f>'Calculos'!N7</f>
        <v/>
      </c>
      <c r="G19" s="22">
        <f>'Calculos'!O7</f>
        <v/>
      </c>
      <c r="H19" s="22">
        <f>'Calculos'!P7</f>
        <v/>
      </c>
      <c r="I19" s="22">
        <f>'Calculos'!Q7</f>
        <v/>
      </c>
      <c r="J19" s="22">
        <f>'Calculos'!R7</f>
        <v/>
      </c>
      <c r="K19" s="22">
        <f>IF('Calculos'!B7=0,"Sin actividades",IF(NOT('Calculos'!E7),"Pesos no válidos",IF('Calculos'!L7,"Completado",IF('Calculos'!F7&gt;0,"En curso","Pendiente"))))</f>
        <v/>
      </c>
      <c r="L19" s="22">
        <f>IF('Calculos'!B7=0,"⚠ Registrar actividades",IF(NOT('Calculos'!E7),"⚠ Corregir pesos no válidos",IF('Calculos'!M7,"¡Enhorabuena, completado anticipadamente!",IF('Calculos'!L7,"Completado","En ejecución"))))</f>
        <v/>
      </c>
      <c r="M19" s="22" t="n"/>
      <c r="P19" t="inlineStr">
        <is>
          <t>Asistente Técnico</t>
        </is>
      </c>
    </row>
    <row r="20" ht="28" customHeight="1">
      <c r="B20" s="26" t="inlineStr">
        <is>
          <t>Total actividades</t>
        </is>
      </c>
      <c r="C20" s="27">
        <f>IF('Calculos'!$E$8,'Calculos'!$F$8,"No definitivo")</f>
        <v/>
      </c>
      <c r="D20" s="28">
        <f>IF(ISNUMBER(C20),C20,0)</f>
        <v/>
      </c>
      <c r="E20" s="29">
        <f>'Calculos'!B11</f>
        <v/>
      </c>
      <c r="F20" s="29">
        <f>'Calculos'!N8</f>
        <v/>
      </c>
      <c r="G20" s="29">
        <f>'Calculos'!O8</f>
        <v/>
      </c>
      <c r="H20" s="29">
        <f>'Calculos'!P8</f>
        <v/>
      </c>
      <c r="I20" s="29">
        <f>'Calculos'!Q8</f>
        <v/>
      </c>
      <c r="J20" s="29">
        <f>'Calculos'!R8</f>
        <v/>
      </c>
      <c r="K20" s="29">
        <f>IF('Calculos'!$E$8,"Promedio 4 puestos","No definitivo")</f>
        <v/>
      </c>
      <c r="L20" s="29">
        <f>IF(NOT('Calculos'!$E$8),"⚠ Completar configuración de todos los puestos",IF('Calculos'!$M$8,"¡Enhorabuena, completado anticipadamente!",IF('Calculos'!$L$8,"Completado","En ejecución")))</f>
        <v/>
      </c>
      <c r="M20" s="29" t="n"/>
    </row>
    <row r="22" ht="24" customHeight="1">
      <c r="B22" s="17" t="inlineStr">
        <is>
          <t>Seguimiento semanal: avance acumulado ponderado e incremento semanal</t>
        </is>
      </c>
      <c r="C22" s="17" t="n"/>
      <c r="D22" s="17" t="n"/>
      <c r="E22" s="17" t="n"/>
      <c r="F22" s="17" t="n"/>
      <c r="G22" s="17" t="n"/>
      <c r="H22" s="17" t="n"/>
      <c r="I22" s="17" t="n"/>
      <c r="J22" s="17" t="n"/>
      <c r="K22" s="17" t="n"/>
      <c r="L22" s="17" t="n"/>
      <c r="M22" s="17" t="n"/>
    </row>
    <row r="23">
      <c r="C23" s="30" t="inlineStr">
        <is>
          <t>Avance ACUMULADO ponderado al cierre de cada semana</t>
        </is>
      </c>
      <c r="D23" s="30" t="n"/>
      <c r="E23" s="30" t="n"/>
      <c r="F23" s="30" t="n"/>
      <c r="H23" s="30" t="inlineStr">
        <is>
          <t>INCREMENTO respecto a la semana anterior (puntos %)</t>
        </is>
      </c>
      <c r="I23" s="30" t="n"/>
      <c r="J23" s="30" t="n"/>
      <c r="K23" s="30" t="n"/>
      <c r="L23" s="30" t="inlineStr">
        <is>
          <t>Brecha vs meta 100%</t>
        </is>
      </c>
      <c r="M23" s="30" t="n"/>
    </row>
    <row r="24">
      <c r="B24" s="31" t="inlineStr">
        <is>
          <t>Puesto / Indicador</t>
        </is>
      </c>
      <c r="C24" s="31" t="inlineStr">
        <is>
          <t>Semana 1</t>
        </is>
      </c>
      <c r="D24" s="31" t="inlineStr">
        <is>
          <t>Semana 2</t>
        </is>
      </c>
      <c r="E24" s="31" t="inlineStr">
        <is>
          <t>Semana 3</t>
        </is>
      </c>
      <c r="F24" s="31" t="inlineStr">
        <is>
          <t>Semana 4</t>
        </is>
      </c>
      <c r="H24" s="31" t="inlineStr">
        <is>
          <t>Semana 1</t>
        </is>
      </c>
      <c r="I24" s="31" t="inlineStr">
        <is>
          <t>Semana 2</t>
        </is>
      </c>
      <c r="J24" s="31" t="inlineStr">
        <is>
          <t>Semana 3</t>
        </is>
      </c>
      <c r="K24" s="31" t="inlineStr">
        <is>
          <t>Semana 4</t>
        </is>
      </c>
      <c r="L24" s="31" t="inlineStr">
        <is>
          <t>Pendiente para la meta</t>
        </is>
      </c>
      <c r="M24" s="31" t="n"/>
    </row>
    <row r="25">
      <c r="B25" s="19">
        <f>'Calculos'!A4</f>
        <v/>
      </c>
      <c r="C25" s="20">
        <f>IF(NOT('Calculos'!G$10),"",IF('Calculos'!$E4,'Calculos'!G4,"–"))</f>
        <v/>
      </c>
      <c r="D25" s="20">
        <f>IF(NOT('Calculos'!H$10),"",IF('Calculos'!$E4,'Calculos'!H4,"–"))</f>
        <v/>
      </c>
      <c r="E25" s="20">
        <f>IF(NOT('Calculos'!I$10),"",IF('Calculos'!$E4,'Calculos'!I4,"–"))</f>
        <v/>
      </c>
      <c r="F25" s="20">
        <f>IF(NOT('Calculos'!J$10),"",IF('Calculos'!$E4,'Calculos'!J4,"–"))</f>
        <v/>
      </c>
      <c r="H25" s="32">
        <f>IF(ISNUMBER(C25),C25,"")</f>
        <v/>
      </c>
      <c r="I25" s="32">
        <f>IF(AND(ISNUMBER(D25),ISNUMBER(C25)),D25-C25,"")</f>
        <v/>
      </c>
      <c r="J25" s="32">
        <f>IF(AND(ISNUMBER(E25),ISNUMBER(D25)),E25-D25,"")</f>
        <v/>
      </c>
      <c r="K25" s="32">
        <f>IF(AND(ISNUMBER(F25),ISNUMBER(E25)),F25-E25,"")</f>
        <v/>
      </c>
      <c r="L25" s="20">
        <f>IFERROR(MetaFinal-LOOKUP(2,1/ISNUMBER(C25:F25),C25:F25),"")</f>
        <v/>
      </c>
      <c r="M25" s="22" t="n"/>
      <c r="P25" t="inlineStr">
        <is>
          <t>R. Operacional</t>
        </is>
      </c>
    </row>
    <row r="26">
      <c r="B26" s="23">
        <f>'Calculos'!A5</f>
        <v/>
      </c>
      <c r="C26" s="20">
        <f>IF(NOT('Calculos'!G$10),"",IF('Calculos'!$E5,'Calculos'!G5,"–"))</f>
        <v/>
      </c>
      <c r="D26" s="20">
        <f>IF(NOT('Calculos'!H$10),"",IF('Calculos'!$E5,'Calculos'!H5,"–"))</f>
        <v/>
      </c>
      <c r="E26" s="20">
        <f>IF(NOT('Calculos'!I$10),"",IF('Calculos'!$E5,'Calculos'!I5,"–"))</f>
        <v/>
      </c>
      <c r="F26" s="20">
        <f>IF(NOT('Calculos'!J$10),"",IF('Calculos'!$E5,'Calculos'!J5,"–"))</f>
        <v/>
      </c>
      <c r="H26" s="32">
        <f>IF(ISNUMBER(C26),C26,"")</f>
        <v/>
      </c>
      <c r="I26" s="32">
        <f>IF(AND(ISNUMBER(D26),ISNUMBER(C26)),D26-C26,"")</f>
        <v/>
      </c>
      <c r="J26" s="32">
        <f>IF(AND(ISNUMBER(E26),ISNUMBER(D26)),E26-D26,"")</f>
        <v/>
      </c>
      <c r="K26" s="32">
        <f>IF(AND(ISNUMBER(F26),ISNUMBER(E26)),F26-E26,"")</f>
        <v/>
      </c>
      <c r="L26" s="20">
        <f>IFERROR(MetaFinal-LOOKUP(2,1/ISNUMBER(C26:F26),C26:F26),"")</f>
        <v/>
      </c>
      <c r="M26" s="22" t="n"/>
      <c r="P26" t="inlineStr">
        <is>
          <t>R. Normativo</t>
        </is>
      </c>
    </row>
    <row r="27">
      <c r="B27" s="24">
        <f>'Calculos'!A6</f>
        <v/>
      </c>
      <c r="C27" s="20">
        <f>IF(NOT('Calculos'!G$10),"",IF('Calculos'!$E6,'Calculos'!G6,"–"))</f>
        <v/>
      </c>
      <c r="D27" s="20">
        <f>IF(NOT('Calculos'!H$10),"",IF('Calculos'!$E6,'Calculos'!H6,"–"))</f>
        <v/>
      </c>
      <c r="E27" s="20">
        <f>IF(NOT('Calculos'!I$10),"",IF('Calculos'!$E6,'Calculos'!I6,"–"))</f>
        <v/>
      </c>
      <c r="F27" s="20">
        <f>IF(NOT('Calculos'!J$10),"",IF('Calculos'!$E6,'Calculos'!J6,"–"))</f>
        <v/>
      </c>
      <c r="H27" s="32">
        <f>IF(ISNUMBER(C27),C27,"")</f>
        <v/>
      </c>
      <c r="I27" s="32">
        <f>IF(AND(ISNUMBER(D27),ISNUMBER(C27)),D27-C27,"")</f>
        <v/>
      </c>
      <c r="J27" s="32">
        <f>IF(AND(ISNUMBER(E27),ISNUMBER(D27)),E27-D27,"")</f>
        <v/>
      </c>
      <c r="K27" s="32">
        <f>IF(AND(ISNUMBER(F27),ISNUMBER(E27)),F27-E27,"")</f>
        <v/>
      </c>
      <c r="L27" s="20">
        <f>IFERROR(MetaFinal-LOOKUP(2,1/ISNUMBER(C27:F27),C27:F27),"")</f>
        <v/>
      </c>
      <c r="M27" s="22" t="n"/>
      <c r="P27" t="inlineStr">
        <is>
          <t>R. Financiero</t>
        </is>
      </c>
    </row>
    <row r="28">
      <c r="B28" s="25">
        <f>'Calculos'!A7</f>
        <v/>
      </c>
      <c r="C28" s="20">
        <f>IF(NOT('Calculos'!G$10),"",IF('Calculos'!$E7,'Calculos'!G7,"–"))</f>
        <v/>
      </c>
      <c r="D28" s="20">
        <f>IF(NOT('Calculos'!H$10),"",IF('Calculos'!$E7,'Calculos'!H7,"–"))</f>
        <v/>
      </c>
      <c r="E28" s="20">
        <f>IF(NOT('Calculos'!I$10),"",IF('Calculos'!$E7,'Calculos'!I7,"–"))</f>
        <v/>
      </c>
      <c r="F28" s="20">
        <f>IF(NOT('Calculos'!J$10),"",IF('Calculos'!$E7,'Calculos'!J7,"–"))</f>
        <v/>
      </c>
      <c r="H28" s="32">
        <f>IF(ISNUMBER(C28),C28,"")</f>
        <v/>
      </c>
      <c r="I28" s="32">
        <f>IF(AND(ISNUMBER(D28),ISNUMBER(C28)),D28-C28,"")</f>
        <v/>
      </c>
      <c r="J28" s="32">
        <f>IF(AND(ISNUMBER(E28),ISNUMBER(D28)),E28-D28,"")</f>
        <v/>
      </c>
      <c r="K28" s="32">
        <f>IF(AND(ISNUMBER(F28),ISNUMBER(E28)),F28-E28,"")</f>
        <v/>
      </c>
      <c r="L28" s="20">
        <f>IFERROR(MetaFinal-LOOKUP(2,1/ISNUMBER(C28:F28),C28:F28),"")</f>
        <v/>
      </c>
      <c r="M28" s="22" t="n"/>
      <c r="P28" t="inlineStr">
        <is>
          <t>Asistente Técnico</t>
        </is>
      </c>
    </row>
    <row r="29">
      <c r="B29" s="26" t="inlineStr">
        <is>
          <t>Avance general de las actividades</t>
        </is>
      </c>
      <c r="C29" s="27">
        <f>IF(NOT('Calculos'!G$10),"",IF('Calculos'!$E$8,'Calculos'!G8,"n/d"))</f>
        <v/>
      </c>
      <c r="D29" s="27">
        <f>IF(NOT('Calculos'!H$10),"",IF('Calculos'!$E$8,'Calculos'!H8,"n/d"))</f>
        <v/>
      </c>
      <c r="E29" s="27">
        <f>IF(NOT('Calculos'!I$10),"",IF('Calculos'!$E$8,'Calculos'!I8,"n/d"))</f>
        <v/>
      </c>
      <c r="F29" s="27">
        <f>IF(NOT('Calculos'!J$10),"",IF('Calculos'!$E$8,'Calculos'!J8,"n/d"))</f>
        <v/>
      </c>
      <c r="H29" s="33">
        <f>IF(ISNUMBER(C29),C29,"")</f>
        <v/>
      </c>
      <c r="I29" s="33">
        <f>IF(AND(ISNUMBER(D29),ISNUMBER(C29)),D29-C29,"")</f>
        <v/>
      </c>
      <c r="J29" s="33">
        <f>IF(AND(ISNUMBER(E29),ISNUMBER(D29)),E29-D29,"")</f>
        <v/>
      </c>
      <c r="K29" s="33">
        <f>IF(AND(ISNUMBER(F29),ISNUMBER(E29)),F29-E29,"")</f>
        <v/>
      </c>
      <c r="L29" s="27">
        <f>IFERROR(MetaFinal-LOOKUP(2,1/ISNUMBER(C29:F29),C29:F29),"")</f>
        <v/>
      </c>
      <c r="M29" s="29" t="n"/>
    </row>
    <row r="30">
      <c r="B30" s="34" t="inlineStr">
        <is>
          <t>Plan de referencia (supuesto)</t>
        </is>
      </c>
      <c r="C30" s="35">
        <f>INDEX(PlanRef,1)</f>
        <v/>
      </c>
      <c r="D30" s="35">
        <f>INDEX(PlanRef,2)</f>
        <v/>
      </c>
      <c r="E30" s="35">
        <f>INDEX(PlanRef,3)</f>
        <v/>
      </c>
      <c r="F30" s="35">
        <f>INDEX(PlanRef,4)</f>
        <v/>
      </c>
      <c r="H30" s="36" t="n"/>
      <c r="I30" s="36" t="n"/>
      <c r="J30" s="36" t="n"/>
      <c r="K30" s="36" t="n"/>
      <c r="L30" s="37" t="n"/>
      <c r="M30" s="37" t="n"/>
      <c r="P30" t="inlineStr">
        <is>
          <t>Plan de referencia</t>
        </is>
      </c>
    </row>
    <row r="31">
      <c r="B31" s="38" t="inlineStr">
        <is>
          <t>Meta final</t>
        </is>
      </c>
      <c r="C31" s="39">
        <f>MetaFinal</f>
        <v/>
      </c>
      <c r="D31" s="39">
        <f>MetaFinal</f>
        <v/>
      </c>
      <c r="E31" s="39">
        <f>MetaFinal</f>
        <v/>
      </c>
      <c r="F31" s="39">
        <f>MetaFinal</f>
        <v/>
      </c>
      <c r="H31" s="36" t="n"/>
      <c r="I31" s="36" t="n"/>
      <c r="J31" s="36" t="n"/>
      <c r="K31" s="36" t="n"/>
      <c r="L31" s="37" t="n"/>
      <c r="M31" s="37" t="n"/>
    </row>
    <row r="33" ht="26" customHeight="1">
      <c r="B33" s="40" t="inlineStr">
        <is>
          <t>Lectura: el acumulado NO se suma entre semanas; el incremento es la diferencia entre semanas consecutivas. «–» = puesto sin configuración válida; «n/d» = avance general no definitivo; celda vacía = semana aún no alcanzada. Ámbar = acumulado por debajo del plan de referencia.</t>
        </is>
      </c>
      <c r="C33" s="40" t="n"/>
      <c r="D33" s="40" t="n"/>
      <c r="E33" s="40" t="n"/>
      <c r="F33" s="40" t="n"/>
      <c r="G33" s="40" t="n"/>
      <c r="H33" s="40" t="n"/>
      <c r="I33" s="40" t="n"/>
      <c r="J33" s="40" t="n"/>
      <c r="K33" s="40" t="n"/>
      <c r="L33" s="40" t="n"/>
      <c r="M33" s="40" t="n"/>
    </row>
    <row r="68" ht="24" customHeight="1">
      <c r="B68" s="17" t="inlineStr">
        <is>
          <t>Control de calidad de datos</t>
        </is>
      </c>
      <c r="C68" s="17" t="n"/>
      <c r="D68" s="17" t="n"/>
      <c r="E68" s="17" t="n"/>
      <c r="F68" s="17" t="n"/>
      <c r="G68" s="17" t="n"/>
      <c r="H68" s="17" t="n"/>
      <c r="I68" s="17" t="n"/>
      <c r="J68" s="17" t="n"/>
      <c r="K68" s="17" t="n"/>
      <c r="L68" s="17" t="n"/>
      <c r="M68" s="17" t="n"/>
    </row>
    <row r="69">
      <c r="B69" s="7" t="inlineStr">
        <is>
          <t>Verificación</t>
        </is>
      </c>
      <c r="C69" s="7" t="n"/>
      <c r="D69" s="7" t="n"/>
      <c r="E69" s="7" t="n"/>
      <c r="F69" s="7" t="n"/>
      <c r="G69" s="7" t="inlineStr">
        <is>
          <t>Casos</t>
        </is>
      </c>
      <c r="H69" s="7" t="inlineStr">
        <is>
          <t>Resultado</t>
        </is>
      </c>
      <c r="I69" s="7" t="inlineStr">
        <is>
          <t>Acción sugerida</t>
        </is>
      </c>
      <c r="J69" s="7" t="n"/>
      <c r="K69" s="7" t="n"/>
      <c r="L69" s="7" t="n"/>
      <c r="M69" s="7" t="n"/>
    </row>
    <row r="70" ht="20" customHeight="1">
      <c r="B70" s="41" t="inlineStr">
        <is>
          <t>Puestos sin actividades registradas</t>
        </is>
      </c>
      <c r="C70" s="41" t="n"/>
      <c r="D70" s="41" t="n"/>
      <c r="E70" s="41" t="n"/>
      <c r="F70" s="41" t="n"/>
      <c r="G70" s="42">
        <f>COUNTIF('Calculos'!B4:B7,0)</f>
        <v/>
      </c>
      <c r="H70" s="43">
        <f>IF(G70=0,"✔ OK",IF("crit"="warn","● Atención","⚠ Revisar"))</f>
        <v/>
      </c>
      <c r="I70" s="44" t="inlineStr">
        <is>
          <t>Registrar al menos una macroactividad por puesto.</t>
        </is>
      </c>
      <c r="J70" s="44" t="n"/>
      <c r="K70" s="44" t="n"/>
      <c r="L70" s="44" t="n"/>
      <c r="M70" s="44" t="n"/>
    </row>
    <row r="71" ht="20" customHeight="1">
      <c r="B71" s="41" t="inlineStr">
        <is>
          <t>Puestos con pesos no válidos (fuera de 0–100%)</t>
        </is>
      </c>
      <c r="C71" s="41" t="n"/>
      <c r="D71" s="41" t="n"/>
      <c r="E71" s="41" t="n"/>
      <c r="F71" s="41" t="n"/>
      <c r="G71" s="42">
        <f>COUNTIFS('Calculos'!B4:B7,"&gt;0",'Calculos'!E4:E7,FALSE)</f>
        <v/>
      </c>
      <c r="H71" s="43">
        <f>IF(G71=0,"✔ OK",IF("crit"="warn","● Atención","⚠ Revisar"))</f>
        <v/>
      </c>
      <c r="I71" s="44" t="inlineStr">
        <is>
          <t>Corregir el peso (los pesos se ajustan solos a 100%).</t>
        </is>
      </c>
      <c r="J71" s="44" t="n"/>
      <c r="K71" s="44" t="n"/>
      <c r="L71" s="44" t="n"/>
      <c r="M71" s="44" t="n"/>
    </row>
    <row r="72" ht="20" customHeight="1">
      <c r="B72" s="41" t="inlineStr">
        <is>
          <t>Actividades con peso vacío o fuera de rango</t>
        </is>
      </c>
      <c r="C72" s="41" t="n"/>
      <c r="D72" s="41" t="n"/>
      <c r="E72" s="41" t="n"/>
      <c r="F72" s="41" t="n"/>
      <c r="G72" s="42">
        <f>SUMPRODUCT((rMes_RO=MesCiclo)*((ISNUMBER(SEARCH("Peso vacío",rValid_RO))+ISNUMBER(SEARCH("Peso fuera de rango",rValid_RO)))&gt;0))+SUMPRODUCT((rMes_RN=MesCiclo)*((ISNUMBER(SEARCH("Peso vacío",rValid_RN))+ISNUMBER(SEARCH("Peso fuera de rango",rValid_RN)))&gt;0))+SUMPRODUCT((rMes_RF=MesCiclo)*((ISNUMBER(SEARCH("Peso vacío",rValid_RF))+ISNUMBER(SEARCH("Peso fuera de rango",rValid_RF)))&gt;0))+SUMPRODUCT((rMes_ATR=MesCiclo)*((ISNUMBER(SEARCH("Peso vacío",rValid_ATR))+ISNUMBER(SEARCH("Peso fuera de rango",rValid_ATR)))&gt;0))</f>
        <v/>
      </c>
      <c r="H72" s="43">
        <f>IF(G72=0,"✔ OK",IF("crit"="warn","● Atención","⚠ Revisar"))</f>
        <v/>
      </c>
      <c r="I72" s="44" t="inlineStr">
        <is>
          <t>Ingresar un peso entre 0% y 100% (mayor que 0).</t>
        </is>
      </c>
      <c r="J72" s="44" t="n"/>
      <c r="K72" s="44" t="n"/>
      <c r="L72" s="44" t="n"/>
      <c r="M72" s="44" t="n"/>
    </row>
    <row r="73" ht="20" customHeight="1">
      <c r="B73" s="41" t="inlineStr">
        <is>
          <t>Actividades sin fecha límite</t>
        </is>
      </c>
      <c r="C73" s="41" t="n"/>
      <c r="D73" s="41" t="n"/>
      <c r="E73" s="41" t="n"/>
      <c r="F73" s="41" t="n"/>
      <c r="G73" s="42">
        <f>SUMPRODUCT((rMes_RO=MesCiclo)*((ISNUMBER(SEARCH("Sin fecha límite",rValid_RO)))&gt;0))+SUMPRODUCT((rMes_RN=MesCiclo)*((ISNUMBER(SEARCH("Sin fecha límite",rValid_RN)))&gt;0))+SUMPRODUCT((rMes_RF=MesCiclo)*((ISNUMBER(SEARCH("Sin fecha límite",rValid_RF)))&gt;0))+SUMPRODUCT((rMes_ATR=MesCiclo)*((ISNUMBER(SEARCH("Sin fecha límite",rValid_ATR)))&gt;0))</f>
        <v/>
      </c>
      <c r="H73" s="43">
        <f>IF(G73=0,"✔ OK",IF("crit"="warn","● Atención","⚠ Revisar"))</f>
        <v/>
      </c>
      <c r="I73" s="44" t="inlineStr">
        <is>
          <t>Registrar la fecha límite.</t>
        </is>
      </c>
      <c r="J73" s="44" t="n"/>
      <c r="K73" s="44" t="n"/>
      <c r="L73" s="44" t="n"/>
      <c r="M73" s="44" t="n"/>
    </row>
    <row r="74" ht="20" customHeight="1">
      <c r="B74" s="41" t="inlineStr">
        <is>
          <t>Fechas incoherentes o no válidas (incluye sin fecha de inicio)</t>
        </is>
      </c>
      <c r="C74" s="41" t="n"/>
      <c r="D74" s="41" t="n"/>
      <c r="E74" s="41" t="n"/>
      <c r="F74" s="41" t="n"/>
      <c r="G74" s="42">
        <f>SUMPRODUCT((rMes_RO=MesCiclo)*((ISNUMBER(SEARCH("Inicio posterior",rValid_RO))+ISNUMBER(SEARCH("Fecha no válida",rValid_RO))+ISNUMBER(SEARCH("Sin fecha de inicio",rValid_RO)))&gt;0))+SUMPRODUCT((rMes_RN=MesCiclo)*((ISNUMBER(SEARCH("Inicio posterior",rValid_RN))+ISNUMBER(SEARCH("Fecha no válida",rValid_RN))+ISNUMBER(SEARCH("Sin fecha de inicio",rValid_RN)))&gt;0))+SUMPRODUCT((rMes_RF=MesCiclo)*((ISNUMBER(SEARCH("Inicio posterior",rValid_RF))+ISNUMBER(SEARCH("Fecha no válida",rValid_RF))+ISNUMBER(SEARCH("Sin fecha de inicio",rValid_RF)))&gt;0))+SUMPRODUCT((rMes_ATR=MesCiclo)*((ISNUMBER(SEARCH("Inicio posterior",rValid_ATR))+ISNUMBER(SEARCH("Fecha no válida",rValid_ATR))+ISNUMBER(SEARCH("Sin fecha de inicio",rValid_ATR)))&gt;0))</f>
        <v/>
      </c>
      <c r="H74" s="43">
        <f>IF(G74=0,"✔ OK",IF("crit"="warn","● Atención","⚠ Revisar"))</f>
        <v/>
      </c>
      <c r="I74" s="44" t="inlineStr">
        <is>
          <t>La fecha de inicio debe ser anterior o igual a la fecha límite.</t>
        </is>
      </c>
      <c r="J74" s="44" t="n"/>
      <c r="K74" s="44" t="n"/>
      <c r="L74" s="44" t="n"/>
      <c r="M74" s="44" t="n"/>
    </row>
    <row r="75" ht="20" customHeight="1">
      <c r="B75" s="41" t="inlineStr">
        <is>
          <t>Porcentajes de avance &gt; 100%, &lt; 0% o no numéricos</t>
        </is>
      </c>
      <c r="C75" s="41" t="n"/>
      <c r="D75" s="41" t="n"/>
      <c r="E75" s="41" t="n"/>
      <c r="F75" s="41" t="n"/>
      <c r="G75" s="42">
        <f>SUMPRODUCT((rMes_RO=MesCiclo)*((ISNUMBER(SEARCH("Avance fuera de rango",rValid_RO)))&gt;0))+SUMPRODUCT((rMes_RN=MesCiclo)*((ISNUMBER(SEARCH("Avance fuera de rango",rValid_RN)))&gt;0))+SUMPRODUCT((rMes_RF=MesCiclo)*((ISNUMBER(SEARCH("Avance fuera de rango",rValid_RF)))&gt;0))+SUMPRODUCT((rMes_ATR=MesCiclo)*((ISNUMBER(SEARCH("Avance fuera de rango",rValid_ATR)))&gt;0))</f>
        <v/>
      </c>
      <c r="H75" s="43">
        <f>IF(G75=0,"✔ OK",IF("crit"="warn","● Atención","⚠ Revisar"))</f>
        <v/>
      </c>
      <c r="I75" s="44" t="inlineStr">
        <is>
          <t>Corregir: los avances deben estar entre 0% y 100%.</t>
        </is>
      </c>
      <c r="J75" s="44" t="n"/>
      <c r="K75" s="44" t="n"/>
      <c r="L75" s="44" t="n"/>
      <c r="M75" s="44" t="n"/>
    </row>
    <row r="76" ht="20" customHeight="1">
      <c r="B76" s="41" t="inlineStr">
        <is>
          <t>Avance semanal menor que el de una semana anterior</t>
        </is>
      </c>
      <c r="C76" s="41" t="n"/>
      <c r="D76" s="41" t="n"/>
      <c r="E76" s="41" t="n"/>
      <c r="F76" s="41" t="n"/>
      <c r="G76" s="42">
        <f>SUMPRODUCT((rMes_RO=MesCiclo)*((ISNUMBER(SEARCH("decreciente",rValid_RO)))&gt;0))+SUMPRODUCT((rMes_RN=MesCiclo)*((ISNUMBER(SEARCH("decreciente",rValid_RN)))&gt;0))+SUMPRODUCT((rMes_RF=MesCiclo)*((ISNUMBER(SEARCH("decreciente",rValid_RF)))&gt;0))+SUMPRODUCT((rMes_ATR=MesCiclo)*((ISNUMBER(SEARCH("decreciente",rValid_ATR)))&gt;0))</f>
        <v/>
      </c>
      <c r="H76" s="43">
        <f>IF(G76=0,"✔ OK",IF("crit"="warn","● Atención","⚠ Revisar"))</f>
        <v/>
      </c>
      <c r="I76" s="44" t="inlineStr">
        <is>
          <t>Revisar: el avance es acumulado y no debería disminuir.</t>
        </is>
      </c>
      <c r="J76" s="44" t="n"/>
      <c r="K76" s="44" t="n"/>
      <c r="L76" s="44" t="n"/>
      <c r="M76" s="44" t="n"/>
    </row>
    <row r="77" ht="20" customHeight="1">
      <c r="B77" s="41" t="inlineStr">
        <is>
          <t>Actividades vencidas no completadas</t>
        </is>
      </c>
      <c r="C77" s="41" t="n"/>
      <c r="D77" s="41" t="n"/>
      <c r="E77" s="41" t="n"/>
      <c r="F77" s="41" t="n"/>
      <c r="G77" s="42">
        <f>'Calculos'!Q8</f>
        <v/>
      </c>
      <c r="H77" s="43">
        <f>IF(G77=0,"✔ OK",IF("crit"="warn","● Atención","⚠ Revisar"))</f>
        <v/>
      </c>
      <c r="I77" s="44" t="inlineStr">
        <is>
          <t>Actualizar avance o reprogramar con justificación en Observaciones.</t>
        </is>
      </c>
      <c r="J77" s="44" t="n"/>
      <c r="K77" s="44" t="n"/>
      <c r="L77" s="44" t="n"/>
      <c r="M77" s="44" t="n"/>
    </row>
    <row r="78" ht="20" customHeight="1">
      <c r="B78" s="41" t="inlineStr">
        <is>
          <t>Actividades próximas a vencer (no completadas)</t>
        </is>
      </c>
      <c r="C78" s="41" t="n"/>
      <c r="D78" s="41" t="n"/>
      <c r="E78" s="41" t="n"/>
      <c r="F78" s="41" t="n"/>
      <c r="G78" s="42">
        <f>'Calculos'!B13</f>
        <v/>
      </c>
      <c r="H78" s="43">
        <f>IF(G78=0,"✔ OK",IF("warn"="warn","● Atención","⚠ Revisar"))</f>
        <v/>
      </c>
      <c r="I78" s="44" t="inlineStr">
        <is>
          <t>Alerta preventiva: priorizar seguimiento.</t>
        </is>
      </c>
      <c r="J78" s="44" t="n"/>
      <c r="K78" s="44" t="n"/>
      <c r="L78" s="44" t="n"/>
      <c r="M78" s="44" t="n"/>
    </row>
    <row r="79" ht="20" customHeight="1">
      <c r="B79" s="41" t="inlineStr">
        <is>
          <t>Filas con datos pero sin nombre de macroactividad</t>
        </is>
      </c>
      <c r="C79" s="41" t="n"/>
      <c r="D79" s="41" t="n"/>
      <c r="E79" s="41" t="n"/>
      <c r="F79" s="41" t="n"/>
      <c r="G79" s="42">
        <f>SUMPRODUCT((rMes_RO=MesCiclo)*((ISNUMBER(SEARCH("Macroactividad vacía",rValid_RO)))&gt;0))+SUMPRODUCT((rMes_RN=MesCiclo)*((ISNUMBER(SEARCH("Macroactividad vacía",rValid_RN)))&gt;0))+SUMPRODUCT((rMes_RF=MesCiclo)*((ISNUMBER(SEARCH("Macroactividad vacía",rValid_RF)))&gt;0))+SUMPRODUCT((rMes_ATR=MesCiclo)*((ISNUMBER(SEARCH("Macroactividad vacía",rValid_ATR)))&gt;0))</f>
        <v/>
      </c>
      <c r="H79" s="43">
        <f>IF(G79=0,"✔ OK",IF("crit"="warn","● Atención","⚠ Revisar"))</f>
        <v/>
      </c>
      <c r="I79" s="44" t="inlineStr">
        <is>
          <t>Escribir el nombre de la actividad.</t>
        </is>
      </c>
      <c r="J79" s="44" t="n"/>
      <c r="K79" s="44" t="n"/>
      <c r="L79" s="44" t="n"/>
      <c r="M79" s="44" t="n"/>
    </row>
    <row r="80" ht="20" customHeight="1">
      <c r="B80" s="41" t="inlineStr">
        <is>
          <t>Actividades vencidas sin observación que explique el incumplimiento</t>
        </is>
      </c>
      <c r="C80" s="41" t="n"/>
      <c r="D80" s="41" t="n"/>
      <c r="E80" s="41" t="n"/>
      <c r="F80" s="41" t="n"/>
      <c r="G80" s="42">
        <f>SUMPRODUCT((rMes_RO=MesCiclo)*((ISNUMBER(SEARCH("sin observación",rValid_RO)))&gt;0))+SUMPRODUCT((rMes_RN=MesCiclo)*((ISNUMBER(SEARCH("sin observación",rValid_RN)))&gt;0))+SUMPRODUCT((rMes_RF=MesCiclo)*((ISNUMBER(SEARCH("sin observación",rValid_RF)))&gt;0))+SUMPRODUCT((rMes_ATR=MesCiclo)*((ISNUMBER(SEARCH("sin observación",rValid_ATR)))&gt;0))</f>
        <v/>
      </c>
      <c r="H80" s="43">
        <f>IF(G80=0,"✔ OK",IF("crit"="warn","● Atención","⚠ Revisar"))</f>
        <v/>
      </c>
      <c r="I80" s="44" t="inlineStr">
        <is>
          <t>Escribir en Observaciones por qué no se cumplió y la nueva fecha prevista.</t>
        </is>
      </c>
      <c r="J80" s="44" t="n"/>
      <c r="K80" s="44" t="n"/>
      <c r="L80" s="44" t="n"/>
      <c r="M80" s="44" t="n"/>
    </row>
    <row r="81" ht="20" customHeight="1">
      <c r="B81" s="41" t="inlineStr">
        <is>
          <t>Avance general no definitivo (puestos no válidos)</t>
        </is>
      </c>
      <c r="C81" s="41" t="n"/>
      <c r="D81" s="41" t="n"/>
      <c r="E81" s="41" t="n"/>
      <c r="F81" s="41" t="n"/>
      <c r="G81" s="42">
        <f>4-'Calculos'!C8</f>
        <v/>
      </c>
      <c r="H81" s="43">
        <f>IF(G81=0,"✔ OK",IF("crit"="warn","● Atención","⚠ Revisar"))</f>
        <v/>
      </c>
      <c r="I81" s="44" t="inlineStr">
        <is>
          <t>El avance general solo es definitivo con los 4 puestos válidos.</t>
        </is>
      </c>
      <c r="J81" s="44" t="n"/>
      <c r="K81" s="44" t="n"/>
      <c r="L81" s="44" t="n"/>
      <c r="M81" s="44" t="n"/>
    </row>
    <row r="82" ht="26" customHeight="1">
      <c r="B82" s="40" t="inlineStr">
        <is>
          <t>Detalle por actividad: columna «Revisión automática (alertas)» de la hoja «Cronograma …» de cada puesto (filtrar por «⚠»). Pendiente normal = sin avance y dentro de plazo; Vencida = fecha límite anterior a la fecha de corte sin llegar a 100%.</t>
        </is>
      </c>
      <c r="C82" s="40" t="n"/>
      <c r="D82" s="40" t="n"/>
      <c r="E82" s="40" t="n"/>
      <c r="F82" s="40" t="n"/>
      <c r="G82" s="40" t="n"/>
      <c r="H82" s="40" t="n"/>
      <c r="I82" s="40" t="n"/>
      <c r="J82" s="40" t="n"/>
      <c r="K82" s="40" t="n"/>
      <c r="L82" s="40" t="n"/>
      <c r="M82" s="40" t="n"/>
    </row>
    <row r="84" ht="24" customHeight="1">
      <c r="B84" s="17" t="inlineStr">
        <is>
          <t>Entregas por semana y alertas de plazo (macroactividades completadas / programadas)</t>
        </is>
      </c>
      <c r="C84" s="17" t="n"/>
      <c r="D84" s="17" t="n"/>
      <c r="E84" s="17" t="n"/>
      <c r="F84" s="17" t="n"/>
      <c r="G84" s="17" t="n"/>
      <c r="H84" s="17" t="n"/>
      <c r="I84" s="17" t="n"/>
      <c r="J84" s="17" t="n"/>
      <c r="K84" s="17" t="n"/>
      <c r="L84" s="17" t="n"/>
      <c r="M84" s="17" t="n"/>
    </row>
    <row r="85">
      <c r="B85" s="7" t="inlineStr">
        <is>
          <t>Puesto</t>
        </is>
      </c>
      <c r="C85" s="7" t="inlineStr">
        <is>
          <t>Semana 1</t>
        </is>
      </c>
      <c r="D85" s="7" t="inlineStr">
        <is>
          <t>Semana 2</t>
        </is>
      </c>
      <c r="E85" s="7" t="inlineStr">
        <is>
          <t>Semana 3</t>
        </is>
      </c>
      <c r="F85" s="7" t="inlineStr">
        <is>
          <t>Semana 4</t>
        </is>
      </c>
      <c r="G85" s="7" t="inlineStr">
        <is>
          <t>Total</t>
        </is>
      </c>
      <c r="H85" s="7" t="inlineStr">
        <is>
          <t>Vencidas</t>
        </is>
      </c>
      <c r="I85" s="7" t="inlineStr">
        <is>
          <t>Por vencer</t>
        </is>
      </c>
      <c r="J85" s="7" t="inlineStr">
        <is>
          <t>Alerta de plazo (actividades y subactividades del mes)</t>
        </is>
      </c>
      <c r="K85" s="7" t="n"/>
      <c r="L85" s="7" t="n"/>
      <c r="M85" s="7" t="n"/>
    </row>
    <row r="86">
      <c r="B86" s="19">
        <f>'Calculos'!A4</f>
        <v/>
      </c>
      <c r="C86" s="22">
        <f>COUNTIFS(hSemana_RO,"Semana 1",hEstado_RO,"Completado",hTipo_RO,"Macro")&amp;" / "&amp;COUNTIFS(hSemana_RO,"Semana 1",hTipo_RO,"Macro")</f>
        <v/>
      </c>
      <c r="D86" s="22">
        <f>COUNTIFS(hSemana_RO,"Semana 2",hEstado_RO,"Completado",hTipo_RO,"Macro")&amp;" / "&amp;COUNTIFS(hSemana_RO,"Semana 2",hTipo_RO,"Macro")</f>
        <v/>
      </c>
      <c r="E86" s="22">
        <f>COUNTIFS(hSemana_RO,"Semana 3",hEstado_RO,"Completado",hTipo_RO,"Macro")&amp;" / "&amp;COUNTIFS(hSemana_RO,"Semana 3",hTipo_RO,"Macro")</f>
        <v/>
      </c>
      <c r="F86" s="22">
        <f>COUNTIFS(hSemana_RO,"Semana 4",hEstado_RO,"Completado",hTipo_RO,"Macro")&amp;" / "&amp;COUNTIFS(hSemana_RO,"Semana 4",hTipo_RO,"Macro")</f>
        <v/>
      </c>
      <c r="G86" s="22">
        <f>COUNTIFS(hEstado_RO,"Completado",hTipo_RO,"Macro")&amp;" / "&amp;COUNTIFS(hEstado_RO,"?*",hTipo_RO,"Macro")</f>
        <v/>
      </c>
      <c r="H86" s="22">
        <f>COUNTIFS(rMes_RO,MesCiclo,rAlerta_RO,"Vencida*")</f>
        <v/>
      </c>
      <c r="I86" s="22">
        <f>COUNTIFS(rMes_RO,MesCiclo,rAlerta_RO,"Vence*")</f>
        <v/>
      </c>
      <c r="J86" s="45">
        <f>IF(H86+I86=0,"✔ Sin vencidas ni por vencer",IF(H86&gt;0,"⚠ "&amp;H86&amp;" vencida(s) sin cumplir","")&amp;IF(AND(H86&gt;0,I86&gt;0),"  ·  ","")&amp;IF(I86&gt;0,I86&amp;" por vencer (≤ "&amp;DiasAlerta&amp;" días)",""))</f>
        <v/>
      </c>
      <c r="K86" s="45" t="n"/>
      <c r="L86" s="45" t="n"/>
      <c r="M86" s="45" t="n"/>
    </row>
    <row r="87">
      <c r="B87" s="23">
        <f>'Calculos'!A5</f>
        <v/>
      </c>
      <c r="C87" s="22">
        <f>COUNTIFS(hSemana_RN,"Semana 1",hEstado_RN,"Completado",hTipo_RN,"Macro")&amp;" / "&amp;COUNTIFS(hSemana_RN,"Semana 1",hTipo_RN,"Macro")</f>
        <v/>
      </c>
      <c r="D87" s="22">
        <f>COUNTIFS(hSemana_RN,"Semana 2",hEstado_RN,"Completado",hTipo_RN,"Macro")&amp;" / "&amp;COUNTIFS(hSemana_RN,"Semana 2",hTipo_RN,"Macro")</f>
        <v/>
      </c>
      <c r="E87" s="22">
        <f>COUNTIFS(hSemana_RN,"Semana 3",hEstado_RN,"Completado",hTipo_RN,"Macro")&amp;" / "&amp;COUNTIFS(hSemana_RN,"Semana 3",hTipo_RN,"Macro")</f>
        <v/>
      </c>
      <c r="F87" s="22">
        <f>COUNTIFS(hSemana_RN,"Semana 4",hEstado_RN,"Completado",hTipo_RN,"Macro")&amp;" / "&amp;COUNTIFS(hSemana_RN,"Semana 4",hTipo_RN,"Macro")</f>
        <v/>
      </c>
      <c r="G87" s="22">
        <f>COUNTIFS(hEstado_RN,"Completado",hTipo_RN,"Macro")&amp;" / "&amp;COUNTIFS(hEstado_RN,"?*",hTipo_RN,"Macro")</f>
        <v/>
      </c>
      <c r="H87" s="22">
        <f>COUNTIFS(rMes_RN,MesCiclo,rAlerta_RN,"Vencida*")</f>
        <v/>
      </c>
      <c r="I87" s="22">
        <f>COUNTIFS(rMes_RN,MesCiclo,rAlerta_RN,"Vence*")</f>
        <v/>
      </c>
      <c r="J87" s="45">
        <f>IF(H87+I87=0,"✔ Sin vencidas ni por vencer",IF(H87&gt;0,"⚠ "&amp;H87&amp;" vencida(s) sin cumplir","")&amp;IF(AND(H87&gt;0,I87&gt;0),"  ·  ","")&amp;IF(I87&gt;0,I87&amp;" por vencer (≤ "&amp;DiasAlerta&amp;" días)",""))</f>
        <v/>
      </c>
      <c r="K87" s="45" t="n"/>
      <c r="L87" s="45" t="n"/>
      <c r="M87" s="45" t="n"/>
    </row>
    <row r="88">
      <c r="B88" s="24">
        <f>'Calculos'!A6</f>
        <v/>
      </c>
      <c r="C88" s="22">
        <f>COUNTIFS(hSemana_RF,"Semana 1",hEstado_RF,"Completado",hTipo_RF,"Macro")&amp;" / "&amp;COUNTIFS(hSemana_RF,"Semana 1",hTipo_RF,"Macro")</f>
        <v/>
      </c>
      <c r="D88" s="22">
        <f>COUNTIFS(hSemana_RF,"Semana 2",hEstado_RF,"Completado",hTipo_RF,"Macro")&amp;" / "&amp;COUNTIFS(hSemana_RF,"Semana 2",hTipo_RF,"Macro")</f>
        <v/>
      </c>
      <c r="E88" s="22">
        <f>COUNTIFS(hSemana_RF,"Semana 3",hEstado_RF,"Completado",hTipo_RF,"Macro")&amp;" / "&amp;COUNTIFS(hSemana_RF,"Semana 3",hTipo_RF,"Macro")</f>
        <v/>
      </c>
      <c r="F88" s="22">
        <f>COUNTIFS(hSemana_RF,"Semana 4",hEstado_RF,"Completado",hTipo_RF,"Macro")&amp;" / "&amp;COUNTIFS(hSemana_RF,"Semana 4",hTipo_RF,"Macro")</f>
        <v/>
      </c>
      <c r="G88" s="22">
        <f>COUNTIFS(hEstado_RF,"Completado",hTipo_RF,"Macro")&amp;" / "&amp;COUNTIFS(hEstado_RF,"?*",hTipo_RF,"Macro")</f>
        <v/>
      </c>
      <c r="H88" s="22">
        <f>COUNTIFS(rMes_RF,MesCiclo,rAlerta_RF,"Vencida*")</f>
        <v/>
      </c>
      <c r="I88" s="22">
        <f>COUNTIFS(rMes_RF,MesCiclo,rAlerta_RF,"Vence*")</f>
        <v/>
      </c>
      <c r="J88" s="45">
        <f>IF(H88+I88=0,"✔ Sin vencidas ni por vencer",IF(H88&gt;0,"⚠ "&amp;H88&amp;" vencida(s) sin cumplir","")&amp;IF(AND(H88&gt;0,I88&gt;0),"  ·  ","")&amp;IF(I88&gt;0,I88&amp;" por vencer (≤ "&amp;DiasAlerta&amp;" días)",""))</f>
        <v/>
      </c>
      <c r="K88" s="45" t="n"/>
      <c r="L88" s="45" t="n"/>
      <c r="M88" s="45" t="n"/>
    </row>
    <row r="89">
      <c r="B89" s="25">
        <f>'Calculos'!A7</f>
        <v/>
      </c>
      <c r="C89" s="22">
        <f>COUNTIFS(hSemana_ATR,"Semana 1",hEstado_ATR,"Completado",hTipo_ATR,"Macro")&amp;" / "&amp;COUNTIFS(hSemana_ATR,"Semana 1",hTipo_ATR,"Macro")</f>
        <v/>
      </c>
      <c r="D89" s="22">
        <f>COUNTIFS(hSemana_ATR,"Semana 2",hEstado_ATR,"Completado",hTipo_ATR,"Macro")&amp;" / "&amp;COUNTIFS(hSemana_ATR,"Semana 2",hTipo_ATR,"Macro")</f>
        <v/>
      </c>
      <c r="E89" s="22">
        <f>COUNTIFS(hSemana_ATR,"Semana 3",hEstado_ATR,"Completado",hTipo_ATR,"Macro")&amp;" / "&amp;COUNTIFS(hSemana_ATR,"Semana 3",hTipo_ATR,"Macro")</f>
        <v/>
      </c>
      <c r="F89" s="22">
        <f>COUNTIFS(hSemana_ATR,"Semana 4",hEstado_ATR,"Completado",hTipo_ATR,"Macro")&amp;" / "&amp;COUNTIFS(hSemana_ATR,"Semana 4",hTipo_ATR,"Macro")</f>
        <v/>
      </c>
      <c r="G89" s="22">
        <f>COUNTIFS(hEstado_ATR,"Completado",hTipo_ATR,"Macro")&amp;" / "&amp;COUNTIFS(hEstado_ATR,"?*",hTipo_ATR,"Macro")</f>
        <v/>
      </c>
      <c r="H89" s="22">
        <f>COUNTIFS(rMes_ATR,MesCiclo,rAlerta_ATR,"Vencida*")</f>
        <v/>
      </c>
      <c r="I89" s="22">
        <f>COUNTIFS(rMes_ATR,MesCiclo,rAlerta_ATR,"Vence*")</f>
        <v/>
      </c>
      <c r="J89" s="45">
        <f>IF(H89+I89=0,"✔ Sin vencidas ni por vencer",IF(H89&gt;0,"⚠ "&amp;H89&amp;" vencida(s) sin cumplir","")&amp;IF(AND(H89&gt;0,I89&gt;0),"  ·  ","")&amp;IF(I89&gt;0,I89&amp;" por vencer (≤ "&amp;DiasAlerta&amp;" días)",""))</f>
        <v/>
      </c>
      <c r="K89" s="45" t="n"/>
      <c r="L89" s="45" t="n"/>
      <c r="M89" s="45" t="n"/>
    </row>
    <row r="90">
      <c r="B90" s="46" t="inlineStr">
        <is>
          <t>Administración (jefatura)</t>
        </is>
      </c>
      <c r="C90" s="22" t="inlineStr">
        <is>
          <t>—</t>
        </is>
      </c>
      <c r="D90" s="22" t="inlineStr">
        <is>
          <t>—</t>
        </is>
      </c>
      <c r="E90" s="22" t="inlineStr">
        <is>
          <t>—</t>
        </is>
      </c>
      <c r="F90" s="22" t="inlineStr">
        <is>
          <t>—</t>
        </is>
      </c>
      <c r="G90" s="22">
        <f>COUNTIFS(rMes_ADM,MesCiclo,rTipo_ADM,"Macro",rEstado_ADM,"Completado")&amp;" / "&amp;COUNTIFS(rMes_ADM,MesCiclo,rTipo_ADM,"Macro")</f>
        <v/>
      </c>
      <c r="H90" s="22">
        <f>COUNTIFS(rMes_ADM,MesCiclo,rAlerta_ADM,"Vencida*")</f>
        <v/>
      </c>
      <c r="I90" s="22">
        <f>COUNTIFS(rMes_ADM,MesCiclo,rAlerta_ADM,"Vence*")</f>
        <v/>
      </c>
      <c r="J90" s="45">
        <f>IF(H90+I90=0,"✔ Sin vencidas ni por vencer",IF(H90&gt;0,"⚠ "&amp;H90&amp;" vencida(s) sin cumplir","")&amp;IF(AND(H90&gt;0,I90&gt;0),"  ·  ","")&amp;IF(I90&gt;0,I90&amp;" por vencer (≤ "&amp;DiasAlerta&amp;" días)",""))</f>
        <v/>
      </c>
      <c r="K90" s="45" t="n"/>
      <c r="L90" s="45" t="n"/>
      <c r="M90" s="45" t="n"/>
    </row>
  </sheetData>
  <sheetProtection selectLockedCells="0" selectUnlockedCells="0" sheet="1" objects="0" insertRows="1" insertHyperlinks="1" autoFilter="1" scenarios="0" formatColumns="1" deleteColumns="1" insertColumns="1" pivotTables="1" deleteRows="1" formatCells="1" formatRows="1" sort="1"/>
  <mergeCells count="83">
    <mergeCell ref="L17:M17"/>
    <mergeCell ref="B81:F81"/>
    <mergeCell ref="I77:M77"/>
    <mergeCell ref="I80:M80"/>
    <mergeCell ref="L19:M19"/>
    <mergeCell ref="B71:F71"/>
    <mergeCell ref="L28:M28"/>
    <mergeCell ref="I70:M70"/>
    <mergeCell ref="I72:M72"/>
    <mergeCell ref="B84:M84"/>
    <mergeCell ref="G12:M12"/>
    <mergeCell ref="B6:D6"/>
    <mergeCell ref="L29:M29"/>
    <mergeCell ref="K10:M10"/>
    <mergeCell ref="H5:J5"/>
    <mergeCell ref="B4:D4"/>
    <mergeCell ref="L31:M31"/>
    <mergeCell ref="I79:M79"/>
    <mergeCell ref="I73:M73"/>
    <mergeCell ref="K9:M9"/>
    <mergeCell ref="K5:M5"/>
    <mergeCell ref="J86:M86"/>
    <mergeCell ref="B80:F80"/>
    <mergeCell ref="I74:M74"/>
    <mergeCell ref="L16:M16"/>
    <mergeCell ref="B8:D8"/>
    <mergeCell ref="B72:F72"/>
    <mergeCell ref="J90:M90"/>
    <mergeCell ref="B82:M82"/>
    <mergeCell ref="E6:G6"/>
    <mergeCell ref="H23:K23"/>
    <mergeCell ref="B10:D10"/>
    <mergeCell ref="B70:F70"/>
    <mergeCell ref="K8:M8"/>
    <mergeCell ref="B9:D9"/>
    <mergeCell ref="B68:M68"/>
    <mergeCell ref="L30:M30"/>
    <mergeCell ref="B5:D5"/>
    <mergeCell ref="L20:M20"/>
    <mergeCell ref="K4:M4"/>
    <mergeCell ref="B74:F74"/>
    <mergeCell ref="I78:M78"/>
    <mergeCell ref="E8:G8"/>
    <mergeCell ref="H4:J4"/>
    <mergeCell ref="B76:F76"/>
    <mergeCell ref="J85:M85"/>
    <mergeCell ref="H6:J6"/>
    <mergeCell ref="E10:G10"/>
    <mergeCell ref="B75:F75"/>
    <mergeCell ref="E9:G9"/>
    <mergeCell ref="I76:M76"/>
    <mergeCell ref="L24:M24"/>
    <mergeCell ref="L18:M18"/>
    <mergeCell ref="I75:M75"/>
    <mergeCell ref="L26:M26"/>
    <mergeCell ref="B73:F73"/>
    <mergeCell ref="J88:M88"/>
    <mergeCell ref="H8:J8"/>
    <mergeCell ref="L25:M25"/>
    <mergeCell ref="H10:J10"/>
    <mergeCell ref="C12:F12"/>
    <mergeCell ref="B22:M22"/>
    <mergeCell ref="E4:G4"/>
    <mergeCell ref="H9:J9"/>
    <mergeCell ref="C23:F23"/>
    <mergeCell ref="I81:M81"/>
    <mergeCell ref="B14:M14"/>
    <mergeCell ref="B1:M1"/>
    <mergeCell ref="H2:M2"/>
    <mergeCell ref="B77:F77"/>
    <mergeCell ref="L15:M15"/>
    <mergeCell ref="L23:M23"/>
    <mergeCell ref="I71:M71"/>
    <mergeCell ref="B33:M33"/>
    <mergeCell ref="B69:F69"/>
    <mergeCell ref="B78:F78"/>
    <mergeCell ref="K6:M6"/>
    <mergeCell ref="J87:M87"/>
    <mergeCell ref="J89:M89"/>
    <mergeCell ref="E5:G5"/>
    <mergeCell ref="L27:M27"/>
    <mergeCell ref="B79:F79"/>
    <mergeCell ref="I69:M69"/>
  </mergeCells>
  <conditionalFormatting sqref="B5">
    <cfRule type="expression" priority="1" dxfId="0">
      <formula>AND(ISNUMBER($B$5),$B$5&gt;=1)</formula>
    </cfRule>
    <cfRule type="expression" priority="2" dxfId="1">
      <formula>NOT(ISNUMBER($B$5))</formula>
    </cfRule>
  </conditionalFormatting>
  <conditionalFormatting sqref="K9">
    <cfRule type="expression" priority="3" dxfId="2">
      <formula>$K$9&gt;0</formula>
    </cfRule>
    <cfRule type="expression" priority="4" dxfId="0">
      <formula>$K$9=0</formula>
    </cfRule>
  </conditionalFormatting>
  <conditionalFormatting sqref="H9">
    <cfRule type="expression" priority="5" dxfId="0">
      <formula>$H$9=4</formula>
    </cfRule>
  </conditionalFormatting>
  <conditionalFormatting sqref="E9">
    <cfRule type="expression" priority="6" dxfId="0">
      <formula>$E$9&gt;0</formula>
    </cfRule>
  </conditionalFormatting>
  <conditionalFormatting sqref="C12:F12">
    <cfRule type="dataBar" priority="7">
      <dataBar showValue="1">
        <cfvo type="num" val="0"/>
        <cfvo type="num" val="1"/>
        <color rgb="002E75B6"/>
      </dataBar>
    </cfRule>
  </conditionalFormatting>
  <conditionalFormatting sqref="G12:M12">
    <cfRule type="expression" priority="8" dxfId="3" stopIfTrue="1">
      <formula>ISNUMBER(SEARCH("Enhorabuena",$G$12))</formula>
    </cfRule>
    <cfRule type="expression" priority="9" dxfId="0" stopIfTrue="1">
      <formula>ISNUMBER(SEARCH("ompletad",$G$12))</formula>
    </cfRule>
    <cfRule type="expression" priority="10" dxfId="2" stopIfTrue="1">
      <formula>LEFT($G$12,1)="⚠"</formula>
    </cfRule>
    <cfRule type="expression" priority="11" dxfId="4">
      <formula>ISNUMBER(SEARCH("ejecución",$G$12))</formula>
    </cfRule>
  </conditionalFormatting>
  <conditionalFormatting sqref="D16:D20">
    <cfRule type="dataBar" priority="12">
      <dataBar showValue="0">
        <cfvo type="num" val="0"/>
        <cfvo type="num" val="1"/>
        <color rgb="002E75B6"/>
      </dataBar>
    </cfRule>
  </conditionalFormatting>
  <conditionalFormatting sqref="C16:C20">
    <cfRule type="expression" priority="13" dxfId="0">
      <formula>AND(ISNUMBER(C16),C16&gt;=1)</formula>
    </cfRule>
    <cfRule type="expression" priority="14" dxfId="4">
      <formula>AND(ISNUMBER(C16),C16&gt;0,C16&lt;1)</formula>
    </cfRule>
    <cfRule type="expression" priority="15" dxfId="2">
      <formula>OR(NOT(ISNUMBER(C16)),C16=0)</formula>
    </cfRule>
  </conditionalFormatting>
  <conditionalFormatting sqref="K16:K20">
    <cfRule type="expression" priority="16" dxfId="0">
      <formula>K16="Completado"</formula>
    </cfRule>
    <cfRule type="expression" priority="17" dxfId="4">
      <formula>K16="En curso"</formula>
    </cfRule>
    <cfRule type="expression" priority="18" dxfId="1">
      <formula>OR(K16="Sin actividades",K16="Pesos no válidos",K16="No definitivo")</formula>
    </cfRule>
    <cfRule type="expression" priority="19" dxfId="5">
      <formula>K16="Pendiente"</formula>
    </cfRule>
  </conditionalFormatting>
  <conditionalFormatting sqref="I16:J20">
    <cfRule type="expression" priority="20" dxfId="6">
      <formula>I16&gt;0</formula>
    </cfRule>
  </conditionalFormatting>
  <conditionalFormatting sqref="L16:M20">
    <cfRule type="expression" priority="21" dxfId="3" stopIfTrue="1">
      <formula>ISNUMBER(SEARCH("Enhorabuena",$L16))</formula>
    </cfRule>
    <cfRule type="expression" priority="22" dxfId="0" stopIfTrue="1">
      <formula>ISNUMBER(SEARCH("ompletad",$L16))</formula>
    </cfRule>
    <cfRule type="expression" priority="23" dxfId="2" stopIfTrue="1">
      <formula>LEFT($L16,1)="⚠"</formula>
    </cfRule>
    <cfRule type="expression" priority="24" dxfId="4">
      <formula>ISNUMBER(SEARCH("ejecución",$L16))</formula>
    </cfRule>
  </conditionalFormatting>
  <conditionalFormatting sqref="C25:F29">
    <cfRule type="expression" priority="25" dxfId="0">
      <formula>AND(ISNUMBER(C25),C25&gt;=1)</formula>
    </cfRule>
    <cfRule type="expression" priority="26" dxfId="7">
      <formula>AND(ISNUMBER(C25),C25&lt;INDEX(PlanRef,COLUMN(C25)-2))</formula>
    </cfRule>
  </conditionalFormatting>
  <conditionalFormatting sqref="H25:K29">
    <cfRule type="expression" priority="27" dxfId="2">
      <formula>AND(ISNUMBER(H25),H25&lt;0)</formula>
    </cfRule>
  </conditionalFormatting>
  <conditionalFormatting sqref="H70:H81">
    <cfRule type="expression" priority="28" dxfId="0">
      <formula>LEFT(H70,1)="✔"</formula>
    </cfRule>
    <cfRule type="expression" priority="29" dxfId="1">
      <formula>LEFT(H70,1)="●"</formula>
    </cfRule>
    <cfRule type="expression" priority="30" dxfId="2">
      <formula>LEFT(H70,1)="⚠"</formula>
    </cfRule>
  </conditionalFormatting>
  <conditionalFormatting sqref="H86:H90">
    <cfRule type="expression" priority="31" dxfId="8">
      <formula>H86&gt;0</formula>
    </cfRule>
  </conditionalFormatting>
  <conditionalFormatting sqref="I86:I90">
    <cfRule type="expression" priority="32" dxfId="9">
      <formula>I86&gt;0</formula>
    </cfRule>
  </conditionalFormatting>
  <conditionalFormatting sqref="J86:M90">
    <cfRule type="expression" priority="33" dxfId="8" stopIfTrue="1">
      <formula>$H86&gt;0</formula>
    </cfRule>
    <cfRule type="expression" priority="34" dxfId="9" stopIfTrue="1">
      <formula>$I86&gt;0</formula>
    </cfRule>
    <cfRule type="expression" priority="35" dxfId="0">
      <formula>LEFT($J86,1)="✔"</formula>
    </cfRule>
  </conditionalFormatting>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86" r:id="rId5"/>
    <hyperlink xmlns:r="http://schemas.openxmlformats.org/officeDocument/2006/relationships" ref="B87" r:id="rId6"/>
    <hyperlink xmlns:r="http://schemas.openxmlformats.org/officeDocument/2006/relationships" ref="B88" r:id="rId7"/>
    <hyperlink xmlns:r="http://schemas.openxmlformats.org/officeDocument/2006/relationships" ref="B89" r:id="rId8"/>
    <hyperlink xmlns:r="http://schemas.openxmlformats.org/officeDocument/2006/relationships" ref="B90" r:id="rId9"/>
  </hyperlinks>
  <pageMargins left="0.3" right="0.3" top="0.4" bottom="0.4" header="0.5" footer="0.5"/>
  <pageSetup orientation="landscape" paperSize="1" fitToHeight="0" fitToWidth="1"/>
  <headerFooter>
    <oddHeader/>
    <oddFooter>&amp;CPágina &amp;P de &amp;N</oddFooter>
    <evenHeader/>
    <evenFooter/>
    <firstHeader/>
    <firstFooter/>
  </headerFooter>
  <rowBreaks count="2" manualBreakCount="2">
    <brk id="34" min="0" max="16383" man="1"/>
    <brk id="66" min="0" max="16383" man="1"/>
  </rowBreaks>
  <drawing xmlns:r="http://schemas.openxmlformats.org/officeDocument/2006/relationships" r:id="rId10"/>
</worksheet>
</file>

<file path=xl/worksheets/sheet2.xml><?xml version="1.0" encoding="utf-8"?>
<worksheet xmlns="http://schemas.openxmlformats.org/spreadsheetml/2006/main">
  <sheetPr>
    <tabColor rgb="00595959"/>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47" t="inlineStr">
        <is>
          <t>Administración (jefatura) – Actividades de la jefatura</t>
        </is>
      </c>
      <c r="B1" s="47" t="n"/>
      <c r="C1" s="47" t="n"/>
      <c r="D1" s="47" t="n"/>
      <c r="E1" s="47" t="n"/>
      <c r="F1" s="47" t="n"/>
      <c r="G1" s="47" t="n"/>
      <c r="H1" s="47" t="n"/>
      <c r="I1" s="47" t="n"/>
      <c r="J1" s="47" t="n"/>
      <c r="K1" s="47" t="n"/>
      <c r="L1" s="47" t="n"/>
      <c r="M1" s="47" t="n"/>
      <c r="N1" s="47" t="n"/>
      <c r="O1" s="47" t="n"/>
      <c r="P1" s="47" t="n"/>
      <c r="Q1" s="47" t="n"/>
      <c r="R1" s="47" t="n"/>
      <c r="S1" s="47"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51"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53" t="inlineStr">
        <is>
          <t>En «Delegar a» elija el puesto: la actividad le llega a su Cronograma y aquí verá su avance.</t>
        </is>
      </c>
      <c r="R3" s="53" t="n"/>
      <c r="S3" s="53" t="n"/>
    </row>
    <row r="4" ht="42" customHeight="1">
      <c r="A4" s="54" t="inlineStr">
        <is>
          <t>N°</t>
        </is>
      </c>
      <c r="B4" s="55" t="inlineStr">
        <is>
          <t>Tipo</t>
        </is>
      </c>
      <c r="C4" s="55" t="inlineStr">
        <is>
          <t>Actividad</t>
        </is>
      </c>
      <c r="D4" s="55" t="inlineStr">
        <is>
          <t>Delegar a</t>
        </is>
      </c>
      <c r="E4" s="55" t="inlineStr">
        <is>
          <t>Fecha de inicio</t>
        </is>
      </c>
      <c r="F4" s="55" t="inlineStr">
        <is>
          <t>Fecha límite</t>
        </is>
      </c>
      <c r="G4" s="55" t="inlineStr">
        <is>
          <t>Fecha de cumplimiento</t>
        </is>
      </c>
      <c r="H4" s="55" t="inlineStr">
        <is>
          <t>Peso / % de la subactividad</t>
        </is>
      </c>
      <c r="I4" s="55" t="inlineStr">
        <is>
          <t>Avance Semana 1 (%)</t>
        </is>
      </c>
      <c r="J4" s="55" t="inlineStr">
        <is>
          <t>Avance Semana 2 (%)</t>
        </is>
      </c>
      <c r="K4" s="55" t="inlineStr">
        <is>
          <t>Avance Semana 3 (%)</t>
        </is>
      </c>
      <c r="L4" s="55" t="inlineStr">
        <is>
          <t>Avance Semana 4 (%)</t>
        </is>
      </c>
      <c r="M4" s="54" t="inlineStr">
        <is>
          <t>% de Avance Total Actual</t>
        </is>
      </c>
      <c r="N4" s="54" t="inlineStr">
        <is>
          <t>Estado</t>
        </is>
      </c>
      <c r="O4" s="54" t="inlineStr">
        <is>
          <t>Alerta de plazo</t>
        </is>
      </c>
      <c r="P4" s="54" t="inlineStr">
        <is>
          <t>Seguimiento de la delegación</t>
        </is>
      </c>
      <c r="Q4" s="55"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n"/>
      <c r="C5" s="58" t="n"/>
      <c r="D5" s="58" t="n"/>
      <c r="E5" s="59" t="n"/>
      <c r="F5" s="59" t="n"/>
      <c r="G5" s="59" t="n"/>
      <c r="H5" s="60" t="n"/>
      <c r="I5" s="60">
        <f>IF(N($W5)=0,"",IF(AND($S5=MesCiclo,1&gt;SemanaActual),"",MIN(1,SUMIFS(OFFSET($A$1,ROW(),29,1000-ROW(),1),OFFSET($A$1,ROW(),20,1000-ROW(),1),ROW(),OFFSET($A$1,ROW(),21,1000-ROW(),1),"Sub"))))</f>
        <v/>
      </c>
      <c r="J5" s="60">
        <f>IF(N($W5)=0,"",IF(AND($S5=MesCiclo,2&gt;SemanaActual),"",MIN(1,SUMIFS(OFFSET($A$1,ROW(),30,1000-ROW(),1),OFFSET($A$1,ROW(),20,1000-ROW(),1),ROW(),OFFSET($A$1,ROW(),21,1000-ROW(),1),"Sub"))))</f>
        <v/>
      </c>
      <c r="K5" s="60">
        <f>IF(N($W5)=0,"",IF(AND($S5=MesCiclo,3&gt;SemanaActual),"",MIN(1,SUMIFS(OFFSET($A$1,ROW(),31,1000-ROW(),1),OFFSET($A$1,ROW(),20,1000-ROW(),1),ROW(),OFFSET($A$1,ROW(),21,1000-ROW(),1),"Sub"))))</f>
        <v/>
      </c>
      <c r="L5" s="60">
        <f>IF(N($W5)=0,"",IF(AND($S5=MesCiclo,4&gt;SemanaActual),"",MIN(1,SUMIFS(OFFSET($A$1,ROW(),32,1000-ROW(),1),OFFSET($A$1,ROW(),20,1000-ROW(),1),ROW(),OFFSET($A$1,ROW(),21,1000-ROW(),1),"Sub"))))</f>
        <v/>
      </c>
      <c r="M5" s="61">
        <f>IF(NOT((COUNTA($B5:$D5)+COUNTA($G5:$H5)+COUNTA($Q5))&gt;0),"",IF(AND($D5&lt;&gt;"",$V5="Macro"),IF(N($AM5)&gt;0,N(CHOOSE(MATCH($D5,ListaPuestos,0),INDEX('Cronograma R. Operacional'!$M$5:$M$1000,$AM5),INDEX('Cronograma R. Normativo'!$M$5:$M$1000,$AM5),INDEX('Cronograma R. Financiero'!$M$5:$M$1000,$AM5),INDEX('Cronograma Asistente Técnico'!$M$5:$M$1000,$AM5))),0),IF(ISNUMBER($G5),1,IF(N($W5)&gt;0,MIN(1,SUMIFS($Y$5:$Y$1000,$U$5:$U$1000,ROW(),$V$5:$V$1000,"Sub")),$Y5))))</f>
        <v/>
      </c>
      <c r="N5" s="56">
        <f>IF(OR($M5="",$V5="Sub"),"",IF($M5&gt;=1,"Completado",IF($M5&gt;0,"En curso","Pendiente")))</f>
        <v/>
      </c>
      <c r="O5" s="56">
        <f>IF(NOT((COUNTA($B5:$D5)+COUNTA($G5:$H5)+COUNTA($Q5))&gt;0),"",IF(AND(AND($D5&lt;&gt;"",$V5="Macro"),N($AM5)&gt;0),CHOOSE(MATCH($D5,ListaPuestos,0),INDEX('Cronograma R. Operacional'!$O$5:$O$1000,$AM5),INDEX('Cronograma R. Normativo'!$O$5:$O$1000,$AM5),INDEX('Cronograma R. Financiero'!$O$5:$O$1000,$AM5),INDEX('Cronograma Asistente Técnico'!$O$5:$O$1000,$AM5))&amp;"",IF(ISNUMBER($G5),IF(AND(ISNUMBER($AS5),$G5&gt;$AS5),"Cumplida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f>IF(NOT((COUNTA($B5:$D5)+COUNTA($G5:$H5)+COUNTA($Q5))&gt;0),"",IF($D5="","Propia",IF($V5&lt;&gt;"Macro","Solo se delegan macroactividades",IF(N($AM5)&gt;0,"✔ Recibida por "&amp;$D5,"⚠ "&amp;$D5&amp;" aún no la agrega"))))</f>
        <v/>
      </c>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IF($V5&lt;&gt;"Sub","",N($X5)*IF(AND(ISNUMBER($G5),$G5&lt;=IF($S5=MesCiclo,InicioCiclo,$S5+MOD(2-WEEKDAY($S5),7))+6),1,MIN(1,MAX(0,IF(ISNUMBER(OFFSET($A$1,ROW()-1,8)),OFFSET($A$1,ROW()-1,8),0)))))</f>
        <v/>
      </c>
      <c r="AE5" s="62">
        <f>IF($V5&lt;&gt;"Sub","",N($X5)*IF(AND(ISNUMBER($G5),$G5&lt;=IF($S5=MesCiclo,InicioCiclo,$S5+MOD(2-WEEKDAY($S5),7))+13),1,MIN(1,MAX(0,IF(ISNUMBER(OFFSET($A$1,ROW()-1,9)),OFFSET($A$1,ROW()-1,9),IF(ISNUMBER(OFFSET($A$1,ROW()-1,8)),OFFSET($A$1,ROW()-1,8),0))))))</f>
        <v/>
      </c>
      <c r="AF5" s="62">
        <f>IF($V5&lt;&gt;"Sub","",N($X5)*IF(AND(ISNUMBER($G5),$G5&lt;=IF($S5=MesCiclo,InicioCiclo,$S5+MOD(2-WEEKDAY($S5),7))+20),1,MIN(1,MAX(0,IF(ISNUMBER(OFFSET($A$1,ROW()-1,10)),OFFSET($A$1,ROW()-1,10),IF(ISNUMBER(OFFSET($A$1,ROW()-1,9)),OFFSET($A$1,ROW()-1,9),IF(ISNUMBER(OFFSET($A$1,ROW()-1,8)),OFFSET($A$1,ROW()-1,8),0)))))))</f>
        <v/>
      </c>
      <c r="AG5" s="62">
        <f>IF($V5&lt;&gt;"Sub","",N($X5)*IF(AND(ISNUMBER($G5),$G5&lt;=IF($S5=MesCiclo,InicioCiclo,$S5+MOD(2-WEEKDAY($S5),7))+27),1,MIN(1,MAX(0,IF(ISNUMBER(OFFSET($A$1,ROW()-1,11)),OFFSET($A$1,ROW()-1,11),IF(ISNUMBER(OFFSET($A$1,ROW()-1,10)),OFFSET($A$1,ROW()-1,10),IF(ISNUMBER(OFFSET($A$1,ROW()-1,9)),OFFSET($A$1,ROW()-1,9),IF(ISNUMBER(OFFSET($A$1,ROW()-1,8)),OFFSET($A$1,ROW()-1,8),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f>IF(NOT(AND($D5&lt;&gt;"",$V5="Macro")),"",IFERROR(CHOOSE(MATCH($D5,ListaPuestos,0),MATCH("[Jefatura] "&amp;$C5,'Cronograma R. Operacional'!$C$5:$C$1000,0),MATCH("[Jefatura] "&amp;$C5,'Cronograma R. Normativo'!$C$5:$C$1000,0),MATCH("[Jefatura] "&amp;$C5,'Cronograma R. Financiero'!$C$5:$C$1000,0),MATCH("[Jefatura] "&amp;$C5,'Cronograma Asistente Técnico'!$C$5:$C$1000,0)),0))</f>
        <v/>
      </c>
      <c r="AN5" s="62">
        <f>IF(AND(AND($D5&lt;&gt;"",$V5="Macro"),$S5=MesCiclo),COUNTIFS($D$5:$D5,$D5,$S$5:$S5,MesCiclo,$V$5:$V5,"Macro"),"")</f>
        <v/>
      </c>
      <c r="AO5" s="62">
        <f>IF($AN5="","",$D5&amp;"|"&amp;$AN5)</f>
        <v/>
      </c>
      <c r="AP5" s="62">
        <f>IF(AND($D5&lt;&gt;"",$V5="Macro"),$D5&amp;"|"&amp;$C5,"")</f>
        <v/>
      </c>
      <c r="AQ5" s="62">
        <f>""</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n"/>
      <c r="C6" s="58" t="n"/>
      <c r="D6" s="58" t="n"/>
      <c r="E6" s="59" t="n"/>
      <c r="F6" s="59" t="n"/>
      <c r="G6" s="59" t="n"/>
      <c r="H6" s="60" t="n"/>
      <c r="I6" s="60">
        <f>IF(N($W6)=0,"",IF(AND($S6=MesCiclo,1&gt;SemanaActual),"",MIN(1,SUMIFS(OFFSET($A$1,ROW(),29,1000-ROW(),1),OFFSET($A$1,ROW(),20,1000-ROW(),1),ROW(),OFFSET($A$1,ROW(),21,1000-ROW(),1),"Sub"))))</f>
        <v/>
      </c>
      <c r="J6" s="60">
        <f>IF(N($W6)=0,"",IF(AND($S6=MesCiclo,2&gt;SemanaActual),"",MIN(1,SUMIFS(OFFSET($A$1,ROW(),30,1000-ROW(),1),OFFSET($A$1,ROW(),20,1000-ROW(),1),ROW(),OFFSET($A$1,ROW(),21,1000-ROW(),1),"Sub"))))</f>
        <v/>
      </c>
      <c r="K6" s="60">
        <f>IF(N($W6)=0,"",IF(AND($S6=MesCiclo,3&gt;SemanaActual),"",MIN(1,SUMIFS(OFFSET($A$1,ROW(),31,1000-ROW(),1),OFFSET($A$1,ROW(),20,1000-ROW(),1),ROW(),OFFSET($A$1,ROW(),21,1000-ROW(),1),"Sub"))))</f>
        <v/>
      </c>
      <c r="L6" s="60">
        <f>IF(N($W6)=0,"",IF(AND($S6=MesCiclo,4&gt;SemanaActual),"",MIN(1,SUMIFS(OFFSET($A$1,ROW(),32,1000-ROW(),1),OFFSET($A$1,ROW(),20,1000-ROW(),1),ROW(),OFFSET($A$1,ROW(),21,1000-ROW(),1),"Sub"))))</f>
        <v/>
      </c>
      <c r="M6" s="61">
        <f>IF(NOT((COUNTA($B6:$D6)+COUNTA($G6:$H6)+COUNTA($Q6))&gt;0),"",IF(AND($D6&lt;&gt;"",$V6="Macro"),IF(N($AM6)&gt;0,N(CHOOSE(MATCH($D6,ListaPuestos,0),INDEX('Cronograma R. Operacional'!$M$5:$M$1000,$AM6),INDEX('Cronograma R. Normativo'!$M$5:$M$1000,$AM6),INDEX('Cronograma R. Financiero'!$M$5:$M$1000,$AM6),INDEX('Cronograma Asistente Técnico'!$M$5:$M$1000,$AM6))),0),IF(ISNUMBER($G6),1,IF(N($W6)&gt;0,MIN(1,SUMIFS($Y$5:$Y$1000,$U$5:$U$1000,ROW(),$V$5:$V$1000,"Sub")),$Y6))))</f>
        <v/>
      </c>
      <c r="N6" s="56">
        <f>IF(OR($M6="",$V6="Sub"),"",IF($M6&gt;=1,"Completado",IF($M6&gt;0,"En curso","Pendiente")))</f>
        <v/>
      </c>
      <c r="O6" s="56">
        <f>IF(NOT((COUNTA($B6:$D6)+COUNTA($G6:$H6)+COUNTA($Q6))&gt;0),"",IF(AND(AND($D6&lt;&gt;"",$V6="Macro"),N($AM6)&gt;0),CHOOSE(MATCH($D6,ListaPuestos,0),INDEX('Cronograma R. Operacional'!$O$5:$O$1000,$AM6),INDEX('Cronograma R. Normativo'!$O$5:$O$1000,$AM6),INDEX('Cronograma R. Financiero'!$O$5:$O$1000,$AM6),INDEX('Cronograma Asistente Técnico'!$O$5:$O$1000,$AM6))&amp;"",IF(ISNUMBER($G6),IF(AND(ISNUMBER($AS6),$G6&gt;$AS6),"Cumplida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f>IF(NOT((COUNTA($B6:$D6)+COUNTA($G6:$H6)+COUNTA($Q6))&gt;0),"",IF($D6="","Propia",IF($V6&lt;&gt;"Macro","Solo se delegan macroactividades",IF(N($AM6)&gt;0,"✔ Recibida por "&amp;$D6,"⚠ "&amp;$D6&amp;" aún no la agrega"))))</f>
        <v/>
      </c>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IF($V6&lt;&gt;"Sub","",N($X6)*IF(AND(ISNUMBER($G6),$G6&lt;=IF($S6=MesCiclo,InicioCiclo,$S6+MOD(2-WEEKDAY($S6),7))+6),1,MIN(1,MAX(0,IF(ISNUMBER(OFFSET($A$1,ROW()-1,8)),OFFSET($A$1,ROW()-1,8),0)))))</f>
        <v/>
      </c>
      <c r="AE6" s="62">
        <f>IF($V6&lt;&gt;"Sub","",N($X6)*IF(AND(ISNUMBER($G6),$G6&lt;=IF($S6=MesCiclo,InicioCiclo,$S6+MOD(2-WEEKDAY($S6),7))+13),1,MIN(1,MAX(0,IF(ISNUMBER(OFFSET($A$1,ROW()-1,9)),OFFSET($A$1,ROW()-1,9),IF(ISNUMBER(OFFSET($A$1,ROW()-1,8)),OFFSET($A$1,ROW()-1,8),0))))))</f>
        <v/>
      </c>
      <c r="AF6" s="62">
        <f>IF($V6&lt;&gt;"Sub","",N($X6)*IF(AND(ISNUMBER($G6),$G6&lt;=IF($S6=MesCiclo,InicioCiclo,$S6+MOD(2-WEEKDAY($S6),7))+20),1,MIN(1,MAX(0,IF(ISNUMBER(OFFSET($A$1,ROW()-1,10)),OFFSET($A$1,ROW()-1,10),IF(ISNUMBER(OFFSET($A$1,ROW()-1,9)),OFFSET($A$1,ROW()-1,9),IF(ISNUMBER(OFFSET($A$1,ROW()-1,8)),OFFSET($A$1,ROW()-1,8),0)))))))</f>
        <v/>
      </c>
      <c r="AG6" s="62">
        <f>IF($V6&lt;&gt;"Sub","",N($X6)*IF(AND(ISNUMBER($G6),$G6&lt;=IF($S6=MesCiclo,InicioCiclo,$S6+MOD(2-WEEKDAY($S6),7))+27),1,MIN(1,MAX(0,IF(ISNUMBER(OFFSET($A$1,ROW()-1,11)),OFFSET($A$1,ROW()-1,11),IF(ISNUMBER(OFFSET($A$1,ROW()-1,10)),OFFSET($A$1,ROW()-1,10),IF(ISNUMBER(OFFSET($A$1,ROW()-1,9)),OFFSET($A$1,ROW()-1,9),IF(ISNUMBER(OFFSET($A$1,ROW()-1,8)),OFFSET($A$1,ROW()-1,8),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f>IF(NOT(AND($D6&lt;&gt;"",$V6="Macro")),"",IFERROR(CHOOSE(MATCH($D6,ListaPuestos,0),MATCH("[Jefatura] "&amp;$C6,'Cronograma R. Operacional'!$C$5:$C$1000,0),MATCH("[Jefatura] "&amp;$C6,'Cronograma R. Normativo'!$C$5:$C$1000,0),MATCH("[Jefatura] "&amp;$C6,'Cronograma R. Financiero'!$C$5:$C$1000,0),MATCH("[Jefatura] "&amp;$C6,'Cronograma Asistente Técnico'!$C$5:$C$1000,0)),0))</f>
        <v/>
      </c>
      <c r="AN6" s="62">
        <f>IF(AND(AND($D6&lt;&gt;"",$V6="Macro"),$S6=MesCiclo),COUNTIFS($D$5:$D6,$D6,$S$5:$S6,MesCiclo,$V$5:$V6,"Macro"),"")</f>
        <v/>
      </c>
      <c r="AO6" s="62">
        <f>IF($AN6="","",$D6&amp;"|"&amp;$AN6)</f>
        <v/>
      </c>
      <c r="AP6" s="62">
        <f>IF(AND($D6&lt;&gt;"",$V6="Macro"),$D6&amp;"|"&amp;$C6,"")</f>
        <v/>
      </c>
      <c r="AQ6" s="62">
        <f>""</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n"/>
      <c r="C7" s="58" t="n"/>
      <c r="D7" s="58" t="n"/>
      <c r="E7" s="59" t="n"/>
      <c r="F7" s="59" t="n"/>
      <c r="G7" s="59" t="n"/>
      <c r="H7" s="60" t="n"/>
      <c r="I7" s="60">
        <f>IF(N($W7)=0,"",IF(AND($S7=MesCiclo,1&gt;SemanaActual),"",MIN(1,SUMIFS(OFFSET($A$1,ROW(),29,1000-ROW(),1),OFFSET($A$1,ROW(),20,1000-ROW(),1),ROW(),OFFSET($A$1,ROW(),21,1000-ROW(),1),"Sub"))))</f>
        <v/>
      </c>
      <c r="J7" s="60">
        <f>IF(N($W7)=0,"",IF(AND($S7=MesCiclo,2&gt;SemanaActual),"",MIN(1,SUMIFS(OFFSET($A$1,ROW(),30,1000-ROW(),1),OFFSET($A$1,ROW(),20,1000-ROW(),1),ROW(),OFFSET($A$1,ROW(),21,1000-ROW(),1),"Sub"))))</f>
        <v/>
      </c>
      <c r="K7" s="60">
        <f>IF(N($W7)=0,"",IF(AND($S7=MesCiclo,3&gt;SemanaActual),"",MIN(1,SUMIFS(OFFSET($A$1,ROW(),31,1000-ROW(),1),OFFSET($A$1,ROW(),20,1000-ROW(),1),ROW(),OFFSET($A$1,ROW(),21,1000-ROW(),1),"Sub"))))</f>
        <v/>
      </c>
      <c r="L7" s="60">
        <f>IF(N($W7)=0,"",IF(AND($S7=MesCiclo,4&gt;SemanaActual),"",MIN(1,SUMIFS(OFFSET($A$1,ROW(),32,1000-ROW(),1),OFFSET($A$1,ROW(),20,1000-ROW(),1),ROW(),OFFSET($A$1,ROW(),21,1000-ROW(),1),"Sub"))))</f>
        <v/>
      </c>
      <c r="M7" s="61">
        <f>IF(NOT((COUNTA($B7:$D7)+COUNTA($G7:$H7)+COUNTA($Q7))&gt;0),"",IF(AND($D7&lt;&gt;"",$V7="Macro"),IF(N($AM7)&gt;0,N(CHOOSE(MATCH($D7,ListaPuestos,0),INDEX('Cronograma R. Operacional'!$M$5:$M$1000,$AM7),INDEX('Cronograma R. Normativo'!$M$5:$M$1000,$AM7),INDEX('Cronograma R. Financiero'!$M$5:$M$1000,$AM7),INDEX('Cronograma Asistente Técnico'!$M$5:$M$1000,$AM7))),0),IF(ISNUMBER($G7),1,IF(N($W7)&gt;0,MIN(1,SUMIFS($Y$5:$Y$1000,$U$5:$U$1000,ROW(),$V$5:$V$1000,"Sub")),$Y7))))</f>
        <v/>
      </c>
      <c r="N7" s="56">
        <f>IF(OR($M7="",$V7="Sub"),"",IF($M7&gt;=1,"Completado",IF($M7&gt;0,"En curso","Pendiente")))</f>
        <v/>
      </c>
      <c r="O7" s="56">
        <f>IF(NOT((COUNTA($B7:$D7)+COUNTA($G7:$H7)+COUNTA($Q7))&gt;0),"",IF(AND(AND($D7&lt;&gt;"",$V7="Macro"),N($AM7)&gt;0),CHOOSE(MATCH($D7,ListaPuestos,0),INDEX('Cronograma R. Operacional'!$O$5:$O$1000,$AM7),INDEX('Cronograma R. Normativo'!$O$5:$O$1000,$AM7),INDEX('Cronograma R. Financiero'!$O$5:$O$1000,$AM7),INDEX('Cronograma Asistente Técnico'!$O$5:$O$1000,$AM7))&amp;"",IF(ISNUMBER($G7),IF(AND(ISNUMBER($AS7),$G7&gt;$AS7),"Cumplida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f>IF(NOT((COUNTA($B7:$D7)+COUNTA($G7:$H7)+COUNTA($Q7))&gt;0),"",IF($D7="","Propia",IF($V7&lt;&gt;"Macro","Solo se delegan macroactividades",IF(N($AM7)&gt;0,"✔ Recibida por "&amp;$D7,"⚠ "&amp;$D7&amp;" aún no la agrega"))))</f>
        <v/>
      </c>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IF($V7&lt;&gt;"Sub","",N($X7)*IF(AND(ISNUMBER($G7),$G7&lt;=IF($S7=MesCiclo,InicioCiclo,$S7+MOD(2-WEEKDAY($S7),7))+6),1,MIN(1,MAX(0,IF(ISNUMBER(OFFSET($A$1,ROW()-1,8)),OFFSET($A$1,ROW()-1,8),0)))))</f>
        <v/>
      </c>
      <c r="AE7" s="62">
        <f>IF($V7&lt;&gt;"Sub","",N($X7)*IF(AND(ISNUMBER($G7),$G7&lt;=IF($S7=MesCiclo,InicioCiclo,$S7+MOD(2-WEEKDAY($S7),7))+13),1,MIN(1,MAX(0,IF(ISNUMBER(OFFSET($A$1,ROW()-1,9)),OFFSET($A$1,ROW()-1,9),IF(ISNUMBER(OFFSET($A$1,ROW()-1,8)),OFFSET($A$1,ROW()-1,8),0))))))</f>
        <v/>
      </c>
      <c r="AF7" s="62">
        <f>IF($V7&lt;&gt;"Sub","",N($X7)*IF(AND(ISNUMBER($G7),$G7&lt;=IF($S7=MesCiclo,InicioCiclo,$S7+MOD(2-WEEKDAY($S7),7))+20),1,MIN(1,MAX(0,IF(ISNUMBER(OFFSET($A$1,ROW()-1,10)),OFFSET($A$1,ROW()-1,10),IF(ISNUMBER(OFFSET($A$1,ROW()-1,9)),OFFSET($A$1,ROW()-1,9),IF(ISNUMBER(OFFSET($A$1,ROW()-1,8)),OFFSET($A$1,ROW()-1,8),0)))))))</f>
        <v/>
      </c>
      <c r="AG7" s="62">
        <f>IF($V7&lt;&gt;"Sub","",N($X7)*IF(AND(ISNUMBER($G7),$G7&lt;=IF($S7=MesCiclo,InicioCiclo,$S7+MOD(2-WEEKDAY($S7),7))+27),1,MIN(1,MAX(0,IF(ISNUMBER(OFFSET($A$1,ROW()-1,11)),OFFSET($A$1,ROW()-1,11),IF(ISNUMBER(OFFSET($A$1,ROW()-1,10)),OFFSET($A$1,ROW()-1,10),IF(ISNUMBER(OFFSET($A$1,ROW()-1,9)),OFFSET($A$1,ROW()-1,9),IF(ISNUMBER(OFFSET($A$1,ROW()-1,8)),OFFSET($A$1,ROW()-1,8),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f>IF(NOT(AND($D7&lt;&gt;"",$V7="Macro")),"",IFERROR(CHOOSE(MATCH($D7,ListaPuestos,0),MATCH("[Jefatura] "&amp;$C7,'Cronograma R. Operacional'!$C$5:$C$1000,0),MATCH("[Jefatura] "&amp;$C7,'Cronograma R. Normativo'!$C$5:$C$1000,0),MATCH("[Jefatura] "&amp;$C7,'Cronograma R. Financiero'!$C$5:$C$1000,0),MATCH("[Jefatura] "&amp;$C7,'Cronograma Asistente Técnico'!$C$5:$C$1000,0)),0))</f>
        <v/>
      </c>
      <c r="AN7" s="62">
        <f>IF(AND(AND($D7&lt;&gt;"",$V7="Macro"),$S7=MesCiclo),COUNTIFS($D$5:$D7,$D7,$S$5:$S7,MesCiclo,$V$5:$V7,"Macro"),"")</f>
        <v/>
      </c>
      <c r="AO7" s="62">
        <f>IF($AN7="","",$D7&amp;"|"&amp;$AN7)</f>
        <v/>
      </c>
      <c r="AP7" s="62">
        <f>IF(AND($D7&lt;&gt;"",$V7="Macro"),$D7&amp;"|"&amp;$C7,"")</f>
        <v/>
      </c>
      <c r="AQ7" s="62">
        <f>""</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n"/>
      <c r="C8" s="58" t="n"/>
      <c r="D8" s="58" t="n"/>
      <c r="E8" s="59" t="n"/>
      <c r="F8" s="59" t="n"/>
      <c r="G8" s="59" t="n"/>
      <c r="H8" s="60" t="n"/>
      <c r="I8" s="60">
        <f>IF(N($W8)=0,"",IF(AND($S8=MesCiclo,1&gt;SemanaActual),"",MIN(1,SUMIFS(OFFSET($A$1,ROW(),29,1000-ROW(),1),OFFSET($A$1,ROW(),20,1000-ROW(),1),ROW(),OFFSET($A$1,ROW(),21,1000-ROW(),1),"Sub"))))</f>
        <v/>
      </c>
      <c r="J8" s="60">
        <f>IF(N($W8)=0,"",IF(AND($S8=MesCiclo,2&gt;SemanaActual),"",MIN(1,SUMIFS(OFFSET($A$1,ROW(),30,1000-ROW(),1),OFFSET($A$1,ROW(),20,1000-ROW(),1),ROW(),OFFSET($A$1,ROW(),21,1000-ROW(),1),"Sub"))))</f>
        <v/>
      </c>
      <c r="K8" s="60">
        <f>IF(N($W8)=0,"",IF(AND($S8=MesCiclo,3&gt;SemanaActual),"",MIN(1,SUMIFS(OFFSET($A$1,ROW(),31,1000-ROW(),1),OFFSET($A$1,ROW(),20,1000-ROW(),1),ROW(),OFFSET($A$1,ROW(),21,1000-ROW(),1),"Sub"))))</f>
        <v/>
      </c>
      <c r="L8" s="60">
        <f>IF(N($W8)=0,"",IF(AND($S8=MesCiclo,4&gt;SemanaActual),"",MIN(1,SUMIFS(OFFSET($A$1,ROW(),32,1000-ROW(),1),OFFSET($A$1,ROW(),20,1000-ROW(),1),ROW(),OFFSET($A$1,ROW(),21,1000-ROW(),1),"Sub"))))</f>
        <v/>
      </c>
      <c r="M8" s="61">
        <f>IF(NOT((COUNTA($B8:$D8)+COUNTA($G8:$H8)+COUNTA($Q8))&gt;0),"",IF(AND($D8&lt;&gt;"",$V8="Macro"),IF(N($AM8)&gt;0,N(CHOOSE(MATCH($D8,ListaPuestos,0),INDEX('Cronograma R. Operacional'!$M$5:$M$1000,$AM8),INDEX('Cronograma R. Normativo'!$M$5:$M$1000,$AM8),INDEX('Cronograma R. Financiero'!$M$5:$M$1000,$AM8),INDEX('Cronograma Asistente Técnico'!$M$5:$M$1000,$AM8))),0),IF(ISNUMBER($G8),1,IF(N($W8)&gt;0,MIN(1,SUMIFS($Y$5:$Y$1000,$U$5:$U$1000,ROW(),$V$5:$V$1000,"Sub")),$Y8))))</f>
        <v/>
      </c>
      <c r="N8" s="56">
        <f>IF(OR($M8="",$V8="Sub"),"",IF($M8&gt;=1,"Completado",IF($M8&gt;0,"En curso","Pendiente")))</f>
        <v/>
      </c>
      <c r="O8" s="56">
        <f>IF(NOT((COUNTA($B8:$D8)+COUNTA($G8:$H8)+COUNTA($Q8))&gt;0),"",IF(AND(AND($D8&lt;&gt;"",$V8="Macro"),N($AM8)&gt;0),CHOOSE(MATCH($D8,ListaPuestos,0),INDEX('Cronograma R. Operacional'!$O$5:$O$1000,$AM8),INDEX('Cronograma R. Normativo'!$O$5:$O$1000,$AM8),INDEX('Cronograma R. Financiero'!$O$5:$O$1000,$AM8),INDEX('Cronograma Asistente Técnico'!$O$5:$O$1000,$AM8))&amp;"",IF(ISNUMBER($G8),IF(AND(ISNUMBER($AS8),$G8&gt;$AS8),"Cumplida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f>IF(NOT((COUNTA($B8:$D8)+COUNTA($G8:$H8)+COUNTA($Q8))&gt;0),"",IF($D8="","Propia",IF($V8&lt;&gt;"Macro","Solo se delegan macroactividades",IF(N($AM8)&gt;0,"✔ Recibida por "&amp;$D8,"⚠ "&amp;$D8&amp;" aún no la agrega"))))</f>
        <v/>
      </c>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IF($V8&lt;&gt;"Sub","",N($X8)*IF(AND(ISNUMBER($G8),$G8&lt;=IF($S8=MesCiclo,InicioCiclo,$S8+MOD(2-WEEKDAY($S8),7))+6),1,MIN(1,MAX(0,IF(ISNUMBER(OFFSET($A$1,ROW()-1,8)),OFFSET($A$1,ROW()-1,8),0)))))</f>
        <v/>
      </c>
      <c r="AE8" s="62">
        <f>IF($V8&lt;&gt;"Sub","",N($X8)*IF(AND(ISNUMBER($G8),$G8&lt;=IF($S8=MesCiclo,InicioCiclo,$S8+MOD(2-WEEKDAY($S8),7))+13),1,MIN(1,MAX(0,IF(ISNUMBER(OFFSET($A$1,ROW()-1,9)),OFFSET($A$1,ROW()-1,9),IF(ISNUMBER(OFFSET($A$1,ROW()-1,8)),OFFSET($A$1,ROW()-1,8),0))))))</f>
        <v/>
      </c>
      <c r="AF8" s="62">
        <f>IF($V8&lt;&gt;"Sub","",N($X8)*IF(AND(ISNUMBER($G8),$G8&lt;=IF($S8=MesCiclo,InicioCiclo,$S8+MOD(2-WEEKDAY($S8),7))+20),1,MIN(1,MAX(0,IF(ISNUMBER(OFFSET($A$1,ROW()-1,10)),OFFSET($A$1,ROW()-1,10),IF(ISNUMBER(OFFSET($A$1,ROW()-1,9)),OFFSET($A$1,ROW()-1,9),IF(ISNUMBER(OFFSET($A$1,ROW()-1,8)),OFFSET($A$1,ROW()-1,8),0)))))))</f>
        <v/>
      </c>
      <c r="AG8" s="62">
        <f>IF($V8&lt;&gt;"Sub","",N($X8)*IF(AND(ISNUMBER($G8),$G8&lt;=IF($S8=MesCiclo,InicioCiclo,$S8+MOD(2-WEEKDAY($S8),7))+27),1,MIN(1,MAX(0,IF(ISNUMBER(OFFSET($A$1,ROW()-1,11)),OFFSET($A$1,ROW()-1,11),IF(ISNUMBER(OFFSET($A$1,ROW()-1,10)),OFFSET($A$1,ROW()-1,10),IF(ISNUMBER(OFFSET($A$1,ROW()-1,9)),OFFSET($A$1,ROW()-1,9),IF(ISNUMBER(OFFSET($A$1,ROW()-1,8)),OFFSET($A$1,ROW()-1,8),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f>IF(NOT(AND($D8&lt;&gt;"",$V8="Macro")),"",IFERROR(CHOOSE(MATCH($D8,ListaPuestos,0),MATCH("[Jefatura] "&amp;$C8,'Cronograma R. Operacional'!$C$5:$C$1000,0),MATCH("[Jefatura] "&amp;$C8,'Cronograma R. Normativo'!$C$5:$C$1000,0),MATCH("[Jefatura] "&amp;$C8,'Cronograma R. Financiero'!$C$5:$C$1000,0),MATCH("[Jefatura] "&amp;$C8,'Cronograma Asistente Técnico'!$C$5:$C$1000,0)),0))</f>
        <v/>
      </c>
      <c r="AN8" s="62">
        <f>IF(AND(AND($D8&lt;&gt;"",$V8="Macro"),$S8=MesCiclo),COUNTIFS($D$5:$D8,$D8,$S$5:$S8,MesCiclo,$V$5:$V8,"Macro"),"")</f>
        <v/>
      </c>
      <c r="AO8" s="62">
        <f>IF($AN8="","",$D8&amp;"|"&amp;$AN8)</f>
        <v/>
      </c>
      <c r="AP8" s="62">
        <f>IF(AND($D8&lt;&gt;"",$V8="Macro"),$D8&amp;"|"&amp;$C8,"")</f>
        <v/>
      </c>
      <c r="AQ8" s="62">
        <f>""</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n"/>
      <c r="C9" s="58" t="n"/>
      <c r="D9" s="58" t="n"/>
      <c r="E9" s="59" t="n"/>
      <c r="F9" s="59" t="n"/>
      <c r="G9" s="59" t="n"/>
      <c r="H9" s="60" t="n"/>
      <c r="I9" s="60">
        <f>IF(N($W9)=0,"",IF(AND($S9=MesCiclo,1&gt;SemanaActual),"",MIN(1,SUMIFS(OFFSET($A$1,ROW(),29,1000-ROW(),1),OFFSET($A$1,ROW(),20,1000-ROW(),1),ROW(),OFFSET($A$1,ROW(),21,1000-ROW(),1),"Sub"))))</f>
        <v/>
      </c>
      <c r="J9" s="60">
        <f>IF(N($W9)=0,"",IF(AND($S9=MesCiclo,2&gt;SemanaActual),"",MIN(1,SUMIFS(OFFSET($A$1,ROW(),30,1000-ROW(),1),OFFSET($A$1,ROW(),20,1000-ROW(),1),ROW(),OFFSET($A$1,ROW(),21,1000-ROW(),1),"Sub"))))</f>
        <v/>
      </c>
      <c r="K9" s="60">
        <f>IF(N($W9)=0,"",IF(AND($S9=MesCiclo,3&gt;SemanaActual),"",MIN(1,SUMIFS(OFFSET($A$1,ROW(),31,1000-ROW(),1),OFFSET($A$1,ROW(),20,1000-ROW(),1),ROW(),OFFSET($A$1,ROW(),21,1000-ROW(),1),"Sub"))))</f>
        <v/>
      </c>
      <c r="L9" s="60">
        <f>IF(N($W9)=0,"",IF(AND($S9=MesCiclo,4&gt;SemanaActual),"",MIN(1,SUMIFS(OFFSET($A$1,ROW(),32,1000-ROW(),1),OFFSET($A$1,ROW(),20,1000-ROW(),1),ROW(),OFFSET($A$1,ROW(),21,1000-ROW(),1),"Sub"))))</f>
        <v/>
      </c>
      <c r="M9" s="61">
        <f>IF(NOT((COUNTA($B9:$D9)+COUNTA($G9:$H9)+COUNTA($Q9))&gt;0),"",IF(AND($D9&lt;&gt;"",$V9="Macro"),IF(N($AM9)&gt;0,N(CHOOSE(MATCH($D9,ListaPuestos,0),INDEX('Cronograma R. Operacional'!$M$5:$M$1000,$AM9),INDEX('Cronograma R. Normativo'!$M$5:$M$1000,$AM9),INDEX('Cronograma R. Financiero'!$M$5:$M$1000,$AM9),INDEX('Cronograma Asistente Técnico'!$M$5:$M$1000,$AM9))),0),IF(ISNUMBER($G9),1,IF(N($W9)&gt;0,MIN(1,SUMIFS($Y$5:$Y$1000,$U$5:$U$1000,ROW(),$V$5:$V$1000,"Sub")),$Y9))))</f>
        <v/>
      </c>
      <c r="N9" s="56">
        <f>IF(OR($M9="",$V9="Sub"),"",IF($M9&gt;=1,"Completado",IF($M9&gt;0,"En curso","Pendiente")))</f>
        <v/>
      </c>
      <c r="O9" s="56">
        <f>IF(NOT((COUNTA($B9:$D9)+COUNTA($G9:$H9)+COUNTA($Q9))&gt;0),"",IF(AND(AND($D9&lt;&gt;"",$V9="Macro"),N($AM9)&gt;0),CHOOSE(MATCH($D9,ListaPuestos,0),INDEX('Cronograma R. Operacional'!$O$5:$O$1000,$AM9),INDEX('Cronograma R. Normativo'!$O$5:$O$1000,$AM9),INDEX('Cronograma R. Financiero'!$O$5:$O$1000,$AM9),INDEX('Cronograma Asistente Técnico'!$O$5:$O$1000,$AM9))&amp;"",IF(ISNUMBER($G9),IF(AND(ISNUMBER($AS9),$G9&gt;$AS9),"Cumplida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f>IF(NOT((COUNTA($B9:$D9)+COUNTA($G9:$H9)+COUNTA($Q9))&gt;0),"",IF($D9="","Propia",IF($V9&lt;&gt;"Macro","Solo se delegan macroactividades",IF(N($AM9)&gt;0,"✔ Recibida por "&amp;$D9,"⚠ "&amp;$D9&amp;" aún no la agrega"))))</f>
        <v/>
      </c>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IF($V9&lt;&gt;"Sub","",N($X9)*IF(AND(ISNUMBER($G9),$G9&lt;=IF($S9=MesCiclo,InicioCiclo,$S9+MOD(2-WEEKDAY($S9),7))+6),1,MIN(1,MAX(0,IF(ISNUMBER(OFFSET($A$1,ROW()-1,8)),OFFSET($A$1,ROW()-1,8),0)))))</f>
        <v/>
      </c>
      <c r="AE9" s="62">
        <f>IF($V9&lt;&gt;"Sub","",N($X9)*IF(AND(ISNUMBER($G9),$G9&lt;=IF($S9=MesCiclo,InicioCiclo,$S9+MOD(2-WEEKDAY($S9),7))+13),1,MIN(1,MAX(0,IF(ISNUMBER(OFFSET($A$1,ROW()-1,9)),OFFSET($A$1,ROW()-1,9),IF(ISNUMBER(OFFSET($A$1,ROW()-1,8)),OFFSET($A$1,ROW()-1,8),0))))))</f>
        <v/>
      </c>
      <c r="AF9" s="62">
        <f>IF($V9&lt;&gt;"Sub","",N($X9)*IF(AND(ISNUMBER($G9),$G9&lt;=IF($S9=MesCiclo,InicioCiclo,$S9+MOD(2-WEEKDAY($S9),7))+20),1,MIN(1,MAX(0,IF(ISNUMBER(OFFSET($A$1,ROW()-1,10)),OFFSET($A$1,ROW()-1,10),IF(ISNUMBER(OFFSET($A$1,ROW()-1,9)),OFFSET($A$1,ROW()-1,9),IF(ISNUMBER(OFFSET($A$1,ROW()-1,8)),OFFSET($A$1,ROW()-1,8),0)))))))</f>
        <v/>
      </c>
      <c r="AG9" s="62">
        <f>IF($V9&lt;&gt;"Sub","",N($X9)*IF(AND(ISNUMBER($G9),$G9&lt;=IF($S9=MesCiclo,InicioCiclo,$S9+MOD(2-WEEKDAY($S9),7))+27),1,MIN(1,MAX(0,IF(ISNUMBER(OFFSET($A$1,ROW()-1,11)),OFFSET($A$1,ROW()-1,11),IF(ISNUMBER(OFFSET($A$1,ROW()-1,10)),OFFSET($A$1,ROW()-1,10),IF(ISNUMBER(OFFSET($A$1,ROW()-1,9)),OFFSET($A$1,ROW()-1,9),IF(ISNUMBER(OFFSET($A$1,ROW()-1,8)),OFFSET($A$1,ROW()-1,8),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f>IF(NOT(AND($D9&lt;&gt;"",$V9="Macro")),"",IFERROR(CHOOSE(MATCH($D9,ListaPuestos,0),MATCH("[Jefatura] "&amp;$C9,'Cronograma R. Operacional'!$C$5:$C$1000,0),MATCH("[Jefatura] "&amp;$C9,'Cronograma R. Normativo'!$C$5:$C$1000,0),MATCH("[Jefatura] "&amp;$C9,'Cronograma R. Financiero'!$C$5:$C$1000,0),MATCH("[Jefatura] "&amp;$C9,'Cronograma Asistente Técnico'!$C$5:$C$1000,0)),0))</f>
        <v/>
      </c>
      <c r="AN9" s="62">
        <f>IF(AND(AND($D9&lt;&gt;"",$V9="Macro"),$S9=MesCiclo),COUNTIFS($D$5:$D9,$D9,$S$5:$S9,MesCiclo,$V$5:$V9,"Macro"),"")</f>
        <v/>
      </c>
      <c r="AO9" s="62">
        <f>IF($AN9="","",$D9&amp;"|"&amp;$AN9)</f>
        <v/>
      </c>
      <c r="AP9" s="62">
        <f>IF(AND($D9&lt;&gt;"",$V9="Macro"),$D9&amp;"|"&amp;$C9,"")</f>
        <v/>
      </c>
      <c r="AQ9" s="62">
        <f>""</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n"/>
      <c r="C10" s="58" t="n"/>
      <c r="D10" s="58" t="n"/>
      <c r="E10" s="59" t="n"/>
      <c r="F10" s="59" t="n"/>
      <c r="G10" s="59" t="n"/>
      <c r="H10" s="60" t="n"/>
      <c r="I10" s="60">
        <f>IF(N($W10)=0,"",IF(AND($S10=MesCiclo,1&gt;SemanaActual),"",MIN(1,SUMIFS(OFFSET($A$1,ROW(),29,1000-ROW(),1),OFFSET($A$1,ROW(),20,1000-ROW(),1),ROW(),OFFSET($A$1,ROW(),21,1000-ROW(),1),"Sub"))))</f>
        <v/>
      </c>
      <c r="J10" s="60">
        <f>IF(N($W10)=0,"",IF(AND($S10=MesCiclo,2&gt;SemanaActual),"",MIN(1,SUMIFS(OFFSET($A$1,ROW(),30,1000-ROW(),1),OFFSET($A$1,ROW(),20,1000-ROW(),1),ROW(),OFFSET($A$1,ROW(),21,1000-ROW(),1),"Sub"))))</f>
        <v/>
      </c>
      <c r="K10" s="60">
        <f>IF(N($W10)=0,"",IF(AND($S10=MesCiclo,3&gt;SemanaActual),"",MIN(1,SUMIFS(OFFSET($A$1,ROW(),31,1000-ROW(),1),OFFSET($A$1,ROW(),20,1000-ROW(),1),ROW(),OFFSET($A$1,ROW(),21,1000-ROW(),1),"Sub"))))</f>
        <v/>
      </c>
      <c r="L10" s="60">
        <f>IF(N($W10)=0,"",IF(AND($S10=MesCiclo,4&gt;SemanaActual),"",MIN(1,SUMIFS(OFFSET($A$1,ROW(),32,1000-ROW(),1),OFFSET($A$1,ROW(),20,1000-ROW(),1),ROW(),OFFSET($A$1,ROW(),21,1000-ROW(),1),"Sub"))))</f>
        <v/>
      </c>
      <c r="M10" s="61">
        <f>IF(NOT((COUNTA($B10:$D10)+COUNTA($G10:$H10)+COUNTA($Q10))&gt;0),"",IF(AND($D10&lt;&gt;"",$V10="Macro"),IF(N($AM10)&gt;0,N(CHOOSE(MATCH($D10,ListaPuestos,0),INDEX('Cronograma R. Operacional'!$M$5:$M$1000,$AM10),INDEX('Cronograma R. Normativo'!$M$5:$M$1000,$AM10),INDEX('Cronograma R. Financiero'!$M$5:$M$1000,$AM10),INDEX('Cronograma Asistente Técnico'!$M$5:$M$1000,$AM10))),0),IF(ISNUMBER($G10),1,IF(N($W10)&gt;0,MIN(1,SUMIFS($Y$5:$Y$1000,$U$5:$U$1000,ROW(),$V$5:$V$1000,"Sub")),$Y10))))</f>
        <v/>
      </c>
      <c r="N10" s="56">
        <f>IF(OR($M10="",$V10="Sub"),"",IF($M10&gt;=1,"Completado",IF($M10&gt;0,"En curso","Pendiente")))</f>
        <v/>
      </c>
      <c r="O10" s="56">
        <f>IF(NOT((COUNTA($B10:$D10)+COUNTA($G10:$H10)+COUNTA($Q10))&gt;0),"",IF(AND(AND($D10&lt;&gt;"",$V10="Macro"),N($AM10)&gt;0),CHOOSE(MATCH($D10,ListaPuestos,0),INDEX('Cronograma R. Operacional'!$O$5:$O$1000,$AM10),INDEX('Cronograma R. Normativo'!$O$5:$O$1000,$AM10),INDEX('Cronograma R. Financiero'!$O$5:$O$1000,$AM10),INDEX('Cronograma Asistente Técnico'!$O$5:$O$1000,$AM10))&amp;"",IF(ISNUMBER($G10),IF(AND(ISNUMBER($AS10),$G10&gt;$AS10),"Cumplida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f>IF(NOT((COUNTA($B10:$D10)+COUNTA($G10:$H10)+COUNTA($Q10))&gt;0),"",IF($D10="","Propia",IF($V10&lt;&gt;"Macro","Solo se delegan macroactividades",IF(N($AM10)&gt;0,"✔ Recibida por "&amp;$D10,"⚠ "&amp;$D10&amp;" aún no la agrega"))))</f>
        <v/>
      </c>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IF($V10&lt;&gt;"Sub","",N($X10)*IF(AND(ISNUMBER($G10),$G10&lt;=IF($S10=MesCiclo,InicioCiclo,$S10+MOD(2-WEEKDAY($S10),7))+6),1,MIN(1,MAX(0,IF(ISNUMBER(OFFSET($A$1,ROW()-1,8)),OFFSET($A$1,ROW()-1,8),0)))))</f>
        <v/>
      </c>
      <c r="AE10" s="62">
        <f>IF($V10&lt;&gt;"Sub","",N($X10)*IF(AND(ISNUMBER($G10),$G10&lt;=IF($S10=MesCiclo,InicioCiclo,$S10+MOD(2-WEEKDAY($S10),7))+13),1,MIN(1,MAX(0,IF(ISNUMBER(OFFSET($A$1,ROW()-1,9)),OFFSET($A$1,ROW()-1,9),IF(ISNUMBER(OFFSET($A$1,ROW()-1,8)),OFFSET($A$1,ROW()-1,8),0))))))</f>
        <v/>
      </c>
      <c r="AF10" s="62">
        <f>IF($V10&lt;&gt;"Sub","",N($X10)*IF(AND(ISNUMBER($G10),$G10&lt;=IF($S10=MesCiclo,InicioCiclo,$S10+MOD(2-WEEKDAY($S10),7))+20),1,MIN(1,MAX(0,IF(ISNUMBER(OFFSET($A$1,ROW()-1,10)),OFFSET($A$1,ROW()-1,10),IF(ISNUMBER(OFFSET($A$1,ROW()-1,9)),OFFSET($A$1,ROW()-1,9),IF(ISNUMBER(OFFSET($A$1,ROW()-1,8)),OFFSET($A$1,ROW()-1,8),0)))))))</f>
        <v/>
      </c>
      <c r="AG10" s="62">
        <f>IF($V10&lt;&gt;"Sub","",N($X10)*IF(AND(ISNUMBER($G10),$G10&lt;=IF($S10=MesCiclo,InicioCiclo,$S10+MOD(2-WEEKDAY($S10),7))+27),1,MIN(1,MAX(0,IF(ISNUMBER(OFFSET($A$1,ROW()-1,11)),OFFSET($A$1,ROW()-1,11),IF(ISNUMBER(OFFSET($A$1,ROW()-1,10)),OFFSET($A$1,ROW()-1,10),IF(ISNUMBER(OFFSET($A$1,ROW()-1,9)),OFFSET($A$1,ROW()-1,9),IF(ISNUMBER(OFFSET($A$1,ROW()-1,8)),OFFSET($A$1,ROW()-1,8),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f>IF(NOT(AND($D10&lt;&gt;"",$V10="Macro")),"",IFERROR(CHOOSE(MATCH($D10,ListaPuestos,0),MATCH("[Jefatura] "&amp;$C10,'Cronograma R. Operacional'!$C$5:$C$1000,0),MATCH("[Jefatura] "&amp;$C10,'Cronograma R. Normativo'!$C$5:$C$1000,0),MATCH("[Jefatura] "&amp;$C10,'Cronograma R. Financiero'!$C$5:$C$1000,0),MATCH("[Jefatura] "&amp;$C10,'Cronograma Asistente Técnico'!$C$5:$C$1000,0)),0))</f>
        <v/>
      </c>
      <c r="AN10" s="62">
        <f>IF(AND(AND($D10&lt;&gt;"",$V10="Macro"),$S10=MesCiclo),COUNTIFS($D$5:$D10,$D10,$S$5:$S10,MesCiclo,$V$5:$V10,"Macro"),"")</f>
        <v/>
      </c>
      <c r="AO10" s="62">
        <f>IF($AN10="","",$D10&amp;"|"&amp;$AN10)</f>
        <v/>
      </c>
      <c r="AP10" s="62">
        <f>IF(AND($D10&lt;&gt;"",$V10="Macro"),$D10&amp;"|"&amp;$C10,"")</f>
        <v/>
      </c>
      <c r="AQ10" s="62">
        <f>""</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n"/>
      <c r="C11" s="58" t="n"/>
      <c r="D11" s="58" t="n"/>
      <c r="E11" s="59" t="n"/>
      <c r="F11" s="59" t="n"/>
      <c r="G11" s="59" t="n"/>
      <c r="H11" s="60" t="n"/>
      <c r="I11" s="60">
        <f>IF(N($W11)=0,"",IF(AND($S11=MesCiclo,1&gt;SemanaActual),"",MIN(1,SUMIFS(OFFSET($A$1,ROW(),29,1000-ROW(),1),OFFSET($A$1,ROW(),20,1000-ROW(),1),ROW(),OFFSET($A$1,ROW(),21,1000-ROW(),1),"Sub"))))</f>
        <v/>
      </c>
      <c r="J11" s="60">
        <f>IF(N($W11)=0,"",IF(AND($S11=MesCiclo,2&gt;SemanaActual),"",MIN(1,SUMIFS(OFFSET($A$1,ROW(),30,1000-ROW(),1),OFFSET($A$1,ROW(),20,1000-ROW(),1),ROW(),OFFSET($A$1,ROW(),21,1000-ROW(),1),"Sub"))))</f>
        <v/>
      </c>
      <c r="K11" s="60">
        <f>IF(N($W11)=0,"",IF(AND($S11=MesCiclo,3&gt;SemanaActual),"",MIN(1,SUMIFS(OFFSET($A$1,ROW(),31,1000-ROW(),1),OFFSET($A$1,ROW(),20,1000-ROW(),1),ROW(),OFFSET($A$1,ROW(),21,1000-ROW(),1),"Sub"))))</f>
        <v/>
      </c>
      <c r="L11" s="60">
        <f>IF(N($W11)=0,"",IF(AND($S11=MesCiclo,4&gt;SemanaActual),"",MIN(1,SUMIFS(OFFSET($A$1,ROW(),32,1000-ROW(),1),OFFSET($A$1,ROW(),20,1000-ROW(),1),ROW(),OFFSET($A$1,ROW(),21,1000-ROW(),1),"Sub"))))</f>
        <v/>
      </c>
      <c r="M11" s="61">
        <f>IF(NOT((COUNTA($B11:$D11)+COUNTA($G11:$H11)+COUNTA($Q11))&gt;0),"",IF(AND($D11&lt;&gt;"",$V11="Macro"),IF(N($AM11)&gt;0,N(CHOOSE(MATCH($D11,ListaPuestos,0),INDEX('Cronograma R. Operacional'!$M$5:$M$1000,$AM11),INDEX('Cronograma R. Normativo'!$M$5:$M$1000,$AM11),INDEX('Cronograma R. Financiero'!$M$5:$M$1000,$AM11),INDEX('Cronograma Asistente Técnico'!$M$5:$M$1000,$AM11))),0),IF(ISNUMBER($G11),1,IF(N($W11)&gt;0,MIN(1,SUMIFS($Y$5:$Y$1000,$U$5:$U$1000,ROW(),$V$5:$V$1000,"Sub")),$Y11))))</f>
        <v/>
      </c>
      <c r="N11" s="56">
        <f>IF(OR($M11="",$V11="Sub"),"",IF($M11&gt;=1,"Completado",IF($M11&gt;0,"En curso","Pendiente")))</f>
        <v/>
      </c>
      <c r="O11" s="56">
        <f>IF(NOT((COUNTA($B11:$D11)+COUNTA($G11:$H11)+COUNTA($Q11))&gt;0),"",IF(AND(AND($D11&lt;&gt;"",$V11="Macro"),N($AM11)&gt;0),CHOOSE(MATCH($D11,ListaPuestos,0),INDEX('Cronograma R. Operacional'!$O$5:$O$1000,$AM11),INDEX('Cronograma R. Normativo'!$O$5:$O$1000,$AM11),INDEX('Cronograma R. Financiero'!$O$5:$O$1000,$AM11),INDEX('Cronograma Asistente Técnico'!$O$5:$O$1000,$AM11))&amp;"",IF(ISNUMBER($G11),IF(AND(ISNUMBER($AS11),$G11&gt;$AS11),"Cumplida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f>IF(NOT((COUNTA($B11:$D11)+COUNTA($G11:$H11)+COUNTA($Q11))&gt;0),"",IF($D11="","Propia",IF($V11&lt;&gt;"Macro","Solo se delegan macroactividades",IF(N($AM11)&gt;0,"✔ Recibida por "&amp;$D11,"⚠ "&amp;$D11&amp;" aún no la agrega"))))</f>
        <v/>
      </c>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IF($V11&lt;&gt;"Sub","",N($X11)*IF(AND(ISNUMBER($G11),$G11&lt;=IF($S11=MesCiclo,InicioCiclo,$S11+MOD(2-WEEKDAY($S11),7))+6),1,MIN(1,MAX(0,IF(ISNUMBER(OFFSET($A$1,ROW()-1,8)),OFFSET($A$1,ROW()-1,8),0)))))</f>
        <v/>
      </c>
      <c r="AE11" s="62">
        <f>IF($V11&lt;&gt;"Sub","",N($X11)*IF(AND(ISNUMBER($G11),$G11&lt;=IF($S11=MesCiclo,InicioCiclo,$S11+MOD(2-WEEKDAY($S11),7))+13),1,MIN(1,MAX(0,IF(ISNUMBER(OFFSET($A$1,ROW()-1,9)),OFFSET($A$1,ROW()-1,9),IF(ISNUMBER(OFFSET($A$1,ROW()-1,8)),OFFSET($A$1,ROW()-1,8),0))))))</f>
        <v/>
      </c>
      <c r="AF11" s="62">
        <f>IF($V11&lt;&gt;"Sub","",N($X11)*IF(AND(ISNUMBER($G11),$G11&lt;=IF($S11=MesCiclo,InicioCiclo,$S11+MOD(2-WEEKDAY($S11),7))+20),1,MIN(1,MAX(0,IF(ISNUMBER(OFFSET($A$1,ROW()-1,10)),OFFSET($A$1,ROW()-1,10),IF(ISNUMBER(OFFSET($A$1,ROW()-1,9)),OFFSET($A$1,ROW()-1,9),IF(ISNUMBER(OFFSET($A$1,ROW()-1,8)),OFFSET($A$1,ROW()-1,8),0)))))))</f>
        <v/>
      </c>
      <c r="AG11" s="62">
        <f>IF($V11&lt;&gt;"Sub","",N($X11)*IF(AND(ISNUMBER($G11),$G11&lt;=IF($S11=MesCiclo,InicioCiclo,$S11+MOD(2-WEEKDAY($S11),7))+27),1,MIN(1,MAX(0,IF(ISNUMBER(OFFSET($A$1,ROW()-1,11)),OFFSET($A$1,ROW()-1,11),IF(ISNUMBER(OFFSET($A$1,ROW()-1,10)),OFFSET($A$1,ROW()-1,10),IF(ISNUMBER(OFFSET($A$1,ROW()-1,9)),OFFSET($A$1,ROW()-1,9),IF(ISNUMBER(OFFSET($A$1,ROW()-1,8)),OFFSET($A$1,ROW()-1,8),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f>IF(NOT(AND($D11&lt;&gt;"",$V11="Macro")),"",IFERROR(CHOOSE(MATCH($D11,ListaPuestos,0),MATCH("[Jefatura] "&amp;$C11,'Cronograma R. Operacional'!$C$5:$C$1000,0),MATCH("[Jefatura] "&amp;$C11,'Cronograma R. Normativo'!$C$5:$C$1000,0),MATCH("[Jefatura] "&amp;$C11,'Cronograma R. Financiero'!$C$5:$C$1000,0),MATCH("[Jefatura] "&amp;$C11,'Cronograma Asistente Técnico'!$C$5:$C$1000,0)),0))</f>
        <v/>
      </c>
      <c r="AN11" s="62">
        <f>IF(AND(AND($D11&lt;&gt;"",$V11="Macro"),$S11=MesCiclo),COUNTIFS($D$5:$D11,$D11,$S$5:$S11,MesCiclo,$V$5:$V11,"Macro"),"")</f>
        <v/>
      </c>
      <c r="AO11" s="62">
        <f>IF($AN11="","",$D11&amp;"|"&amp;$AN11)</f>
        <v/>
      </c>
      <c r="AP11" s="62">
        <f>IF(AND($D11&lt;&gt;"",$V11="Macro"),$D11&amp;"|"&amp;$C11,"")</f>
        <v/>
      </c>
      <c r="AQ11" s="62">
        <f>""</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t="n"/>
      <c r="F12" s="59" t="n"/>
      <c r="G12" s="59" t="n"/>
      <c r="H12" s="60" t="n"/>
      <c r="I12" s="60">
        <f>IF(N($W12)=0,"",IF(AND($S12=MesCiclo,1&gt;SemanaActual),"",MIN(1,SUMIFS(OFFSET($A$1,ROW(),29,1000-ROW(),1),OFFSET($A$1,ROW(),20,1000-ROW(),1),ROW(),OFFSET($A$1,ROW(),21,1000-ROW(),1),"Sub"))))</f>
        <v/>
      </c>
      <c r="J12" s="60">
        <f>IF(N($W12)=0,"",IF(AND($S12=MesCiclo,2&gt;SemanaActual),"",MIN(1,SUMIFS(OFFSET($A$1,ROW(),30,1000-ROW(),1),OFFSET($A$1,ROW(),20,1000-ROW(),1),ROW(),OFFSET($A$1,ROW(),21,1000-ROW(),1),"Sub"))))</f>
        <v/>
      </c>
      <c r="K12" s="60">
        <f>IF(N($W12)=0,"",IF(AND($S12=MesCiclo,3&gt;SemanaActual),"",MIN(1,SUMIFS(OFFSET($A$1,ROW(),31,1000-ROW(),1),OFFSET($A$1,ROW(),20,1000-ROW(),1),ROW(),OFFSET($A$1,ROW(),21,1000-ROW(),1),"Sub"))))</f>
        <v/>
      </c>
      <c r="L12" s="60">
        <f>IF(N($W12)=0,"",IF(AND($S12=MesCiclo,4&gt;SemanaActual),"",MIN(1,SUMIFS(OFFSET($A$1,ROW(),32,1000-ROW(),1),OFFSET($A$1,ROW(),20,1000-ROW(),1),ROW(),OFFSET($A$1,ROW(),21,1000-ROW(),1),"Sub"))))</f>
        <v/>
      </c>
      <c r="M12" s="61">
        <f>IF(NOT((COUNTA($B12:$D12)+COUNTA($G12:$H12)+COUNTA($Q12))&gt;0),"",IF(AND($D12&lt;&gt;"",$V12="Macro"),IF(N($AM12)&gt;0,N(CHOOSE(MATCH($D12,ListaPuestos,0),INDEX('Cronograma R. Operacional'!$M$5:$M$1000,$AM12),INDEX('Cronograma R. Normativo'!$M$5:$M$1000,$AM12),INDEX('Cronograma R. Financiero'!$M$5:$M$1000,$AM12),INDEX('Cronograma Asistente Técnico'!$M$5:$M$1000,$AM12))),0),IF(ISNUMBER($G12),1,IF(N($W12)&gt;0,MIN(1,SUMIFS($Y$5:$Y$1000,$U$5:$U$1000,ROW(),$V$5:$V$1000,"Sub")),$Y12))))</f>
        <v/>
      </c>
      <c r="N12" s="56">
        <f>IF(OR($M12="",$V12="Sub"),"",IF($M12&gt;=1,"Completado",IF($M12&gt;0,"En curso","Pendiente")))</f>
        <v/>
      </c>
      <c r="O12" s="56">
        <f>IF(NOT((COUNTA($B12:$D12)+COUNTA($G12:$H12)+COUNTA($Q12))&gt;0),"",IF(AND(AND($D12&lt;&gt;"",$V12="Macro"),N($AM12)&gt;0),CHOOSE(MATCH($D12,ListaPuestos,0),INDEX('Cronograma R. Operacional'!$O$5:$O$1000,$AM12),INDEX('Cronograma R. Normativo'!$O$5:$O$1000,$AM12),INDEX('Cronograma R. Financiero'!$O$5:$O$1000,$AM12),INDEX('Cronograma Asistente Técnico'!$O$5:$O$1000,$AM12))&amp;"",IF(ISNUMBER($G12),IF(AND(ISNUMBER($AS12),$G12&gt;$AS12),"Cumplida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f>IF(NOT((COUNTA($B12:$D12)+COUNTA($G12:$H12)+COUNTA($Q12))&gt;0),"",IF($D12="","Propia",IF($V12&lt;&gt;"Macro","Solo se delegan macroactividades",IF(N($AM12)&gt;0,"✔ Recibida por "&amp;$D12,"⚠ "&amp;$D12&amp;" aún no la agrega"))))</f>
        <v/>
      </c>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IF($V12&lt;&gt;"Sub","",N($X12)*IF(AND(ISNUMBER($G12),$G12&lt;=IF($S12=MesCiclo,InicioCiclo,$S12+MOD(2-WEEKDAY($S12),7))+6),1,MIN(1,MAX(0,IF(ISNUMBER(OFFSET($A$1,ROW()-1,8)),OFFSET($A$1,ROW()-1,8),0)))))</f>
        <v/>
      </c>
      <c r="AE12" s="62">
        <f>IF($V12&lt;&gt;"Sub","",N($X12)*IF(AND(ISNUMBER($G12),$G12&lt;=IF($S12=MesCiclo,InicioCiclo,$S12+MOD(2-WEEKDAY($S12),7))+13),1,MIN(1,MAX(0,IF(ISNUMBER(OFFSET($A$1,ROW()-1,9)),OFFSET($A$1,ROW()-1,9),IF(ISNUMBER(OFFSET($A$1,ROW()-1,8)),OFFSET($A$1,ROW()-1,8),0))))))</f>
        <v/>
      </c>
      <c r="AF12" s="62">
        <f>IF($V12&lt;&gt;"Sub","",N($X12)*IF(AND(ISNUMBER($G12),$G12&lt;=IF($S12=MesCiclo,InicioCiclo,$S12+MOD(2-WEEKDAY($S12),7))+20),1,MIN(1,MAX(0,IF(ISNUMBER(OFFSET($A$1,ROW()-1,10)),OFFSET($A$1,ROW()-1,10),IF(ISNUMBER(OFFSET($A$1,ROW()-1,9)),OFFSET($A$1,ROW()-1,9),IF(ISNUMBER(OFFSET($A$1,ROW()-1,8)),OFFSET($A$1,ROW()-1,8),0)))))))</f>
        <v/>
      </c>
      <c r="AG12" s="62">
        <f>IF($V12&lt;&gt;"Sub","",N($X12)*IF(AND(ISNUMBER($G12),$G12&lt;=IF($S12=MesCiclo,InicioCiclo,$S12+MOD(2-WEEKDAY($S12),7))+27),1,MIN(1,MAX(0,IF(ISNUMBER(OFFSET($A$1,ROW()-1,11)),OFFSET($A$1,ROW()-1,11),IF(ISNUMBER(OFFSET($A$1,ROW()-1,10)),OFFSET($A$1,ROW()-1,10),IF(ISNUMBER(OFFSET($A$1,ROW()-1,9)),OFFSET($A$1,ROW()-1,9),IF(ISNUMBER(OFFSET($A$1,ROW()-1,8)),OFFSET($A$1,ROW()-1,8),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f>IF(NOT(AND($D12&lt;&gt;"",$V12="Macro")),"",IFERROR(CHOOSE(MATCH($D12,ListaPuestos,0),MATCH("[Jefatura] "&amp;$C12,'Cronograma R. Operacional'!$C$5:$C$1000,0),MATCH("[Jefatura] "&amp;$C12,'Cronograma R. Normativo'!$C$5:$C$1000,0),MATCH("[Jefatura] "&amp;$C12,'Cronograma R. Financiero'!$C$5:$C$1000,0),MATCH("[Jefatura] "&amp;$C12,'Cronograma Asistente Técnico'!$C$5:$C$1000,0)),0))</f>
        <v/>
      </c>
      <c r="AN12" s="62">
        <f>IF(AND(AND($D12&lt;&gt;"",$V12="Macro"),$S12=MesCiclo),COUNTIFS($D$5:$D12,$D12,$S$5:$S12,MesCiclo,$V$5:$V12,"Macro"),"")</f>
        <v/>
      </c>
      <c r="AO12" s="62">
        <f>IF($AN12="","",$D12&amp;"|"&amp;$AN12)</f>
        <v/>
      </c>
      <c r="AP12" s="62">
        <f>IF(AND($D12&lt;&gt;"",$V12="Macro"),$D12&amp;"|"&amp;$C12,"")</f>
        <v/>
      </c>
      <c r="AQ12" s="62">
        <f>""</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t="n"/>
      <c r="F13" s="59" t="n"/>
      <c r="G13" s="59" t="n"/>
      <c r="H13" s="60" t="n"/>
      <c r="I13" s="60">
        <f>IF(N($W13)=0,"",IF(AND($S13=MesCiclo,1&gt;SemanaActual),"",MIN(1,SUMIFS(OFFSET($A$1,ROW(),29,1000-ROW(),1),OFFSET($A$1,ROW(),20,1000-ROW(),1),ROW(),OFFSET($A$1,ROW(),21,1000-ROW(),1),"Sub"))))</f>
        <v/>
      </c>
      <c r="J13" s="60">
        <f>IF(N($W13)=0,"",IF(AND($S13=MesCiclo,2&gt;SemanaActual),"",MIN(1,SUMIFS(OFFSET($A$1,ROW(),30,1000-ROW(),1),OFFSET($A$1,ROW(),20,1000-ROW(),1),ROW(),OFFSET($A$1,ROW(),21,1000-ROW(),1),"Sub"))))</f>
        <v/>
      </c>
      <c r="K13" s="60">
        <f>IF(N($W13)=0,"",IF(AND($S13=MesCiclo,3&gt;SemanaActual),"",MIN(1,SUMIFS(OFFSET($A$1,ROW(),31,1000-ROW(),1),OFFSET($A$1,ROW(),20,1000-ROW(),1),ROW(),OFFSET($A$1,ROW(),21,1000-ROW(),1),"Sub"))))</f>
        <v/>
      </c>
      <c r="L13" s="60">
        <f>IF(N($W13)=0,"",IF(AND($S13=MesCiclo,4&gt;SemanaActual),"",MIN(1,SUMIFS(OFFSET($A$1,ROW(),32,1000-ROW(),1),OFFSET($A$1,ROW(),20,1000-ROW(),1),ROW(),OFFSET($A$1,ROW(),21,1000-ROW(),1),"Sub"))))</f>
        <v/>
      </c>
      <c r="M13" s="61">
        <f>IF(NOT((COUNTA($B13:$D13)+COUNTA($G13:$H13)+COUNTA($Q13))&gt;0),"",IF(AND($D13&lt;&gt;"",$V13="Macro"),IF(N($AM13)&gt;0,N(CHOOSE(MATCH($D13,ListaPuestos,0),INDEX('Cronograma R. Operacional'!$M$5:$M$1000,$AM13),INDEX('Cronograma R. Normativo'!$M$5:$M$1000,$AM13),INDEX('Cronograma R. Financiero'!$M$5:$M$1000,$AM13),INDEX('Cronograma Asistente Técnico'!$M$5:$M$1000,$AM13))),0),IF(ISNUMBER($G13),1,IF(N($W13)&gt;0,MIN(1,SUMIFS($Y$5:$Y$1000,$U$5:$U$1000,ROW(),$V$5:$V$1000,"Sub")),$Y13))))</f>
        <v/>
      </c>
      <c r="N13" s="56">
        <f>IF(OR($M13="",$V13="Sub"),"",IF($M13&gt;=1,"Completado",IF($M13&gt;0,"En curso","Pendiente")))</f>
        <v/>
      </c>
      <c r="O13" s="56">
        <f>IF(NOT((COUNTA($B13:$D13)+COUNTA($G13:$H13)+COUNTA($Q13))&gt;0),"",IF(AND(AND($D13&lt;&gt;"",$V13="Macro"),N($AM13)&gt;0),CHOOSE(MATCH($D13,ListaPuestos,0),INDEX('Cronograma R. Operacional'!$O$5:$O$1000,$AM13),INDEX('Cronograma R. Normativo'!$O$5:$O$1000,$AM13),INDEX('Cronograma R. Financiero'!$O$5:$O$1000,$AM13),INDEX('Cronograma Asistente Técnico'!$O$5:$O$1000,$AM13))&amp;"",IF(ISNUMBER($G13),IF(AND(ISNUMBER($AS13),$G13&gt;$AS13),"Cumplida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f>IF(NOT((COUNTA($B13:$D13)+COUNTA($G13:$H13)+COUNTA($Q13))&gt;0),"",IF($D13="","Propia",IF($V13&lt;&gt;"Macro","Solo se delegan macroactividades",IF(N($AM13)&gt;0,"✔ Recibida por "&amp;$D13,"⚠ "&amp;$D13&amp;" aún no la agrega"))))</f>
        <v/>
      </c>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IF($V13&lt;&gt;"Sub","",N($X13)*IF(AND(ISNUMBER($G13),$G13&lt;=IF($S13=MesCiclo,InicioCiclo,$S13+MOD(2-WEEKDAY($S13),7))+6),1,MIN(1,MAX(0,IF(ISNUMBER(OFFSET($A$1,ROW()-1,8)),OFFSET($A$1,ROW()-1,8),0)))))</f>
        <v/>
      </c>
      <c r="AE13" s="62">
        <f>IF($V13&lt;&gt;"Sub","",N($X13)*IF(AND(ISNUMBER($G13),$G13&lt;=IF($S13=MesCiclo,InicioCiclo,$S13+MOD(2-WEEKDAY($S13),7))+13),1,MIN(1,MAX(0,IF(ISNUMBER(OFFSET($A$1,ROW()-1,9)),OFFSET($A$1,ROW()-1,9),IF(ISNUMBER(OFFSET($A$1,ROW()-1,8)),OFFSET($A$1,ROW()-1,8),0))))))</f>
        <v/>
      </c>
      <c r="AF13" s="62">
        <f>IF($V13&lt;&gt;"Sub","",N($X13)*IF(AND(ISNUMBER($G13),$G13&lt;=IF($S13=MesCiclo,InicioCiclo,$S13+MOD(2-WEEKDAY($S13),7))+20),1,MIN(1,MAX(0,IF(ISNUMBER(OFFSET($A$1,ROW()-1,10)),OFFSET($A$1,ROW()-1,10),IF(ISNUMBER(OFFSET($A$1,ROW()-1,9)),OFFSET($A$1,ROW()-1,9),IF(ISNUMBER(OFFSET($A$1,ROW()-1,8)),OFFSET($A$1,ROW()-1,8),0)))))))</f>
        <v/>
      </c>
      <c r="AG13" s="62">
        <f>IF($V13&lt;&gt;"Sub","",N($X13)*IF(AND(ISNUMBER($G13),$G13&lt;=IF($S13=MesCiclo,InicioCiclo,$S13+MOD(2-WEEKDAY($S13),7))+27),1,MIN(1,MAX(0,IF(ISNUMBER(OFFSET($A$1,ROW()-1,11)),OFFSET($A$1,ROW()-1,11),IF(ISNUMBER(OFFSET($A$1,ROW()-1,10)),OFFSET($A$1,ROW()-1,10),IF(ISNUMBER(OFFSET($A$1,ROW()-1,9)),OFFSET($A$1,ROW()-1,9),IF(ISNUMBER(OFFSET($A$1,ROW()-1,8)),OFFSET($A$1,ROW()-1,8),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f>IF(NOT(AND($D13&lt;&gt;"",$V13="Macro")),"",IFERROR(CHOOSE(MATCH($D13,ListaPuestos,0),MATCH("[Jefatura] "&amp;$C13,'Cronograma R. Operacional'!$C$5:$C$1000,0),MATCH("[Jefatura] "&amp;$C13,'Cronograma R. Normativo'!$C$5:$C$1000,0),MATCH("[Jefatura] "&amp;$C13,'Cronograma R. Financiero'!$C$5:$C$1000,0),MATCH("[Jefatura] "&amp;$C13,'Cronograma Asistente Técnico'!$C$5:$C$1000,0)),0))</f>
        <v/>
      </c>
      <c r="AN13" s="62">
        <f>IF(AND(AND($D13&lt;&gt;"",$V13="Macro"),$S13=MesCiclo),COUNTIFS($D$5:$D13,$D13,$S$5:$S13,MesCiclo,$V$5:$V13,"Macro"),"")</f>
        <v/>
      </c>
      <c r="AO13" s="62">
        <f>IF($AN13="","",$D13&amp;"|"&amp;$AN13)</f>
        <v/>
      </c>
      <c r="AP13" s="62">
        <f>IF(AND($D13&lt;&gt;"",$V13="Macro"),$D13&amp;"|"&amp;$C13,"")</f>
        <v/>
      </c>
      <c r="AQ13" s="62">
        <f>""</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t="n"/>
      <c r="F14" s="59" t="n"/>
      <c r="G14" s="59" t="n"/>
      <c r="H14" s="60" t="n"/>
      <c r="I14" s="60">
        <f>IF(N($W14)=0,"",IF(AND($S14=MesCiclo,1&gt;SemanaActual),"",MIN(1,SUMIFS(OFFSET($A$1,ROW(),29,1000-ROW(),1),OFFSET($A$1,ROW(),20,1000-ROW(),1),ROW(),OFFSET($A$1,ROW(),21,1000-ROW(),1),"Sub"))))</f>
        <v/>
      </c>
      <c r="J14" s="60">
        <f>IF(N($W14)=0,"",IF(AND($S14=MesCiclo,2&gt;SemanaActual),"",MIN(1,SUMIFS(OFFSET($A$1,ROW(),30,1000-ROW(),1),OFFSET($A$1,ROW(),20,1000-ROW(),1),ROW(),OFFSET($A$1,ROW(),21,1000-ROW(),1),"Sub"))))</f>
        <v/>
      </c>
      <c r="K14" s="60">
        <f>IF(N($W14)=0,"",IF(AND($S14=MesCiclo,3&gt;SemanaActual),"",MIN(1,SUMIFS(OFFSET($A$1,ROW(),31,1000-ROW(),1),OFFSET($A$1,ROW(),20,1000-ROW(),1),ROW(),OFFSET($A$1,ROW(),21,1000-ROW(),1),"Sub"))))</f>
        <v/>
      </c>
      <c r="L14" s="60">
        <f>IF(N($W14)=0,"",IF(AND($S14=MesCiclo,4&gt;SemanaActual),"",MIN(1,SUMIFS(OFFSET($A$1,ROW(),32,1000-ROW(),1),OFFSET($A$1,ROW(),20,1000-ROW(),1),ROW(),OFFSET($A$1,ROW(),21,1000-ROW(),1),"Sub"))))</f>
        <v/>
      </c>
      <c r="M14" s="61">
        <f>IF(NOT((COUNTA($B14:$D14)+COUNTA($G14:$H14)+COUNTA($Q14))&gt;0),"",IF(AND($D14&lt;&gt;"",$V14="Macro"),IF(N($AM14)&gt;0,N(CHOOSE(MATCH($D14,ListaPuestos,0),INDEX('Cronograma R. Operacional'!$M$5:$M$1000,$AM14),INDEX('Cronograma R. Normativo'!$M$5:$M$1000,$AM14),INDEX('Cronograma R. Financiero'!$M$5:$M$1000,$AM14),INDEX('Cronograma Asistente Técnico'!$M$5:$M$1000,$AM14))),0),IF(ISNUMBER($G14),1,IF(N($W14)&gt;0,MIN(1,SUMIFS($Y$5:$Y$1000,$U$5:$U$1000,ROW(),$V$5:$V$1000,"Sub")),$Y14))))</f>
        <v/>
      </c>
      <c r="N14" s="56">
        <f>IF(OR($M14="",$V14="Sub"),"",IF($M14&gt;=1,"Completado",IF($M14&gt;0,"En curso","Pendiente")))</f>
        <v/>
      </c>
      <c r="O14" s="56">
        <f>IF(NOT((COUNTA($B14:$D14)+COUNTA($G14:$H14)+COUNTA($Q14))&gt;0),"",IF(AND(AND($D14&lt;&gt;"",$V14="Macro"),N($AM14)&gt;0),CHOOSE(MATCH($D14,ListaPuestos,0),INDEX('Cronograma R. Operacional'!$O$5:$O$1000,$AM14),INDEX('Cronograma R. Normativo'!$O$5:$O$1000,$AM14),INDEX('Cronograma R. Financiero'!$O$5:$O$1000,$AM14),INDEX('Cronograma Asistente Técnico'!$O$5:$O$1000,$AM14))&amp;"",IF(ISNUMBER($G14),IF(AND(ISNUMBER($AS14),$G14&gt;$AS14),"Cumplida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f>IF(NOT((COUNTA($B14:$D14)+COUNTA($G14:$H14)+COUNTA($Q14))&gt;0),"",IF($D14="","Propia",IF($V14&lt;&gt;"Macro","Solo se delegan macroactividades",IF(N($AM14)&gt;0,"✔ Recibida por "&amp;$D14,"⚠ "&amp;$D14&amp;" aún no la agrega"))))</f>
        <v/>
      </c>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IF($V14&lt;&gt;"Sub","",N($X14)*IF(AND(ISNUMBER($G14),$G14&lt;=IF($S14=MesCiclo,InicioCiclo,$S14+MOD(2-WEEKDAY($S14),7))+6),1,MIN(1,MAX(0,IF(ISNUMBER(OFFSET($A$1,ROW()-1,8)),OFFSET($A$1,ROW()-1,8),0)))))</f>
        <v/>
      </c>
      <c r="AE14" s="62">
        <f>IF($V14&lt;&gt;"Sub","",N($X14)*IF(AND(ISNUMBER($G14),$G14&lt;=IF($S14=MesCiclo,InicioCiclo,$S14+MOD(2-WEEKDAY($S14),7))+13),1,MIN(1,MAX(0,IF(ISNUMBER(OFFSET($A$1,ROW()-1,9)),OFFSET($A$1,ROW()-1,9),IF(ISNUMBER(OFFSET($A$1,ROW()-1,8)),OFFSET($A$1,ROW()-1,8),0))))))</f>
        <v/>
      </c>
      <c r="AF14" s="62">
        <f>IF($V14&lt;&gt;"Sub","",N($X14)*IF(AND(ISNUMBER($G14),$G14&lt;=IF($S14=MesCiclo,InicioCiclo,$S14+MOD(2-WEEKDAY($S14),7))+20),1,MIN(1,MAX(0,IF(ISNUMBER(OFFSET($A$1,ROW()-1,10)),OFFSET($A$1,ROW()-1,10),IF(ISNUMBER(OFFSET($A$1,ROW()-1,9)),OFFSET($A$1,ROW()-1,9),IF(ISNUMBER(OFFSET($A$1,ROW()-1,8)),OFFSET($A$1,ROW()-1,8),0)))))))</f>
        <v/>
      </c>
      <c r="AG14" s="62">
        <f>IF($V14&lt;&gt;"Sub","",N($X14)*IF(AND(ISNUMBER($G14),$G14&lt;=IF($S14=MesCiclo,InicioCiclo,$S14+MOD(2-WEEKDAY($S14),7))+27),1,MIN(1,MAX(0,IF(ISNUMBER(OFFSET($A$1,ROW()-1,11)),OFFSET($A$1,ROW()-1,11),IF(ISNUMBER(OFFSET($A$1,ROW()-1,10)),OFFSET($A$1,ROW()-1,10),IF(ISNUMBER(OFFSET($A$1,ROW()-1,9)),OFFSET($A$1,ROW()-1,9),IF(ISNUMBER(OFFSET($A$1,ROW()-1,8)),OFFSET($A$1,ROW()-1,8),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f>IF(NOT(AND($D14&lt;&gt;"",$V14="Macro")),"",IFERROR(CHOOSE(MATCH($D14,ListaPuestos,0),MATCH("[Jefatura] "&amp;$C14,'Cronograma R. Operacional'!$C$5:$C$1000,0),MATCH("[Jefatura] "&amp;$C14,'Cronograma R. Normativo'!$C$5:$C$1000,0),MATCH("[Jefatura] "&amp;$C14,'Cronograma R. Financiero'!$C$5:$C$1000,0),MATCH("[Jefatura] "&amp;$C14,'Cronograma Asistente Técnico'!$C$5:$C$1000,0)),0))</f>
        <v/>
      </c>
      <c r="AN14" s="62">
        <f>IF(AND(AND($D14&lt;&gt;"",$V14="Macro"),$S14=MesCiclo),COUNTIFS($D$5:$D14,$D14,$S$5:$S14,MesCiclo,$V$5:$V14,"Macro"),"")</f>
        <v/>
      </c>
      <c r="AO14" s="62">
        <f>IF($AN14="","",$D14&amp;"|"&amp;$AN14)</f>
        <v/>
      </c>
      <c r="AP14" s="62">
        <f>IF(AND($D14&lt;&gt;"",$V14="Macro"),$D14&amp;"|"&amp;$C14,"")</f>
        <v/>
      </c>
      <c r="AQ14" s="62">
        <f>""</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t="n"/>
      <c r="F15" s="59" t="n"/>
      <c r="G15" s="59" t="n"/>
      <c r="H15" s="60" t="n"/>
      <c r="I15" s="60">
        <f>IF(N($W15)=0,"",IF(AND($S15=MesCiclo,1&gt;SemanaActual),"",MIN(1,SUMIFS(OFFSET($A$1,ROW(),29,1000-ROW(),1),OFFSET($A$1,ROW(),20,1000-ROW(),1),ROW(),OFFSET($A$1,ROW(),21,1000-ROW(),1),"Sub"))))</f>
        <v/>
      </c>
      <c r="J15" s="60">
        <f>IF(N($W15)=0,"",IF(AND($S15=MesCiclo,2&gt;SemanaActual),"",MIN(1,SUMIFS(OFFSET($A$1,ROW(),30,1000-ROW(),1),OFFSET($A$1,ROW(),20,1000-ROW(),1),ROW(),OFFSET($A$1,ROW(),21,1000-ROW(),1),"Sub"))))</f>
        <v/>
      </c>
      <c r="K15" s="60">
        <f>IF(N($W15)=0,"",IF(AND($S15=MesCiclo,3&gt;SemanaActual),"",MIN(1,SUMIFS(OFFSET($A$1,ROW(),31,1000-ROW(),1),OFFSET($A$1,ROW(),20,1000-ROW(),1),ROW(),OFFSET($A$1,ROW(),21,1000-ROW(),1),"Sub"))))</f>
        <v/>
      </c>
      <c r="L15" s="60">
        <f>IF(N($W15)=0,"",IF(AND($S15=MesCiclo,4&gt;SemanaActual),"",MIN(1,SUMIFS(OFFSET($A$1,ROW(),32,1000-ROW(),1),OFFSET($A$1,ROW(),20,1000-ROW(),1),ROW(),OFFSET($A$1,ROW(),21,1000-ROW(),1),"Sub"))))</f>
        <v/>
      </c>
      <c r="M15" s="61">
        <f>IF(NOT((COUNTA($B15:$D15)+COUNTA($G15:$H15)+COUNTA($Q15))&gt;0),"",IF(AND($D15&lt;&gt;"",$V15="Macro"),IF(N($AM15)&gt;0,N(CHOOSE(MATCH($D15,ListaPuestos,0),INDEX('Cronograma R. Operacional'!$M$5:$M$1000,$AM15),INDEX('Cronograma R. Normativo'!$M$5:$M$1000,$AM15),INDEX('Cronograma R. Financiero'!$M$5:$M$1000,$AM15),INDEX('Cronograma Asistente Técnico'!$M$5:$M$1000,$AM15))),0),IF(ISNUMBER($G15),1,IF(N($W15)&gt;0,MIN(1,SUMIFS($Y$5:$Y$1000,$U$5:$U$1000,ROW(),$V$5:$V$1000,"Sub")),$Y15))))</f>
        <v/>
      </c>
      <c r="N15" s="56">
        <f>IF(OR($M15="",$V15="Sub"),"",IF($M15&gt;=1,"Completado",IF($M15&gt;0,"En curso","Pendiente")))</f>
        <v/>
      </c>
      <c r="O15" s="56">
        <f>IF(NOT((COUNTA($B15:$D15)+COUNTA($G15:$H15)+COUNTA($Q15))&gt;0),"",IF(AND(AND($D15&lt;&gt;"",$V15="Macro"),N($AM15)&gt;0),CHOOSE(MATCH($D15,ListaPuestos,0),INDEX('Cronograma R. Operacional'!$O$5:$O$1000,$AM15),INDEX('Cronograma R. Normativo'!$O$5:$O$1000,$AM15),INDEX('Cronograma R. Financiero'!$O$5:$O$1000,$AM15),INDEX('Cronograma Asistente Técnico'!$O$5:$O$1000,$AM15))&amp;"",IF(ISNUMBER($G15),IF(AND(ISNUMBER($AS15),$G15&gt;$AS15),"Cumplida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f>IF(NOT((COUNTA($B15:$D15)+COUNTA($G15:$H15)+COUNTA($Q15))&gt;0),"",IF($D15="","Propia",IF($V15&lt;&gt;"Macro","Solo se delegan macroactividades",IF(N($AM15)&gt;0,"✔ Recibida por "&amp;$D15,"⚠ "&amp;$D15&amp;" aún no la agrega"))))</f>
        <v/>
      </c>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IF($V15&lt;&gt;"Sub","",N($X15)*IF(AND(ISNUMBER($G15),$G15&lt;=IF($S15=MesCiclo,InicioCiclo,$S15+MOD(2-WEEKDAY($S15),7))+6),1,MIN(1,MAX(0,IF(ISNUMBER(OFFSET($A$1,ROW()-1,8)),OFFSET($A$1,ROW()-1,8),0)))))</f>
        <v/>
      </c>
      <c r="AE15" s="62">
        <f>IF($V15&lt;&gt;"Sub","",N($X15)*IF(AND(ISNUMBER($G15),$G15&lt;=IF($S15=MesCiclo,InicioCiclo,$S15+MOD(2-WEEKDAY($S15),7))+13),1,MIN(1,MAX(0,IF(ISNUMBER(OFFSET($A$1,ROW()-1,9)),OFFSET($A$1,ROW()-1,9),IF(ISNUMBER(OFFSET($A$1,ROW()-1,8)),OFFSET($A$1,ROW()-1,8),0))))))</f>
        <v/>
      </c>
      <c r="AF15" s="62">
        <f>IF($V15&lt;&gt;"Sub","",N($X15)*IF(AND(ISNUMBER($G15),$G15&lt;=IF($S15=MesCiclo,InicioCiclo,$S15+MOD(2-WEEKDAY($S15),7))+20),1,MIN(1,MAX(0,IF(ISNUMBER(OFFSET($A$1,ROW()-1,10)),OFFSET($A$1,ROW()-1,10),IF(ISNUMBER(OFFSET($A$1,ROW()-1,9)),OFFSET($A$1,ROW()-1,9),IF(ISNUMBER(OFFSET($A$1,ROW()-1,8)),OFFSET($A$1,ROW()-1,8),0)))))))</f>
        <v/>
      </c>
      <c r="AG15" s="62">
        <f>IF($V15&lt;&gt;"Sub","",N($X15)*IF(AND(ISNUMBER($G15),$G15&lt;=IF($S15=MesCiclo,InicioCiclo,$S15+MOD(2-WEEKDAY($S15),7))+27),1,MIN(1,MAX(0,IF(ISNUMBER(OFFSET($A$1,ROW()-1,11)),OFFSET($A$1,ROW()-1,11),IF(ISNUMBER(OFFSET($A$1,ROW()-1,10)),OFFSET($A$1,ROW()-1,10),IF(ISNUMBER(OFFSET($A$1,ROW()-1,9)),OFFSET($A$1,ROW()-1,9),IF(ISNUMBER(OFFSET($A$1,ROW()-1,8)),OFFSET($A$1,ROW()-1,8),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f>IF(NOT(AND($D15&lt;&gt;"",$V15="Macro")),"",IFERROR(CHOOSE(MATCH($D15,ListaPuestos,0),MATCH("[Jefatura] "&amp;$C15,'Cronograma R. Operacional'!$C$5:$C$1000,0),MATCH("[Jefatura] "&amp;$C15,'Cronograma R. Normativo'!$C$5:$C$1000,0),MATCH("[Jefatura] "&amp;$C15,'Cronograma R. Financiero'!$C$5:$C$1000,0),MATCH("[Jefatura] "&amp;$C15,'Cronograma Asistente Técnico'!$C$5:$C$1000,0)),0))</f>
        <v/>
      </c>
      <c r="AN15" s="62">
        <f>IF(AND(AND($D15&lt;&gt;"",$V15="Macro"),$S15=MesCiclo),COUNTIFS($D$5:$D15,$D15,$S$5:$S15,MesCiclo,$V$5:$V15,"Macro"),"")</f>
        <v/>
      </c>
      <c r="AO15" s="62">
        <f>IF($AN15="","",$D15&amp;"|"&amp;$AN15)</f>
        <v/>
      </c>
      <c r="AP15" s="62">
        <f>IF(AND($D15&lt;&gt;"",$V15="Macro"),$D15&amp;"|"&amp;$C15,"")</f>
        <v/>
      </c>
      <c r="AQ15" s="62">
        <f>""</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t="n"/>
      <c r="F16" s="59" t="n"/>
      <c r="G16" s="59" t="n"/>
      <c r="H16" s="60" t="n"/>
      <c r="I16" s="60">
        <f>IF(N($W16)=0,"",IF(AND($S16=MesCiclo,1&gt;SemanaActual),"",MIN(1,SUMIFS(OFFSET($A$1,ROW(),29,1000-ROW(),1),OFFSET($A$1,ROW(),20,1000-ROW(),1),ROW(),OFFSET($A$1,ROW(),21,1000-ROW(),1),"Sub"))))</f>
        <v/>
      </c>
      <c r="J16" s="60">
        <f>IF(N($W16)=0,"",IF(AND($S16=MesCiclo,2&gt;SemanaActual),"",MIN(1,SUMIFS(OFFSET($A$1,ROW(),30,1000-ROW(),1),OFFSET($A$1,ROW(),20,1000-ROW(),1),ROW(),OFFSET($A$1,ROW(),21,1000-ROW(),1),"Sub"))))</f>
        <v/>
      </c>
      <c r="K16" s="60">
        <f>IF(N($W16)=0,"",IF(AND($S16=MesCiclo,3&gt;SemanaActual),"",MIN(1,SUMIFS(OFFSET($A$1,ROW(),31,1000-ROW(),1),OFFSET($A$1,ROW(),20,1000-ROW(),1),ROW(),OFFSET($A$1,ROW(),21,1000-ROW(),1),"Sub"))))</f>
        <v/>
      </c>
      <c r="L16" s="60">
        <f>IF(N($W16)=0,"",IF(AND($S16=MesCiclo,4&gt;SemanaActual),"",MIN(1,SUMIFS(OFFSET($A$1,ROW(),32,1000-ROW(),1),OFFSET($A$1,ROW(),20,1000-ROW(),1),ROW(),OFFSET($A$1,ROW(),21,1000-ROW(),1),"Sub"))))</f>
        <v/>
      </c>
      <c r="M16" s="61">
        <f>IF(NOT((COUNTA($B16:$D16)+COUNTA($G16:$H16)+COUNTA($Q16))&gt;0),"",IF(AND($D16&lt;&gt;"",$V16="Macro"),IF(N($AM16)&gt;0,N(CHOOSE(MATCH($D16,ListaPuestos,0),INDEX('Cronograma R. Operacional'!$M$5:$M$1000,$AM16),INDEX('Cronograma R. Normativo'!$M$5:$M$1000,$AM16),INDEX('Cronograma R. Financiero'!$M$5:$M$1000,$AM16),INDEX('Cronograma Asistente Técnico'!$M$5:$M$1000,$AM16))),0),IF(ISNUMBER($G16),1,IF(N($W16)&gt;0,MIN(1,SUMIFS($Y$5:$Y$1000,$U$5:$U$1000,ROW(),$V$5:$V$1000,"Sub")),$Y16))))</f>
        <v/>
      </c>
      <c r="N16" s="56">
        <f>IF(OR($M16="",$V16="Sub"),"",IF($M16&gt;=1,"Completado",IF($M16&gt;0,"En curso","Pendiente")))</f>
        <v/>
      </c>
      <c r="O16" s="56">
        <f>IF(NOT((COUNTA($B16:$D16)+COUNTA($G16:$H16)+COUNTA($Q16))&gt;0),"",IF(AND(AND($D16&lt;&gt;"",$V16="Macro"),N($AM16)&gt;0),CHOOSE(MATCH($D16,ListaPuestos,0),INDEX('Cronograma R. Operacional'!$O$5:$O$1000,$AM16),INDEX('Cronograma R. Normativo'!$O$5:$O$1000,$AM16),INDEX('Cronograma R. Financiero'!$O$5:$O$1000,$AM16),INDEX('Cronograma Asistente Técnico'!$O$5:$O$1000,$AM16))&amp;"",IF(ISNUMBER($G16),IF(AND(ISNUMBER($AS16),$G16&gt;$AS16),"Cumplida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f>IF(NOT((COUNTA($B16:$D16)+COUNTA($G16:$H16)+COUNTA($Q16))&gt;0),"",IF($D16="","Propia",IF($V16&lt;&gt;"Macro","Solo se delegan macroactividades",IF(N($AM16)&gt;0,"✔ Recibida por "&amp;$D16,"⚠ "&amp;$D16&amp;" aún no la agrega"))))</f>
        <v/>
      </c>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IF($V16&lt;&gt;"Sub","",N($X16)*IF(AND(ISNUMBER($G16),$G16&lt;=IF($S16=MesCiclo,InicioCiclo,$S16+MOD(2-WEEKDAY($S16),7))+6),1,MIN(1,MAX(0,IF(ISNUMBER(OFFSET($A$1,ROW()-1,8)),OFFSET($A$1,ROW()-1,8),0)))))</f>
        <v/>
      </c>
      <c r="AE16" s="62">
        <f>IF($V16&lt;&gt;"Sub","",N($X16)*IF(AND(ISNUMBER($G16),$G16&lt;=IF($S16=MesCiclo,InicioCiclo,$S16+MOD(2-WEEKDAY($S16),7))+13),1,MIN(1,MAX(0,IF(ISNUMBER(OFFSET($A$1,ROW()-1,9)),OFFSET($A$1,ROW()-1,9),IF(ISNUMBER(OFFSET($A$1,ROW()-1,8)),OFFSET($A$1,ROW()-1,8),0))))))</f>
        <v/>
      </c>
      <c r="AF16" s="62">
        <f>IF($V16&lt;&gt;"Sub","",N($X16)*IF(AND(ISNUMBER($G16),$G16&lt;=IF($S16=MesCiclo,InicioCiclo,$S16+MOD(2-WEEKDAY($S16),7))+20),1,MIN(1,MAX(0,IF(ISNUMBER(OFFSET($A$1,ROW()-1,10)),OFFSET($A$1,ROW()-1,10),IF(ISNUMBER(OFFSET($A$1,ROW()-1,9)),OFFSET($A$1,ROW()-1,9),IF(ISNUMBER(OFFSET($A$1,ROW()-1,8)),OFFSET($A$1,ROW()-1,8),0)))))))</f>
        <v/>
      </c>
      <c r="AG16" s="62">
        <f>IF($V16&lt;&gt;"Sub","",N($X16)*IF(AND(ISNUMBER($G16),$G16&lt;=IF($S16=MesCiclo,InicioCiclo,$S16+MOD(2-WEEKDAY($S16),7))+27),1,MIN(1,MAX(0,IF(ISNUMBER(OFFSET($A$1,ROW()-1,11)),OFFSET($A$1,ROW()-1,11),IF(ISNUMBER(OFFSET($A$1,ROW()-1,10)),OFFSET($A$1,ROW()-1,10),IF(ISNUMBER(OFFSET($A$1,ROW()-1,9)),OFFSET($A$1,ROW()-1,9),IF(ISNUMBER(OFFSET($A$1,ROW()-1,8)),OFFSET($A$1,ROW()-1,8),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f>IF(NOT(AND($D16&lt;&gt;"",$V16="Macro")),"",IFERROR(CHOOSE(MATCH($D16,ListaPuestos,0),MATCH("[Jefatura] "&amp;$C16,'Cronograma R. Operacional'!$C$5:$C$1000,0),MATCH("[Jefatura] "&amp;$C16,'Cronograma R. Normativo'!$C$5:$C$1000,0),MATCH("[Jefatura] "&amp;$C16,'Cronograma R. Financiero'!$C$5:$C$1000,0),MATCH("[Jefatura] "&amp;$C16,'Cronograma Asistente Técnico'!$C$5:$C$1000,0)),0))</f>
        <v/>
      </c>
      <c r="AN16" s="62">
        <f>IF(AND(AND($D16&lt;&gt;"",$V16="Macro"),$S16=MesCiclo),COUNTIFS($D$5:$D16,$D16,$S$5:$S16,MesCiclo,$V$5:$V16,"Macro"),"")</f>
        <v/>
      </c>
      <c r="AO16" s="62">
        <f>IF($AN16="","",$D16&amp;"|"&amp;$AN16)</f>
        <v/>
      </c>
      <c r="AP16" s="62">
        <f>IF(AND($D16&lt;&gt;"",$V16="Macro"),$D16&amp;"|"&amp;$C16,"")</f>
        <v/>
      </c>
      <c r="AQ16" s="62">
        <f>""</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t="n"/>
      <c r="F17" s="59" t="n"/>
      <c r="G17" s="59" t="n"/>
      <c r="H17" s="60" t="n"/>
      <c r="I17" s="60">
        <f>IF(N($W17)=0,"",IF(AND($S17=MesCiclo,1&gt;SemanaActual),"",MIN(1,SUMIFS(OFFSET($A$1,ROW(),29,1000-ROW(),1),OFFSET($A$1,ROW(),20,1000-ROW(),1),ROW(),OFFSET($A$1,ROW(),21,1000-ROW(),1),"Sub"))))</f>
        <v/>
      </c>
      <c r="J17" s="60">
        <f>IF(N($W17)=0,"",IF(AND($S17=MesCiclo,2&gt;SemanaActual),"",MIN(1,SUMIFS(OFFSET($A$1,ROW(),30,1000-ROW(),1),OFFSET($A$1,ROW(),20,1000-ROW(),1),ROW(),OFFSET($A$1,ROW(),21,1000-ROW(),1),"Sub"))))</f>
        <v/>
      </c>
      <c r="K17" s="60">
        <f>IF(N($W17)=0,"",IF(AND($S17=MesCiclo,3&gt;SemanaActual),"",MIN(1,SUMIFS(OFFSET($A$1,ROW(),31,1000-ROW(),1),OFFSET($A$1,ROW(),20,1000-ROW(),1),ROW(),OFFSET($A$1,ROW(),21,1000-ROW(),1),"Sub"))))</f>
        <v/>
      </c>
      <c r="L17" s="60">
        <f>IF(N($W17)=0,"",IF(AND($S17=MesCiclo,4&gt;SemanaActual),"",MIN(1,SUMIFS(OFFSET($A$1,ROW(),32,1000-ROW(),1),OFFSET($A$1,ROW(),20,1000-ROW(),1),ROW(),OFFSET($A$1,ROW(),21,1000-ROW(),1),"Sub"))))</f>
        <v/>
      </c>
      <c r="M17" s="61">
        <f>IF(NOT((COUNTA($B17:$D17)+COUNTA($G17:$H17)+COUNTA($Q17))&gt;0),"",IF(AND($D17&lt;&gt;"",$V17="Macro"),IF(N($AM17)&gt;0,N(CHOOSE(MATCH($D17,ListaPuestos,0),INDEX('Cronograma R. Operacional'!$M$5:$M$1000,$AM17),INDEX('Cronograma R. Normativo'!$M$5:$M$1000,$AM17),INDEX('Cronograma R. Financiero'!$M$5:$M$1000,$AM17),INDEX('Cronograma Asistente Técnico'!$M$5:$M$1000,$AM17))),0),IF(ISNUMBER($G17),1,IF(N($W17)&gt;0,MIN(1,SUMIFS($Y$5:$Y$1000,$U$5:$U$1000,ROW(),$V$5:$V$1000,"Sub")),$Y17))))</f>
        <v/>
      </c>
      <c r="N17" s="56">
        <f>IF(OR($M17="",$V17="Sub"),"",IF($M17&gt;=1,"Completado",IF($M17&gt;0,"En curso","Pendiente")))</f>
        <v/>
      </c>
      <c r="O17" s="56">
        <f>IF(NOT((COUNTA($B17:$D17)+COUNTA($G17:$H17)+COUNTA($Q17))&gt;0),"",IF(AND(AND($D17&lt;&gt;"",$V17="Macro"),N($AM17)&gt;0),CHOOSE(MATCH($D17,ListaPuestos,0),INDEX('Cronograma R. Operacional'!$O$5:$O$1000,$AM17),INDEX('Cronograma R. Normativo'!$O$5:$O$1000,$AM17),INDEX('Cronograma R. Financiero'!$O$5:$O$1000,$AM17),INDEX('Cronograma Asistente Técnico'!$O$5:$O$1000,$AM17))&amp;"",IF(ISNUMBER($G17),IF(AND(ISNUMBER($AS17),$G17&gt;$AS17),"Cumplida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f>IF(NOT((COUNTA($B17:$D17)+COUNTA($G17:$H17)+COUNTA($Q17))&gt;0),"",IF($D17="","Propia",IF($V17&lt;&gt;"Macro","Solo se delegan macroactividades",IF(N($AM17)&gt;0,"✔ Recibida por "&amp;$D17,"⚠ "&amp;$D17&amp;" aún no la agrega"))))</f>
        <v/>
      </c>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IF($V17&lt;&gt;"Sub","",N($X17)*IF(AND(ISNUMBER($G17),$G17&lt;=IF($S17=MesCiclo,InicioCiclo,$S17+MOD(2-WEEKDAY($S17),7))+6),1,MIN(1,MAX(0,IF(ISNUMBER(OFFSET($A$1,ROW()-1,8)),OFFSET($A$1,ROW()-1,8),0)))))</f>
        <v/>
      </c>
      <c r="AE17" s="62">
        <f>IF($V17&lt;&gt;"Sub","",N($X17)*IF(AND(ISNUMBER($G17),$G17&lt;=IF($S17=MesCiclo,InicioCiclo,$S17+MOD(2-WEEKDAY($S17),7))+13),1,MIN(1,MAX(0,IF(ISNUMBER(OFFSET($A$1,ROW()-1,9)),OFFSET($A$1,ROW()-1,9),IF(ISNUMBER(OFFSET($A$1,ROW()-1,8)),OFFSET($A$1,ROW()-1,8),0))))))</f>
        <v/>
      </c>
      <c r="AF17" s="62">
        <f>IF($V17&lt;&gt;"Sub","",N($X17)*IF(AND(ISNUMBER($G17),$G17&lt;=IF($S17=MesCiclo,InicioCiclo,$S17+MOD(2-WEEKDAY($S17),7))+20),1,MIN(1,MAX(0,IF(ISNUMBER(OFFSET($A$1,ROW()-1,10)),OFFSET($A$1,ROW()-1,10),IF(ISNUMBER(OFFSET($A$1,ROW()-1,9)),OFFSET($A$1,ROW()-1,9),IF(ISNUMBER(OFFSET($A$1,ROW()-1,8)),OFFSET($A$1,ROW()-1,8),0)))))))</f>
        <v/>
      </c>
      <c r="AG17" s="62">
        <f>IF($V17&lt;&gt;"Sub","",N($X17)*IF(AND(ISNUMBER($G17),$G17&lt;=IF($S17=MesCiclo,InicioCiclo,$S17+MOD(2-WEEKDAY($S17),7))+27),1,MIN(1,MAX(0,IF(ISNUMBER(OFFSET($A$1,ROW()-1,11)),OFFSET($A$1,ROW()-1,11),IF(ISNUMBER(OFFSET($A$1,ROW()-1,10)),OFFSET($A$1,ROW()-1,10),IF(ISNUMBER(OFFSET($A$1,ROW()-1,9)),OFFSET($A$1,ROW()-1,9),IF(ISNUMBER(OFFSET($A$1,ROW()-1,8)),OFFSET($A$1,ROW()-1,8),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f>IF(NOT(AND($D17&lt;&gt;"",$V17="Macro")),"",IFERROR(CHOOSE(MATCH($D17,ListaPuestos,0),MATCH("[Jefatura] "&amp;$C17,'Cronograma R. Operacional'!$C$5:$C$1000,0),MATCH("[Jefatura] "&amp;$C17,'Cronograma R. Normativo'!$C$5:$C$1000,0),MATCH("[Jefatura] "&amp;$C17,'Cronograma R. Financiero'!$C$5:$C$1000,0),MATCH("[Jefatura] "&amp;$C17,'Cronograma Asistente Técnico'!$C$5:$C$1000,0)),0))</f>
        <v/>
      </c>
      <c r="AN17" s="62">
        <f>IF(AND(AND($D17&lt;&gt;"",$V17="Macro"),$S17=MesCiclo),COUNTIFS($D$5:$D17,$D17,$S$5:$S17,MesCiclo,$V$5:$V17,"Macro"),"")</f>
        <v/>
      </c>
      <c r="AO17" s="62">
        <f>IF($AN17="","",$D17&amp;"|"&amp;$AN17)</f>
        <v/>
      </c>
      <c r="AP17" s="62">
        <f>IF(AND($D17&lt;&gt;"",$V17="Macro"),$D17&amp;"|"&amp;$C17,"")</f>
        <v/>
      </c>
      <c r="AQ17" s="62">
        <f>""</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t="n"/>
      <c r="F18" s="59" t="n"/>
      <c r="G18" s="59" t="n"/>
      <c r="H18" s="60" t="n"/>
      <c r="I18" s="60">
        <f>IF(N($W18)=0,"",IF(AND($S18=MesCiclo,1&gt;SemanaActual),"",MIN(1,SUMIFS(OFFSET($A$1,ROW(),29,1000-ROW(),1),OFFSET($A$1,ROW(),20,1000-ROW(),1),ROW(),OFFSET($A$1,ROW(),21,1000-ROW(),1),"Sub"))))</f>
        <v/>
      </c>
      <c r="J18" s="60">
        <f>IF(N($W18)=0,"",IF(AND($S18=MesCiclo,2&gt;SemanaActual),"",MIN(1,SUMIFS(OFFSET($A$1,ROW(),30,1000-ROW(),1),OFFSET($A$1,ROW(),20,1000-ROW(),1),ROW(),OFFSET($A$1,ROW(),21,1000-ROW(),1),"Sub"))))</f>
        <v/>
      </c>
      <c r="K18" s="60">
        <f>IF(N($W18)=0,"",IF(AND($S18=MesCiclo,3&gt;SemanaActual),"",MIN(1,SUMIFS(OFFSET($A$1,ROW(),31,1000-ROW(),1),OFFSET($A$1,ROW(),20,1000-ROW(),1),ROW(),OFFSET($A$1,ROW(),21,1000-ROW(),1),"Sub"))))</f>
        <v/>
      </c>
      <c r="L18" s="60">
        <f>IF(N($W18)=0,"",IF(AND($S18=MesCiclo,4&gt;SemanaActual),"",MIN(1,SUMIFS(OFFSET($A$1,ROW(),32,1000-ROW(),1),OFFSET($A$1,ROW(),20,1000-ROW(),1),ROW(),OFFSET($A$1,ROW(),21,1000-ROW(),1),"Sub"))))</f>
        <v/>
      </c>
      <c r="M18" s="61">
        <f>IF(NOT((COUNTA($B18:$D18)+COUNTA($G18:$H18)+COUNTA($Q18))&gt;0),"",IF(AND($D18&lt;&gt;"",$V18="Macro"),IF(N($AM18)&gt;0,N(CHOOSE(MATCH($D18,ListaPuestos,0),INDEX('Cronograma R. Operacional'!$M$5:$M$1000,$AM18),INDEX('Cronograma R. Normativo'!$M$5:$M$1000,$AM18),INDEX('Cronograma R. Financiero'!$M$5:$M$1000,$AM18),INDEX('Cronograma Asistente Técnico'!$M$5:$M$1000,$AM18))),0),IF(ISNUMBER($G18),1,IF(N($W18)&gt;0,MIN(1,SUMIFS($Y$5:$Y$1000,$U$5:$U$1000,ROW(),$V$5:$V$1000,"Sub")),$Y18))))</f>
        <v/>
      </c>
      <c r="N18" s="56">
        <f>IF(OR($M18="",$V18="Sub"),"",IF($M18&gt;=1,"Completado",IF($M18&gt;0,"En curso","Pendiente")))</f>
        <v/>
      </c>
      <c r="O18" s="56">
        <f>IF(NOT((COUNTA($B18:$D18)+COUNTA($G18:$H18)+COUNTA($Q18))&gt;0),"",IF(AND(AND($D18&lt;&gt;"",$V18="Macro"),N($AM18)&gt;0),CHOOSE(MATCH($D18,ListaPuestos,0),INDEX('Cronograma R. Operacional'!$O$5:$O$1000,$AM18),INDEX('Cronograma R. Normativo'!$O$5:$O$1000,$AM18),INDEX('Cronograma R. Financiero'!$O$5:$O$1000,$AM18),INDEX('Cronograma Asistente Técnico'!$O$5:$O$1000,$AM18))&amp;"",IF(ISNUMBER($G18),IF(AND(ISNUMBER($AS18),$G18&gt;$AS18),"Cumplida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f>IF(NOT((COUNTA($B18:$D18)+COUNTA($G18:$H18)+COUNTA($Q18))&gt;0),"",IF($D18="","Propia",IF($V18&lt;&gt;"Macro","Solo se delegan macroactividades",IF(N($AM18)&gt;0,"✔ Recibida por "&amp;$D18,"⚠ "&amp;$D18&amp;" aún no la agrega"))))</f>
        <v/>
      </c>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IF($V18&lt;&gt;"Sub","",N($X18)*IF(AND(ISNUMBER($G18),$G18&lt;=IF($S18=MesCiclo,InicioCiclo,$S18+MOD(2-WEEKDAY($S18),7))+6),1,MIN(1,MAX(0,IF(ISNUMBER(OFFSET($A$1,ROW()-1,8)),OFFSET($A$1,ROW()-1,8),0)))))</f>
        <v/>
      </c>
      <c r="AE18" s="62">
        <f>IF($V18&lt;&gt;"Sub","",N($X18)*IF(AND(ISNUMBER($G18),$G18&lt;=IF($S18=MesCiclo,InicioCiclo,$S18+MOD(2-WEEKDAY($S18),7))+13),1,MIN(1,MAX(0,IF(ISNUMBER(OFFSET($A$1,ROW()-1,9)),OFFSET($A$1,ROW()-1,9),IF(ISNUMBER(OFFSET($A$1,ROW()-1,8)),OFFSET($A$1,ROW()-1,8),0))))))</f>
        <v/>
      </c>
      <c r="AF18" s="62">
        <f>IF($V18&lt;&gt;"Sub","",N($X18)*IF(AND(ISNUMBER($G18),$G18&lt;=IF($S18=MesCiclo,InicioCiclo,$S18+MOD(2-WEEKDAY($S18),7))+20),1,MIN(1,MAX(0,IF(ISNUMBER(OFFSET($A$1,ROW()-1,10)),OFFSET($A$1,ROW()-1,10),IF(ISNUMBER(OFFSET($A$1,ROW()-1,9)),OFFSET($A$1,ROW()-1,9),IF(ISNUMBER(OFFSET($A$1,ROW()-1,8)),OFFSET($A$1,ROW()-1,8),0)))))))</f>
        <v/>
      </c>
      <c r="AG18" s="62">
        <f>IF($V18&lt;&gt;"Sub","",N($X18)*IF(AND(ISNUMBER($G18),$G18&lt;=IF($S18=MesCiclo,InicioCiclo,$S18+MOD(2-WEEKDAY($S18),7))+27),1,MIN(1,MAX(0,IF(ISNUMBER(OFFSET($A$1,ROW()-1,11)),OFFSET($A$1,ROW()-1,11),IF(ISNUMBER(OFFSET($A$1,ROW()-1,10)),OFFSET($A$1,ROW()-1,10),IF(ISNUMBER(OFFSET($A$1,ROW()-1,9)),OFFSET($A$1,ROW()-1,9),IF(ISNUMBER(OFFSET($A$1,ROW()-1,8)),OFFSET($A$1,ROW()-1,8),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f>IF(NOT(AND($D18&lt;&gt;"",$V18="Macro")),"",IFERROR(CHOOSE(MATCH($D18,ListaPuestos,0),MATCH("[Jefatura] "&amp;$C18,'Cronograma R. Operacional'!$C$5:$C$1000,0),MATCH("[Jefatura] "&amp;$C18,'Cronograma R. Normativo'!$C$5:$C$1000,0),MATCH("[Jefatura] "&amp;$C18,'Cronograma R. Financiero'!$C$5:$C$1000,0),MATCH("[Jefatura] "&amp;$C18,'Cronograma Asistente Técnico'!$C$5:$C$1000,0)),0))</f>
        <v/>
      </c>
      <c r="AN18" s="62">
        <f>IF(AND(AND($D18&lt;&gt;"",$V18="Macro"),$S18=MesCiclo),COUNTIFS($D$5:$D18,$D18,$S$5:$S18,MesCiclo,$V$5:$V18,"Macro"),"")</f>
        <v/>
      </c>
      <c r="AO18" s="62">
        <f>IF($AN18="","",$D18&amp;"|"&amp;$AN18)</f>
        <v/>
      </c>
      <c r="AP18" s="62">
        <f>IF(AND($D18&lt;&gt;"",$V18="Macro"),$D18&amp;"|"&amp;$C18,"")</f>
        <v/>
      </c>
      <c r="AQ18" s="62">
        <f>""</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t="n"/>
      <c r="F19" s="59" t="n"/>
      <c r="G19" s="59" t="n"/>
      <c r="H19" s="60" t="n"/>
      <c r="I19" s="60">
        <f>IF(N($W19)=0,"",IF(AND($S19=MesCiclo,1&gt;SemanaActual),"",MIN(1,SUMIFS(OFFSET($A$1,ROW(),29,1000-ROW(),1),OFFSET($A$1,ROW(),20,1000-ROW(),1),ROW(),OFFSET($A$1,ROW(),21,1000-ROW(),1),"Sub"))))</f>
        <v/>
      </c>
      <c r="J19" s="60">
        <f>IF(N($W19)=0,"",IF(AND($S19=MesCiclo,2&gt;SemanaActual),"",MIN(1,SUMIFS(OFFSET($A$1,ROW(),30,1000-ROW(),1),OFFSET($A$1,ROW(),20,1000-ROW(),1),ROW(),OFFSET($A$1,ROW(),21,1000-ROW(),1),"Sub"))))</f>
        <v/>
      </c>
      <c r="K19" s="60">
        <f>IF(N($W19)=0,"",IF(AND($S19=MesCiclo,3&gt;SemanaActual),"",MIN(1,SUMIFS(OFFSET($A$1,ROW(),31,1000-ROW(),1),OFFSET($A$1,ROW(),20,1000-ROW(),1),ROW(),OFFSET($A$1,ROW(),21,1000-ROW(),1),"Sub"))))</f>
        <v/>
      </c>
      <c r="L19" s="60">
        <f>IF(N($W19)=0,"",IF(AND($S19=MesCiclo,4&gt;SemanaActual),"",MIN(1,SUMIFS(OFFSET($A$1,ROW(),32,1000-ROW(),1),OFFSET($A$1,ROW(),20,1000-ROW(),1),ROW(),OFFSET($A$1,ROW(),21,1000-ROW(),1),"Sub"))))</f>
        <v/>
      </c>
      <c r="M19" s="61">
        <f>IF(NOT((COUNTA($B19:$D19)+COUNTA($G19:$H19)+COUNTA($Q19))&gt;0),"",IF(AND($D19&lt;&gt;"",$V19="Macro"),IF(N($AM19)&gt;0,N(CHOOSE(MATCH($D19,ListaPuestos,0),INDEX('Cronograma R. Operacional'!$M$5:$M$1000,$AM19),INDEX('Cronograma R. Normativo'!$M$5:$M$1000,$AM19),INDEX('Cronograma R. Financiero'!$M$5:$M$1000,$AM19),INDEX('Cronograma Asistente Técnico'!$M$5:$M$1000,$AM19))),0),IF(ISNUMBER($G19),1,IF(N($W19)&gt;0,MIN(1,SUMIFS($Y$5:$Y$1000,$U$5:$U$1000,ROW(),$V$5:$V$1000,"Sub")),$Y19))))</f>
        <v/>
      </c>
      <c r="N19" s="56">
        <f>IF(OR($M19="",$V19="Sub"),"",IF($M19&gt;=1,"Completado",IF($M19&gt;0,"En curso","Pendiente")))</f>
        <v/>
      </c>
      <c r="O19" s="56">
        <f>IF(NOT((COUNTA($B19:$D19)+COUNTA($G19:$H19)+COUNTA($Q19))&gt;0),"",IF(AND(AND($D19&lt;&gt;"",$V19="Macro"),N($AM19)&gt;0),CHOOSE(MATCH($D19,ListaPuestos,0),INDEX('Cronograma R. Operacional'!$O$5:$O$1000,$AM19),INDEX('Cronograma R. Normativo'!$O$5:$O$1000,$AM19),INDEX('Cronograma R. Financiero'!$O$5:$O$1000,$AM19),INDEX('Cronograma Asistente Técnico'!$O$5:$O$1000,$AM19))&amp;"",IF(ISNUMBER($G19),IF(AND(ISNUMBER($AS19),$G19&gt;$AS19),"Cumplida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f>IF(NOT((COUNTA($B19:$D19)+COUNTA($G19:$H19)+COUNTA($Q19))&gt;0),"",IF($D19="","Propia",IF($V19&lt;&gt;"Macro","Solo se delegan macroactividades",IF(N($AM19)&gt;0,"✔ Recibida por "&amp;$D19,"⚠ "&amp;$D19&amp;" aún no la agrega"))))</f>
        <v/>
      </c>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IF($V19&lt;&gt;"Sub","",N($X19)*IF(AND(ISNUMBER($G19),$G19&lt;=IF($S19=MesCiclo,InicioCiclo,$S19+MOD(2-WEEKDAY($S19),7))+6),1,MIN(1,MAX(0,IF(ISNUMBER(OFFSET($A$1,ROW()-1,8)),OFFSET($A$1,ROW()-1,8),0)))))</f>
        <v/>
      </c>
      <c r="AE19" s="62">
        <f>IF($V19&lt;&gt;"Sub","",N($X19)*IF(AND(ISNUMBER($G19),$G19&lt;=IF($S19=MesCiclo,InicioCiclo,$S19+MOD(2-WEEKDAY($S19),7))+13),1,MIN(1,MAX(0,IF(ISNUMBER(OFFSET($A$1,ROW()-1,9)),OFFSET($A$1,ROW()-1,9),IF(ISNUMBER(OFFSET($A$1,ROW()-1,8)),OFFSET($A$1,ROW()-1,8),0))))))</f>
        <v/>
      </c>
      <c r="AF19" s="62">
        <f>IF($V19&lt;&gt;"Sub","",N($X19)*IF(AND(ISNUMBER($G19),$G19&lt;=IF($S19=MesCiclo,InicioCiclo,$S19+MOD(2-WEEKDAY($S19),7))+20),1,MIN(1,MAX(0,IF(ISNUMBER(OFFSET($A$1,ROW()-1,10)),OFFSET($A$1,ROW()-1,10),IF(ISNUMBER(OFFSET($A$1,ROW()-1,9)),OFFSET($A$1,ROW()-1,9),IF(ISNUMBER(OFFSET($A$1,ROW()-1,8)),OFFSET($A$1,ROW()-1,8),0)))))))</f>
        <v/>
      </c>
      <c r="AG19" s="62">
        <f>IF($V19&lt;&gt;"Sub","",N($X19)*IF(AND(ISNUMBER($G19),$G19&lt;=IF($S19=MesCiclo,InicioCiclo,$S19+MOD(2-WEEKDAY($S19),7))+27),1,MIN(1,MAX(0,IF(ISNUMBER(OFFSET($A$1,ROW()-1,11)),OFFSET($A$1,ROW()-1,11),IF(ISNUMBER(OFFSET($A$1,ROW()-1,10)),OFFSET($A$1,ROW()-1,10),IF(ISNUMBER(OFFSET($A$1,ROW()-1,9)),OFFSET($A$1,ROW()-1,9),IF(ISNUMBER(OFFSET($A$1,ROW()-1,8)),OFFSET($A$1,ROW()-1,8),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f>IF(NOT(AND($D19&lt;&gt;"",$V19="Macro")),"",IFERROR(CHOOSE(MATCH($D19,ListaPuestos,0),MATCH("[Jefatura] "&amp;$C19,'Cronograma R. Operacional'!$C$5:$C$1000,0),MATCH("[Jefatura] "&amp;$C19,'Cronograma R. Normativo'!$C$5:$C$1000,0),MATCH("[Jefatura] "&amp;$C19,'Cronograma R. Financiero'!$C$5:$C$1000,0),MATCH("[Jefatura] "&amp;$C19,'Cronograma Asistente Técnico'!$C$5:$C$1000,0)),0))</f>
        <v/>
      </c>
      <c r="AN19" s="62">
        <f>IF(AND(AND($D19&lt;&gt;"",$V19="Macro"),$S19=MesCiclo),COUNTIFS($D$5:$D19,$D19,$S$5:$S19,MesCiclo,$V$5:$V19,"Macro"),"")</f>
        <v/>
      </c>
      <c r="AO19" s="62">
        <f>IF($AN19="","",$D19&amp;"|"&amp;$AN19)</f>
        <v/>
      </c>
      <c r="AP19" s="62">
        <f>IF(AND($D19&lt;&gt;"",$V19="Macro"),$D19&amp;"|"&amp;$C19,"")</f>
        <v/>
      </c>
      <c r="AQ19" s="62">
        <f>""</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t="n"/>
      <c r="F20" s="59" t="n"/>
      <c r="G20" s="59" t="n"/>
      <c r="H20" s="60" t="n"/>
      <c r="I20" s="60">
        <f>IF(N($W20)=0,"",IF(AND($S20=MesCiclo,1&gt;SemanaActual),"",MIN(1,SUMIFS(OFFSET($A$1,ROW(),29,1000-ROW(),1),OFFSET($A$1,ROW(),20,1000-ROW(),1),ROW(),OFFSET($A$1,ROW(),21,1000-ROW(),1),"Sub"))))</f>
        <v/>
      </c>
      <c r="J20" s="60">
        <f>IF(N($W20)=0,"",IF(AND($S20=MesCiclo,2&gt;SemanaActual),"",MIN(1,SUMIFS(OFFSET($A$1,ROW(),30,1000-ROW(),1),OFFSET($A$1,ROW(),20,1000-ROW(),1),ROW(),OFFSET($A$1,ROW(),21,1000-ROW(),1),"Sub"))))</f>
        <v/>
      </c>
      <c r="K20" s="60">
        <f>IF(N($W20)=0,"",IF(AND($S20=MesCiclo,3&gt;SemanaActual),"",MIN(1,SUMIFS(OFFSET($A$1,ROW(),31,1000-ROW(),1),OFFSET($A$1,ROW(),20,1000-ROW(),1),ROW(),OFFSET($A$1,ROW(),21,1000-ROW(),1),"Sub"))))</f>
        <v/>
      </c>
      <c r="L20" s="60">
        <f>IF(N($W20)=0,"",IF(AND($S20=MesCiclo,4&gt;SemanaActual),"",MIN(1,SUMIFS(OFFSET($A$1,ROW(),32,1000-ROW(),1),OFFSET($A$1,ROW(),20,1000-ROW(),1),ROW(),OFFSET($A$1,ROW(),21,1000-ROW(),1),"Sub"))))</f>
        <v/>
      </c>
      <c r="M20" s="61">
        <f>IF(NOT((COUNTA($B20:$D20)+COUNTA($G20:$H20)+COUNTA($Q20))&gt;0),"",IF(AND($D20&lt;&gt;"",$V20="Macro"),IF(N($AM20)&gt;0,N(CHOOSE(MATCH($D20,ListaPuestos,0),INDEX('Cronograma R. Operacional'!$M$5:$M$1000,$AM20),INDEX('Cronograma R. Normativo'!$M$5:$M$1000,$AM20),INDEX('Cronograma R. Financiero'!$M$5:$M$1000,$AM20),INDEX('Cronograma Asistente Técnico'!$M$5:$M$1000,$AM20))),0),IF(ISNUMBER($G20),1,IF(N($W20)&gt;0,MIN(1,SUMIFS($Y$5:$Y$1000,$U$5:$U$1000,ROW(),$V$5:$V$1000,"Sub")),$Y20))))</f>
        <v/>
      </c>
      <c r="N20" s="56">
        <f>IF(OR($M20="",$V20="Sub"),"",IF($M20&gt;=1,"Completado",IF($M20&gt;0,"En curso","Pendiente")))</f>
        <v/>
      </c>
      <c r="O20" s="56">
        <f>IF(NOT((COUNTA($B20:$D20)+COUNTA($G20:$H20)+COUNTA($Q20))&gt;0),"",IF(AND(AND($D20&lt;&gt;"",$V20="Macro"),N($AM20)&gt;0),CHOOSE(MATCH($D20,ListaPuestos,0),INDEX('Cronograma R. Operacional'!$O$5:$O$1000,$AM20),INDEX('Cronograma R. Normativo'!$O$5:$O$1000,$AM20),INDEX('Cronograma R. Financiero'!$O$5:$O$1000,$AM20),INDEX('Cronograma Asistente Técnico'!$O$5:$O$1000,$AM20))&amp;"",IF(ISNUMBER($G20),IF(AND(ISNUMBER($AS20),$G20&gt;$AS20),"Cumplida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f>IF(NOT((COUNTA($B20:$D20)+COUNTA($G20:$H20)+COUNTA($Q20))&gt;0),"",IF($D20="","Propia",IF($V20&lt;&gt;"Macro","Solo se delegan macroactividades",IF(N($AM20)&gt;0,"✔ Recibida por "&amp;$D20,"⚠ "&amp;$D20&amp;" aún no la agrega"))))</f>
        <v/>
      </c>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IF($V20&lt;&gt;"Sub","",N($X20)*IF(AND(ISNUMBER($G20),$G20&lt;=IF($S20=MesCiclo,InicioCiclo,$S20+MOD(2-WEEKDAY($S20),7))+6),1,MIN(1,MAX(0,IF(ISNUMBER(OFFSET($A$1,ROW()-1,8)),OFFSET($A$1,ROW()-1,8),0)))))</f>
        <v/>
      </c>
      <c r="AE20" s="62">
        <f>IF($V20&lt;&gt;"Sub","",N($X20)*IF(AND(ISNUMBER($G20),$G20&lt;=IF($S20=MesCiclo,InicioCiclo,$S20+MOD(2-WEEKDAY($S20),7))+13),1,MIN(1,MAX(0,IF(ISNUMBER(OFFSET($A$1,ROW()-1,9)),OFFSET($A$1,ROW()-1,9),IF(ISNUMBER(OFFSET($A$1,ROW()-1,8)),OFFSET($A$1,ROW()-1,8),0))))))</f>
        <v/>
      </c>
      <c r="AF20" s="62">
        <f>IF($V20&lt;&gt;"Sub","",N($X20)*IF(AND(ISNUMBER($G20),$G20&lt;=IF($S20=MesCiclo,InicioCiclo,$S20+MOD(2-WEEKDAY($S20),7))+20),1,MIN(1,MAX(0,IF(ISNUMBER(OFFSET($A$1,ROW()-1,10)),OFFSET($A$1,ROW()-1,10),IF(ISNUMBER(OFFSET($A$1,ROW()-1,9)),OFFSET($A$1,ROW()-1,9),IF(ISNUMBER(OFFSET($A$1,ROW()-1,8)),OFFSET($A$1,ROW()-1,8),0)))))))</f>
        <v/>
      </c>
      <c r="AG20" s="62">
        <f>IF($V20&lt;&gt;"Sub","",N($X20)*IF(AND(ISNUMBER($G20),$G20&lt;=IF($S20=MesCiclo,InicioCiclo,$S20+MOD(2-WEEKDAY($S20),7))+27),1,MIN(1,MAX(0,IF(ISNUMBER(OFFSET($A$1,ROW()-1,11)),OFFSET($A$1,ROW()-1,11),IF(ISNUMBER(OFFSET($A$1,ROW()-1,10)),OFFSET($A$1,ROW()-1,10),IF(ISNUMBER(OFFSET($A$1,ROW()-1,9)),OFFSET($A$1,ROW()-1,9),IF(ISNUMBER(OFFSET($A$1,ROW()-1,8)),OFFSET($A$1,ROW()-1,8),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f>IF(NOT(AND($D20&lt;&gt;"",$V20="Macro")),"",IFERROR(CHOOSE(MATCH($D20,ListaPuestos,0),MATCH("[Jefatura] "&amp;$C20,'Cronograma R. Operacional'!$C$5:$C$1000,0),MATCH("[Jefatura] "&amp;$C20,'Cronograma R. Normativo'!$C$5:$C$1000,0),MATCH("[Jefatura] "&amp;$C20,'Cronograma R. Financiero'!$C$5:$C$1000,0),MATCH("[Jefatura] "&amp;$C20,'Cronograma Asistente Técnico'!$C$5:$C$1000,0)),0))</f>
        <v/>
      </c>
      <c r="AN20" s="62">
        <f>IF(AND(AND($D20&lt;&gt;"",$V20="Macro"),$S20=MesCiclo),COUNTIFS($D$5:$D20,$D20,$S$5:$S20,MesCiclo,$V$5:$V20,"Macro"),"")</f>
        <v/>
      </c>
      <c r="AO20" s="62">
        <f>IF($AN20="","",$D20&amp;"|"&amp;$AN20)</f>
        <v/>
      </c>
      <c r="AP20" s="62">
        <f>IF(AND($D20&lt;&gt;"",$V20="Macro"),$D20&amp;"|"&amp;$C20,"")</f>
        <v/>
      </c>
      <c r="AQ20" s="62">
        <f>""</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t="n"/>
      <c r="F21" s="59" t="n"/>
      <c r="G21" s="59" t="n"/>
      <c r="H21" s="60" t="n"/>
      <c r="I21" s="60">
        <f>IF(N($W21)=0,"",IF(AND($S21=MesCiclo,1&gt;SemanaActual),"",MIN(1,SUMIFS(OFFSET($A$1,ROW(),29,1000-ROW(),1),OFFSET($A$1,ROW(),20,1000-ROW(),1),ROW(),OFFSET($A$1,ROW(),21,1000-ROW(),1),"Sub"))))</f>
        <v/>
      </c>
      <c r="J21" s="60">
        <f>IF(N($W21)=0,"",IF(AND($S21=MesCiclo,2&gt;SemanaActual),"",MIN(1,SUMIFS(OFFSET($A$1,ROW(),30,1000-ROW(),1),OFFSET($A$1,ROW(),20,1000-ROW(),1),ROW(),OFFSET($A$1,ROW(),21,1000-ROW(),1),"Sub"))))</f>
        <v/>
      </c>
      <c r="K21" s="60">
        <f>IF(N($W21)=0,"",IF(AND($S21=MesCiclo,3&gt;SemanaActual),"",MIN(1,SUMIFS(OFFSET($A$1,ROW(),31,1000-ROW(),1),OFFSET($A$1,ROW(),20,1000-ROW(),1),ROW(),OFFSET($A$1,ROW(),21,1000-ROW(),1),"Sub"))))</f>
        <v/>
      </c>
      <c r="L21" s="60">
        <f>IF(N($W21)=0,"",IF(AND($S21=MesCiclo,4&gt;SemanaActual),"",MIN(1,SUMIFS(OFFSET($A$1,ROW(),32,1000-ROW(),1),OFFSET($A$1,ROW(),20,1000-ROW(),1),ROW(),OFFSET($A$1,ROW(),21,1000-ROW(),1),"Sub"))))</f>
        <v/>
      </c>
      <c r="M21" s="61">
        <f>IF(NOT((COUNTA($B21:$D21)+COUNTA($G21:$H21)+COUNTA($Q21))&gt;0),"",IF(AND($D21&lt;&gt;"",$V21="Macro"),IF(N($AM21)&gt;0,N(CHOOSE(MATCH($D21,ListaPuestos,0),INDEX('Cronograma R. Operacional'!$M$5:$M$1000,$AM21),INDEX('Cronograma R. Normativo'!$M$5:$M$1000,$AM21),INDEX('Cronograma R. Financiero'!$M$5:$M$1000,$AM21),INDEX('Cronograma Asistente Técnico'!$M$5:$M$1000,$AM21))),0),IF(ISNUMBER($G21),1,IF(N($W21)&gt;0,MIN(1,SUMIFS($Y$5:$Y$1000,$U$5:$U$1000,ROW(),$V$5:$V$1000,"Sub")),$Y21))))</f>
        <v/>
      </c>
      <c r="N21" s="56">
        <f>IF(OR($M21="",$V21="Sub"),"",IF($M21&gt;=1,"Completado",IF($M21&gt;0,"En curso","Pendiente")))</f>
        <v/>
      </c>
      <c r="O21" s="56">
        <f>IF(NOT((COUNTA($B21:$D21)+COUNTA($G21:$H21)+COUNTA($Q21))&gt;0),"",IF(AND(AND($D21&lt;&gt;"",$V21="Macro"),N($AM21)&gt;0),CHOOSE(MATCH($D21,ListaPuestos,0),INDEX('Cronograma R. Operacional'!$O$5:$O$1000,$AM21),INDEX('Cronograma R. Normativo'!$O$5:$O$1000,$AM21),INDEX('Cronograma R. Financiero'!$O$5:$O$1000,$AM21),INDEX('Cronograma Asistente Técnico'!$O$5:$O$1000,$AM21))&amp;"",IF(ISNUMBER($G21),IF(AND(ISNUMBER($AS21),$G21&gt;$AS21),"Cumplida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f>IF(NOT((COUNTA($B21:$D21)+COUNTA($G21:$H21)+COUNTA($Q21))&gt;0),"",IF($D21="","Propia",IF($V21&lt;&gt;"Macro","Solo se delegan macroactividades",IF(N($AM21)&gt;0,"✔ Recibida por "&amp;$D21,"⚠ "&amp;$D21&amp;" aún no la agrega"))))</f>
        <v/>
      </c>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IF($V21&lt;&gt;"Sub","",N($X21)*IF(AND(ISNUMBER($G21),$G21&lt;=IF($S21=MesCiclo,InicioCiclo,$S21+MOD(2-WEEKDAY($S21),7))+6),1,MIN(1,MAX(0,IF(ISNUMBER(OFFSET($A$1,ROW()-1,8)),OFFSET($A$1,ROW()-1,8),0)))))</f>
        <v/>
      </c>
      <c r="AE21" s="62">
        <f>IF($V21&lt;&gt;"Sub","",N($X21)*IF(AND(ISNUMBER($G21),$G21&lt;=IF($S21=MesCiclo,InicioCiclo,$S21+MOD(2-WEEKDAY($S21),7))+13),1,MIN(1,MAX(0,IF(ISNUMBER(OFFSET($A$1,ROW()-1,9)),OFFSET($A$1,ROW()-1,9),IF(ISNUMBER(OFFSET($A$1,ROW()-1,8)),OFFSET($A$1,ROW()-1,8),0))))))</f>
        <v/>
      </c>
      <c r="AF21" s="62">
        <f>IF($V21&lt;&gt;"Sub","",N($X21)*IF(AND(ISNUMBER($G21),$G21&lt;=IF($S21=MesCiclo,InicioCiclo,$S21+MOD(2-WEEKDAY($S21),7))+20),1,MIN(1,MAX(0,IF(ISNUMBER(OFFSET($A$1,ROW()-1,10)),OFFSET($A$1,ROW()-1,10),IF(ISNUMBER(OFFSET($A$1,ROW()-1,9)),OFFSET($A$1,ROW()-1,9),IF(ISNUMBER(OFFSET($A$1,ROW()-1,8)),OFFSET($A$1,ROW()-1,8),0)))))))</f>
        <v/>
      </c>
      <c r="AG21" s="62">
        <f>IF($V21&lt;&gt;"Sub","",N($X21)*IF(AND(ISNUMBER($G21),$G21&lt;=IF($S21=MesCiclo,InicioCiclo,$S21+MOD(2-WEEKDAY($S21),7))+27),1,MIN(1,MAX(0,IF(ISNUMBER(OFFSET($A$1,ROW()-1,11)),OFFSET($A$1,ROW()-1,11),IF(ISNUMBER(OFFSET($A$1,ROW()-1,10)),OFFSET($A$1,ROW()-1,10),IF(ISNUMBER(OFFSET($A$1,ROW()-1,9)),OFFSET($A$1,ROW()-1,9),IF(ISNUMBER(OFFSET($A$1,ROW()-1,8)),OFFSET($A$1,ROW()-1,8),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f>IF(NOT(AND($D21&lt;&gt;"",$V21="Macro")),"",IFERROR(CHOOSE(MATCH($D21,ListaPuestos,0),MATCH("[Jefatura] "&amp;$C21,'Cronograma R. Operacional'!$C$5:$C$1000,0),MATCH("[Jefatura] "&amp;$C21,'Cronograma R. Normativo'!$C$5:$C$1000,0),MATCH("[Jefatura] "&amp;$C21,'Cronograma R. Financiero'!$C$5:$C$1000,0),MATCH("[Jefatura] "&amp;$C21,'Cronograma Asistente Técnico'!$C$5:$C$1000,0)),0))</f>
        <v/>
      </c>
      <c r="AN21" s="62">
        <f>IF(AND(AND($D21&lt;&gt;"",$V21="Macro"),$S21=MesCiclo),COUNTIFS($D$5:$D21,$D21,$S$5:$S21,MesCiclo,$V$5:$V21,"Macro"),"")</f>
        <v/>
      </c>
      <c r="AO21" s="62">
        <f>IF($AN21="","",$D21&amp;"|"&amp;$AN21)</f>
        <v/>
      </c>
      <c r="AP21" s="62">
        <f>IF(AND($D21&lt;&gt;"",$V21="Macro"),$D21&amp;"|"&amp;$C21,"")</f>
        <v/>
      </c>
      <c r="AQ21" s="62">
        <f>""</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t="n"/>
      <c r="F22" s="59" t="n"/>
      <c r="G22" s="59" t="n"/>
      <c r="H22" s="60" t="n"/>
      <c r="I22" s="60">
        <f>IF(N($W22)=0,"",IF(AND($S22=MesCiclo,1&gt;SemanaActual),"",MIN(1,SUMIFS(OFFSET($A$1,ROW(),29,1000-ROW(),1),OFFSET($A$1,ROW(),20,1000-ROW(),1),ROW(),OFFSET($A$1,ROW(),21,1000-ROW(),1),"Sub"))))</f>
        <v/>
      </c>
      <c r="J22" s="60">
        <f>IF(N($W22)=0,"",IF(AND($S22=MesCiclo,2&gt;SemanaActual),"",MIN(1,SUMIFS(OFFSET($A$1,ROW(),30,1000-ROW(),1),OFFSET($A$1,ROW(),20,1000-ROW(),1),ROW(),OFFSET($A$1,ROW(),21,1000-ROW(),1),"Sub"))))</f>
        <v/>
      </c>
      <c r="K22" s="60">
        <f>IF(N($W22)=0,"",IF(AND($S22=MesCiclo,3&gt;SemanaActual),"",MIN(1,SUMIFS(OFFSET($A$1,ROW(),31,1000-ROW(),1),OFFSET($A$1,ROW(),20,1000-ROW(),1),ROW(),OFFSET($A$1,ROW(),21,1000-ROW(),1),"Sub"))))</f>
        <v/>
      </c>
      <c r="L22" s="60">
        <f>IF(N($W22)=0,"",IF(AND($S22=MesCiclo,4&gt;SemanaActual),"",MIN(1,SUMIFS(OFFSET($A$1,ROW(),32,1000-ROW(),1),OFFSET($A$1,ROW(),20,1000-ROW(),1),ROW(),OFFSET($A$1,ROW(),21,1000-ROW(),1),"Sub"))))</f>
        <v/>
      </c>
      <c r="M22" s="61">
        <f>IF(NOT((COUNTA($B22:$D22)+COUNTA($G22:$H22)+COUNTA($Q22))&gt;0),"",IF(AND($D22&lt;&gt;"",$V22="Macro"),IF(N($AM22)&gt;0,N(CHOOSE(MATCH($D22,ListaPuestos,0),INDEX('Cronograma R. Operacional'!$M$5:$M$1000,$AM22),INDEX('Cronograma R. Normativo'!$M$5:$M$1000,$AM22),INDEX('Cronograma R. Financiero'!$M$5:$M$1000,$AM22),INDEX('Cronograma Asistente Técnico'!$M$5:$M$1000,$AM22))),0),IF(ISNUMBER($G22),1,IF(N($W22)&gt;0,MIN(1,SUMIFS($Y$5:$Y$1000,$U$5:$U$1000,ROW(),$V$5:$V$1000,"Sub")),$Y22))))</f>
        <v/>
      </c>
      <c r="N22" s="56">
        <f>IF(OR($M22="",$V22="Sub"),"",IF($M22&gt;=1,"Completado",IF($M22&gt;0,"En curso","Pendiente")))</f>
        <v/>
      </c>
      <c r="O22" s="56">
        <f>IF(NOT((COUNTA($B22:$D22)+COUNTA($G22:$H22)+COUNTA($Q22))&gt;0),"",IF(AND(AND($D22&lt;&gt;"",$V22="Macro"),N($AM22)&gt;0),CHOOSE(MATCH($D22,ListaPuestos,0),INDEX('Cronograma R. Operacional'!$O$5:$O$1000,$AM22),INDEX('Cronograma R. Normativo'!$O$5:$O$1000,$AM22),INDEX('Cronograma R. Financiero'!$O$5:$O$1000,$AM22),INDEX('Cronograma Asistente Técnico'!$O$5:$O$1000,$AM22))&amp;"",IF(ISNUMBER($G22),IF(AND(ISNUMBER($AS22),$G22&gt;$AS22),"Cumplida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f>IF(NOT((COUNTA($B22:$D22)+COUNTA($G22:$H22)+COUNTA($Q22))&gt;0),"",IF($D22="","Propia",IF($V22&lt;&gt;"Macro","Solo se delegan macroactividades",IF(N($AM22)&gt;0,"✔ Recibida por "&amp;$D22,"⚠ "&amp;$D22&amp;" aún no la agrega"))))</f>
        <v/>
      </c>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IF($V22&lt;&gt;"Sub","",N($X22)*IF(AND(ISNUMBER($G22),$G22&lt;=IF($S22=MesCiclo,InicioCiclo,$S22+MOD(2-WEEKDAY($S22),7))+6),1,MIN(1,MAX(0,IF(ISNUMBER(OFFSET($A$1,ROW()-1,8)),OFFSET($A$1,ROW()-1,8),0)))))</f>
        <v/>
      </c>
      <c r="AE22" s="62">
        <f>IF($V22&lt;&gt;"Sub","",N($X22)*IF(AND(ISNUMBER($G22),$G22&lt;=IF($S22=MesCiclo,InicioCiclo,$S22+MOD(2-WEEKDAY($S22),7))+13),1,MIN(1,MAX(0,IF(ISNUMBER(OFFSET($A$1,ROW()-1,9)),OFFSET($A$1,ROW()-1,9),IF(ISNUMBER(OFFSET($A$1,ROW()-1,8)),OFFSET($A$1,ROW()-1,8),0))))))</f>
        <v/>
      </c>
      <c r="AF22" s="62">
        <f>IF($V22&lt;&gt;"Sub","",N($X22)*IF(AND(ISNUMBER($G22),$G22&lt;=IF($S22=MesCiclo,InicioCiclo,$S22+MOD(2-WEEKDAY($S22),7))+20),1,MIN(1,MAX(0,IF(ISNUMBER(OFFSET($A$1,ROW()-1,10)),OFFSET($A$1,ROW()-1,10),IF(ISNUMBER(OFFSET($A$1,ROW()-1,9)),OFFSET($A$1,ROW()-1,9),IF(ISNUMBER(OFFSET($A$1,ROW()-1,8)),OFFSET($A$1,ROW()-1,8),0)))))))</f>
        <v/>
      </c>
      <c r="AG22" s="62">
        <f>IF($V22&lt;&gt;"Sub","",N($X22)*IF(AND(ISNUMBER($G22),$G22&lt;=IF($S22=MesCiclo,InicioCiclo,$S22+MOD(2-WEEKDAY($S22),7))+27),1,MIN(1,MAX(0,IF(ISNUMBER(OFFSET($A$1,ROW()-1,11)),OFFSET($A$1,ROW()-1,11),IF(ISNUMBER(OFFSET($A$1,ROW()-1,10)),OFFSET($A$1,ROW()-1,10),IF(ISNUMBER(OFFSET($A$1,ROW()-1,9)),OFFSET($A$1,ROW()-1,9),IF(ISNUMBER(OFFSET($A$1,ROW()-1,8)),OFFSET($A$1,ROW()-1,8),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f>IF(NOT(AND($D22&lt;&gt;"",$V22="Macro")),"",IFERROR(CHOOSE(MATCH($D22,ListaPuestos,0),MATCH("[Jefatura] "&amp;$C22,'Cronograma R. Operacional'!$C$5:$C$1000,0),MATCH("[Jefatura] "&amp;$C22,'Cronograma R. Normativo'!$C$5:$C$1000,0),MATCH("[Jefatura] "&amp;$C22,'Cronograma R. Financiero'!$C$5:$C$1000,0),MATCH("[Jefatura] "&amp;$C22,'Cronograma Asistente Técnico'!$C$5:$C$1000,0)),0))</f>
        <v/>
      </c>
      <c r="AN22" s="62">
        <f>IF(AND(AND($D22&lt;&gt;"",$V22="Macro"),$S22=MesCiclo),COUNTIFS($D$5:$D22,$D22,$S$5:$S22,MesCiclo,$V$5:$V22,"Macro"),"")</f>
        <v/>
      </c>
      <c r="AO22" s="62">
        <f>IF($AN22="","",$D22&amp;"|"&amp;$AN22)</f>
        <v/>
      </c>
      <c r="AP22" s="62">
        <f>IF(AND($D22&lt;&gt;"",$V22="Macro"),$D22&amp;"|"&amp;$C22,"")</f>
        <v/>
      </c>
      <c r="AQ22" s="62">
        <f>""</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t="n"/>
      <c r="F23" s="59" t="n"/>
      <c r="G23" s="59" t="n"/>
      <c r="H23" s="60" t="n"/>
      <c r="I23" s="60">
        <f>IF(N($W23)=0,"",IF(AND($S23=MesCiclo,1&gt;SemanaActual),"",MIN(1,SUMIFS(OFFSET($A$1,ROW(),29,1000-ROW(),1),OFFSET($A$1,ROW(),20,1000-ROW(),1),ROW(),OFFSET($A$1,ROW(),21,1000-ROW(),1),"Sub"))))</f>
        <v/>
      </c>
      <c r="J23" s="60">
        <f>IF(N($W23)=0,"",IF(AND($S23=MesCiclo,2&gt;SemanaActual),"",MIN(1,SUMIFS(OFFSET($A$1,ROW(),30,1000-ROW(),1),OFFSET($A$1,ROW(),20,1000-ROW(),1),ROW(),OFFSET($A$1,ROW(),21,1000-ROW(),1),"Sub"))))</f>
        <v/>
      </c>
      <c r="K23" s="60">
        <f>IF(N($W23)=0,"",IF(AND($S23=MesCiclo,3&gt;SemanaActual),"",MIN(1,SUMIFS(OFFSET($A$1,ROW(),31,1000-ROW(),1),OFFSET($A$1,ROW(),20,1000-ROW(),1),ROW(),OFFSET($A$1,ROW(),21,1000-ROW(),1),"Sub"))))</f>
        <v/>
      </c>
      <c r="L23" s="60">
        <f>IF(N($W23)=0,"",IF(AND($S23=MesCiclo,4&gt;SemanaActual),"",MIN(1,SUMIFS(OFFSET($A$1,ROW(),32,1000-ROW(),1),OFFSET($A$1,ROW(),20,1000-ROW(),1),ROW(),OFFSET($A$1,ROW(),21,1000-ROW(),1),"Sub"))))</f>
        <v/>
      </c>
      <c r="M23" s="61">
        <f>IF(NOT((COUNTA($B23:$D23)+COUNTA($G23:$H23)+COUNTA($Q23))&gt;0),"",IF(AND($D23&lt;&gt;"",$V23="Macro"),IF(N($AM23)&gt;0,N(CHOOSE(MATCH($D23,ListaPuestos,0),INDEX('Cronograma R. Operacional'!$M$5:$M$1000,$AM23),INDEX('Cronograma R. Normativo'!$M$5:$M$1000,$AM23),INDEX('Cronograma R. Financiero'!$M$5:$M$1000,$AM23),INDEX('Cronograma Asistente Técnico'!$M$5:$M$1000,$AM23))),0),IF(ISNUMBER($G23),1,IF(N($W23)&gt;0,MIN(1,SUMIFS($Y$5:$Y$1000,$U$5:$U$1000,ROW(),$V$5:$V$1000,"Sub")),$Y23))))</f>
        <v/>
      </c>
      <c r="N23" s="56">
        <f>IF(OR($M23="",$V23="Sub"),"",IF($M23&gt;=1,"Completado",IF($M23&gt;0,"En curso","Pendiente")))</f>
        <v/>
      </c>
      <c r="O23" s="56">
        <f>IF(NOT((COUNTA($B23:$D23)+COUNTA($G23:$H23)+COUNTA($Q23))&gt;0),"",IF(AND(AND($D23&lt;&gt;"",$V23="Macro"),N($AM23)&gt;0),CHOOSE(MATCH($D23,ListaPuestos,0),INDEX('Cronograma R. Operacional'!$O$5:$O$1000,$AM23),INDEX('Cronograma R. Normativo'!$O$5:$O$1000,$AM23),INDEX('Cronograma R. Financiero'!$O$5:$O$1000,$AM23),INDEX('Cronograma Asistente Técnico'!$O$5:$O$1000,$AM23))&amp;"",IF(ISNUMBER($G23),IF(AND(ISNUMBER($AS23),$G23&gt;$AS23),"Cumplida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f>IF(NOT((COUNTA($B23:$D23)+COUNTA($G23:$H23)+COUNTA($Q23))&gt;0),"",IF($D23="","Propia",IF($V23&lt;&gt;"Macro","Solo se delegan macroactividades",IF(N($AM23)&gt;0,"✔ Recibida por "&amp;$D23,"⚠ "&amp;$D23&amp;" aún no la agrega"))))</f>
        <v/>
      </c>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IF($V23&lt;&gt;"Sub","",N($X23)*IF(AND(ISNUMBER($G23),$G23&lt;=IF($S23=MesCiclo,InicioCiclo,$S23+MOD(2-WEEKDAY($S23),7))+6),1,MIN(1,MAX(0,IF(ISNUMBER(OFFSET($A$1,ROW()-1,8)),OFFSET($A$1,ROW()-1,8),0)))))</f>
        <v/>
      </c>
      <c r="AE23" s="62">
        <f>IF($V23&lt;&gt;"Sub","",N($X23)*IF(AND(ISNUMBER($G23),$G23&lt;=IF($S23=MesCiclo,InicioCiclo,$S23+MOD(2-WEEKDAY($S23),7))+13),1,MIN(1,MAX(0,IF(ISNUMBER(OFFSET($A$1,ROW()-1,9)),OFFSET($A$1,ROW()-1,9),IF(ISNUMBER(OFFSET($A$1,ROW()-1,8)),OFFSET($A$1,ROW()-1,8),0))))))</f>
        <v/>
      </c>
      <c r="AF23" s="62">
        <f>IF($V23&lt;&gt;"Sub","",N($X23)*IF(AND(ISNUMBER($G23),$G23&lt;=IF($S23=MesCiclo,InicioCiclo,$S23+MOD(2-WEEKDAY($S23),7))+20),1,MIN(1,MAX(0,IF(ISNUMBER(OFFSET($A$1,ROW()-1,10)),OFFSET($A$1,ROW()-1,10),IF(ISNUMBER(OFFSET($A$1,ROW()-1,9)),OFFSET($A$1,ROW()-1,9),IF(ISNUMBER(OFFSET($A$1,ROW()-1,8)),OFFSET($A$1,ROW()-1,8),0)))))))</f>
        <v/>
      </c>
      <c r="AG23" s="62">
        <f>IF($V23&lt;&gt;"Sub","",N($X23)*IF(AND(ISNUMBER($G23),$G23&lt;=IF($S23=MesCiclo,InicioCiclo,$S23+MOD(2-WEEKDAY($S23),7))+27),1,MIN(1,MAX(0,IF(ISNUMBER(OFFSET($A$1,ROW()-1,11)),OFFSET($A$1,ROW()-1,11),IF(ISNUMBER(OFFSET($A$1,ROW()-1,10)),OFFSET($A$1,ROW()-1,10),IF(ISNUMBER(OFFSET($A$1,ROW()-1,9)),OFFSET($A$1,ROW()-1,9),IF(ISNUMBER(OFFSET($A$1,ROW()-1,8)),OFFSET($A$1,ROW()-1,8),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f>IF(NOT(AND($D23&lt;&gt;"",$V23="Macro")),"",IFERROR(CHOOSE(MATCH($D23,ListaPuestos,0),MATCH("[Jefatura] "&amp;$C23,'Cronograma R. Operacional'!$C$5:$C$1000,0),MATCH("[Jefatura] "&amp;$C23,'Cronograma R. Normativo'!$C$5:$C$1000,0),MATCH("[Jefatura] "&amp;$C23,'Cronograma R. Financiero'!$C$5:$C$1000,0),MATCH("[Jefatura] "&amp;$C23,'Cronograma Asistente Técnico'!$C$5:$C$1000,0)),0))</f>
        <v/>
      </c>
      <c r="AN23" s="62">
        <f>IF(AND(AND($D23&lt;&gt;"",$V23="Macro"),$S23=MesCiclo),COUNTIFS($D$5:$D23,$D23,$S$5:$S23,MesCiclo,$V$5:$V23,"Macro"),"")</f>
        <v/>
      </c>
      <c r="AO23" s="62">
        <f>IF($AN23="","",$D23&amp;"|"&amp;$AN23)</f>
        <v/>
      </c>
      <c r="AP23" s="62">
        <f>IF(AND($D23&lt;&gt;"",$V23="Macro"),$D23&amp;"|"&amp;$C23,"")</f>
        <v/>
      </c>
      <c r="AQ23" s="62">
        <f>""</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t="n"/>
      <c r="F24" s="59" t="n"/>
      <c r="G24" s="59" t="n"/>
      <c r="H24" s="60" t="n"/>
      <c r="I24" s="60">
        <f>IF(N($W24)=0,"",IF(AND($S24=MesCiclo,1&gt;SemanaActual),"",MIN(1,SUMIFS(OFFSET($A$1,ROW(),29,1000-ROW(),1),OFFSET($A$1,ROW(),20,1000-ROW(),1),ROW(),OFFSET($A$1,ROW(),21,1000-ROW(),1),"Sub"))))</f>
        <v/>
      </c>
      <c r="J24" s="60">
        <f>IF(N($W24)=0,"",IF(AND($S24=MesCiclo,2&gt;SemanaActual),"",MIN(1,SUMIFS(OFFSET($A$1,ROW(),30,1000-ROW(),1),OFFSET($A$1,ROW(),20,1000-ROW(),1),ROW(),OFFSET($A$1,ROW(),21,1000-ROW(),1),"Sub"))))</f>
        <v/>
      </c>
      <c r="K24" s="60">
        <f>IF(N($W24)=0,"",IF(AND($S24=MesCiclo,3&gt;SemanaActual),"",MIN(1,SUMIFS(OFFSET($A$1,ROW(),31,1000-ROW(),1),OFFSET($A$1,ROW(),20,1000-ROW(),1),ROW(),OFFSET($A$1,ROW(),21,1000-ROW(),1),"Sub"))))</f>
        <v/>
      </c>
      <c r="L24" s="60">
        <f>IF(N($W24)=0,"",IF(AND($S24=MesCiclo,4&gt;SemanaActual),"",MIN(1,SUMIFS(OFFSET($A$1,ROW(),32,1000-ROW(),1),OFFSET($A$1,ROW(),20,1000-ROW(),1),ROW(),OFFSET($A$1,ROW(),21,1000-ROW(),1),"Sub"))))</f>
        <v/>
      </c>
      <c r="M24" s="61">
        <f>IF(NOT((COUNTA($B24:$D24)+COUNTA($G24:$H24)+COUNTA($Q24))&gt;0),"",IF(AND($D24&lt;&gt;"",$V24="Macro"),IF(N($AM24)&gt;0,N(CHOOSE(MATCH($D24,ListaPuestos,0),INDEX('Cronograma R. Operacional'!$M$5:$M$1000,$AM24),INDEX('Cronograma R. Normativo'!$M$5:$M$1000,$AM24),INDEX('Cronograma R. Financiero'!$M$5:$M$1000,$AM24),INDEX('Cronograma Asistente Técnico'!$M$5:$M$1000,$AM24))),0),IF(ISNUMBER($G24),1,IF(N($W24)&gt;0,MIN(1,SUMIFS($Y$5:$Y$1000,$U$5:$U$1000,ROW(),$V$5:$V$1000,"Sub")),$Y24))))</f>
        <v/>
      </c>
      <c r="N24" s="56">
        <f>IF(OR($M24="",$V24="Sub"),"",IF($M24&gt;=1,"Completado",IF($M24&gt;0,"En curso","Pendiente")))</f>
        <v/>
      </c>
      <c r="O24" s="56">
        <f>IF(NOT((COUNTA($B24:$D24)+COUNTA($G24:$H24)+COUNTA($Q24))&gt;0),"",IF(AND(AND($D24&lt;&gt;"",$V24="Macro"),N($AM24)&gt;0),CHOOSE(MATCH($D24,ListaPuestos,0),INDEX('Cronograma R. Operacional'!$O$5:$O$1000,$AM24),INDEX('Cronograma R. Normativo'!$O$5:$O$1000,$AM24),INDEX('Cronograma R. Financiero'!$O$5:$O$1000,$AM24),INDEX('Cronograma Asistente Técnico'!$O$5:$O$1000,$AM24))&amp;"",IF(ISNUMBER($G24),IF(AND(ISNUMBER($AS24),$G24&gt;$AS24),"Cumplida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f>IF(NOT((COUNTA($B24:$D24)+COUNTA($G24:$H24)+COUNTA($Q24))&gt;0),"",IF($D24="","Propia",IF($V24&lt;&gt;"Macro","Solo se delegan macroactividades",IF(N($AM24)&gt;0,"✔ Recibida por "&amp;$D24,"⚠ "&amp;$D24&amp;" aún no la agrega"))))</f>
        <v/>
      </c>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IF($V24&lt;&gt;"Sub","",N($X24)*IF(AND(ISNUMBER($G24),$G24&lt;=IF($S24=MesCiclo,InicioCiclo,$S24+MOD(2-WEEKDAY($S24),7))+6),1,MIN(1,MAX(0,IF(ISNUMBER(OFFSET($A$1,ROW()-1,8)),OFFSET($A$1,ROW()-1,8),0)))))</f>
        <v/>
      </c>
      <c r="AE24" s="62">
        <f>IF($V24&lt;&gt;"Sub","",N($X24)*IF(AND(ISNUMBER($G24),$G24&lt;=IF($S24=MesCiclo,InicioCiclo,$S24+MOD(2-WEEKDAY($S24),7))+13),1,MIN(1,MAX(0,IF(ISNUMBER(OFFSET($A$1,ROW()-1,9)),OFFSET($A$1,ROW()-1,9),IF(ISNUMBER(OFFSET($A$1,ROW()-1,8)),OFFSET($A$1,ROW()-1,8),0))))))</f>
        <v/>
      </c>
      <c r="AF24" s="62">
        <f>IF($V24&lt;&gt;"Sub","",N($X24)*IF(AND(ISNUMBER($G24),$G24&lt;=IF($S24=MesCiclo,InicioCiclo,$S24+MOD(2-WEEKDAY($S24),7))+20),1,MIN(1,MAX(0,IF(ISNUMBER(OFFSET($A$1,ROW()-1,10)),OFFSET($A$1,ROW()-1,10),IF(ISNUMBER(OFFSET($A$1,ROW()-1,9)),OFFSET($A$1,ROW()-1,9),IF(ISNUMBER(OFFSET($A$1,ROW()-1,8)),OFFSET($A$1,ROW()-1,8),0)))))))</f>
        <v/>
      </c>
      <c r="AG24" s="62">
        <f>IF($V24&lt;&gt;"Sub","",N($X24)*IF(AND(ISNUMBER($G24),$G24&lt;=IF($S24=MesCiclo,InicioCiclo,$S24+MOD(2-WEEKDAY($S24),7))+27),1,MIN(1,MAX(0,IF(ISNUMBER(OFFSET($A$1,ROW()-1,11)),OFFSET($A$1,ROW()-1,11),IF(ISNUMBER(OFFSET($A$1,ROW()-1,10)),OFFSET($A$1,ROW()-1,10),IF(ISNUMBER(OFFSET($A$1,ROW()-1,9)),OFFSET($A$1,ROW()-1,9),IF(ISNUMBER(OFFSET($A$1,ROW()-1,8)),OFFSET($A$1,ROW()-1,8),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f>IF(NOT(AND($D24&lt;&gt;"",$V24="Macro")),"",IFERROR(CHOOSE(MATCH($D24,ListaPuestos,0),MATCH("[Jefatura] "&amp;$C24,'Cronograma R. Operacional'!$C$5:$C$1000,0),MATCH("[Jefatura] "&amp;$C24,'Cronograma R. Normativo'!$C$5:$C$1000,0),MATCH("[Jefatura] "&amp;$C24,'Cronograma R. Financiero'!$C$5:$C$1000,0),MATCH("[Jefatura] "&amp;$C24,'Cronograma Asistente Técnico'!$C$5:$C$1000,0)),0))</f>
        <v/>
      </c>
      <c r="AN24" s="62">
        <f>IF(AND(AND($D24&lt;&gt;"",$V24="Macro"),$S24=MesCiclo),COUNTIFS($D$5:$D24,$D24,$S$5:$S24,MesCiclo,$V$5:$V24,"Macro"),"")</f>
        <v/>
      </c>
      <c r="AO24" s="62">
        <f>IF($AN24="","",$D24&amp;"|"&amp;$AN24)</f>
        <v/>
      </c>
      <c r="AP24" s="62">
        <f>IF(AND($D24&lt;&gt;"",$V24="Macro"),$D24&amp;"|"&amp;$C24,"")</f>
        <v/>
      </c>
      <c r="AQ24" s="62">
        <f>""</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t="n"/>
      <c r="F25" s="59" t="n"/>
      <c r="G25" s="59" t="n"/>
      <c r="H25" s="60" t="n"/>
      <c r="I25" s="60">
        <f>IF(N($W25)=0,"",IF(AND($S25=MesCiclo,1&gt;SemanaActual),"",MIN(1,SUMIFS(OFFSET($A$1,ROW(),29,1000-ROW(),1),OFFSET($A$1,ROW(),20,1000-ROW(),1),ROW(),OFFSET($A$1,ROW(),21,1000-ROW(),1),"Sub"))))</f>
        <v/>
      </c>
      <c r="J25" s="60">
        <f>IF(N($W25)=0,"",IF(AND($S25=MesCiclo,2&gt;SemanaActual),"",MIN(1,SUMIFS(OFFSET($A$1,ROW(),30,1000-ROW(),1),OFFSET($A$1,ROW(),20,1000-ROW(),1),ROW(),OFFSET($A$1,ROW(),21,1000-ROW(),1),"Sub"))))</f>
        <v/>
      </c>
      <c r="K25" s="60">
        <f>IF(N($W25)=0,"",IF(AND($S25=MesCiclo,3&gt;SemanaActual),"",MIN(1,SUMIFS(OFFSET($A$1,ROW(),31,1000-ROW(),1),OFFSET($A$1,ROW(),20,1000-ROW(),1),ROW(),OFFSET($A$1,ROW(),21,1000-ROW(),1),"Sub"))))</f>
        <v/>
      </c>
      <c r="L25" s="60">
        <f>IF(N($W25)=0,"",IF(AND($S25=MesCiclo,4&gt;SemanaActual),"",MIN(1,SUMIFS(OFFSET($A$1,ROW(),32,1000-ROW(),1),OFFSET($A$1,ROW(),20,1000-ROW(),1),ROW(),OFFSET($A$1,ROW(),21,1000-ROW(),1),"Sub"))))</f>
        <v/>
      </c>
      <c r="M25" s="61">
        <f>IF(NOT((COUNTA($B25:$D25)+COUNTA($G25:$H25)+COUNTA($Q25))&gt;0),"",IF(AND($D25&lt;&gt;"",$V25="Macro"),IF(N($AM25)&gt;0,N(CHOOSE(MATCH($D25,ListaPuestos,0),INDEX('Cronograma R. Operacional'!$M$5:$M$1000,$AM25),INDEX('Cronograma R. Normativo'!$M$5:$M$1000,$AM25),INDEX('Cronograma R. Financiero'!$M$5:$M$1000,$AM25),INDEX('Cronograma Asistente Técnico'!$M$5:$M$1000,$AM25))),0),IF(ISNUMBER($G25),1,IF(N($W25)&gt;0,MIN(1,SUMIFS($Y$5:$Y$1000,$U$5:$U$1000,ROW(),$V$5:$V$1000,"Sub")),$Y25))))</f>
        <v/>
      </c>
      <c r="N25" s="56">
        <f>IF(OR($M25="",$V25="Sub"),"",IF($M25&gt;=1,"Completado",IF($M25&gt;0,"En curso","Pendiente")))</f>
        <v/>
      </c>
      <c r="O25" s="56">
        <f>IF(NOT((COUNTA($B25:$D25)+COUNTA($G25:$H25)+COUNTA($Q25))&gt;0),"",IF(AND(AND($D25&lt;&gt;"",$V25="Macro"),N($AM25)&gt;0),CHOOSE(MATCH($D25,ListaPuestos,0),INDEX('Cronograma R. Operacional'!$O$5:$O$1000,$AM25),INDEX('Cronograma R. Normativo'!$O$5:$O$1000,$AM25),INDEX('Cronograma R. Financiero'!$O$5:$O$1000,$AM25),INDEX('Cronograma Asistente Técnico'!$O$5:$O$1000,$AM25))&amp;"",IF(ISNUMBER($G25),IF(AND(ISNUMBER($AS25),$G25&gt;$AS25),"Cumplida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f>IF(NOT((COUNTA($B25:$D25)+COUNTA($G25:$H25)+COUNTA($Q25))&gt;0),"",IF($D25="","Propia",IF($V25&lt;&gt;"Macro","Solo se delegan macroactividades",IF(N($AM25)&gt;0,"✔ Recibida por "&amp;$D25,"⚠ "&amp;$D25&amp;" aún no la agrega"))))</f>
        <v/>
      </c>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IF($V25&lt;&gt;"Sub","",N($X25)*IF(AND(ISNUMBER($G25),$G25&lt;=IF($S25=MesCiclo,InicioCiclo,$S25+MOD(2-WEEKDAY($S25),7))+6),1,MIN(1,MAX(0,IF(ISNUMBER(OFFSET($A$1,ROW()-1,8)),OFFSET($A$1,ROW()-1,8),0)))))</f>
        <v/>
      </c>
      <c r="AE25" s="62">
        <f>IF($V25&lt;&gt;"Sub","",N($X25)*IF(AND(ISNUMBER($G25),$G25&lt;=IF($S25=MesCiclo,InicioCiclo,$S25+MOD(2-WEEKDAY($S25),7))+13),1,MIN(1,MAX(0,IF(ISNUMBER(OFFSET($A$1,ROW()-1,9)),OFFSET($A$1,ROW()-1,9),IF(ISNUMBER(OFFSET($A$1,ROW()-1,8)),OFFSET($A$1,ROW()-1,8),0))))))</f>
        <v/>
      </c>
      <c r="AF25" s="62">
        <f>IF($V25&lt;&gt;"Sub","",N($X25)*IF(AND(ISNUMBER($G25),$G25&lt;=IF($S25=MesCiclo,InicioCiclo,$S25+MOD(2-WEEKDAY($S25),7))+20),1,MIN(1,MAX(0,IF(ISNUMBER(OFFSET($A$1,ROW()-1,10)),OFFSET($A$1,ROW()-1,10),IF(ISNUMBER(OFFSET($A$1,ROW()-1,9)),OFFSET($A$1,ROW()-1,9),IF(ISNUMBER(OFFSET($A$1,ROW()-1,8)),OFFSET($A$1,ROW()-1,8),0)))))))</f>
        <v/>
      </c>
      <c r="AG25" s="62">
        <f>IF($V25&lt;&gt;"Sub","",N($X25)*IF(AND(ISNUMBER($G25),$G25&lt;=IF($S25=MesCiclo,InicioCiclo,$S25+MOD(2-WEEKDAY($S25),7))+27),1,MIN(1,MAX(0,IF(ISNUMBER(OFFSET($A$1,ROW()-1,11)),OFFSET($A$1,ROW()-1,11),IF(ISNUMBER(OFFSET($A$1,ROW()-1,10)),OFFSET($A$1,ROW()-1,10),IF(ISNUMBER(OFFSET($A$1,ROW()-1,9)),OFFSET($A$1,ROW()-1,9),IF(ISNUMBER(OFFSET($A$1,ROW()-1,8)),OFFSET($A$1,ROW()-1,8),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f>IF(NOT(AND($D25&lt;&gt;"",$V25="Macro")),"",IFERROR(CHOOSE(MATCH($D25,ListaPuestos,0),MATCH("[Jefatura] "&amp;$C25,'Cronograma R. Operacional'!$C$5:$C$1000,0),MATCH("[Jefatura] "&amp;$C25,'Cronograma R. Normativo'!$C$5:$C$1000,0),MATCH("[Jefatura] "&amp;$C25,'Cronograma R. Financiero'!$C$5:$C$1000,0),MATCH("[Jefatura] "&amp;$C25,'Cronograma Asistente Técnico'!$C$5:$C$1000,0)),0))</f>
        <v/>
      </c>
      <c r="AN25" s="62">
        <f>IF(AND(AND($D25&lt;&gt;"",$V25="Macro"),$S25=MesCiclo),COUNTIFS($D$5:$D25,$D25,$S$5:$S25,MesCiclo,$V$5:$V25,"Macro"),"")</f>
        <v/>
      </c>
      <c r="AO25" s="62">
        <f>IF($AN25="","",$D25&amp;"|"&amp;$AN25)</f>
        <v/>
      </c>
      <c r="AP25" s="62">
        <f>IF(AND($D25&lt;&gt;"",$V25="Macro"),$D25&amp;"|"&amp;$C25,"")</f>
        <v/>
      </c>
      <c r="AQ25" s="62">
        <f>""</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t="n"/>
      <c r="F26" s="59" t="n"/>
      <c r="G26" s="59" t="n"/>
      <c r="H26" s="60" t="n"/>
      <c r="I26" s="60">
        <f>IF(N($W26)=0,"",IF(AND($S26=MesCiclo,1&gt;SemanaActual),"",MIN(1,SUMIFS(OFFSET($A$1,ROW(),29,1000-ROW(),1),OFFSET($A$1,ROW(),20,1000-ROW(),1),ROW(),OFFSET($A$1,ROW(),21,1000-ROW(),1),"Sub"))))</f>
        <v/>
      </c>
      <c r="J26" s="60">
        <f>IF(N($W26)=0,"",IF(AND($S26=MesCiclo,2&gt;SemanaActual),"",MIN(1,SUMIFS(OFFSET($A$1,ROW(),30,1000-ROW(),1),OFFSET($A$1,ROW(),20,1000-ROW(),1),ROW(),OFFSET($A$1,ROW(),21,1000-ROW(),1),"Sub"))))</f>
        <v/>
      </c>
      <c r="K26" s="60">
        <f>IF(N($W26)=0,"",IF(AND($S26=MesCiclo,3&gt;SemanaActual),"",MIN(1,SUMIFS(OFFSET($A$1,ROW(),31,1000-ROW(),1),OFFSET($A$1,ROW(),20,1000-ROW(),1),ROW(),OFFSET($A$1,ROW(),21,1000-ROW(),1),"Sub"))))</f>
        <v/>
      </c>
      <c r="L26" s="60">
        <f>IF(N($W26)=0,"",IF(AND($S26=MesCiclo,4&gt;SemanaActual),"",MIN(1,SUMIFS(OFFSET($A$1,ROW(),32,1000-ROW(),1),OFFSET($A$1,ROW(),20,1000-ROW(),1),ROW(),OFFSET($A$1,ROW(),21,1000-ROW(),1),"Sub"))))</f>
        <v/>
      </c>
      <c r="M26" s="61">
        <f>IF(NOT((COUNTA($B26:$D26)+COUNTA($G26:$H26)+COUNTA($Q26))&gt;0),"",IF(AND($D26&lt;&gt;"",$V26="Macro"),IF(N($AM26)&gt;0,N(CHOOSE(MATCH($D26,ListaPuestos,0),INDEX('Cronograma R. Operacional'!$M$5:$M$1000,$AM26),INDEX('Cronograma R. Normativo'!$M$5:$M$1000,$AM26),INDEX('Cronograma R. Financiero'!$M$5:$M$1000,$AM26),INDEX('Cronograma Asistente Técnico'!$M$5:$M$1000,$AM26))),0),IF(ISNUMBER($G26),1,IF(N($W26)&gt;0,MIN(1,SUMIFS($Y$5:$Y$1000,$U$5:$U$1000,ROW(),$V$5:$V$1000,"Sub")),$Y26))))</f>
        <v/>
      </c>
      <c r="N26" s="56">
        <f>IF(OR($M26="",$V26="Sub"),"",IF($M26&gt;=1,"Completado",IF($M26&gt;0,"En curso","Pendiente")))</f>
        <v/>
      </c>
      <c r="O26" s="56">
        <f>IF(NOT((COUNTA($B26:$D26)+COUNTA($G26:$H26)+COUNTA($Q26))&gt;0),"",IF(AND(AND($D26&lt;&gt;"",$V26="Macro"),N($AM26)&gt;0),CHOOSE(MATCH($D26,ListaPuestos,0),INDEX('Cronograma R. Operacional'!$O$5:$O$1000,$AM26),INDEX('Cronograma R. Normativo'!$O$5:$O$1000,$AM26),INDEX('Cronograma R. Financiero'!$O$5:$O$1000,$AM26),INDEX('Cronograma Asistente Técnico'!$O$5:$O$1000,$AM26))&amp;"",IF(ISNUMBER($G26),IF(AND(ISNUMBER($AS26),$G26&gt;$AS26),"Cumplida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f>IF(NOT((COUNTA($B26:$D26)+COUNTA($G26:$H26)+COUNTA($Q26))&gt;0),"",IF($D26="","Propia",IF($V26&lt;&gt;"Macro","Solo se delegan macroactividades",IF(N($AM26)&gt;0,"✔ Recibida por "&amp;$D26,"⚠ "&amp;$D26&amp;" aún no la agrega"))))</f>
        <v/>
      </c>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IF($V26&lt;&gt;"Sub","",N($X26)*IF(AND(ISNUMBER($G26),$G26&lt;=IF($S26=MesCiclo,InicioCiclo,$S26+MOD(2-WEEKDAY($S26),7))+6),1,MIN(1,MAX(0,IF(ISNUMBER(OFFSET($A$1,ROW()-1,8)),OFFSET($A$1,ROW()-1,8),0)))))</f>
        <v/>
      </c>
      <c r="AE26" s="62">
        <f>IF($V26&lt;&gt;"Sub","",N($X26)*IF(AND(ISNUMBER($G26),$G26&lt;=IF($S26=MesCiclo,InicioCiclo,$S26+MOD(2-WEEKDAY($S26),7))+13),1,MIN(1,MAX(0,IF(ISNUMBER(OFFSET($A$1,ROW()-1,9)),OFFSET($A$1,ROW()-1,9),IF(ISNUMBER(OFFSET($A$1,ROW()-1,8)),OFFSET($A$1,ROW()-1,8),0))))))</f>
        <v/>
      </c>
      <c r="AF26" s="62">
        <f>IF($V26&lt;&gt;"Sub","",N($X26)*IF(AND(ISNUMBER($G26),$G26&lt;=IF($S26=MesCiclo,InicioCiclo,$S26+MOD(2-WEEKDAY($S26),7))+20),1,MIN(1,MAX(0,IF(ISNUMBER(OFFSET($A$1,ROW()-1,10)),OFFSET($A$1,ROW()-1,10),IF(ISNUMBER(OFFSET($A$1,ROW()-1,9)),OFFSET($A$1,ROW()-1,9),IF(ISNUMBER(OFFSET($A$1,ROW()-1,8)),OFFSET($A$1,ROW()-1,8),0)))))))</f>
        <v/>
      </c>
      <c r="AG26" s="62">
        <f>IF($V26&lt;&gt;"Sub","",N($X26)*IF(AND(ISNUMBER($G26),$G26&lt;=IF($S26=MesCiclo,InicioCiclo,$S26+MOD(2-WEEKDAY($S26),7))+27),1,MIN(1,MAX(0,IF(ISNUMBER(OFFSET($A$1,ROW()-1,11)),OFFSET($A$1,ROW()-1,11),IF(ISNUMBER(OFFSET($A$1,ROW()-1,10)),OFFSET($A$1,ROW()-1,10),IF(ISNUMBER(OFFSET($A$1,ROW()-1,9)),OFFSET($A$1,ROW()-1,9),IF(ISNUMBER(OFFSET($A$1,ROW()-1,8)),OFFSET($A$1,ROW()-1,8),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f>IF(NOT(AND($D26&lt;&gt;"",$V26="Macro")),"",IFERROR(CHOOSE(MATCH($D26,ListaPuestos,0),MATCH("[Jefatura] "&amp;$C26,'Cronograma R. Operacional'!$C$5:$C$1000,0),MATCH("[Jefatura] "&amp;$C26,'Cronograma R. Normativo'!$C$5:$C$1000,0),MATCH("[Jefatura] "&amp;$C26,'Cronograma R. Financiero'!$C$5:$C$1000,0),MATCH("[Jefatura] "&amp;$C26,'Cronograma Asistente Técnico'!$C$5:$C$1000,0)),0))</f>
        <v/>
      </c>
      <c r="AN26" s="62">
        <f>IF(AND(AND($D26&lt;&gt;"",$V26="Macro"),$S26=MesCiclo),COUNTIFS($D$5:$D26,$D26,$S$5:$S26,MesCiclo,$V$5:$V26,"Macro"),"")</f>
        <v/>
      </c>
      <c r="AO26" s="62">
        <f>IF($AN26="","",$D26&amp;"|"&amp;$AN26)</f>
        <v/>
      </c>
      <c r="AP26" s="62">
        <f>IF(AND($D26&lt;&gt;"",$V26="Macro"),$D26&amp;"|"&amp;$C26,"")</f>
        <v/>
      </c>
      <c r="AQ26" s="62">
        <f>""</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t="n"/>
      <c r="F27" s="59" t="n"/>
      <c r="G27" s="59" t="n"/>
      <c r="H27" s="60" t="n"/>
      <c r="I27" s="60">
        <f>IF(N($W27)=0,"",IF(AND($S27=MesCiclo,1&gt;SemanaActual),"",MIN(1,SUMIFS(OFFSET($A$1,ROW(),29,1000-ROW(),1),OFFSET($A$1,ROW(),20,1000-ROW(),1),ROW(),OFFSET($A$1,ROW(),21,1000-ROW(),1),"Sub"))))</f>
        <v/>
      </c>
      <c r="J27" s="60">
        <f>IF(N($W27)=0,"",IF(AND($S27=MesCiclo,2&gt;SemanaActual),"",MIN(1,SUMIFS(OFFSET($A$1,ROW(),30,1000-ROW(),1),OFFSET($A$1,ROW(),20,1000-ROW(),1),ROW(),OFFSET($A$1,ROW(),21,1000-ROW(),1),"Sub"))))</f>
        <v/>
      </c>
      <c r="K27" s="60">
        <f>IF(N($W27)=0,"",IF(AND($S27=MesCiclo,3&gt;SemanaActual),"",MIN(1,SUMIFS(OFFSET($A$1,ROW(),31,1000-ROW(),1),OFFSET($A$1,ROW(),20,1000-ROW(),1),ROW(),OFFSET($A$1,ROW(),21,1000-ROW(),1),"Sub"))))</f>
        <v/>
      </c>
      <c r="L27" s="60">
        <f>IF(N($W27)=0,"",IF(AND($S27=MesCiclo,4&gt;SemanaActual),"",MIN(1,SUMIFS(OFFSET($A$1,ROW(),32,1000-ROW(),1),OFFSET($A$1,ROW(),20,1000-ROW(),1),ROW(),OFFSET($A$1,ROW(),21,1000-ROW(),1),"Sub"))))</f>
        <v/>
      </c>
      <c r="M27" s="61">
        <f>IF(NOT((COUNTA($B27:$D27)+COUNTA($G27:$H27)+COUNTA($Q27))&gt;0),"",IF(AND($D27&lt;&gt;"",$V27="Macro"),IF(N($AM27)&gt;0,N(CHOOSE(MATCH($D27,ListaPuestos,0),INDEX('Cronograma R. Operacional'!$M$5:$M$1000,$AM27),INDEX('Cronograma R. Normativo'!$M$5:$M$1000,$AM27),INDEX('Cronograma R. Financiero'!$M$5:$M$1000,$AM27),INDEX('Cronograma Asistente Técnico'!$M$5:$M$1000,$AM27))),0),IF(ISNUMBER($G27),1,IF(N($W27)&gt;0,MIN(1,SUMIFS($Y$5:$Y$1000,$U$5:$U$1000,ROW(),$V$5:$V$1000,"Sub")),$Y27))))</f>
        <v/>
      </c>
      <c r="N27" s="56">
        <f>IF(OR($M27="",$V27="Sub"),"",IF($M27&gt;=1,"Completado",IF($M27&gt;0,"En curso","Pendiente")))</f>
        <v/>
      </c>
      <c r="O27" s="56">
        <f>IF(NOT((COUNTA($B27:$D27)+COUNTA($G27:$H27)+COUNTA($Q27))&gt;0),"",IF(AND(AND($D27&lt;&gt;"",$V27="Macro"),N($AM27)&gt;0),CHOOSE(MATCH($D27,ListaPuestos,0),INDEX('Cronograma R. Operacional'!$O$5:$O$1000,$AM27),INDEX('Cronograma R. Normativo'!$O$5:$O$1000,$AM27),INDEX('Cronograma R. Financiero'!$O$5:$O$1000,$AM27),INDEX('Cronograma Asistente Técnico'!$O$5:$O$1000,$AM27))&amp;"",IF(ISNUMBER($G27),IF(AND(ISNUMBER($AS27),$G27&gt;$AS27),"Cumplida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f>IF(NOT((COUNTA($B27:$D27)+COUNTA($G27:$H27)+COUNTA($Q27))&gt;0),"",IF($D27="","Propia",IF($V27&lt;&gt;"Macro","Solo se delegan macroactividades",IF(N($AM27)&gt;0,"✔ Recibida por "&amp;$D27,"⚠ "&amp;$D27&amp;" aún no la agrega"))))</f>
        <v/>
      </c>
      <c r="Q27" s="58" t="n"/>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IF($V27&lt;&gt;"Sub","",N($X27)*IF(AND(ISNUMBER($G27),$G27&lt;=IF($S27=MesCiclo,InicioCiclo,$S27+MOD(2-WEEKDAY($S27),7))+6),1,MIN(1,MAX(0,IF(ISNUMBER(OFFSET($A$1,ROW()-1,8)),OFFSET($A$1,ROW()-1,8),0)))))</f>
        <v/>
      </c>
      <c r="AE27" s="62">
        <f>IF($V27&lt;&gt;"Sub","",N($X27)*IF(AND(ISNUMBER($G27),$G27&lt;=IF($S27=MesCiclo,InicioCiclo,$S27+MOD(2-WEEKDAY($S27),7))+13),1,MIN(1,MAX(0,IF(ISNUMBER(OFFSET($A$1,ROW()-1,9)),OFFSET($A$1,ROW()-1,9),IF(ISNUMBER(OFFSET($A$1,ROW()-1,8)),OFFSET($A$1,ROW()-1,8),0))))))</f>
        <v/>
      </c>
      <c r="AF27" s="62">
        <f>IF($V27&lt;&gt;"Sub","",N($X27)*IF(AND(ISNUMBER($G27),$G27&lt;=IF($S27=MesCiclo,InicioCiclo,$S27+MOD(2-WEEKDAY($S27),7))+20),1,MIN(1,MAX(0,IF(ISNUMBER(OFFSET($A$1,ROW()-1,10)),OFFSET($A$1,ROW()-1,10),IF(ISNUMBER(OFFSET($A$1,ROW()-1,9)),OFFSET($A$1,ROW()-1,9),IF(ISNUMBER(OFFSET($A$1,ROW()-1,8)),OFFSET($A$1,ROW()-1,8),0)))))))</f>
        <v/>
      </c>
      <c r="AG27" s="62">
        <f>IF($V27&lt;&gt;"Sub","",N($X27)*IF(AND(ISNUMBER($G27),$G27&lt;=IF($S27=MesCiclo,InicioCiclo,$S27+MOD(2-WEEKDAY($S27),7))+27),1,MIN(1,MAX(0,IF(ISNUMBER(OFFSET($A$1,ROW()-1,11)),OFFSET($A$1,ROW()-1,11),IF(ISNUMBER(OFFSET($A$1,ROW()-1,10)),OFFSET($A$1,ROW()-1,10),IF(ISNUMBER(OFFSET($A$1,ROW()-1,9)),OFFSET($A$1,ROW()-1,9),IF(ISNUMBER(OFFSET($A$1,ROW()-1,8)),OFFSET($A$1,ROW()-1,8),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f>IF(NOT(AND($D27&lt;&gt;"",$V27="Macro")),"",IFERROR(CHOOSE(MATCH($D27,ListaPuestos,0),MATCH("[Jefatura] "&amp;$C27,'Cronograma R. Operacional'!$C$5:$C$1000,0),MATCH("[Jefatura] "&amp;$C27,'Cronograma R. Normativo'!$C$5:$C$1000,0),MATCH("[Jefatura] "&amp;$C27,'Cronograma R. Financiero'!$C$5:$C$1000,0),MATCH("[Jefatura] "&amp;$C27,'Cronograma Asistente Técnico'!$C$5:$C$1000,0)),0))</f>
        <v/>
      </c>
      <c r="AN27" s="62">
        <f>IF(AND(AND($D27&lt;&gt;"",$V27="Macro"),$S27=MesCiclo),COUNTIFS($D$5:$D27,$D27,$S$5:$S27,MesCiclo,$V$5:$V27,"Macro"),"")</f>
        <v/>
      </c>
      <c r="AO27" s="62">
        <f>IF($AN27="","",$D27&amp;"|"&amp;$AN27)</f>
        <v/>
      </c>
      <c r="AP27" s="62">
        <f>IF(AND($D27&lt;&gt;"",$V27="Macro"),$D27&amp;"|"&amp;$C27,"")</f>
        <v/>
      </c>
      <c r="AQ27" s="62">
        <f>""</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t="n"/>
      <c r="F28" s="59" t="n"/>
      <c r="G28" s="59" t="n"/>
      <c r="H28" s="60" t="n"/>
      <c r="I28" s="60">
        <f>IF(N($W28)=0,"",IF(AND($S28=MesCiclo,1&gt;SemanaActual),"",MIN(1,SUMIFS(OFFSET($A$1,ROW(),29,1000-ROW(),1),OFFSET($A$1,ROW(),20,1000-ROW(),1),ROW(),OFFSET($A$1,ROW(),21,1000-ROW(),1),"Sub"))))</f>
        <v/>
      </c>
      <c r="J28" s="60">
        <f>IF(N($W28)=0,"",IF(AND($S28=MesCiclo,2&gt;SemanaActual),"",MIN(1,SUMIFS(OFFSET($A$1,ROW(),30,1000-ROW(),1),OFFSET($A$1,ROW(),20,1000-ROW(),1),ROW(),OFFSET($A$1,ROW(),21,1000-ROW(),1),"Sub"))))</f>
        <v/>
      </c>
      <c r="K28" s="60">
        <f>IF(N($W28)=0,"",IF(AND($S28=MesCiclo,3&gt;SemanaActual),"",MIN(1,SUMIFS(OFFSET($A$1,ROW(),31,1000-ROW(),1),OFFSET($A$1,ROW(),20,1000-ROW(),1),ROW(),OFFSET($A$1,ROW(),21,1000-ROW(),1),"Sub"))))</f>
        <v/>
      </c>
      <c r="L28" s="60">
        <f>IF(N($W28)=0,"",IF(AND($S28=MesCiclo,4&gt;SemanaActual),"",MIN(1,SUMIFS(OFFSET($A$1,ROW(),32,1000-ROW(),1),OFFSET($A$1,ROW(),20,1000-ROW(),1),ROW(),OFFSET($A$1,ROW(),21,1000-ROW(),1),"Sub"))))</f>
        <v/>
      </c>
      <c r="M28" s="61">
        <f>IF(NOT((COUNTA($B28:$D28)+COUNTA($G28:$H28)+COUNTA($Q28))&gt;0),"",IF(AND($D28&lt;&gt;"",$V28="Macro"),IF(N($AM28)&gt;0,N(CHOOSE(MATCH($D28,ListaPuestos,0),INDEX('Cronograma R. Operacional'!$M$5:$M$1000,$AM28),INDEX('Cronograma R. Normativo'!$M$5:$M$1000,$AM28),INDEX('Cronograma R. Financiero'!$M$5:$M$1000,$AM28),INDEX('Cronograma Asistente Técnico'!$M$5:$M$1000,$AM28))),0),IF(ISNUMBER($G28),1,IF(N($W28)&gt;0,MIN(1,SUMIFS($Y$5:$Y$1000,$U$5:$U$1000,ROW(),$V$5:$V$1000,"Sub")),$Y28))))</f>
        <v/>
      </c>
      <c r="N28" s="56">
        <f>IF(OR($M28="",$V28="Sub"),"",IF($M28&gt;=1,"Completado",IF($M28&gt;0,"En curso","Pendiente")))</f>
        <v/>
      </c>
      <c r="O28" s="56">
        <f>IF(NOT((COUNTA($B28:$D28)+COUNTA($G28:$H28)+COUNTA($Q28))&gt;0),"",IF(AND(AND($D28&lt;&gt;"",$V28="Macro"),N($AM28)&gt;0),CHOOSE(MATCH($D28,ListaPuestos,0),INDEX('Cronograma R. Operacional'!$O$5:$O$1000,$AM28),INDEX('Cronograma R. Normativo'!$O$5:$O$1000,$AM28),INDEX('Cronograma R. Financiero'!$O$5:$O$1000,$AM28),INDEX('Cronograma Asistente Técnico'!$O$5:$O$1000,$AM28))&amp;"",IF(ISNUMBER($G28),IF(AND(ISNUMBER($AS28),$G28&gt;$AS28),"Cumplida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f>IF(NOT((COUNTA($B28:$D28)+COUNTA($G28:$H28)+COUNTA($Q28))&gt;0),"",IF($D28="","Propia",IF($V28&lt;&gt;"Macro","Solo se delegan macroactividades",IF(N($AM28)&gt;0,"✔ Recibida por "&amp;$D28,"⚠ "&amp;$D28&amp;" aún no la agrega"))))</f>
        <v/>
      </c>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IF($V28&lt;&gt;"Sub","",N($X28)*IF(AND(ISNUMBER($G28),$G28&lt;=IF($S28=MesCiclo,InicioCiclo,$S28+MOD(2-WEEKDAY($S28),7))+6),1,MIN(1,MAX(0,IF(ISNUMBER(OFFSET($A$1,ROW()-1,8)),OFFSET($A$1,ROW()-1,8),0)))))</f>
        <v/>
      </c>
      <c r="AE28" s="62">
        <f>IF($V28&lt;&gt;"Sub","",N($X28)*IF(AND(ISNUMBER($G28),$G28&lt;=IF($S28=MesCiclo,InicioCiclo,$S28+MOD(2-WEEKDAY($S28),7))+13),1,MIN(1,MAX(0,IF(ISNUMBER(OFFSET($A$1,ROW()-1,9)),OFFSET($A$1,ROW()-1,9),IF(ISNUMBER(OFFSET($A$1,ROW()-1,8)),OFFSET($A$1,ROW()-1,8),0))))))</f>
        <v/>
      </c>
      <c r="AF28" s="62">
        <f>IF($V28&lt;&gt;"Sub","",N($X28)*IF(AND(ISNUMBER($G28),$G28&lt;=IF($S28=MesCiclo,InicioCiclo,$S28+MOD(2-WEEKDAY($S28),7))+20),1,MIN(1,MAX(0,IF(ISNUMBER(OFFSET($A$1,ROW()-1,10)),OFFSET($A$1,ROW()-1,10),IF(ISNUMBER(OFFSET($A$1,ROW()-1,9)),OFFSET($A$1,ROW()-1,9),IF(ISNUMBER(OFFSET($A$1,ROW()-1,8)),OFFSET($A$1,ROW()-1,8),0)))))))</f>
        <v/>
      </c>
      <c r="AG28" s="62">
        <f>IF($V28&lt;&gt;"Sub","",N($X28)*IF(AND(ISNUMBER($G28),$G28&lt;=IF($S28=MesCiclo,InicioCiclo,$S28+MOD(2-WEEKDAY($S28),7))+27),1,MIN(1,MAX(0,IF(ISNUMBER(OFFSET($A$1,ROW()-1,11)),OFFSET($A$1,ROW()-1,11),IF(ISNUMBER(OFFSET($A$1,ROW()-1,10)),OFFSET($A$1,ROW()-1,10),IF(ISNUMBER(OFFSET($A$1,ROW()-1,9)),OFFSET($A$1,ROW()-1,9),IF(ISNUMBER(OFFSET($A$1,ROW()-1,8)),OFFSET($A$1,ROW()-1,8),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f>IF(NOT(AND($D28&lt;&gt;"",$V28="Macro")),"",IFERROR(CHOOSE(MATCH($D28,ListaPuestos,0),MATCH("[Jefatura] "&amp;$C28,'Cronograma R. Operacional'!$C$5:$C$1000,0),MATCH("[Jefatura] "&amp;$C28,'Cronograma R. Normativo'!$C$5:$C$1000,0),MATCH("[Jefatura] "&amp;$C28,'Cronograma R. Financiero'!$C$5:$C$1000,0),MATCH("[Jefatura] "&amp;$C28,'Cronograma Asistente Técnico'!$C$5:$C$1000,0)),0))</f>
        <v/>
      </c>
      <c r="AN28" s="62">
        <f>IF(AND(AND($D28&lt;&gt;"",$V28="Macro"),$S28=MesCiclo),COUNTIFS($D$5:$D28,$D28,$S$5:$S28,MesCiclo,$V$5:$V28,"Macro"),"")</f>
        <v/>
      </c>
      <c r="AO28" s="62">
        <f>IF($AN28="","",$D28&amp;"|"&amp;$AN28)</f>
        <v/>
      </c>
      <c r="AP28" s="62">
        <f>IF(AND($D28&lt;&gt;"",$V28="Macro"),$D28&amp;"|"&amp;$C28,"")</f>
        <v/>
      </c>
      <c r="AQ28" s="62">
        <f>""</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t="n"/>
      <c r="F29" s="59" t="n"/>
      <c r="G29" s="59" t="n"/>
      <c r="H29" s="60" t="n"/>
      <c r="I29" s="60">
        <f>IF(N($W29)=0,"",IF(AND($S29=MesCiclo,1&gt;SemanaActual),"",MIN(1,SUMIFS(OFFSET($A$1,ROW(),29,1000-ROW(),1),OFFSET($A$1,ROW(),20,1000-ROW(),1),ROW(),OFFSET($A$1,ROW(),21,1000-ROW(),1),"Sub"))))</f>
        <v/>
      </c>
      <c r="J29" s="60">
        <f>IF(N($W29)=0,"",IF(AND($S29=MesCiclo,2&gt;SemanaActual),"",MIN(1,SUMIFS(OFFSET($A$1,ROW(),30,1000-ROW(),1),OFFSET($A$1,ROW(),20,1000-ROW(),1),ROW(),OFFSET($A$1,ROW(),21,1000-ROW(),1),"Sub"))))</f>
        <v/>
      </c>
      <c r="K29" s="60">
        <f>IF(N($W29)=0,"",IF(AND($S29=MesCiclo,3&gt;SemanaActual),"",MIN(1,SUMIFS(OFFSET($A$1,ROW(),31,1000-ROW(),1),OFFSET($A$1,ROW(),20,1000-ROW(),1),ROW(),OFFSET($A$1,ROW(),21,1000-ROW(),1),"Sub"))))</f>
        <v/>
      </c>
      <c r="L29" s="60">
        <f>IF(N($W29)=0,"",IF(AND($S29=MesCiclo,4&gt;SemanaActual),"",MIN(1,SUMIFS(OFFSET($A$1,ROW(),32,1000-ROW(),1),OFFSET($A$1,ROW(),20,1000-ROW(),1),ROW(),OFFSET($A$1,ROW(),21,1000-ROW(),1),"Sub"))))</f>
        <v/>
      </c>
      <c r="M29" s="61">
        <f>IF(NOT((COUNTA($B29:$D29)+COUNTA($G29:$H29)+COUNTA($Q29))&gt;0),"",IF(AND($D29&lt;&gt;"",$V29="Macro"),IF(N($AM29)&gt;0,N(CHOOSE(MATCH($D29,ListaPuestos,0),INDEX('Cronograma R. Operacional'!$M$5:$M$1000,$AM29),INDEX('Cronograma R. Normativo'!$M$5:$M$1000,$AM29),INDEX('Cronograma R. Financiero'!$M$5:$M$1000,$AM29),INDEX('Cronograma Asistente Técnico'!$M$5:$M$1000,$AM29))),0),IF(ISNUMBER($G29),1,IF(N($W29)&gt;0,MIN(1,SUMIFS($Y$5:$Y$1000,$U$5:$U$1000,ROW(),$V$5:$V$1000,"Sub")),$Y29))))</f>
        <v/>
      </c>
      <c r="N29" s="56">
        <f>IF(OR($M29="",$V29="Sub"),"",IF($M29&gt;=1,"Completado",IF($M29&gt;0,"En curso","Pendiente")))</f>
        <v/>
      </c>
      <c r="O29" s="56">
        <f>IF(NOT((COUNTA($B29:$D29)+COUNTA($G29:$H29)+COUNTA($Q29))&gt;0),"",IF(AND(AND($D29&lt;&gt;"",$V29="Macro"),N($AM29)&gt;0),CHOOSE(MATCH($D29,ListaPuestos,0),INDEX('Cronograma R. Operacional'!$O$5:$O$1000,$AM29),INDEX('Cronograma R. Normativo'!$O$5:$O$1000,$AM29),INDEX('Cronograma R. Financiero'!$O$5:$O$1000,$AM29),INDEX('Cronograma Asistente Técnico'!$O$5:$O$1000,$AM29))&amp;"",IF(ISNUMBER($G29),IF(AND(ISNUMBER($AS29),$G29&gt;$AS29),"Cumplida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f>IF(NOT((COUNTA($B29:$D29)+COUNTA($G29:$H29)+COUNTA($Q29))&gt;0),"",IF($D29="","Propia",IF($V29&lt;&gt;"Macro","Solo se delegan macroactividades",IF(N($AM29)&gt;0,"✔ Recibida por "&amp;$D29,"⚠ "&amp;$D29&amp;" aún no la agrega"))))</f>
        <v/>
      </c>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IF($V29&lt;&gt;"Sub","",N($X29)*IF(AND(ISNUMBER($G29),$G29&lt;=IF($S29=MesCiclo,InicioCiclo,$S29+MOD(2-WEEKDAY($S29),7))+6),1,MIN(1,MAX(0,IF(ISNUMBER(OFFSET($A$1,ROW()-1,8)),OFFSET($A$1,ROW()-1,8),0)))))</f>
        <v/>
      </c>
      <c r="AE29" s="62">
        <f>IF($V29&lt;&gt;"Sub","",N($X29)*IF(AND(ISNUMBER($G29),$G29&lt;=IF($S29=MesCiclo,InicioCiclo,$S29+MOD(2-WEEKDAY($S29),7))+13),1,MIN(1,MAX(0,IF(ISNUMBER(OFFSET($A$1,ROW()-1,9)),OFFSET($A$1,ROW()-1,9),IF(ISNUMBER(OFFSET($A$1,ROW()-1,8)),OFFSET($A$1,ROW()-1,8),0))))))</f>
        <v/>
      </c>
      <c r="AF29" s="62">
        <f>IF($V29&lt;&gt;"Sub","",N($X29)*IF(AND(ISNUMBER($G29),$G29&lt;=IF($S29=MesCiclo,InicioCiclo,$S29+MOD(2-WEEKDAY($S29),7))+20),1,MIN(1,MAX(0,IF(ISNUMBER(OFFSET($A$1,ROW()-1,10)),OFFSET($A$1,ROW()-1,10),IF(ISNUMBER(OFFSET($A$1,ROW()-1,9)),OFFSET($A$1,ROW()-1,9),IF(ISNUMBER(OFFSET($A$1,ROW()-1,8)),OFFSET($A$1,ROW()-1,8),0)))))))</f>
        <v/>
      </c>
      <c r="AG29" s="62">
        <f>IF($V29&lt;&gt;"Sub","",N($X29)*IF(AND(ISNUMBER($G29),$G29&lt;=IF($S29=MesCiclo,InicioCiclo,$S29+MOD(2-WEEKDAY($S29),7))+27),1,MIN(1,MAX(0,IF(ISNUMBER(OFFSET($A$1,ROW()-1,11)),OFFSET($A$1,ROW()-1,11),IF(ISNUMBER(OFFSET($A$1,ROW()-1,10)),OFFSET($A$1,ROW()-1,10),IF(ISNUMBER(OFFSET($A$1,ROW()-1,9)),OFFSET($A$1,ROW()-1,9),IF(ISNUMBER(OFFSET($A$1,ROW()-1,8)),OFFSET($A$1,ROW()-1,8),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f>IF(NOT(AND($D29&lt;&gt;"",$V29="Macro")),"",IFERROR(CHOOSE(MATCH($D29,ListaPuestos,0),MATCH("[Jefatura] "&amp;$C29,'Cronograma R. Operacional'!$C$5:$C$1000,0),MATCH("[Jefatura] "&amp;$C29,'Cronograma R. Normativo'!$C$5:$C$1000,0),MATCH("[Jefatura] "&amp;$C29,'Cronograma R. Financiero'!$C$5:$C$1000,0),MATCH("[Jefatura] "&amp;$C29,'Cronograma Asistente Técnico'!$C$5:$C$1000,0)),0))</f>
        <v/>
      </c>
      <c r="AN29" s="62">
        <f>IF(AND(AND($D29&lt;&gt;"",$V29="Macro"),$S29=MesCiclo),COUNTIFS($D$5:$D29,$D29,$S$5:$S29,MesCiclo,$V$5:$V29,"Macro"),"")</f>
        <v/>
      </c>
      <c r="AO29" s="62">
        <f>IF($AN29="","",$D29&amp;"|"&amp;$AN29)</f>
        <v/>
      </c>
      <c r="AP29" s="62">
        <f>IF(AND($D29&lt;&gt;"",$V29="Macro"),$D29&amp;"|"&amp;$C29,"")</f>
        <v/>
      </c>
      <c r="AQ29" s="62">
        <f>""</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t="n"/>
      <c r="F30" s="59" t="n"/>
      <c r="G30" s="59" t="n"/>
      <c r="H30" s="60" t="n"/>
      <c r="I30" s="60">
        <f>IF(N($W30)=0,"",IF(AND($S30=MesCiclo,1&gt;SemanaActual),"",MIN(1,SUMIFS(OFFSET($A$1,ROW(),29,1000-ROW(),1),OFFSET($A$1,ROW(),20,1000-ROW(),1),ROW(),OFFSET($A$1,ROW(),21,1000-ROW(),1),"Sub"))))</f>
        <v/>
      </c>
      <c r="J30" s="60">
        <f>IF(N($W30)=0,"",IF(AND($S30=MesCiclo,2&gt;SemanaActual),"",MIN(1,SUMIFS(OFFSET($A$1,ROW(),30,1000-ROW(),1),OFFSET($A$1,ROW(),20,1000-ROW(),1),ROW(),OFFSET($A$1,ROW(),21,1000-ROW(),1),"Sub"))))</f>
        <v/>
      </c>
      <c r="K30" s="60">
        <f>IF(N($W30)=0,"",IF(AND($S30=MesCiclo,3&gt;SemanaActual),"",MIN(1,SUMIFS(OFFSET($A$1,ROW(),31,1000-ROW(),1),OFFSET($A$1,ROW(),20,1000-ROW(),1),ROW(),OFFSET($A$1,ROW(),21,1000-ROW(),1),"Sub"))))</f>
        <v/>
      </c>
      <c r="L30" s="60">
        <f>IF(N($W30)=0,"",IF(AND($S30=MesCiclo,4&gt;SemanaActual),"",MIN(1,SUMIFS(OFFSET($A$1,ROW(),32,1000-ROW(),1),OFFSET($A$1,ROW(),20,1000-ROW(),1),ROW(),OFFSET($A$1,ROW(),21,1000-ROW(),1),"Sub"))))</f>
        <v/>
      </c>
      <c r="M30" s="61">
        <f>IF(NOT((COUNTA($B30:$D30)+COUNTA($G30:$H30)+COUNTA($Q30))&gt;0),"",IF(AND($D30&lt;&gt;"",$V30="Macro"),IF(N($AM30)&gt;0,N(CHOOSE(MATCH($D30,ListaPuestos,0),INDEX('Cronograma R. Operacional'!$M$5:$M$1000,$AM30),INDEX('Cronograma R. Normativo'!$M$5:$M$1000,$AM30),INDEX('Cronograma R. Financiero'!$M$5:$M$1000,$AM30),INDEX('Cronograma Asistente Técnico'!$M$5:$M$1000,$AM30))),0),IF(ISNUMBER($G30),1,IF(N($W30)&gt;0,MIN(1,SUMIFS($Y$5:$Y$1000,$U$5:$U$1000,ROW(),$V$5:$V$1000,"Sub")),$Y30))))</f>
        <v/>
      </c>
      <c r="N30" s="56">
        <f>IF(OR($M30="",$V30="Sub"),"",IF($M30&gt;=1,"Completado",IF($M30&gt;0,"En curso","Pendiente")))</f>
        <v/>
      </c>
      <c r="O30" s="56">
        <f>IF(NOT((COUNTA($B30:$D30)+COUNTA($G30:$H30)+COUNTA($Q30))&gt;0),"",IF(AND(AND($D30&lt;&gt;"",$V30="Macro"),N($AM30)&gt;0),CHOOSE(MATCH($D30,ListaPuestos,0),INDEX('Cronograma R. Operacional'!$O$5:$O$1000,$AM30),INDEX('Cronograma R. Normativo'!$O$5:$O$1000,$AM30),INDEX('Cronograma R. Financiero'!$O$5:$O$1000,$AM30),INDEX('Cronograma Asistente Técnico'!$O$5:$O$1000,$AM30))&amp;"",IF(ISNUMBER($G30),IF(AND(ISNUMBER($AS30),$G30&gt;$AS30),"Cumplida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f>IF(NOT((COUNTA($B30:$D30)+COUNTA($G30:$H30)+COUNTA($Q30))&gt;0),"",IF($D30="","Propia",IF($V30&lt;&gt;"Macro","Solo se delegan macroactividades",IF(N($AM30)&gt;0,"✔ Recibida por "&amp;$D30,"⚠ "&amp;$D30&amp;" aún no la agrega"))))</f>
        <v/>
      </c>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IF($V30&lt;&gt;"Sub","",N($X30)*IF(AND(ISNUMBER($G30),$G30&lt;=IF($S30=MesCiclo,InicioCiclo,$S30+MOD(2-WEEKDAY($S30),7))+6),1,MIN(1,MAX(0,IF(ISNUMBER(OFFSET($A$1,ROW()-1,8)),OFFSET($A$1,ROW()-1,8),0)))))</f>
        <v/>
      </c>
      <c r="AE30" s="62">
        <f>IF($V30&lt;&gt;"Sub","",N($X30)*IF(AND(ISNUMBER($G30),$G30&lt;=IF($S30=MesCiclo,InicioCiclo,$S30+MOD(2-WEEKDAY($S30),7))+13),1,MIN(1,MAX(0,IF(ISNUMBER(OFFSET($A$1,ROW()-1,9)),OFFSET($A$1,ROW()-1,9),IF(ISNUMBER(OFFSET($A$1,ROW()-1,8)),OFFSET($A$1,ROW()-1,8),0))))))</f>
        <v/>
      </c>
      <c r="AF30" s="62">
        <f>IF($V30&lt;&gt;"Sub","",N($X30)*IF(AND(ISNUMBER($G30),$G30&lt;=IF($S30=MesCiclo,InicioCiclo,$S30+MOD(2-WEEKDAY($S30),7))+20),1,MIN(1,MAX(0,IF(ISNUMBER(OFFSET($A$1,ROW()-1,10)),OFFSET($A$1,ROW()-1,10),IF(ISNUMBER(OFFSET($A$1,ROW()-1,9)),OFFSET($A$1,ROW()-1,9),IF(ISNUMBER(OFFSET($A$1,ROW()-1,8)),OFFSET($A$1,ROW()-1,8),0)))))))</f>
        <v/>
      </c>
      <c r="AG30" s="62">
        <f>IF($V30&lt;&gt;"Sub","",N($X30)*IF(AND(ISNUMBER($G30),$G30&lt;=IF($S30=MesCiclo,InicioCiclo,$S30+MOD(2-WEEKDAY($S30),7))+27),1,MIN(1,MAX(0,IF(ISNUMBER(OFFSET($A$1,ROW()-1,11)),OFFSET($A$1,ROW()-1,11),IF(ISNUMBER(OFFSET($A$1,ROW()-1,10)),OFFSET($A$1,ROW()-1,10),IF(ISNUMBER(OFFSET($A$1,ROW()-1,9)),OFFSET($A$1,ROW()-1,9),IF(ISNUMBER(OFFSET($A$1,ROW()-1,8)),OFFSET($A$1,ROW()-1,8),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f>IF(NOT(AND($D30&lt;&gt;"",$V30="Macro")),"",IFERROR(CHOOSE(MATCH($D30,ListaPuestos,0),MATCH("[Jefatura] "&amp;$C30,'Cronograma R. Operacional'!$C$5:$C$1000,0),MATCH("[Jefatura] "&amp;$C30,'Cronograma R. Normativo'!$C$5:$C$1000,0),MATCH("[Jefatura] "&amp;$C30,'Cronograma R. Financiero'!$C$5:$C$1000,0),MATCH("[Jefatura] "&amp;$C30,'Cronograma Asistente Técnico'!$C$5:$C$1000,0)),0))</f>
        <v/>
      </c>
      <c r="AN30" s="62">
        <f>IF(AND(AND($D30&lt;&gt;"",$V30="Macro"),$S30=MesCiclo),COUNTIFS($D$5:$D30,$D30,$S$5:$S30,MesCiclo,$V$5:$V30,"Macro"),"")</f>
        <v/>
      </c>
      <c r="AO30" s="62">
        <f>IF($AN30="","",$D30&amp;"|"&amp;$AN30)</f>
        <v/>
      </c>
      <c r="AP30" s="62">
        <f>IF(AND($D30&lt;&gt;"",$V30="Macro"),$D30&amp;"|"&amp;$C30,"")</f>
        <v/>
      </c>
      <c r="AQ30" s="62">
        <f>""</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t="n"/>
      <c r="F31" s="59" t="n"/>
      <c r="G31" s="59" t="n"/>
      <c r="H31" s="60" t="n"/>
      <c r="I31" s="60">
        <f>IF(N($W31)=0,"",IF(AND($S31=MesCiclo,1&gt;SemanaActual),"",MIN(1,SUMIFS(OFFSET($A$1,ROW(),29,1000-ROW(),1),OFFSET($A$1,ROW(),20,1000-ROW(),1),ROW(),OFFSET($A$1,ROW(),21,1000-ROW(),1),"Sub"))))</f>
        <v/>
      </c>
      <c r="J31" s="60">
        <f>IF(N($W31)=0,"",IF(AND($S31=MesCiclo,2&gt;SemanaActual),"",MIN(1,SUMIFS(OFFSET($A$1,ROW(),30,1000-ROW(),1),OFFSET($A$1,ROW(),20,1000-ROW(),1),ROW(),OFFSET($A$1,ROW(),21,1000-ROW(),1),"Sub"))))</f>
        <v/>
      </c>
      <c r="K31" s="60">
        <f>IF(N($W31)=0,"",IF(AND($S31=MesCiclo,3&gt;SemanaActual),"",MIN(1,SUMIFS(OFFSET($A$1,ROW(),31,1000-ROW(),1),OFFSET($A$1,ROW(),20,1000-ROW(),1),ROW(),OFFSET($A$1,ROW(),21,1000-ROW(),1),"Sub"))))</f>
        <v/>
      </c>
      <c r="L31" s="60">
        <f>IF(N($W31)=0,"",IF(AND($S31=MesCiclo,4&gt;SemanaActual),"",MIN(1,SUMIFS(OFFSET($A$1,ROW(),32,1000-ROW(),1),OFFSET($A$1,ROW(),20,1000-ROW(),1),ROW(),OFFSET($A$1,ROW(),21,1000-ROW(),1),"Sub"))))</f>
        <v/>
      </c>
      <c r="M31" s="61">
        <f>IF(NOT((COUNTA($B31:$D31)+COUNTA($G31:$H31)+COUNTA($Q31))&gt;0),"",IF(AND($D31&lt;&gt;"",$V31="Macro"),IF(N($AM31)&gt;0,N(CHOOSE(MATCH($D31,ListaPuestos,0),INDEX('Cronograma R. Operacional'!$M$5:$M$1000,$AM31),INDEX('Cronograma R. Normativo'!$M$5:$M$1000,$AM31),INDEX('Cronograma R. Financiero'!$M$5:$M$1000,$AM31),INDEX('Cronograma Asistente Técnico'!$M$5:$M$1000,$AM31))),0),IF(ISNUMBER($G31),1,IF(N($W31)&gt;0,MIN(1,SUMIFS($Y$5:$Y$1000,$U$5:$U$1000,ROW(),$V$5:$V$1000,"Sub")),$Y31))))</f>
        <v/>
      </c>
      <c r="N31" s="56">
        <f>IF(OR($M31="",$V31="Sub"),"",IF($M31&gt;=1,"Completado",IF($M31&gt;0,"En curso","Pendiente")))</f>
        <v/>
      </c>
      <c r="O31" s="56">
        <f>IF(NOT((COUNTA($B31:$D31)+COUNTA($G31:$H31)+COUNTA($Q31))&gt;0),"",IF(AND(AND($D31&lt;&gt;"",$V31="Macro"),N($AM31)&gt;0),CHOOSE(MATCH($D31,ListaPuestos,0),INDEX('Cronograma R. Operacional'!$O$5:$O$1000,$AM31),INDEX('Cronograma R. Normativo'!$O$5:$O$1000,$AM31),INDEX('Cronograma R. Financiero'!$O$5:$O$1000,$AM31),INDEX('Cronograma Asistente Técnico'!$O$5:$O$1000,$AM31))&amp;"",IF(ISNUMBER($G31),IF(AND(ISNUMBER($AS31),$G31&gt;$AS31),"Cumplida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f>IF(NOT((COUNTA($B31:$D31)+COUNTA($G31:$H31)+COUNTA($Q31))&gt;0),"",IF($D31="","Propia",IF($V31&lt;&gt;"Macro","Solo se delegan macroactividades",IF(N($AM31)&gt;0,"✔ Recibida por "&amp;$D31,"⚠ "&amp;$D31&amp;" aún no la agrega"))))</f>
        <v/>
      </c>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IF($V31&lt;&gt;"Sub","",N($X31)*IF(AND(ISNUMBER($G31),$G31&lt;=IF($S31=MesCiclo,InicioCiclo,$S31+MOD(2-WEEKDAY($S31),7))+6),1,MIN(1,MAX(0,IF(ISNUMBER(OFFSET($A$1,ROW()-1,8)),OFFSET($A$1,ROW()-1,8),0)))))</f>
        <v/>
      </c>
      <c r="AE31" s="62">
        <f>IF($V31&lt;&gt;"Sub","",N($X31)*IF(AND(ISNUMBER($G31),$G31&lt;=IF($S31=MesCiclo,InicioCiclo,$S31+MOD(2-WEEKDAY($S31),7))+13),1,MIN(1,MAX(0,IF(ISNUMBER(OFFSET($A$1,ROW()-1,9)),OFFSET($A$1,ROW()-1,9),IF(ISNUMBER(OFFSET($A$1,ROW()-1,8)),OFFSET($A$1,ROW()-1,8),0))))))</f>
        <v/>
      </c>
      <c r="AF31" s="62">
        <f>IF($V31&lt;&gt;"Sub","",N($X31)*IF(AND(ISNUMBER($G31),$G31&lt;=IF($S31=MesCiclo,InicioCiclo,$S31+MOD(2-WEEKDAY($S31),7))+20),1,MIN(1,MAX(0,IF(ISNUMBER(OFFSET($A$1,ROW()-1,10)),OFFSET($A$1,ROW()-1,10),IF(ISNUMBER(OFFSET($A$1,ROW()-1,9)),OFFSET($A$1,ROW()-1,9),IF(ISNUMBER(OFFSET($A$1,ROW()-1,8)),OFFSET($A$1,ROW()-1,8),0)))))))</f>
        <v/>
      </c>
      <c r="AG31" s="62">
        <f>IF($V31&lt;&gt;"Sub","",N($X31)*IF(AND(ISNUMBER($G31),$G31&lt;=IF($S31=MesCiclo,InicioCiclo,$S31+MOD(2-WEEKDAY($S31),7))+27),1,MIN(1,MAX(0,IF(ISNUMBER(OFFSET($A$1,ROW()-1,11)),OFFSET($A$1,ROW()-1,11),IF(ISNUMBER(OFFSET($A$1,ROW()-1,10)),OFFSET($A$1,ROW()-1,10),IF(ISNUMBER(OFFSET($A$1,ROW()-1,9)),OFFSET($A$1,ROW()-1,9),IF(ISNUMBER(OFFSET($A$1,ROW()-1,8)),OFFSET($A$1,ROW()-1,8),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f>IF(NOT(AND($D31&lt;&gt;"",$V31="Macro")),"",IFERROR(CHOOSE(MATCH($D31,ListaPuestos,0),MATCH("[Jefatura] "&amp;$C31,'Cronograma R. Operacional'!$C$5:$C$1000,0),MATCH("[Jefatura] "&amp;$C31,'Cronograma R. Normativo'!$C$5:$C$1000,0),MATCH("[Jefatura] "&amp;$C31,'Cronograma R. Financiero'!$C$5:$C$1000,0),MATCH("[Jefatura] "&amp;$C31,'Cronograma Asistente Técnico'!$C$5:$C$1000,0)),0))</f>
        <v/>
      </c>
      <c r="AN31" s="62">
        <f>IF(AND(AND($D31&lt;&gt;"",$V31="Macro"),$S31=MesCiclo),COUNTIFS($D$5:$D31,$D31,$S$5:$S31,MesCiclo,$V$5:$V31,"Macro"),"")</f>
        <v/>
      </c>
      <c r="AO31" s="62">
        <f>IF($AN31="","",$D31&amp;"|"&amp;$AN31)</f>
        <v/>
      </c>
      <c r="AP31" s="62">
        <f>IF(AND($D31&lt;&gt;"",$V31="Macro"),$D31&amp;"|"&amp;$C31,"")</f>
        <v/>
      </c>
      <c r="AQ31" s="62">
        <f>""</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t="n"/>
      <c r="F32" s="59" t="n"/>
      <c r="G32" s="59" t="n"/>
      <c r="H32" s="60" t="n"/>
      <c r="I32" s="60">
        <f>IF(N($W32)=0,"",IF(AND($S32=MesCiclo,1&gt;SemanaActual),"",MIN(1,SUMIFS(OFFSET($A$1,ROW(),29,1000-ROW(),1),OFFSET($A$1,ROW(),20,1000-ROW(),1),ROW(),OFFSET($A$1,ROW(),21,1000-ROW(),1),"Sub"))))</f>
        <v/>
      </c>
      <c r="J32" s="60">
        <f>IF(N($W32)=0,"",IF(AND($S32=MesCiclo,2&gt;SemanaActual),"",MIN(1,SUMIFS(OFFSET($A$1,ROW(),30,1000-ROW(),1),OFFSET($A$1,ROW(),20,1000-ROW(),1),ROW(),OFFSET($A$1,ROW(),21,1000-ROW(),1),"Sub"))))</f>
        <v/>
      </c>
      <c r="K32" s="60">
        <f>IF(N($W32)=0,"",IF(AND($S32=MesCiclo,3&gt;SemanaActual),"",MIN(1,SUMIFS(OFFSET($A$1,ROW(),31,1000-ROW(),1),OFFSET($A$1,ROW(),20,1000-ROW(),1),ROW(),OFFSET($A$1,ROW(),21,1000-ROW(),1),"Sub"))))</f>
        <v/>
      </c>
      <c r="L32" s="60">
        <f>IF(N($W32)=0,"",IF(AND($S32=MesCiclo,4&gt;SemanaActual),"",MIN(1,SUMIFS(OFFSET($A$1,ROW(),32,1000-ROW(),1),OFFSET($A$1,ROW(),20,1000-ROW(),1),ROW(),OFFSET($A$1,ROW(),21,1000-ROW(),1),"Sub"))))</f>
        <v/>
      </c>
      <c r="M32" s="61">
        <f>IF(NOT((COUNTA($B32:$D32)+COUNTA($G32:$H32)+COUNTA($Q32))&gt;0),"",IF(AND($D32&lt;&gt;"",$V32="Macro"),IF(N($AM32)&gt;0,N(CHOOSE(MATCH($D32,ListaPuestos,0),INDEX('Cronograma R. Operacional'!$M$5:$M$1000,$AM32),INDEX('Cronograma R. Normativo'!$M$5:$M$1000,$AM32),INDEX('Cronograma R. Financiero'!$M$5:$M$1000,$AM32),INDEX('Cronograma Asistente Técnico'!$M$5:$M$1000,$AM32))),0),IF(ISNUMBER($G32),1,IF(N($W32)&gt;0,MIN(1,SUMIFS($Y$5:$Y$1000,$U$5:$U$1000,ROW(),$V$5:$V$1000,"Sub")),$Y32))))</f>
        <v/>
      </c>
      <c r="N32" s="56">
        <f>IF(OR($M32="",$V32="Sub"),"",IF($M32&gt;=1,"Completado",IF($M32&gt;0,"En curso","Pendiente")))</f>
        <v/>
      </c>
      <c r="O32" s="56">
        <f>IF(NOT((COUNTA($B32:$D32)+COUNTA($G32:$H32)+COUNTA($Q32))&gt;0),"",IF(AND(AND($D32&lt;&gt;"",$V32="Macro"),N($AM32)&gt;0),CHOOSE(MATCH($D32,ListaPuestos,0),INDEX('Cronograma R. Operacional'!$O$5:$O$1000,$AM32),INDEX('Cronograma R. Normativo'!$O$5:$O$1000,$AM32),INDEX('Cronograma R. Financiero'!$O$5:$O$1000,$AM32),INDEX('Cronograma Asistente Técnico'!$O$5:$O$1000,$AM32))&amp;"",IF(ISNUMBER($G32),IF(AND(ISNUMBER($AS32),$G32&gt;$AS32),"Cumplida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f>IF(NOT((COUNTA($B32:$D32)+COUNTA($G32:$H32)+COUNTA($Q32))&gt;0),"",IF($D32="","Propia",IF($V32&lt;&gt;"Macro","Solo se delegan macroactividades",IF(N($AM32)&gt;0,"✔ Recibida por "&amp;$D32,"⚠ "&amp;$D32&amp;" aún no la agrega"))))</f>
        <v/>
      </c>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IF($V32&lt;&gt;"Sub","",N($X32)*IF(AND(ISNUMBER($G32),$G32&lt;=IF($S32=MesCiclo,InicioCiclo,$S32+MOD(2-WEEKDAY($S32),7))+6),1,MIN(1,MAX(0,IF(ISNUMBER(OFFSET($A$1,ROW()-1,8)),OFFSET($A$1,ROW()-1,8),0)))))</f>
        <v/>
      </c>
      <c r="AE32" s="62">
        <f>IF($V32&lt;&gt;"Sub","",N($X32)*IF(AND(ISNUMBER($G32),$G32&lt;=IF($S32=MesCiclo,InicioCiclo,$S32+MOD(2-WEEKDAY($S32),7))+13),1,MIN(1,MAX(0,IF(ISNUMBER(OFFSET($A$1,ROW()-1,9)),OFFSET($A$1,ROW()-1,9),IF(ISNUMBER(OFFSET($A$1,ROW()-1,8)),OFFSET($A$1,ROW()-1,8),0))))))</f>
        <v/>
      </c>
      <c r="AF32" s="62">
        <f>IF($V32&lt;&gt;"Sub","",N($X32)*IF(AND(ISNUMBER($G32),$G32&lt;=IF($S32=MesCiclo,InicioCiclo,$S32+MOD(2-WEEKDAY($S32),7))+20),1,MIN(1,MAX(0,IF(ISNUMBER(OFFSET($A$1,ROW()-1,10)),OFFSET($A$1,ROW()-1,10),IF(ISNUMBER(OFFSET($A$1,ROW()-1,9)),OFFSET($A$1,ROW()-1,9),IF(ISNUMBER(OFFSET($A$1,ROW()-1,8)),OFFSET($A$1,ROW()-1,8),0)))))))</f>
        <v/>
      </c>
      <c r="AG32" s="62">
        <f>IF($V32&lt;&gt;"Sub","",N($X32)*IF(AND(ISNUMBER($G32),$G32&lt;=IF($S32=MesCiclo,InicioCiclo,$S32+MOD(2-WEEKDAY($S32),7))+27),1,MIN(1,MAX(0,IF(ISNUMBER(OFFSET($A$1,ROW()-1,11)),OFFSET($A$1,ROW()-1,11),IF(ISNUMBER(OFFSET($A$1,ROW()-1,10)),OFFSET($A$1,ROW()-1,10),IF(ISNUMBER(OFFSET($A$1,ROW()-1,9)),OFFSET($A$1,ROW()-1,9),IF(ISNUMBER(OFFSET($A$1,ROW()-1,8)),OFFSET($A$1,ROW()-1,8),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f>IF(NOT(AND($D32&lt;&gt;"",$V32="Macro")),"",IFERROR(CHOOSE(MATCH($D32,ListaPuestos,0),MATCH("[Jefatura] "&amp;$C32,'Cronograma R. Operacional'!$C$5:$C$1000,0),MATCH("[Jefatura] "&amp;$C32,'Cronograma R. Normativo'!$C$5:$C$1000,0),MATCH("[Jefatura] "&amp;$C32,'Cronograma R. Financiero'!$C$5:$C$1000,0),MATCH("[Jefatura] "&amp;$C32,'Cronograma Asistente Técnico'!$C$5:$C$1000,0)),0))</f>
        <v/>
      </c>
      <c r="AN32" s="62">
        <f>IF(AND(AND($D32&lt;&gt;"",$V32="Macro"),$S32=MesCiclo),COUNTIFS($D$5:$D32,$D32,$S$5:$S32,MesCiclo,$V$5:$V32,"Macro"),"")</f>
        <v/>
      </c>
      <c r="AO32" s="62">
        <f>IF($AN32="","",$D32&amp;"|"&amp;$AN32)</f>
        <v/>
      </c>
      <c r="AP32" s="62">
        <f>IF(AND($D32&lt;&gt;"",$V32="Macro"),$D32&amp;"|"&amp;$C32,"")</f>
        <v/>
      </c>
      <c r="AQ32" s="62">
        <f>""</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t="n"/>
      <c r="F33" s="59" t="n"/>
      <c r="G33" s="59" t="n"/>
      <c r="H33" s="60" t="n"/>
      <c r="I33" s="60">
        <f>IF(N($W33)=0,"",IF(AND($S33=MesCiclo,1&gt;SemanaActual),"",MIN(1,SUMIFS(OFFSET($A$1,ROW(),29,1000-ROW(),1),OFFSET($A$1,ROW(),20,1000-ROW(),1),ROW(),OFFSET($A$1,ROW(),21,1000-ROW(),1),"Sub"))))</f>
        <v/>
      </c>
      <c r="J33" s="60">
        <f>IF(N($W33)=0,"",IF(AND($S33=MesCiclo,2&gt;SemanaActual),"",MIN(1,SUMIFS(OFFSET($A$1,ROW(),30,1000-ROW(),1),OFFSET($A$1,ROW(),20,1000-ROW(),1),ROW(),OFFSET($A$1,ROW(),21,1000-ROW(),1),"Sub"))))</f>
        <v/>
      </c>
      <c r="K33" s="60">
        <f>IF(N($W33)=0,"",IF(AND($S33=MesCiclo,3&gt;SemanaActual),"",MIN(1,SUMIFS(OFFSET($A$1,ROW(),31,1000-ROW(),1),OFFSET($A$1,ROW(),20,1000-ROW(),1),ROW(),OFFSET($A$1,ROW(),21,1000-ROW(),1),"Sub"))))</f>
        <v/>
      </c>
      <c r="L33" s="60">
        <f>IF(N($W33)=0,"",IF(AND($S33=MesCiclo,4&gt;SemanaActual),"",MIN(1,SUMIFS(OFFSET($A$1,ROW(),32,1000-ROW(),1),OFFSET($A$1,ROW(),20,1000-ROW(),1),ROW(),OFFSET($A$1,ROW(),21,1000-ROW(),1),"Sub"))))</f>
        <v/>
      </c>
      <c r="M33" s="61">
        <f>IF(NOT((COUNTA($B33:$D33)+COUNTA($G33:$H33)+COUNTA($Q33))&gt;0),"",IF(AND($D33&lt;&gt;"",$V33="Macro"),IF(N($AM33)&gt;0,N(CHOOSE(MATCH($D33,ListaPuestos,0),INDEX('Cronograma R. Operacional'!$M$5:$M$1000,$AM33),INDEX('Cronograma R. Normativo'!$M$5:$M$1000,$AM33),INDEX('Cronograma R. Financiero'!$M$5:$M$1000,$AM33),INDEX('Cronograma Asistente Técnico'!$M$5:$M$1000,$AM33))),0),IF(ISNUMBER($G33),1,IF(N($W33)&gt;0,MIN(1,SUMIFS($Y$5:$Y$1000,$U$5:$U$1000,ROW(),$V$5:$V$1000,"Sub")),$Y33))))</f>
        <v/>
      </c>
      <c r="N33" s="56">
        <f>IF(OR($M33="",$V33="Sub"),"",IF($M33&gt;=1,"Completado",IF($M33&gt;0,"En curso","Pendiente")))</f>
        <v/>
      </c>
      <c r="O33" s="56">
        <f>IF(NOT((COUNTA($B33:$D33)+COUNTA($G33:$H33)+COUNTA($Q33))&gt;0),"",IF(AND(AND($D33&lt;&gt;"",$V33="Macro"),N($AM33)&gt;0),CHOOSE(MATCH($D33,ListaPuestos,0),INDEX('Cronograma R. Operacional'!$O$5:$O$1000,$AM33),INDEX('Cronograma R. Normativo'!$O$5:$O$1000,$AM33),INDEX('Cronograma R. Financiero'!$O$5:$O$1000,$AM33),INDEX('Cronograma Asistente Técnico'!$O$5:$O$1000,$AM33))&amp;"",IF(ISNUMBER($G33),IF(AND(ISNUMBER($AS33),$G33&gt;$AS33),"Cumplida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f>IF(NOT((COUNTA($B33:$D33)+COUNTA($G33:$H33)+COUNTA($Q33))&gt;0),"",IF($D33="","Propia",IF($V33&lt;&gt;"Macro","Solo se delegan macroactividades",IF(N($AM33)&gt;0,"✔ Recibida por "&amp;$D33,"⚠ "&amp;$D33&amp;" aún no la agrega"))))</f>
        <v/>
      </c>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IF($V33&lt;&gt;"Sub","",N($X33)*IF(AND(ISNUMBER($G33),$G33&lt;=IF($S33=MesCiclo,InicioCiclo,$S33+MOD(2-WEEKDAY($S33),7))+6),1,MIN(1,MAX(0,IF(ISNUMBER(OFFSET($A$1,ROW()-1,8)),OFFSET($A$1,ROW()-1,8),0)))))</f>
        <v/>
      </c>
      <c r="AE33" s="62">
        <f>IF($V33&lt;&gt;"Sub","",N($X33)*IF(AND(ISNUMBER($G33),$G33&lt;=IF($S33=MesCiclo,InicioCiclo,$S33+MOD(2-WEEKDAY($S33),7))+13),1,MIN(1,MAX(0,IF(ISNUMBER(OFFSET($A$1,ROW()-1,9)),OFFSET($A$1,ROW()-1,9),IF(ISNUMBER(OFFSET($A$1,ROW()-1,8)),OFFSET($A$1,ROW()-1,8),0))))))</f>
        <v/>
      </c>
      <c r="AF33" s="62">
        <f>IF($V33&lt;&gt;"Sub","",N($X33)*IF(AND(ISNUMBER($G33),$G33&lt;=IF($S33=MesCiclo,InicioCiclo,$S33+MOD(2-WEEKDAY($S33),7))+20),1,MIN(1,MAX(0,IF(ISNUMBER(OFFSET($A$1,ROW()-1,10)),OFFSET($A$1,ROW()-1,10),IF(ISNUMBER(OFFSET($A$1,ROW()-1,9)),OFFSET($A$1,ROW()-1,9),IF(ISNUMBER(OFFSET($A$1,ROW()-1,8)),OFFSET($A$1,ROW()-1,8),0)))))))</f>
        <v/>
      </c>
      <c r="AG33" s="62">
        <f>IF($V33&lt;&gt;"Sub","",N($X33)*IF(AND(ISNUMBER($G33),$G33&lt;=IF($S33=MesCiclo,InicioCiclo,$S33+MOD(2-WEEKDAY($S33),7))+27),1,MIN(1,MAX(0,IF(ISNUMBER(OFFSET($A$1,ROW()-1,11)),OFFSET($A$1,ROW()-1,11),IF(ISNUMBER(OFFSET($A$1,ROW()-1,10)),OFFSET($A$1,ROW()-1,10),IF(ISNUMBER(OFFSET($A$1,ROW()-1,9)),OFFSET($A$1,ROW()-1,9),IF(ISNUMBER(OFFSET($A$1,ROW()-1,8)),OFFSET($A$1,ROW()-1,8),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f>IF(NOT(AND($D33&lt;&gt;"",$V33="Macro")),"",IFERROR(CHOOSE(MATCH($D33,ListaPuestos,0),MATCH("[Jefatura] "&amp;$C33,'Cronograma R. Operacional'!$C$5:$C$1000,0),MATCH("[Jefatura] "&amp;$C33,'Cronograma R. Normativo'!$C$5:$C$1000,0),MATCH("[Jefatura] "&amp;$C33,'Cronograma R. Financiero'!$C$5:$C$1000,0),MATCH("[Jefatura] "&amp;$C33,'Cronograma Asistente Técnico'!$C$5:$C$1000,0)),0))</f>
        <v/>
      </c>
      <c r="AN33" s="62">
        <f>IF(AND(AND($D33&lt;&gt;"",$V33="Macro"),$S33=MesCiclo),COUNTIFS($D$5:$D33,$D33,$S$5:$S33,MesCiclo,$V$5:$V33,"Macro"),"")</f>
        <v/>
      </c>
      <c r="AO33" s="62">
        <f>IF($AN33="","",$D33&amp;"|"&amp;$AN33)</f>
        <v/>
      </c>
      <c r="AP33" s="62">
        <f>IF(AND($D33&lt;&gt;"",$V33="Macro"),$D33&amp;"|"&amp;$C33,"")</f>
        <v/>
      </c>
      <c r="AQ33" s="62">
        <f>""</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t="n"/>
      <c r="F34" s="59" t="n"/>
      <c r="G34" s="59" t="n"/>
      <c r="H34" s="60" t="n"/>
      <c r="I34" s="60">
        <f>IF(N($W34)=0,"",IF(AND($S34=MesCiclo,1&gt;SemanaActual),"",MIN(1,SUMIFS(OFFSET($A$1,ROW(),29,1000-ROW(),1),OFFSET($A$1,ROW(),20,1000-ROW(),1),ROW(),OFFSET($A$1,ROW(),21,1000-ROW(),1),"Sub"))))</f>
        <v/>
      </c>
      <c r="J34" s="60">
        <f>IF(N($W34)=0,"",IF(AND($S34=MesCiclo,2&gt;SemanaActual),"",MIN(1,SUMIFS(OFFSET($A$1,ROW(),30,1000-ROW(),1),OFFSET($A$1,ROW(),20,1000-ROW(),1),ROW(),OFFSET($A$1,ROW(),21,1000-ROW(),1),"Sub"))))</f>
        <v/>
      </c>
      <c r="K34" s="60">
        <f>IF(N($W34)=0,"",IF(AND($S34=MesCiclo,3&gt;SemanaActual),"",MIN(1,SUMIFS(OFFSET($A$1,ROW(),31,1000-ROW(),1),OFFSET($A$1,ROW(),20,1000-ROW(),1),ROW(),OFFSET($A$1,ROW(),21,1000-ROW(),1),"Sub"))))</f>
        <v/>
      </c>
      <c r="L34" s="60">
        <f>IF(N($W34)=0,"",IF(AND($S34=MesCiclo,4&gt;SemanaActual),"",MIN(1,SUMIFS(OFFSET($A$1,ROW(),32,1000-ROW(),1),OFFSET($A$1,ROW(),20,1000-ROW(),1),ROW(),OFFSET($A$1,ROW(),21,1000-ROW(),1),"Sub"))))</f>
        <v/>
      </c>
      <c r="M34" s="61">
        <f>IF(NOT((COUNTA($B34:$D34)+COUNTA($G34:$H34)+COUNTA($Q34))&gt;0),"",IF(AND($D34&lt;&gt;"",$V34="Macro"),IF(N($AM34)&gt;0,N(CHOOSE(MATCH($D34,ListaPuestos,0),INDEX('Cronograma R. Operacional'!$M$5:$M$1000,$AM34),INDEX('Cronograma R. Normativo'!$M$5:$M$1000,$AM34),INDEX('Cronograma R. Financiero'!$M$5:$M$1000,$AM34),INDEX('Cronograma Asistente Técnico'!$M$5:$M$1000,$AM34))),0),IF(ISNUMBER($G34),1,IF(N($W34)&gt;0,MIN(1,SUMIFS($Y$5:$Y$1000,$U$5:$U$1000,ROW(),$V$5:$V$1000,"Sub")),$Y34))))</f>
        <v/>
      </c>
      <c r="N34" s="56">
        <f>IF(OR($M34="",$V34="Sub"),"",IF($M34&gt;=1,"Completado",IF($M34&gt;0,"En curso","Pendiente")))</f>
        <v/>
      </c>
      <c r="O34" s="56">
        <f>IF(NOT((COUNTA($B34:$D34)+COUNTA($G34:$H34)+COUNTA($Q34))&gt;0),"",IF(AND(AND($D34&lt;&gt;"",$V34="Macro"),N($AM34)&gt;0),CHOOSE(MATCH($D34,ListaPuestos,0),INDEX('Cronograma R. Operacional'!$O$5:$O$1000,$AM34),INDEX('Cronograma R. Normativo'!$O$5:$O$1000,$AM34),INDEX('Cronograma R. Financiero'!$O$5:$O$1000,$AM34),INDEX('Cronograma Asistente Técnico'!$O$5:$O$1000,$AM34))&amp;"",IF(ISNUMBER($G34),IF(AND(ISNUMBER($AS34),$G34&gt;$AS34),"Cumplida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f>IF(NOT((COUNTA($B34:$D34)+COUNTA($G34:$H34)+COUNTA($Q34))&gt;0),"",IF($D34="","Propia",IF($V34&lt;&gt;"Macro","Solo se delegan macroactividades",IF(N($AM34)&gt;0,"✔ Recibida por "&amp;$D34,"⚠ "&amp;$D34&amp;" aún no la agrega"))))</f>
        <v/>
      </c>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IF($V34&lt;&gt;"Sub","",N($X34)*IF(AND(ISNUMBER($G34),$G34&lt;=IF($S34=MesCiclo,InicioCiclo,$S34+MOD(2-WEEKDAY($S34),7))+6),1,MIN(1,MAX(0,IF(ISNUMBER(OFFSET($A$1,ROW()-1,8)),OFFSET($A$1,ROW()-1,8),0)))))</f>
        <v/>
      </c>
      <c r="AE34" s="62">
        <f>IF($V34&lt;&gt;"Sub","",N($X34)*IF(AND(ISNUMBER($G34),$G34&lt;=IF($S34=MesCiclo,InicioCiclo,$S34+MOD(2-WEEKDAY($S34),7))+13),1,MIN(1,MAX(0,IF(ISNUMBER(OFFSET($A$1,ROW()-1,9)),OFFSET($A$1,ROW()-1,9),IF(ISNUMBER(OFFSET($A$1,ROW()-1,8)),OFFSET($A$1,ROW()-1,8),0))))))</f>
        <v/>
      </c>
      <c r="AF34" s="62">
        <f>IF($V34&lt;&gt;"Sub","",N($X34)*IF(AND(ISNUMBER($G34),$G34&lt;=IF($S34=MesCiclo,InicioCiclo,$S34+MOD(2-WEEKDAY($S34),7))+20),1,MIN(1,MAX(0,IF(ISNUMBER(OFFSET($A$1,ROW()-1,10)),OFFSET($A$1,ROW()-1,10),IF(ISNUMBER(OFFSET($A$1,ROW()-1,9)),OFFSET($A$1,ROW()-1,9),IF(ISNUMBER(OFFSET($A$1,ROW()-1,8)),OFFSET($A$1,ROW()-1,8),0)))))))</f>
        <v/>
      </c>
      <c r="AG34" s="62">
        <f>IF($V34&lt;&gt;"Sub","",N($X34)*IF(AND(ISNUMBER($G34),$G34&lt;=IF($S34=MesCiclo,InicioCiclo,$S34+MOD(2-WEEKDAY($S34),7))+27),1,MIN(1,MAX(0,IF(ISNUMBER(OFFSET($A$1,ROW()-1,11)),OFFSET($A$1,ROW()-1,11),IF(ISNUMBER(OFFSET($A$1,ROW()-1,10)),OFFSET($A$1,ROW()-1,10),IF(ISNUMBER(OFFSET($A$1,ROW()-1,9)),OFFSET($A$1,ROW()-1,9),IF(ISNUMBER(OFFSET($A$1,ROW()-1,8)),OFFSET($A$1,ROW()-1,8),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f>IF(NOT(AND($D34&lt;&gt;"",$V34="Macro")),"",IFERROR(CHOOSE(MATCH($D34,ListaPuestos,0),MATCH("[Jefatura] "&amp;$C34,'Cronograma R. Operacional'!$C$5:$C$1000,0),MATCH("[Jefatura] "&amp;$C34,'Cronograma R. Normativo'!$C$5:$C$1000,0),MATCH("[Jefatura] "&amp;$C34,'Cronograma R. Financiero'!$C$5:$C$1000,0),MATCH("[Jefatura] "&amp;$C34,'Cronograma Asistente Técnico'!$C$5:$C$1000,0)),0))</f>
        <v/>
      </c>
      <c r="AN34" s="62">
        <f>IF(AND(AND($D34&lt;&gt;"",$V34="Macro"),$S34=MesCiclo),COUNTIFS($D$5:$D34,$D34,$S$5:$S34,MesCiclo,$V$5:$V34,"Macro"),"")</f>
        <v/>
      </c>
      <c r="AO34" s="62">
        <f>IF($AN34="","",$D34&amp;"|"&amp;$AN34)</f>
        <v/>
      </c>
      <c r="AP34" s="62">
        <f>IF(AND($D34&lt;&gt;"",$V34="Macro"),$D34&amp;"|"&amp;$C34,"")</f>
        <v/>
      </c>
      <c r="AQ34" s="62">
        <f>""</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t="n"/>
      <c r="F35" s="59" t="n"/>
      <c r="G35" s="59" t="n"/>
      <c r="H35" s="60" t="n"/>
      <c r="I35" s="60">
        <f>IF(N($W35)=0,"",IF(AND($S35=MesCiclo,1&gt;SemanaActual),"",MIN(1,SUMIFS(OFFSET($A$1,ROW(),29,1000-ROW(),1),OFFSET($A$1,ROW(),20,1000-ROW(),1),ROW(),OFFSET($A$1,ROW(),21,1000-ROW(),1),"Sub"))))</f>
        <v/>
      </c>
      <c r="J35" s="60">
        <f>IF(N($W35)=0,"",IF(AND($S35=MesCiclo,2&gt;SemanaActual),"",MIN(1,SUMIFS(OFFSET($A$1,ROW(),30,1000-ROW(),1),OFFSET($A$1,ROW(),20,1000-ROW(),1),ROW(),OFFSET($A$1,ROW(),21,1000-ROW(),1),"Sub"))))</f>
        <v/>
      </c>
      <c r="K35" s="60">
        <f>IF(N($W35)=0,"",IF(AND($S35=MesCiclo,3&gt;SemanaActual),"",MIN(1,SUMIFS(OFFSET($A$1,ROW(),31,1000-ROW(),1),OFFSET($A$1,ROW(),20,1000-ROW(),1),ROW(),OFFSET($A$1,ROW(),21,1000-ROW(),1),"Sub"))))</f>
        <v/>
      </c>
      <c r="L35" s="60">
        <f>IF(N($W35)=0,"",IF(AND($S35=MesCiclo,4&gt;SemanaActual),"",MIN(1,SUMIFS(OFFSET($A$1,ROW(),32,1000-ROW(),1),OFFSET($A$1,ROW(),20,1000-ROW(),1),ROW(),OFFSET($A$1,ROW(),21,1000-ROW(),1),"Sub"))))</f>
        <v/>
      </c>
      <c r="M35" s="61">
        <f>IF(NOT((COUNTA($B35:$D35)+COUNTA($G35:$H35)+COUNTA($Q35))&gt;0),"",IF(AND($D35&lt;&gt;"",$V35="Macro"),IF(N($AM35)&gt;0,N(CHOOSE(MATCH($D35,ListaPuestos,0),INDEX('Cronograma R. Operacional'!$M$5:$M$1000,$AM35),INDEX('Cronograma R. Normativo'!$M$5:$M$1000,$AM35),INDEX('Cronograma R. Financiero'!$M$5:$M$1000,$AM35),INDEX('Cronograma Asistente Técnico'!$M$5:$M$1000,$AM35))),0),IF(ISNUMBER($G35),1,IF(N($W35)&gt;0,MIN(1,SUMIFS($Y$5:$Y$1000,$U$5:$U$1000,ROW(),$V$5:$V$1000,"Sub")),$Y35))))</f>
        <v/>
      </c>
      <c r="N35" s="56">
        <f>IF(OR($M35="",$V35="Sub"),"",IF($M35&gt;=1,"Completado",IF($M35&gt;0,"En curso","Pendiente")))</f>
        <v/>
      </c>
      <c r="O35" s="56">
        <f>IF(NOT((COUNTA($B35:$D35)+COUNTA($G35:$H35)+COUNTA($Q35))&gt;0),"",IF(AND(AND($D35&lt;&gt;"",$V35="Macro"),N($AM35)&gt;0),CHOOSE(MATCH($D35,ListaPuestos,0),INDEX('Cronograma R. Operacional'!$O$5:$O$1000,$AM35),INDEX('Cronograma R. Normativo'!$O$5:$O$1000,$AM35),INDEX('Cronograma R. Financiero'!$O$5:$O$1000,$AM35),INDEX('Cronograma Asistente Técnico'!$O$5:$O$1000,$AM35))&amp;"",IF(ISNUMBER($G35),IF(AND(ISNUMBER($AS35),$G35&gt;$AS35),"Cumplida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f>IF(NOT((COUNTA($B35:$D35)+COUNTA($G35:$H35)+COUNTA($Q35))&gt;0),"",IF($D35="","Propia",IF($V35&lt;&gt;"Macro","Solo se delegan macroactividades",IF(N($AM35)&gt;0,"✔ Recibida por "&amp;$D35,"⚠ "&amp;$D35&amp;" aún no la agrega"))))</f>
        <v/>
      </c>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IF($V35&lt;&gt;"Sub","",N($X35)*IF(AND(ISNUMBER($G35),$G35&lt;=IF($S35=MesCiclo,InicioCiclo,$S35+MOD(2-WEEKDAY($S35),7))+6),1,MIN(1,MAX(0,IF(ISNUMBER(OFFSET($A$1,ROW()-1,8)),OFFSET($A$1,ROW()-1,8),0)))))</f>
        <v/>
      </c>
      <c r="AE35" s="62">
        <f>IF($V35&lt;&gt;"Sub","",N($X35)*IF(AND(ISNUMBER($G35),$G35&lt;=IF($S35=MesCiclo,InicioCiclo,$S35+MOD(2-WEEKDAY($S35),7))+13),1,MIN(1,MAX(0,IF(ISNUMBER(OFFSET($A$1,ROW()-1,9)),OFFSET($A$1,ROW()-1,9),IF(ISNUMBER(OFFSET($A$1,ROW()-1,8)),OFFSET($A$1,ROW()-1,8),0))))))</f>
        <v/>
      </c>
      <c r="AF35" s="62">
        <f>IF($V35&lt;&gt;"Sub","",N($X35)*IF(AND(ISNUMBER($G35),$G35&lt;=IF($S35=MesCiclo,InicioCiclo,$S35+MOD(2-WEEKDAY($S35),7))+20),1,MIN(1,MAX(0,IF(ISNUMBER(OFFSET($A$1,ROW()-1,10)),OFFSET($A$1,ROW()-1,10),IF(ISNUMBER(OFFSET($A$1,ROW()-1,9)),OFFSET($A$1,ROW()-1,9),IF(ISNUMBER(OFFSET($A$1,ROW()-1,8)),OFFSET($A$1,ROW()-1,8),0)))))))</f>
        <v/>
      </c>
      <c r="AG35" s="62">
        <f>IF($V35&lt;&gt;"Sub","",N($X35)*IF(AND(ISNUMBER($G35),$G35&lt;=IF($S35=MesCiclo,InicioCiclo,$S35+MOD(2-WEEKDAY($S35),7))+27),1,MIN(1,MAX(0,IF(ISNUMBER(OFFSET($A$1,ROW()-1,11)),OFFSET($A$1,ROW()-1,11),IF(ISNUMBER(OFFSET($A$1,ROW()-1,10)),OFFSET($A$1,ROW()-1,10),IF(ISNUMBER(OFFSET($A$1,ROW()-1,9)),OFFSET($A$1,ROW()-1,9),IF(ISNUMBER(OFFSET($A$1,ROW()-1,8)),OFFSET($A$1,ROW()-1,8),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f>IF(NOT(AND($D35&lt;&gt;"",$V35="Macro")),"",IFERROR(CHOOSE(MATCH($D35,ListaPuestos,0),MATCH("[Jefatura] "&amp;$C35,'Cronograma R. Operacional'!$C$5:$C$1000,0),MATCH("[Jefatura] "&amp;$C35,'Cronograma R. Normativo'!$C$5:$C$1000,0),MATCH("[Jefatura] "&amp;$C35,'Cronograma R. Financiero'!$C$5:$C$1000,0),MATCH("[Jefatura] "&amp;$C35,'Cronograma Asistente Técnico'!$C$5:$C$1000,0)),0))</f>
        <v/>
      </c>
      <c r="AN35" s="62">
        <f>IF(AND(AND($D35&lt;&gt;"",$V35="Macro"),$S35=MesCiclo),COUNTIFS($D$5:$D35,$D35,$S$5:$S35,MesCiclo,$V$5:$V35,"Macro"),"")</f>
        <v/>
      </c>
      <c r="AO35" s="62">
        <f>IF($AN35="","",$D35&amp;"|"&amp;$AN35)</f>
        <v/>
      </c>
      <c r="AP35" s="62">
        <f>IF(AND($D35&lt;&gt;"",$V35="Macro"),$D35&amp;"|"&amp;$C35,"")</f>
        <v/>
      </c>
      <c r="AQ35" s="62">
        <f>""</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t="n"/>
      <c r="F36" s="59" t="n"/>
      <c r="G36" s="59" t="n"/>
      <c r="H36" s="60" t="n"/>
      <c r="I36" s="60">
        <f>IF(N($W36)=0,"",IF(AND($S36=MesCiclo,1&gt;SemanaActual),"",MIN(1,SUMIFS(OFFSET($A$1,ROW(),29,1000-ROW(),1),OFFSET($A$1,ROW(),20,1000-ROW(),1),ROW(),OFFSET($A$1,ROW(),21,1000-ROW(),1),"Sub"))))</f>
        <v/>
      </c>
      <c r="J36" s="60">
        <f>IF(N($W36)=0,"",IF(AND($S36=MesCiclo,2&gt;SemanaActual),"",MIN(1,SUMIFS(OFFSET($A$1,ROW(),30,1000-ROW(),1),OFFSET($A$1,ROW(),20,1000-ROW(),1),ROW(),OFFSET($A$1,ROW(),21,1000-ROW(),1),"Sub"))))</f>
        <v/>
      </c>
      <c r="K36" s="60">
        <f>IF(N($W36)=0,"",IF(AND($S36=MesCiclo,3&gt;SemanaActual),"",MIN(1,SUMIFS(OFFSET($A$1,ROW(),31,1000-ROW(),1),OFFSET($A$1,ROW(),20,1000-ROW(),1),ROW(),OFFSET($A$1,ROW(),21,1000-ROW(),1),"Sub"))))</f>
        <v/>
      </c>
      <c r="L36" s="60">
        <f>IF(N($W36)=0,"",IF(AND($S36=MesCiclo,4&gt;SemanaActual),"",MIN(1,SUMIFS(OFFSET($A$1,ROW(),32,1000-ROW(),1),OFFSET($A$1,ROW(),20,1000-ROW(),1),ROW(),OFFSET($A$1,ROW(),21,1000-ROW(),1),"Sub"))))</f>
        <v/>
      </c>
      <c r="M36" s="61">
        <f>IF(NOT((COUNTA($B36:$D36)+COUNTA($G36:$H36)+COUNTA($Q36))&gt;0),"",IF(AND($D36&lt;&gt;"",$V36="Macro"),IF(N($AM36)&gt;0,N(CHOOSE(MATCH($D36,ListaPuestos,0),INDEX('Cronograma R. Operacional'!$M$5:$M$1000,$AM36),INDEX('Cronograma R. Normativo'!$M$5:$M$1000,$AM36),INDEX('Cronograma R. Financiero'!$M$5:$M$1000,$AM36),INDEX('Cronograma Asistente Técnico'!$M$5:$M$1000,$AM36))),0),IF(ISNUMBER($G36),1,IF(N($W36)&gt;0,MIN(1,SUMIFS($Y$5:$Y$1000,$U$5:$U$1000,ROW(),$V$5:$V$1000,"Sub")),$Y36))))</f>
        <v/>
      </c>
      <c r="N36" s="56">
        <f>IF(OR($M36="",$V36="Sub"),"",IF($M36&gt;=1,"Completado",IF($M36&gt;0,"En curso","Pendiente")))</f>
        <v/>
      </c>
      <c r="O36" s="56">
        <f>IF(NOT((COUNTA($B36:$D36)+COUNTA($G36:$H36)+COUNTA($Q36))&gt;0),"",IF(AND(AND($D36&lt;&gt;"",$V36="Macro"),N($AM36)&gt;0),CHOOSE(MATCH($D36,ListaPuestos,0),INDEX('Cronograma R. Operacional'!$O$5:$O$1000,$AM36),INDEX('Cronograma R. Normativo'!$O$5:$O$1000,$AM36),INDEX('Cronograma R. Financiero'!$O$5:$O$1000,$AM36),INDEX('Cronograma Asistente Técnico'!$O$5:$O$1000,$AM36))&amp;"",IF(ISNUMBER($G36),IF(AND(ISNUMBER($AS36),$G36&gt;$AS36),"Cumplida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f>IF(NOT((COUNTA($B36:$D36)+COUNTA($G36:$H36)+COUNTA($Q36))&gt;0),"",IF($D36="","Propia",IF($V36&lt;&gt;"Macro","Solo se delegan macroactividades",IF(N($AM36)&gt;0,"✔ Recibida por "&amp;$D36,"⚠ "&amp;$D36&amp;" aún no la agrega"))))</f>
        <v/>
      </c>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IF($V36&lt;&gt;"Sub","",N($X36)*IF(AND(ISNUMBER($G36),$G36&lt;=IF($S36=MesCiclo,InicioCiclo,$S36+MOD(2-WEEKDAY($S36),7))+6),1,MIN(1,MAX(0,IF(ISNUMBER(OFFSET($A$1,ROW()-1,8)),OFFSET($A$1,ROW()-1,8),0)))))</f>
        <v/>
      </c>
      <c r="AE36" s="62">
        <f>IF($V36&lt;&gt;"Sub","",N($X36)*IF(AND(ISNUMBER($G36),$G36&lt;=IF($S36=MesCiclo,InicioCiclo,$S36+MOD(2-WEEKDAY($S36),7))+13),1,MIN(1,MAX(0,IF(ISNUMBER(OFFSET($A$1,ROW()-1,9)),OFFSET($A$1,ROW()-1,9),IF(ISNUMBER(OFFSET($A$1,ROW()-1,8)),OFFSET($A$1,ROW()-1,8),0))))))</f>
        <v/>
      </c>
      <c r="AF36" s="62">
        <f>IF($V36&lt;&gt;"Sub","",N($X36)*IF(AND(ISNUMBER($G36),$G36&lt;=IF($S36=MesCiclo,InicioCiclo,$S36+MOD(2-WEEKDAY($S36),7))+20),1,MIN(1,MAX(0,IF(ISNUMBER(OFFSET($A$1,ROW()-1,10)),OFFSET($A$1,ROW()-1,10),IF(ISNUMBER(OFFSET($A$1,ROW()-1,9)),OFFSET($A$1,ROW()-1,9),IF(ISNUMBER(OFFSET($A$1,ROW()-1,8)),OFFSET($A$1,ROW()-1,8),0)))))))</f>
        <v/>
      </c>
      <c r="AG36" s="62">
        <f>IF($V36&lt;&gt;"Sub","",N($X36)*IF(AND(ISNUMBER($G36),$G36&lt;=IF($S36=MesCiclo,InicioCiclo,$S36+MOD(2-WEEKDAY($S36),7))+27),1,MIN(1,MAX(0,IF(ISNUMBER(OFFSET($A$1,ROW()-1,11)),OFFSET($A$1,ROW()-1,11),IF(ISNUMBER(OFFSET($A$1,ROW()-1,10)),OFFSET($A$1,ROW()-1,10),IF(ISNUMBER(OFFSET($A$1,ROW()-1,9)),OFFSET($A$1,ROW()-1,9),IF(ISNUMBER(OFFSET($A$1,ROW()-1,8)),OFFSET($A$1,ROW()-1,8),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f>IF(NOT(AND($D36&lt;&gt;"",$V36="Macro")),"",IFERROR(CHOOSE(MATCH($D36,ListaPuestos,0),MATCH("[Jefatura] "&amp;$C36,'Cronograma R. Operacional'!$C$5:$C$1000,0),MATCH("[Jefatura] "&amp;$C36,'Cronograma R. Normativo'!$C$5:$C$1000,0),MATCH("[Jefatura] "&amp;$C36,'Cronograma R. Financiero'!$C$5:$C$1000,0),MATCH("[Jefatura] "&amp;$C36,'Cronograma Asistente Técnico'!$C$5:$C$1000,0)),0))</f>
        <v/>
      </c>
      <c r="AN36" s="62">
        <f>IF(AND(AND($D36&lt;&gt;"",$V36="Macro"),$S36=MesCiclo),COUNTIFS($D$5:$D36,$D36,$S$5:$S36,MesCiclo,$V$5:$V36,"Macro"),"")</f>
        <v/>
      </c>
      <c r="AO36" s="62">
        <f>IF($AN36="","",$D36&amp;"|"&amp;$AN36)</f>
        <v/>
      </c>
      <c r="AP36" s="62">
        <f>IF(AND($D36&lt;&gt;"",$V36="Macro"),$D36&amp;"|"&amp;$C36,"")</f>
        <v/>
      </c>
      <c r="AQ36" s="62">
        <f>""</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t="n"/>
      <c r="F37" s="59" t="n"/>
      <c r="G37" s="59" t="n"/>
      <c r="H37" s="60" t="n"/>
      <c r="I37" s="60">
        <f>IF(N($W37)=0,"",IF(AND($S37=MesCiclo,1&gt;SemanaActual),"",MIN(1,SUMIFS(OFFSET($A$1,ROW(),29,1000-ROW(),1),OFFSET($A$1,ROW(),20,1000-ROW(),1),ROW(),OFFSET($A$1,ROW(),21,1000-ROW(),1),"Sub"))))</f>
        <v/>
      </c>
      <c r="J37" s="60">
        <f>IF(N($W37)=0,"",IF(AND($S37=MesCiclo,2&gt;SemanaActual),"",MIN(1,SUMIFS(OFFSET($A$1,ROW(),30,1000-ROW(),1),OFFSET($A$1,ROW(),20,1000-ROW(),1),ROW(),OFFSET($A$1,ROW(),21,1000-ROW(),1),"Sub"))))</f>
        <v/>
      </c>
      <c r="K37" s="60">
        <f>IF(N($W37)=0,"",IF(AND($S37=MesCiclo,3&gt;SemanaActual),"",MIN(1,SUMIFS(OFFSET($A$1,ROW(),31,1000-ROW(),1),OFFSET($A$1,ROW(),20,1000-ROW(),1),ROW(),OFFSET($A$1,ROW(),21,1000-ROW(),1),"Sub"))))</f>
        <v/>
      </c>
      <c r="L37" s="60">
        <f>IF(N($W37)=0,"",IF(AND($S37=MesCiclo,4&gt;SemanaActual),"",MIN(1,SUMIFS(OFFSET($A$1,ROW(),32,1000-ROW(),1),OFFSET($A$1,ROW(),20,1000-ROW(),1),ROW(),OFFSET($A$1,ROW(),21,1000-ROW(),1),"Sub"))))</f>
        <v/>
      </c>
      <c r="M37" s="61">
        <f>IF(NOT((COUNTA($B37:$D37)+COUNTA($G37:$H37)+COUNTA($Q37))&gt;0),"",IF(AND($D37&lt;&gt;"",$V37="Macro"),IF(N($AM37)&gt;0,N(CHOOSE(MATCH($D37,ListaPuestos,0),INDEX('Cronograma R. Operacional'!$M$5:$M$1000,$AM37),INDEX('Cronograma R. Normativo'!$M$5:$M$1000,$AM37),INDEX('Cronograma R. Financiero'!$M$5:$M$1000,$AM37),INDEX('Cronograma Asistente Técnico'!$M$5:$M$1000,$AM37))),0),IF(ISNUMBER($G37),1,IF(N($W37)&gt;0,MIN(1,SUMIFS($Y$5:$Y$1000,$U$5:$U$1000,ROW(),$V$5:$V$1000,"Sub")),$Y37))))</f>
        <v/>
      </c>
      <c r="N37" s="56">
        <f>IF(OR($M37="",$V37="Sub"),"",IF($M37&gt;=1,"Completado",IF($M37&gt;0,"En curso","Pendiente")))</f>
        <v/>
      </c>
      <c r="O37" s="56">
        <f>IF(NOT((COUNTA($B37:$D37)+COUNTA($G37:$H37)+COUNTA($Q37))&gt;0),"",IF(AND(AND($D37&lt;&gt;"",$V37="Macro"),N($AM37)&gt;0),CHOOSE(MATCH($D37,ListaPuestos,0),INDEX('Cronograma R. Operacional'!$O$5:$O$1000,$AM37),INDEX('Cronograma R. Normativo'!$O$5:$O$1000,$AM37),INDEX('Cronograma R. Financiero'!$O$5:$O$1000,$AM37),INDEX('Cronograma Asistente Técnico'!$O$5:$O$1000,$AM37))&amp;"",IF(ISNUMBER($G37),IF(AND(ISNUMBER($AS37),$G37&gt;$AS37),"Cumplida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f>IF(NOT((COUNTA($B37:$D37)+COUNTA($G37:$H37)+COUNTA($Q37))&gt;0),"",IF($D37="","Propia",IF($V37&lt;&gt;"Macro","Solo se delegan macroactividades",IF(N($AM37)&gt;0,"✔ Recibida por "&amp;$D37,"⚠ "&amp;$D37&amp;" aún no la agrega"))))</f>
        <v/>
      </c>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IF($V37&lt;&gt;"Sub","",N($X37)*IF(AND(ISNUMBER($G37),$G37&lt;=IF($S37=MesCiclo,InicioCiclo,$S37+MOD(2-WEEKDAY($S37),7))+6),1,MIN(1,MAX(0,IF(ISNUMBER(OFFSET($A$1,ROW()-1,8)),OFFSET($A$1,ROW()-1,8),0)))))</f>
        <v/>
      </c>
      <c r="AE37" s="62">
        <f>IF($V37&lt;&gt;"Sub","",N($X37)*IF(AND(ISNUMBER($G37),$G37&lt;=IF($S37=MesCiclo,InicioCiclo,$S37+MOD(2-WEEKDAY($S37),7))+13),1,MIN(1,MAX(0,IF(ISNUMBER(OFFSET($A$1,ROW()-1,9)),OFFSET($A$1,ROW()-1,9),IF(ISNUMBER(OFFSET($A$1,ROW()-1,8)),OFFSET($A$1,ROW()-1,8),0))))))</f>
        <v/>
      </c>
      <c r="AF37" s="62">
        <f>IF($V37&lt;&gt;"Sub","",N($X37)*IF(AND(ISNUMBER($G37),$G37&lt;=IF($S37=MesCiclo,InicioCiclo,$S37+MOD(2-WEEKDAY($S37),7))+20),1,MIN(1,MAX(0,IF(ISNUMBER(OFFSET($A$1,ROW()-1,10)),OFFSET($A$1,ROW()-1,10),IF(ISNUMBER(OFFSET($A$1,ROW()-1,9)),OFFSET($A$1,ROW()-1,9),IF(ISNUMBER(OFFSET($A$1,ROW()-1,8)),OFFSET($A$1,ROW()-1,8),0)))))))</f>
        <v/>
      </c>
      <c r="AG37" s="62">
        <f>IF($V37&lt;&gt;"Sub","",N($X37)*IF(AND(ISNUMBER($G37),$G37&lt;=IF($S37=MesCiclo,InicioCiclo,$S37+MOD(2-WEEKDAY($S37),7))+27),1,MIN(1,MAX(0,IF(ISNUMBER(OFFSET($A$1,ROW()-1,11)),OFFSET($A$1,ROW()-1,11),IF(ISNUMBER(OFFSET($A$1,ROW()-1,10)),OFFSET($A$1,ROW()-1,10),IF(ISNUMBER(OFFSET($A$1,ROW()-1,9)),OFFSET($A$1,ROW()-1,9),IF(ISNUMBER(OFFSET($A$1,ROW()-1,8)),OFFSET($A$1,ROW()-1,8),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f>IF(NOT(AND($D37&lt;&gt;"",$V37="Macro")),"",IFERROR(CHOOSE(MATCH($D37,ListaPuestos,0),MATCH("[Jefatura] "&amp;$C37,'Cronograma R. Operacional'!$C$5:$C$1000,0),MATCH("[Jefatura] "&amp;$C37,'Cronograma R. Normativo'!$C$5:$C$1000,0),MATCH("[Jefatura] "&amp;$C37,'Cronograma R. Financiero'!$C$5:$C$1000,0),MATCH("[Jefatura] "&amp;$C37,'Cronograma Asistente Técnico'!$C$5:$C$1000,0)),0))</f>
        <v/>
      </c>
      <c r="AN37" s="62">
        <f>IF(AND(AND($D37&lt;&gt;"",$V37="Macro"),$S37=MesCiclo),COUNTIFS($D$5:$D37,$D37,$S$5:$S37,MesCiclo,$V$5:$V37,"Macro"),"")</f>
        <v/>
      </c>
      <c r="AO37" s="62">
        <f>IF($AN37="","",$D37&amp;"|"&amp;$AN37)</f>
        <v/>
      </c>
      <c r="AP37" s="62">
        <f>IF(AND($D37&lt;&gt;"",$V37="Macro"),$D37&amp;"|"&amp;$C37,"")</f>
        <v/>
      </c>
      <c r="AQ37" s="62">
        <f>""</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t="n"/>
      <c r="F38" s="59" t="n"/>
      <c r="G38" s="59" t="n"/>
      <c r="H38" s="60" t="n"/>
      <c r="I38" s="60">
        <f>IF(N($W38)=0,"",IF(AND($S38=MesCiclo,1&gt;SemanaActual),"",MIN(1,SUMIFS(OFFSET($A$1,ROW(),29,1000-ROW(),1),OFFSET($A$1,ROW(),20,1000-ROW(),1),ROW(),OFFSET($A$1,ROW(),21,1000-ROW(),1),"Sub"))))</f>
        <v/>
      </c>
      <c r="J38" s="60">
        <f>IF(N($W38)=0,"",IF(AND($S38=MesCiclo,2&gt;SemanaActual),"",MIN(1,SUMIFS(OFFSET($A$1,ROW(),30,1000-ROW(),1),OFFSET($A$1,ROW(),20,1000-ROW(),1),ROW(),OFFSET($A$1,ROW(),21,1000-ROW(),1),"Sub"))))</f>
        <v/>
      </c>
      <c r="K38" s="60">
        <f>IF(N($W38)=0,"",IF(AND($S38=MesCiclo,3&gt;SemanaActual),"",MIN(1,SUMIFS(OFFSET($A$1,ROW(),31,1000-ROW(),1),OFFSET($A$1,ROW(),20,1000-ROW(),1),ROW(),OFFSET($A$1,ROW(),21,1000-ROW(),1),"Sub"))))</f>
        <v/>
      </c>
      <c r="L38" s="60">
        <f>IF(N($W38)=0,"",IF(AND($S38=MesCiclo,4&gt;SemanaActual),"",MIN(1,SUMIFS(OFFSET($A$1,ROW(),32,1000-ROW(),1),OFFSET($A$1,ROW(),20,1000-ROW(),1),ROW(),OFFSET($A$1,ROW(),21,1000-ROW(),1),"Sub"))))</f>
        <v/>
      </c>
      <c r="M38" s="61">
        <f>IF(NOT((COUNTA($B38:$D38)+COUNTA($G38:$H38)+COUNTA($Q38))&gt;0),"",IF(AND($D38&lt;&gt;"",$V38="Macro"),IF(N($AM38)&gt;0,N(CHOOSE(MATCH($D38,ListaPuestos,0),INDEX('Cronograma R. Operacional'!$M$5:$M$1000,$AM38),INDEX('Cronograma R. Normativo'!$M$5:$M$1000,$AM38),INDEX('Cronograma R. Financiero'!$M$5:$M$1000,$AM38),INDEX('Cronograma Asistente Técnico'!$M$5:$M$1000,$AM38))),0),IF(ISNUMBER($G38),1,IF(N($W38)&gt;0,MIN(1,SUMIFS($Y$5:$Y$1000,$U$5:$U$1000,ROW(),$V$5:$V$1000,"Sub")),$Y38))))</f>
        <v/>
      </c>
      <c r="N38" s="56">
        <f>IF(OR($M38="",$V38="Sub"),"",IF($M38&gt;=1,"Completado",IF($M38&gt;0,"En curso","Pendiente")))</f>
        <v/>
      </c>
      <c r="O38" s="56">
        <f>IF(NOT((COUNTA($B38:$D38)+COUNTA($G38:$H38)+COUNTA($Q38))&gt;0),"",IF(AND(AND($D38&lt;&gt;"",$V38="Macro"),N($AM38)&gt;0),CHOOSE(MATCH($D38,ListaPuestos,0),INDEX('Cronograma R. Operacional'!$O$5:$O$1000,$AM38),INDEX('Cronograma R. Normativo'!$O$5:$O$1000,$AM38),INDEX('Cronograma R. Financiero'!$O$5:$O$1000,$AM38),INDEX('Cronograma Asistente Técnico'!$O$5:$O$1000,$AM38))&amp;"",IF(ISNUMBER($G38),IF(AND(ISNUMBER($AS38),$G38&gt;$AS38),"Cumplida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f>IF(NOT((COUNTA($B38:$D38)+COUNTA($G38:$H38)+COUNTA($Q38))&gt;0),"",IF($D38="","Propia",IF($V38&lt;&gt;"Macro","Solo se delegan macroactividades",IF(N($AM38)&gt;0,"✔ Recibida por "&amp;$D38,"⚠ "&amp;$D38&amp;" aún no la agrega"))))</f>
        <v/>
      </c>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IF($V38&lt;&gt;"Sub","",N($X38)*IF(AND(ISNUMBER($G38),$G38&lt;=IF($S38=MesCiclo,InicioCiclo,$S38+MOD(2-WEEKDAY($S38),7))+6),1,MIN(1,MAX(0,IF(ISNUMBER(OFFSET($A$1,ROW()-1,8)),OFFSET($A$1,ROW()-1,8),0)))))</f>
        <v/>
      </c>
      <c r="AE38" s="62">
        <f>IF($V38&lt;&gt;"Sub","",N($X38)*IF(AND(ISNUMBER($G38),$G38&lt;=IF($S38=MesCiclo,InicioCiclo,$S38+MOD(2-WEEKDAY($S38),7))+13),1,MIN(1,MAX(0,IF(ISNUMBER(OFFSET($A$1,ROW()-1,9)),OFFSET($A$1,ROW()-1,9),IF(ISNUMBER(OFFSET($A$1,ROW()-1,8)),OFFSET($A$1,ROW()-1,8),0))))))</f>
        <v/>
      </c>
      <c r="AF38" s="62">
        <f>IF($V38&lt;&gt;"Sub","",N($X38)*IF(AND(ISNUMBER($G38),$G38&lt;=IF($S38=MesCiclo,InicioCiclo,$S38+MOD(2-WEEKDAY($S38),7))+20),1,MIN(1,MAX(0,IF(ISNUMBER(OFFSET($A$1,ROW()-1,10)),OFFSET($A$1,ROW()-1,10),IF(ISNUMBER(OFFSET($A$1,ROW()-1,9)),OFFSET($A$1,ROW()-1,9),IF(ISNUMBER(OFFSET($A$1,ROW()-1,8)),OFFSET($A$1,ROW()-1,8),0)))))))</f>
        <v/>
      </c>
      <c r="AG38" s="62">
        <f>IF($V38&lt;&gt;"Sub","",N($X38)*IF(AND(ISNUMBER($G38),$G38&lt;=IF($S38=MesCiclo,InicioCiclo,$S38+MOD(2-WEEKDAY($S38),7))+27),1,MIN(1,MAX(0,IF(ISNUMBER(OFFSET($A$1,ROW()-1,11)),OFFSET($A$1,ROW()-1,11),IF(ISNUMBER(OFFSET($A$1,ROW()-1,10)),OFFSET($A$1,ROW()-1,10),IF(ISNUMBER(OFFSET($A$1,ROW()-1,9)),OFFSET($A$1,ROW()-1,9),IF(ISNUMBER(OFFSET($A$1,ROW()-1,8)),OFFSET($A$1,ROW()-1,8),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f>IF(NOT(AND($D38&lt;&gt;"",$V38="Macro")),"",IFERROR(CHOOSE(MATCH($D38,ListaPuestos,0),MATCH("[Jefatura] "&amp;$C38,'Cronograma R. Operacional'!$C$5:$C$1000,0),MATCH("[Jefatura] "&amp;$C38,'Cronograma R. Normativo'!$C$5:$C$1000,0),MATCH("[Jefatura] "&amp;$C38,'Cronograma R. Financiero'!$C$5:$C$1000,0),MATCH("[Jefatura] "&amp;$C38,'Cronograma Asistente Técnico'!$C$5:$C$1000,0)),0))</f>
        <v/>
      </c>
      <c r="AN38" s="62">
        <f>IF(AND(AND($D38&lt;&gt;"",$V38="Macro"),$S38=MesCiclo),COUNTIFS($D$5:$D38,$D38,$S$5:$S38,MesCiclo,$V$5:$V38,"Macro"),"")</f>
        <v/>
      </c>
      <c r="AO38" s="62">
        <f>IF($AN38="","",$D38&amp;"|"&amp;$AN38)</f>
        <v/>
      </c>
      <c r="AP38" s="62">
        <f>IF(AND($D38&lt;&gt;"",$V38="Macro"),$D38&amp;"|"&amp;$C38,"")</f>
        <v/>
      </c>
      <c r="AQ38" s="62">
        <f>""</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t="n"/>
      <c r="F39" s="59" t="n"/>
      <c r="G39" s="59" t="n"/>
      <c r="H39" s="60" t="n"/>
      <c r="I39" s="60">
        <f>IF(N($W39)=0,"",IF(AND($S39=MesCiclo,1&gt;SemanaActual),"",MIN(1,SUMIFS(OFFSET($A$1,ROW(),29,1000-ROW(),1),OFFSET($A$1,ROW(),20,1000-ROW(),1),ROW(),OFFSET($A$1,ROW(),21,1000-ROW(),1),"Sub"))))</f>
        <v/>
      </c>
      <c r="J39" s="60">
        <f>IF(N($W39)=0,"",IF(AND($S39=MesCiclo,2&gt;SemanaActual),"",MIN(1,SUMIFS(OFFSET($A$1,ROW(),30,1000-ROW(),1),OFFSET($A$1,ROW(),20,1000-ROW(),1),ROW(),OFFSET($A$1,ROW(),21,1000-ROW(),1),"Sub"))))</f>
        <v/>
      </c>
      <c r="K39" s="60">
        <f>IF(N($W39)=0,"",IF(AND($S39=MesCiclo,3&gt;SemanaActual),"",MIN(1,SUMIFS(OFFSET($A$1,ROW(),31,1000-ROW(),1),OFFSET($A$1,ROW(),20,1000-ROW(),1),ROW(),OFFSET($A$1,ROW(),21,1000-ROW(),1),"Sub"))))</f>
        <v/>
      </c>
      <c r="L39" s="60">
        <f>IF(N($W39)=0,"",IF(AND($S39=MesCiclo,4&gt;SemanaActual),"",MIN(1,SUMIFS(OFFSET($A$1,ROW(),32,1000-ROW(),1),OFFSET($A$1,ROW(),20,1000-ROW(),1),ROW(),OFFSET($A$1,ROW(),21,1000-ROW(),1),"Sub"))))</f>
        <v/>
      </c>
      <c r="M39" s="61">
        <f>IF(NOT((COUNTA($B39:$D39)+COUNTA($G39:$H39)+COUNTA($Q39))&gt;0),"",IF(AND($D39&lt;&gt;"",$V39="Macro"),IF(N($AM39)&gt;0,N(CHOOSE(MATCH($D39,ListaPuestos,0),INDEX('Cronograma R. Operacional'!$M$5:$M$1000,$AM39),INDEX('Cronograma R. Normativo'!$M$5:$M$1000,$AM39),INDEX('Cronograma R. Financiero'!$M$5:$M$1000,$AM39),INDEX('Cronograma Asistente Técnico'!$M$5:$M$1000,$AM39))),0),IF(ISNUMBER($G39),1,IF(N($W39)&gt;0,MIN(1,SUMIFS($Y$5:$Y$1000,$U$5:$U$1000,ROW(),$V$5:$V$1000,"Sub")),$Y39))))</f>
        <v/>
      </c>
      <c r="N39" s="56">
        <f>IF(OR($M39="",$V39="Sub"),"",IF($M39&gt;=1,"Completado",IF($M39&gt;0,"En curso","Pendiente")))</f>
        <v/>
      </c>
      <c r="O39" s="56">
        <f>IF(NOT((COUNTA($B39:$D39)+COUNTA($G39:$H39)+COUNTA($Q39))&gt;0),"",IF(AND(AND($D39&lt;&gt;"",$V39="Macro"),N($AM39)&gt;0),CHOOSE(MATCH($D39,ListaPuestos,0),INDEX('Cronograma R. Operacional'!$O$5:$O$1000,$AM39),INDEX('Cronograma R. Normativo'!$O$5:$O$1000,$AM39),INDEX('Cronograma R. Financiero'!$O$5:$O$1000,$AM39),INDEX('Cronograma Asistente Técnico'!$O$5:$O$1000,$AM39))&amp;"",IF(ISNUMBER($G39),IF(AND(ISNUMBER($AS39),$G39&gt;$AS39),"Cumplida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f>IF(NOT((COUNTA($B39:$D39)+COUNTA($G39:$H39)+COUNTA($Q39))&gt;0),"",IF($D39="","Propia",IF($V39&lt;&gt;"Macro","Solo se delegan macroactividades",IF(N($AM39)&gt;0,"✔ Recibida por "&amp;$D39,"⚠ "&amp;$D39&amp;" aún no la agrega"))))</f>
        <v/>
      </c>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IF($V39&lt;&gt;"Sub","",N($X39)*IF(AND(ISNUMBER($G39),$G39&lt;=IF($S39=MesCiclo,InicioCiclo,$S39+MOD(2-WEEKDAY($S39),7))+6),1,MIN(1,MAX(0,IF(ISNUMBER(OFFSET($A$1,ROW()-1,8)),OFFSET($A$1,ROW()-1,8),0)))))</f>
        <v/>
      </c>
      <c r="AE39" s="62">
        <f>IF($V39&lt;&gt;"Sub","",N($X39)*IF(AND(ISNUMBER($G39),$G39&lt;=IF($S39=MesCiclo,InicioCiclo,$S39+MOD(2-WEEKDAY($S39),7))+13),1,MIN(1,MAX(0,IF(ISNUMBER(OFFSET($A$1,ROW()-1,9)),OFFSET($A$1,ROW()-1,9),IF(ISNUMBER(OFFSET($A$1,ROW()-1,8)),OFFSET($A$1,ROW()-1,8),0))))))</f>
        <v/>
      </c>
      <c r="AF39" s="62">
        <f>IF($V39&lt;&gt;"Sub","",N($X39)*IF(AND(ISNUMBER($G39),$G39&lt;=IF($S39=MesCiclo,InicioCiclo,$S39+MOD(2-WEEKDAY($S39),7))+20),1,MIN(1,MAX(0,IF(ISNUMBER(OFFSET($A$1,ROW()-1,10)),OFFSET($A$1,ROW()-1,10),IF(ISNUMBER(OFFSET($A$1,ROW()-1,9)),OFFSET($A$1,ROW()-1,9),IF(ISNUMBER(OFFSET($A$1,ROW()-1,8)),OFFSET($A$1,ROW()-1,8),0)))))))</f>
        <v/>
      </c>
      <c r="AG39" s="62">
        <f>IF($V39&lt;&gt;"Sub","",N($X39)*IF(AND(ISNUMBER($G39),$G39&lt;=IF($S39=MesCiclo,InicioCiclo,$S39+MOD(2-WEEKDAY($S39),7))+27),1,MIN(1,MAX(0,IF(ISNUMBER(OFFSET($A$1,ROW()-1,11)),OFFSET($A$1,ROW()-1,11),IF(ISNUMBER(OFFSET($A$1,ROW()-1,10)),OFFSET($A$1,ROW()-1,10),IF(ISNUMBER(OFFSET($A$1,ROW()-1,9)),OFFSET($A$1,ROW()-1,9),IF(ISNUMBER(OFFSET($A$1,ROW()-1,8)),OFFSET($A$1,ROW()-1,8),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f>IF(NOT(AND($D39&lt;&gt;"",$V39="Macro")),"",IFERROR(CHOOSE(MATCH($D39,ListaPuestos,0),MATCH("[Jefatura] "&amp;$C39,'Cronograma R. Operacional'!$C$5:$C$1000,0),MATCH("[Jefatura] "&amp;$C39,'Cronograma R. Normativo'!$C$5:$C$1000,0),MATCH("[Jefatura] "&amp;$C39,'Cronograma R. Financiero'!$C$5:$C$1000,0),MATCH("[Jefatura] "&amp;$C39,'Cronograma Asistente Técnico'!$C$5:$C$1000,0)),0))</f>
        <v/>
      </c>
      <c r="AN39" s="62">
        <f>IF(AND(AND($D39&lt;&gt;"",$V39="Macro"),$S39=MesCiclo),COUNTIFS($D$5:$D39,$D39,$S$5:$S39,MesCiclo,$V$5:$V39,"Macro"),"")</f>
        <v/>
      </c>
      <c r="AO39" s="62">
        <f>IF($AN39="","",$D39&amp;"|"&amp;$AN39)</f>
        <v/>
      </c>
      <c r="AP39" s="62">
        <f>IF(AND($D39&lt;&gt;"",$V39="Macro"),$D39&amp;"|"&amp;$C39,"")</f>
        <v/>
      </c>
      <c r="AQ39" s="62">
        <f>""</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t="n"/>
      <c r="F40" s="59" t="n"/>
      <c r="G40" s="59" t="n"/>
      <c r="H40" s="60" t="n"/>
      <c r="I40" s="60">
        <f>IF(N($W40)=0,"",IF(AND($S40=MesCiclo,1&gt;SemanaActual),"",MIN(1,SUMIFS(OFFSET($A$1,ROW(),29,1000-ROW(),1),OFFSET($A$1,ROW(),20,1000-ROW(),1),ROW(),OFFSET($A$1,ROW(),21,1000-ROW(),1),"Sub"))))</f>
        <v/>
      </c>
      <c r="J40" s="60">
        <f>IF(N($W40)=0,"",IF(AND($S40=MesCiclo,2&gt;SemanaActual),"",MIN(1,SUMIFS(OFFSET($A$1,ROW(),30,1000-ROW(),1),OFFSET($A$1,ROW(),20,1000-ROW(),1),ROW(),OFFSET($A$1,ROW(),21,1000-ROW(),1),"Sub"))))</f>
        <v/>
      </c>
      <c r="K40" s="60">
        <f>IF(N($W40)=0,"",IF(AND($S40=MesCiclo,3&gt;SemanaActual),"",MIN(1,SUMIFS(OFFSET($A$1,ROW(),31,1000-ROW(),1),OFFSET($A$1,ROW(),20,1000-ROW(),1),ROW(),OFFSET($A$1,ROW(),21,1000-ROW(),1),"Sub"))))</f>
        <v/>
      </c>
      <c r="L40" s="60">
        <f>IF(N($W40)=0,"",IF(AND($S40=MesCiclo,4&gt;SemanaActual),"",MIN(1,SUMIFS(OFFSET($A$1,ROW(),32,1000-ROW(),1),OFFSET($A$1,ROW(),20,1000-ROW(),1),ROW(),OFFSET($A$1,ROW(),21,1000-ROW(),1),"Sub"))))</f>
        <v/>
      </c>
      <c r="M40" s="61">
        <f>IF(NOT((COUNTA($B40:$D40)+COUNTA($G40:$H40)+COUNTA($Q40))&gt;0),"",IF(AND($D40&lt;&gt;"",$V40="Macro"),IF(N($AM40)&gt;0,N(CHOOSE(MATCH($D40,ListaPuestos,0),INDEX('Cronograma R. Operacional'!$M$5:$M$1000,$AM40),INDEX('Cronograma R. Normativo'!$M$5:$M$1000,$AM40),INDEX('Cronograma R. Financiero'!$M$5:$M$1000,$AM40),INDEX('Cronograma Asistente Técnico'!$M$5:$M$1000,$AM40))),0),IF(ISNUMBER($G40),1,IF(N($W40)&gt;0,MIN(1,SUMIFS($Y$5:$Y$1000,$U$5:$U$1000,ROW(),$V$5:$V$1000,"Sub")),$Y40))))</f>
        <v/>
      </c>
      <c r="N40" s="56">
        <f>IF(OR($M40="",$V40="Sub"),"",IF($M40&gt;=1,"Completado",IF($M40&gt;0,"En curso","Pendiente")))</f>
        <v/>
      </c>
      <c r="O40" s="56">
        <f>IF(NOT((COUNTA($B40:$D40)+COUNTA($G40:$H40)+COUNTA($Q40))&gt;0),"",IF(AND(AND($D40&lt;&gt;"",$V40="Macro"),N($AM40)&gt;0),CHOOSE(MATCH($D40,ListaPuestos,0),INDEX('Cronograma R. Operacional'!$O$5:$O$1000,$AM40),INDEX('Cronograma R. Normativo'!$O$5:$O$1000,$AM40),INDEX('Cronograma R. Financiero'!$O$5:$O$1000,$AM40),INDEX('Cronograma Asistente Técnico'!$O$5:$O$1000,$AM40))&amp;"",IF(ISNUMBER($G40),IF(AND(ISNUMBER($AS40),$G40&gt;$AS40),"Cumplida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f>IF(NOT((COUNTA($B40:$D40)+COUNTA($G40:$H40)+COUNTA($Q40))&gt;0),"",IF($D40="","Propia",IF($V40&lt;&gt;"Macro","Solo se delegan macroactividades",IF(N($AM40)&gt;0,"✔ Recibida por "&amp;$D40,"⚠ "&amp;$D40&amp;" aún no la agrega"))))</f>
        <v/>
      </c>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IF($V40&lt;&gt;"Sub","",N($X40)*IF(AND(ISNUMBER($G40),$G40&lt;=IF($S40=MesCiclo,InicioCiclo,$S40+MOD(2-WEEKDAY($S40),7))+6),1,MIN(1,MAX(0,IF(ISNUMBER(OFFSET($A$1,ROW()-1,8)),OFFSET($A$1,ROW()-1,8),0)))))</f>
        <v/>
      </c>
      <c r="AE40" s="62">
        <f>IF($V40&lt;&gt;"Sub","",N($X40)*IF(AND(ISNUMBER($G40),$G40&lt;=IF($S40=MesCiclo,InicioCiclo,$S40+MOD(2-WEEKDAY($S40),7))+13),1,MIN(1,MAX(0,IF(ISNUMBER(OFFSET($A$1,ROW()-1,9)),OFFSET($A$1,ROW()-1,9),IF(ISNUMBER(OFFSET($A$1,ROW()-1,8)),OFFSET($A$1,ROW()-1,8),0))))))</f>
        <v/>
      </c>
      <c r="AF40" s="62">
        <f>IF($V40&lt;&gt;"Sub","",N($X40)*IF(AND(ISNUMBER($G40),$G40&lt;=IF($S40=MesCiclo,InicioCiclo,$S40+MOD(2-WEEKDAY($S40),7))+20),1,MIN(1,MAX(0,IF(ISNUMBER(OFFSET($A$1,ROW()-1,10)),OFFSET($A$1,ROW()-1,10),IF(ISNUMBER(OFFSET($A$1,ROW()-1,9)),OFFSET($A$1,ROW()-1,9),IF(ISNUMBER(OFFSET($A$1,ROW()-1,8)),OFFSET($A$1,ROW()-1,8),0)))))))</f>
        <v/>
      </c>
      <c r="AG40" s="62">
        <f>IF($V40&lt;&gt;"Sub","",N($X40)*IF(AND(ISNUMBER($G40),$G40&lt;=IF($S40=MesCiclo,InicioCiclo,$S40+MOD(2-WEEKDAY($S40),7))+27),1,MIN(1,MAX(0,IF(ISNUMBER(OFFSET($A$1,ROW()-1,11)),OFFSET($A$1,ROW()-1,11),IF(ISNUMBER(OFFSET($A$1,ROW()-1,10)),OFFSET($A$1,ROW()-1,10),IF(ISNUMBER(OFFSET($A$1,ROW()-1,9)),OFFSET($A$1,ROW()-1,9),IF(ISNUMBER(OFFSET($A$1,ROW()-1,8)),OFFSET($A$1,ROW()-1,8),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f>IF(NOT(AND($D40&lt;&gt;"",$V40="Macro")),"",IFERROR(CHOOSE(MATCH($D40,ListaPuestos,0),MATCH("[Jefatura] "&amp;$C40,'Cronograma R. Operacional'!$C$5:$C$1000,0),MATCH("[Jefatura] "&amp;$C40,'Cronograma R. Normativo'!$C$5:$C$1000,0),MATCH("[Jefatura] "&amp;$C40,'Cronograma R. Financiero'!$C$5:$C$1000,0),MATCH("[Jefatura] "&amp;$C40,'Cronograma Asistente Técnico'!$C$5:$C$1000,0)),0))</f>
        <v/>
      </c>
      <c r="AN40" s="62">
        <f>IF(AND(AND($D40&lt;&gt;"",$V40="Macro"),$S40=MesCiclo),COUNTIFS($D$5:$D40,$D40,$S$5:$S40,MesCiclo,$V$5:$V40,"Macro"),"")</f>
        <v/>
      </c>
      <c r="AO40" s="62">
        <f>IF($AN40="","",$D40&amp;"|"&amp;$AN40)</f>
        <v/>
      </c>
      <c r="AP40" s="62">
        <f>IF(AND($D40&lt;&gt;"",$V40="Macro"),$D40&amp;"|"&amp;$C40,"")</f>
        <v/>
      </c>
      <c r="AQ40" s="62">
        <f>""</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t="n"/>
      <c r="F41" s="59" t="n"/>
      <c r="G41" s="59" t="n"/>
      <c r="H41" s="60" t="n"/>
      <c r="I41" s="60">
        <f>IF(N($W41)=0,"",IF(AND($S41=MesCiclo,1&gt;SemanaActual),"",MIN(1,SUMIFS(OFFSET($A$1,ROW(),29,1000-ROW(),1),OFFSET($A$1,ROW(),20,1000-ROW(),1),ROW(),OFFSET($A$1,ROW(),21,1000-ROW(),1),"Sub"))))</f>
        <v/>
      </c>
      <c r="J41" s="60">
        <f>IF(N($W41)=0,"",IF(AND($S41=MesCiclo,2&gt;SemanaActual),"",MIN(1,SUMIFS(OFFSET($A$1,ROW(),30,1000-ROW(),1),OFFSET($A$1,ROW(),20,1000-ROW(),1),ROW(),OFFSET($A$1,ROW(),21,1000-ROW(),1),"Sub"))))</f>
        <v/>
      </c>
      <c r="K41" s="60">
        <f>IF(N($W41)=0,"",IF(AND($S41=MesCiclo,3&gt;SemanaActual),"",MIN(1,SUMIFS(OFFSET($A$1,ROW(),31,1000-ROW(),1),OFFSET($A$1,ROW(),20,1000-ROW(),1),ROW(),OFFSET($A$1,ROW(),21,1000-ROW(),1),"Sub"))))</f>
        <v/>
      </c>
      <c r="L41" s="60">
        <f>IF(N($W41)=0,"",IF(AND($S41=MesCiclo,4&gt;SemanaActual),"",MIN(1,SUMIFS(OFFSET($A$1,ROW(),32,1000-ROW(),1),OFFSET($A$1,ROW(),20,1000-ROW(),1),ROW(),OFFSET($A$1,ROW(),21,1000-ROW(),1),"Sub"))))</f>
        <v/>
      </c>
      <c r="M41" s="61">
        <f>IF(NOT((COUNTA($B41:$D41)+COUNTA($G41:$H41)+COUNTA($Q41))&gt;0),"",IF(AND($D41&lt;&gt;"",$V41="Macro"),IF(N($AM41)&gt;0,N(CHOOSE(MATCH($D41,ListaPuestos,0),INDEX('Cronograma R. Operacional'!$M$5:$M$1000,$AM41),INDEX('Cronograma R. Normativo'!$M$5:$M$1000,$AM41),INDEX('Cronograma R. Financiero'!$M$5:$M$1000,$AM41),INDEX('Cronograma Asistente Técnico'!$M$5:$M$1000,$AM41))),0),IF(ISNUMBER($G41),1,IF(N($W41)&gt;0,MIN(1,SUMIFS($Y$5:$Y$1000,$U$5:$U$1000,ROW(),$V$5:$V$1000,"Sub")),$Y41))))</f>
        <v/>
      </c>
      <c r="N41" s="56">
        <f>IF(OR($M41="",$V41="Sub"),"",IF($M41&gt;=1,"Completado",IF($M41&gt;0,"En curso","Pendiente")))</f>
        <v/>
      </c>
      <c r="O41" s="56">
        <f>IF(NOT((COUNTA($B41:$D41)+COUNTA($G41:$H41)+COUNTA($Q41))&gt;0),"",IF(AND(AND($D41&lt;&gt;"",$V41="Macro"),N($AM41)&gt;0),CHOOSE(MATCH($D41,ListaPuestos,0),INDEX('Cronograma R. Operacional'!$O$5:$O$1000,$AM41),INDEX('Cronograma R. Normativo'!$O$5:$O$1000,$AM41),INDEX('Cronograma R. Financiero'!$O$5:$O$1000,$AM41),INDEX('Cronograma Asistente Técnico'!$O$5:$O$1000,$AM41))&amp;"",IF(ISNUMBER($G41),IF(AND(ISNUMBER($AS41),$G41&gt;$AS41),"Cumplida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f>IF(NOT((COUNTA($B41:$D41)+COUNTA($G41:$H41)+COUNTA($Q41))&gt;0),"",IF($D41="","Propia",IF($V41&lt;&gt;"Macro","Solo se delegan macroactividades",IF(N($AM41)&gt;0,"✔ Recibida por "&amp;$D41,"⚠ "&amp;$D41&amp;" aún no la agrega"))))</f>
        <v/>
      </c>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IF($V41&lt;&gt;"Sub","",N($X41)*IF(AND(ISNUMBER($G41),$G41&lt;=IF($S41=MesCiclo,InicioCiclo,$S41+MOD(2-WEEKDAY($S41),7))+6),1,MIN(1,MAX(0,IF(ISNUMBER(OFFSET($A$1,ROW()-1,8)),OFFSET($A$1,ROW()-1,8),0)))))</f>
        <v/>
      </c>
      <c r="AE41" s="62">
        <f>IF($V41&lt;&gt;"Sub","",N($X41)*IF(AND(ISNUMBER($G41),$G41&lt;=IF($S41=MesCiclo,InicioCiclo,$S41+MOD(2-WEEKDAY($S41),7))+13),1,MIN(1,MAX(0,IF(ISNUMBER(OFFSET($A$1,ROW()-1,9)),OFFSET($A$1,ROW()-1,9),IF(ISNUMBER(OFFSET($A$1,ROW()-1,8)),OFFSET($A$1,ROW()-1,8),0))))))</f>
        <v/>
      </c>
      <c r="AF41" s="62">
        <f>IF($V41&lt;&gt;"Sub","",N($X41)*IF(AND(ISNUMBER($G41),$G41&lt;=IF($S41=MesCiclo,InicioCiclo,$S41+MOD(2-WEEKDAY($S41),7))+20),1,MIN(1,MAX(0,IF(ISNUMBER(OFFSET($A$1,ROW()-1,10)),OFFSET($A$1,ROW()-1,10),IF(ISNUMBER(OFFSET($A$1,ROW()-1,9)),OFFSET($A$1,ROW()-1,9),IF(ISNUMBER(OFFSET($A$1,ROW()-1,8)),OFFSET($A$1,ROW()-1,8),0)))))))</f>
        <v/>
      </c>
      <c r="AG41" s="62">
        <f>IF($V41&lt;&gt;"Sub","",N($X41)*IF(AND(ISNUMBER($G41),$G41&lt;=IF($S41=MesCiclo,InicioCiclo,$S41+MOD(2-WEEKDAY($S41),7))+27),1,MIN(1,MAX(0,IF(ISNUMBER(OFFSET($A$1,ROW()-1,11)),OFFSET($A$1,ROW()-1,11),IF(ISNUMBER(OFFSET($A$1,ROW()-1,10)),OFFSET($A$1,ROW()-1,10),IF(ISNUMBER(OFFSET($A$1,ROW()-1,9)),OFFSET($A$1,ROW()-1,9),IF(ISNUMBER(OFFSET($A$1,ROW()-1,8)),OFFSET($A$1,ROW()-1,8),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f>IF(NOT(AND($D41&lt;&gt;"",$V41="Macro")),"",IFERROR(CHOOSE(MATCH($D41,ListaPuestos,0),MATCH("[Jefatura] "&amp;$C41,'Cronograma R. Operacional'!$C$5:$C$1000,0),MATCH("[Jefatura] "&amp;$C41,'Cronograma R. Normativo'!$C$5:$C$1000,0),MATCH("[Jefatura] "&amp;$C41,'Cronograma R. Financiero'!$C$5:$C$1000,0),MATCH("[Jefatura] "&amp;$C41,'Cronograma Asistente Técnico'!$C$5:$C$1000,0)),0))</f>
        <v/>
      </c>
      <c r="AN41" s="62">
        <f>IF(AND(AND($D41&lt;&gt;"",$V41="Macro"),$S41=MesCiclo),COUNTIFS($D$5:$D41,$D41,$S$5:$S41,MesCiclo,$V$5:$V41,"Macro"),"")</f>
        <v/>
      </c>
      <c r="AO41" s="62">
        <f>IF($AN41="","",$D41&amp;"|"&amp;$AN41)</f>
        <v/>
      </c>
      <c r="AP41" s="62">
        <f>IF(AND($D41&lt;&gt;"",$V41="Macro"),$D41&amp;"|"&amp;$C41,"")</f>
        <v/>
      </c>
      <c r="AQ41" s="62">
        <f>""</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t="n"/>
      <c r="F42" s="59" t="n"/>
      <c r="G42" s="59" t="n"/>
      <c r="H42" s="60" t="n"/>
      <c r="I42" s="60">
        <f>IF(N($W42)=0,"",IF(AND($S42=MesCiclo,1&gt;SemanaActual),"",MIN(1,SUMIFS(OFFSET($A$1,ROW(),29,1000-ROW(),1),OFFSET($A$1,ROW(),20,1000-ROW(),1),ROW(),OFFSET($A$1,ROW(),21,1000-ROW(),1),"Sub"))))</f>
        <v/>
      </c>
      <c r="J42" s="60">
        <f>IF(N($W42)=0,"",IF(AND($S42=MesCiclo,2&gt;SemanaActual),"",MIN(1,SUMIFS(OFFSET($A$1,ROW(),30,1000-ROW(),1),OFFSET($A$1,ROW(),20,1000-ROW(),1),ROW(),OFFSET($A$1,ROW(),21,1000-ROW(),1),"Sub"))))</f>
        <v/>
      </c>
      <c r="K42" s="60">
        <f>IF(N($W42)=0,"",IF(AND($S42=MesCiclo,3&gt;SemanaActual),"",MIN(1,SUMIFS(OFFSET($A$1,ROW(),31,1000-ROW(),1),OFFSET($A$1,ROW(),20,1000-ROW(),1),ROW(),OFFSET($A$1,ROW(),21,1000-ROW(),1),"Sub"))))</f>
        <v/>
      </c>
      <c r="L42" s="60">
        <f>IF(N($W42)=0,"",IF(AND($S42=MesCiclo,4&gt;SemanaActual),"",MIN(1,SUMIFS(OFFSET($A$1,ROW(),32,1000-ROW(),1),OFFSET($A$1,ROW(),20,1000-ROW(),1),ROW(),OFFSET($A$1,ROW(),21,1000-ROW(),1),"Sub"))))</f>
        <v/>
      </c>
      <c r="M42" s="61">
        <f>IF(NOT((COUNTA($B42:$D42)+COUNTA($G42:$H42)+COUNTA($Q42))&gt;0),"",IF(AND($D42&lt;&gt;"",$V42="Macro"),IF(N($AM42)&gt;0,N(CHOOSE(MATCH($D42,ListaPuestos,0),INDEX('Cronograma R. Operacional'!$M$5:$M$1000,$AM42),INDEX('Cronograma R. Normativo'!$M$5:$M$1000,$AM42),INDEX('Cronograma R. Financiero'!$M$5:$M$1000,$AM42),INDEX('Cronograma Asistente Técnico'!$M$5:$M$1000,$AM42))),0),IF(ISNUMBER($G42),1,IF(N($W42)&gt;0,MIN(1,SUMIFS($Y$5:$Y$1000,$U$5:$U$1000,ROW(),$V$5:$V$1000,"Sub")),$Y42))))</f>
        <v/>
      </c>
      <c r="N42" s="56">
        <f>IF(OR($M42="",$V42="Sub"),"",IF($M42&gt;=1,"Completado",IF($M42&gt;0,"En curso","Pendiente")))</f>
        <v/>
      </c>
      <c r="O42" s="56">
        <f>IF(NOT((COUNTA($B42:$D42)+COUNTA($G42:$H42)+COUNTA($Q42))&gt;0),"",IF(AND(AND($D42&lt;&gt;"",$V42="Macro"),N($AM42)&gt;0),CHOOSE(MATCH($D42,ListaPuestos,0),INDEX('Cronograma R. Operacional'!$O$5:$O$1000,$AM42),INDEX('Cronograma R. Normativo'!$O$5:$O$1000,$AM42),INDEX('Cronograma R. Financiero'!$O$5:$O$1000,$AM42),INDEX('Cronograma Asistente Técnico'!$O$5:$O$1000,$AM42))&amp;"",IF(ISNUMBER($G42),IF(AND(ISNUMBER($AS42),$G42&gt;$AS42),"Cumplida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f>IF(NOT((COUNTA($B42:$D42)+COUNTA($G42:$H42)+COUNTA($Q42))&gt;0),"",IF($D42="","Propia",IF($V42&lt;&gt;"Macro","Solo se delegan macroactividades",IF(N($AM42)&gt;0,"✔ Recibida por "&amp;$D42,"⚠ "&amp;$D42&amp;" aún no la agrega"))))</f>
        <v/>
      </c>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IF($V42&lt;&gt;"Sub","",N($X42)*IF(AND(ISNUMBER($G42),$G42&lt;=IF($S42=MesCiclo,InicioCiclo,$S42+MOD(2-WEEKDAY($S42),7))+6),1,MIN(1,MAX(0,IF(ISNUMBER(OFFSET($A$1,ROW()-1,8)),OFFSET($A$1,ROW()-1,8),0)))))</f>
        <v/>
      </c>
      <c r="AE42" s="62">
        <f>IF($V42&lt;&gt;"Sub","",N($X42)*IF(AND(ISNUMBER($G42),$G42&lt;=IF($S42=MesCiclo,InicioCiclo,$S42+MOD(2-WEEKDAY($S42),7))+13),1,MIN(1,MAX(0,IF(ISNUMBER(OFFSET($A$1,ROW()-1,9)),OFFSET($A$1,ROW()-1,9),IF(ISNUMBER(OFFSET($A$1,ROW()-1,8)),OFFSET($A$1,ROW()-1,8),0))))))</f>
        <v/>
      </c>
      <c r="AF42" s="62">
        <f>IF($V42&lt;&gt;"Sub","",N($X42)*IF(AND(ISNUMBER($G42),$G42&lt;=IF($S42=MesCiclo,InicioCiclo,$S42+MOD(2-WEEKDAY($S42),7))+20),1,MIN(1,MAX(0,IF(ISNUMBER(OFFSET($A$1,ROW()-1,10)),OFFSET($A$1,ROW()-1,10),IF(ISNUMBER(OFFSET($A$1,ROW()-1,9)),OFFSET($A$1,ROW()-1,9),IF(ISNUMBER(OFFSET($A$1,ROW()-1,8)),OFFSET($A$1,ROW()-1,8),0)))))))</f>
        <v/>
      </c>
      <c r="AG42" s="62">
        <f>IF($V42&lt;&gt;"Sub","",N($X42)*IF(AND(ISNUMBER($G42),$G42&lt;=IF($S42=MesCiclo,InicioCiclo,$S42+MOD(2-WEEKDAY($S42),7))+27),1,MIN(1,MAX(0,IF(ISNUMBER(OFFSET($A$1,ROW()-1,11)),OFFSET($A$1,ROW()-1,11),IF(ISNUMBER(OFFSET($A$1,ROW()-1,10)),OFFSET($A$1,ROW()-1,10),IF(ISNUMBER(OFFSET($A$1,ROW()-1,9)),OFFSET($A$1,ROW()-1,9),IF(ISNUMBER(OFFSET($A$1,ROW()-1,8)),OFFSET($A$1,ROW()-1,8),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f>IF(NOT(AND($D42&lt;&gt;"",$V42="Macro")),"",IFERROR(CHOOSE(MATCH($D42,ListaPuestos,0),MATCH("[Jefatura] "&amp;$C42,'Cronograma R. Operacional'!$C$5:$C$1000,0),MATCH("[Jefatura] "&amp;$C42,'Cronograma R. Normativo'!$C$5:$C$1000,0),MATCH("[Jefatura] "&amp;$C42,'Cronograma R. Financiero'!$C$5:$C$1000,0),MATCH("[Jefatura] "&amp;$C42,'Cronograma Asistente Técnico'!$C$5:$C$1000,0)),0))</f>
        <v/>
      </c>
      <c r="AN42" s="62">
        <f>IF(AND(AND($D42&lt;&gt;"",$V42="Macro"),$S42=MesCiclo),COUNTIFS($D$5:$D42,$D42,$S$5:$S42,MesCiclo,$V$5:$V42,"Macro"),"")</f>
        <v/>
      </c>
      <c r="AO42" s="62">
        <f>IF($AN42="","",$D42&amp;"|"&amp;$AN42)</f>
        <v/>
      </c>
      <c r="AP42" s="62">
        <f>IF(AND($D42&lt;&gt;"",$V42="Macro"),$D42&amp;"|"&amp;$C42,"")</f>
        <v/>
      </c>
      <c r="AQ42" s="62">
        <f>""</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t="n"/>
      <c r="F43" s="59" t="n"/>
      <c r="G43" s="59" t="n"/>
      <c r="H43" s="60" t="n"/>
      <c r="I43" s="60">
        <f>IF(N($W43)=0,"",IF(AND($S43=MesCiclo,1&gt;SemanaActual),"",MIN(1,SUMIFS(OFFSET($A$1,ROW(),29,1000-ROW(),1),OFFSET($A$1,ROW(),20,1000-ROW(),1),ROW(),OFFSET($A$1,ROW(),21,1000-ROW(),1),"Sub"))))</f>
        <v/>
      </c>
      <c r="J43" s="60">
        <f>IF(N($W43)=0,"",IF(AND($S43=MesCiclo,2&gt;SemanaActual),"",MIN(1,SUMIFS(OFFSET($A$1,ROW(),30,1000-ROW(),1),OFFSET($A$1,ROW(),20,1000-ROW(),1),ROW(),OFFSET($A$1,ROW(),21,1000-ROW(),1),"Sub"))))</f>
        <v/>
      </c>
      <c r="K43" s="60">
        <f>IF(N($W43)=0,"",IF(AND($S43=MesCiclo,3&gt;SemanaActual),"",MIN(1,SUMIFS(OFFSET($A$1,ROW(),31,1000-ROW(),1),OFFSET($A$1,ROW(),20,1000-ROW(),1),ROW(),OFFSET($A$1,ROW(),21,1000-ROW(),1),"Sub"))))</f>
        <v/>
      </c>
      <c r="L43" s="60">
        <f>IF(N($W43)=0,"",IF(AND($S43=MesCiclo,4&gt;SemanaActual),"",MIN(1,SUMIFS(OFFSET($A$1,ROW(),32,1000-ROW(),1),OFFSET($A$1,ROW(),20,1000-ROW(),1),ROW(),OFFSET($A$1,ROW(),21,1000-ROW(),1),"Sub"))))</f>
        <v/>
      </c>
      <c r="M43" s="61">
        <f>IF(NOT((COUNTA($B43:$D43)+COUNTA($G43:$H43)+COUNTA($Q43))&gt;0),"",IF(AND($D43&lt;&gt;"",$V43="Macro"),IF(N($AM43)&gt;0,N(CHOOSE(MATCH($D43,ListaPuestos,0),INDEX('Cronograma R. Operacional'!$M$5:$M$1000,$AM43),INDEX('Cronograma R. Normativo'!$M$5:$M$1000,$AM43),INDEX('Cronograma R. Financiero'!$M$5:$M$1000,$AM43),INDEX('Cronograma Asistente Técnico'!$M$5:$M$1000,$AM43))),0),IF(ISNUMBER($G43),1,IF(N($W43)&gt;0,MIN(1,SUMIFS($Y$5:$Y$1000,$U$5:$U$1000,ROW(),$V$5:$V$1000,"Sub")),$Y43))))</f>
        <v/>
      </c>
      <c r="N43" s="56">
        <f>IF(OR($M43="",$V43="Sub"),"",IF($M43&gt;=1,"Completado",IF($M43&gt;0,"En curso","Pendiente")))</f>
        <v/>
      </c>
      <c r="O43" s="56">
        <f>IF(NOT((COUNTA($B43:$D43)+COUNTA($G43:$H43)+COUNTA($Q43))&gt;0),"",IF(AND(AND($D43&lt;&gt;"",$V43="Macro"),N($AM43)&gt;0),CHOOSE(MATCH($D43,ListaPuestos,0),INDEX('Cronograma R. Operacional'!$O$5:$O$1000,$AM43),INDEX('Cronograma R. Normativo'!$O$5:$O$1000,$AM43),INDEX('Cronograma R. Financiero'!$O$5:$O$1000,$AM43),INDEX('Cronograma Asistente Técnico'!$O$5:$O$1000,$AM43))&amp;"",IF(ISNUMBER($G43),IF(AND(ISNUMBER($AS43),$G43&gt;$AS43),"Cumplida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f>IF(NOT((COUNTA($B43:$D43)+COUNTA($G43:$H43)+COUNTA($Q43))&gt;0),"",IF($D43="","Propia",IF($V43&lt;&gt;"Macro","Solo se delegan macroactividades",IF(N($AM43)&gt;0,"✔ Recibida por "&amp;$D43,"⚠ "&amp;$D43&amp;" aún no la agrega"))))</f>
        <v/>
      </c>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IF($V43&lt;&gt;"Sub","",N($X43)*IF(AND(ISNUMBER($G43),$G43&lt;=IF($S43=MesCiclo,InicioCiclo,$S43+MOD(2-WEEKDAY($S43),7))+6),1,MIN(1,MAX(0,IF(ISNUMBER(OFFSET($A$1,ROW()-1,8)),OFFSET($A$1,ROW()-1,8),0)))))</f>
        <v/>
      </c>
      <c r="AE43" s="62">
        <f>IF($V43&lt;&gt;"Sub","",N($X43)*IF(AND(ISNUMBER($G43),$G43&lt;=IF($S43=MesCiclo,InicioCiclo,$S43+MOD(2-WEEKDAY($S43),7))+13),1,MIN(1,MAX(0,IF(ISNUMBER(OFFSET($A$1,ROW()-1,9)),OFFSET($A$1,ROW()-1,9),IF(ISNUMBER(OFFSET($A$1,ROW()-1,8)),OFFSET($A$1,ROW()-1,8),0))))))</f>
        <v/>
      </c>
      <c r="AF43" s="62">
        <f>IF($V43&lt;&gt;"Sub","",N($X43)*IF(AND(ISNUMBER($G43),$G43&lt;=IF($S43=MesCiclo,InicioCiclo,$S43+MOD(2-WEEKDAY($S43),7))+20),1,MIN(1,MAX(0,IF(ISNUMBER(OFFSET($A$1,ROW()-1,10)),OFFSET($A$1,ROW()-1,10),IF(ISNUMBER(OFFSET($A$1,ROW()-1,9)),OFFSET($A$1,ROW()-1,9),IF(ISNUMBER(OFFSET($A$1,ROW()-1,8)),OFFSET($A$1,ROW()-1,8),0)))))))</f>
        <v/>
      </c>
      <c r="AG43" s="62">
        <f>IF($V43&lt;&gt;"Sub","",N($X43)*IF(AND(ISNUMBER($G43),$G43&lt;=IF($S43=MesCiclo,InicioCiclo,$S43+MOD(2-WEEKDAY($S43),7))+27),1,MIN(1,MAX(0,IF(ISNUMBER(OFFSET($A$1,ROW()-1,11)),OFFSET($A$1,ROW()-1,11),IF(ISNUMBER(OFFSET($A$1,ROW()-1,10)),OFFSET($A$1,ROW()-1,10),IF(ISNUMBER(OFFSET($A$1,ROW()-1,9)),OFFSET($A$1,ROW()-1,9),IF(ISNUMBER(OFFSET($A$1,ROW()-1,8)),OFFSET($A$1,ROW()-1,8),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f>IF(NOT(AND($D43&lt;&gt;"",$V43="Macro")),"",IFERROR(CHOOSE(MATCH($D43,ListaPuestos,0),MATCH("[Jefatura] "&amp;$C43,'Cronograma R. Operacional'!$C$5:$C$1000,0),MATCH("[Jefatura] "&amp;$C43,'Cronograma R. Normativo'!$C$5:$C$1000,0),MATCH("[Jefatura] "&amp;$C43,'Cronograma R. Financiero'!$C$5:$C$1000,0),MATCH("[Jefatura] "&amp;$C43,'Cronograma Asistente Técnico'!$C$5:$C$1000,0)),0))</f>
        <v/>
      </c>
      <c r="AN43" s="62">
        <f>IF(AND(AND($D43&lt;&gt;"",$V43="Macro"),$S43=MesCiclo),COUNTIFS($D$5:$D43,$D43,$S$5:$S43,MesCiclo,$V$5:$V43,"Macro"),"")</f>
        <v/>
      </c>
      <c r="AO43" s="62">
        <f>IF($AN43="","",$D43&amp;"|"&amp;$AN43)</f>
        <v/>
      </c>
      <c r="AP43" s="62">
        <f>IF(AND($D43&lt;&gt;"",$V43="Macro"),$D43&amp;"|"&amp;$C43,"")</f>
        <v/>
      </c>
      <c r="AQ43" s="62">
        <f>""</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t="n"/>
      <c r="F44" s="59" t="n"/>
      <c r="G44" s="59" t="n"/>
      <c r="H44" s="60" t="n"/>
      <c r="I44" s="60">
        <f>IF(N($W44)=0,"",IF(AND($S44=MesCiclo,1&gt;SemanaActual),"",MIN(1,SUMIFS(OFFSET($A$1,ROW(),29,1000-ROW(),1),OFFSET($A$1,ROW(),20,1000-ROW(),1),ROW(),OFFSET($A$1,ROW(),21,1000-ROW(),1),"Sub"))))</f>
        <v/>
      </c>
      <c r="J44" s="60">
        <f>IF(N($W44)=0,"",IF(AND($S44=MesCiclo,2&gt;SemanaActual),"",MIN(1,SUMIFS(OFFSET($A$1,ROW(),30,1000-ROW(),1),OFFSET($A$1,ROW(),20,1000-ROW(),1),ROW(),OFFSET($A$1,ROW(),21,1000-ROW(),1),"Sub"))))</f>
        <v/>
      </c>
      <c r="K44" s="60">
        <f>IF(N($W44)=0,"",IF(AND($S44=MesCiclo,3&gt;SemanaActual),"",MIN(1,SUMIFS(OFFSET($A$1,ROW(),31,1000-ROW(),1),OFFSET($A$1,ROW(),20,1000-ROW(),1),ROW(),OFFSET($A$1,ROW(),21,1000-ROW(),1),"Sub"))))</f>
        <v/>
      </c>
      <c r="L44" s="60">
        <f>IF(N($W44)=0,"",IF(AND($S44=MesCiclo,4&gt;SemanaActual),"",MIN(1,SUMIFS(OFFSET($A$1,ROW(),32,1000-ROW(),1),OFFSET($A$1,ROW(),20,1000-ROW(),1),ROW(),OFFSET($A$1,ROW(),21,1000-ROW(),1),"Sub"))))</f>
        <v/>
      </c>
      <c r="M44" s="61">
        <f>IF(NOT((COUNTA($B44:$D44)+COUNTA($G44:$H44)+COUNTA($Q44))&gt;0),"",IF(AND($D44&lt;&gt;"",$V44="Macro"),IF(N($AM44)&gt;0,N(CHOOSE(MATCH($D44,ListaPuestos,0),INDEX('Cronograma R. Operacional'!$M$5:$M$1000,$AM44),INDEX('Cronograma R. Normativo'!$M$5:$M$1000,$AM44),INDEX('Cronograma R. Financiero'!$M$5:$M$1000,$AM44),INDEX('Cronograma Asistente Técnico'!$M$5:$M$1000,$AM44))),0),IF(ISNUMBER($G44),1,IF(N($W44)&gt;0,MIN(1,SUMIFS($Y$5:$Y$1000,$U$5:$U$1000,ROW(),$V$5:$V$1000,"Sub")),$Y44))))</f>
        <v/>
      </c>
      <c r="N44" s="56">
        <f>IF(OR($M44="",$V44="Sub"),"",IF($M44&gt;=1,"Completado",IF($M44&gt;0,"En curso","Pendiente")))</f>
        <v/>
      </c>
      <c r="O44" s="56">
        <f>IF(NOT((COUNTA($B44:$D44)+COUNTA($G44:$H44)+COUNTA($Q44))&gt;0),"",IF(AND(AND($D44&lt;&gt;"",$V44="Macro"),N($AM44)&gt;0),CHOOSE(MATCH($D44,ListaPuestos,0),INDEX('Cronograma R. Operacional'!$O$5:$O$1000,$AM44),INDEX('Cronograma R. Normativo'!$O$5:$O$1000,$AM44),INDEX('Cronograma R. Financiero'!$O$5:$O$1000,$AM44),INDEX('Cronograma Asistente Técnico'!$O$5:$O$1000,$AM44))&amp;"",IF(ISNUMBER($G44),IF(AND(ISNUMBER($AS44),$G44&gt;$AS44),"Cumplida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f>IF(NOT((COUNTA($B44:$D44)+COUNTA($G44:$H44)+COUNTA($Q44))&gt;0),"",IF($D44="","Propia",IF($V44&lt;&gt;"Macro","Solo se delegan macroactividades",IF(N($AM44)&gt;0,"✔ Recibida por "&amp;$D44,"⚠ "&amp;$D44&amp;" aún no la agrega"))))</f>
        <v/>
      </c>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IF($V44&lt;&gt;"Sub","",N($X44)*IF(AND(ISNUMBER($G44),$G44&lt;=IF($S44=MesCiclo,InicioCiclo,$S44+MOD(2-WEEKDAY($S44),7))+6),1,MIN(1,MAX(0,IF(ISNUMBER(OFFSET($A$1,ROW()-1,8)),OFFSET($A$1,ROW()-1,8),0)))))</f>
        <v/>
      </c>
      <c r="AE44" s="62">
        <f>IF($V44&lt;&gt;"Sub","",N($X44)*IF(AND(ISNUMBER($G44),$G44&lt;=IF($S44=MesCiclo,InicioCiclo,$S44+MOD(2-WEEKDAY($S44),7))+13),1,MIN(1,MAX(0,IF(ISNUMBER(OFFSET($A$1,ROW()-1,9)),OFFSET($A$1,ROW()-1,9),IF(ISNUMBER(OFFSET($A$1,ROW()-1,8)),OFFSET($A$1,ROW()-1,8),0))))))</f>
        <v/>
      </c>
      <c r="AF44" s="62">
        <f>IF($V44&lt;&gt;"Sub","",N($X44)*IF(AND(ISNUMBER($G44),$G44&lt;=IF($S44=MesCiclo,InicioCiclo,$S44+MOD(2-WEEKDAY($S44),7))+20),1,MIN(1,MAX(0,IF(ISNUMBER(OFFSET($A$1,ROW()-1,10)),OFFSET($A$1,ROW()-1,10),IF(ISNUMBER(OFFSET($A$1,ROW()-1,9)),OFFSET($A$1,ROW()-1,9),IF(ISNUMBER(OFFSET($A$1,ROW()-1,8)),OFFSET($A$1,ROW()-1,8),0)))))))</f>
        <v/>
      </c>
      <c r="AG44" s="62">
        <f>IF($V44&lt;&gt;"Sub","",N($X44)*IF(AND(ISNUMBER($G44),$G44&lt;=IF($S44=MesCiclo,InicioCiclo,$S44+MOD(2-WEEKDAY($S44),7))+27),1,MIN(1,MAX(0,IF(ISNUMBER(OFFSET($A$1,ROW()-1,11)),OFFSET($A$1,ROW()-1,11),IF(ISNUMBER(OFFSET($A$1,ROW()-1,10)),OFFSET($A$1,ROW()-1,10),IF(ISNUMBER(OFFSET($A$1,ROW()-1,9)),OFFSET($A$1,ROW()-1,9),IF(ISNUMBER(OFFSET($A$1,ROW()-1,8)),OFFSET($A$1,ROW()-1,8),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f>IF(NOT(AND($D44&lt;&gt;"",$V44="Macro")),"",IFERROR(CHOOSE(MATCH($D44,ListaPuestos,0),MATCH("[Jefatura] "&amp;$C44,'Cronograma R. Operacional'!$C$5:$C$1000,0),MATCH("[Jefatura] "&amp;$C44,'Cronograma R. Normativo'!$C$5:$C$1000,0),MATCH("[Jefatura] "&amp;$C44,'Cronograma R. Financiero'!$C$5:$C$1000,0),MATCH("[Jefatura] "&amp;$C44,'Cronograma Asistente Técnico'!$C$5:$C$1000,0)),0))</f>
        <v/>
      </c>
      <c r="AN44" s="62">
        <f>IF(AND(AND($D44&lt;&gt;"",$V44="Macro"),$S44=MesCiclo),COUNTIFS($D$5:$D44,$D44,$S$5:$S44,MesCiclo,$V$5:$V44,"Macro"),"")</f>
        <v/>
      </c>
      <c r="AO44" s="62">
        <f>IF($AN44="","",$D44&amp;"|"&amp;$AN44)</f>
        <v/>
      </c>
      <c r="AP44" s="62">
        <f>IF(AND($D44&lt;&gt;"",$V44="Macro"),$D44&amp;"|"&amp;$C44,"")</f>
        <v/>
      </c>
      <c r="AQ44" s="62">
        <f>""</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t="n"/>
      <c r="F45" s="59" t="n"/>
      <c r="G45" s="59" t="n"/>
      <c r="H45" s="60" t="n"/>
      <c r="I45" s="60">
        <f>IF(N($W45)=0,"",IF(AND($S45=MesCiclo,1&gt;SemanaActual),"",MIN(1,SUMIFS(OFFSET($A$1,ROW(),29,1000-ROW(),1),OFFSET($A$1,ROW(),20,1000-ROW(),1),ROW(),OFFSET($A$1,ROW(),21,1000-ROW(),1),"Sub"))))</f>
        <v/>
      </c>
      <c r="J45" s="60">
        <f>IF(N($W45)=0,"",IF(AND($S45=MesCiclo,2&gt;SemanaActual),"",MIN(1,SUMIFS(OFFSET($A$1,ROW(),30,1000-ROW(),1),OFFSET($A$1,ROW(),20,1000-ROW(),1),ROW(),OFFSET($A$1,ROW(),21,1000-ROW(),1),"Sub"))))</f>
        <v/>
      </c>
      <c r="K45" s="60">
        <f>IF(N($W45)=0,"",IF(AND($S45=MesCiclo,3&gt;SemanaActual),"",MIN(1,SUMIFS(OFFSET($A$1,ROW(),31,1000-ROW(),1),OFFSET($A$1,ROW(),20,1000-ROW(),1),ROW(),OFFSET($A$1,ROW(),21,1000-ROW(),1),"Sub"))))</f>
        <v/>
      </c>
      <c r="L45" s="60">
        <f>IF(N($W45)=0,"",IF(AND($S45=MesCiclo,4&gt;SemanaActual),"",MIN(1,SUMIFS(OFFSET($A$1,ROW(),32,1000-ROW(),1),OFFSET($A$1,ROW(),20,1000-ROW(),1),ROW(),OFFSET($A$1,ROW(),21,1000-ROW(),1),"Sub"))))</f>
        <v/>
      </c>
      <c r="M45" s="61">
        <f>IF(NOT((COUNTA($B45:$D45)+COUNTA($G45:$H45)+COUNTA($Q45))&gt;0),"",IF(AND($D45&lt;&gt;"",$V45="Macro"),IF(N($AM45)&gt;0,N(CHOOSE(MATCH($D45,ListaPuestos,0),INDEX('Cronograma R. Operacional'!$M$5:$M$1000,$AM45),INDEX('Cronograma R. Normativo'!$M$5:$M$1000,$AM45),INDEX('Cronograma R. Financiero'!$M$5:$M$1000,$AM45),INDEX('Cronograma Asistente Técnico'!$M$5:$M$1000,$AM45))),0),IF(ISNUMBER($G45),1,IF(N($W45)&gt;0,MIN(1,SUMIFS($Y$5:$Y$1000,$U$5:$U$1000,ROW(),$V$5:$V$1000,"Sub")),$Y45))))</f>
        <v/>
      </c>
      <c r="N45" s="56">
        <f>IF(OR($M45="",$V45="Sub"),"",IF($M45&gt;=1,"Completado",IF($M45&gt;0,"En curso","Pendiente")))</f>
        <v/>
      </c>
      <c r="O45" s="56">
        <f>IF(NOT((COUNTA($B45:$D45)+COUNTA($G45:$H45)+COUNTA($Q45))&gt;0),"",IF(AND(AND($D45&lt;&gt;"",$V45="Macro"),N($AM45)&gt;0),CHOOSE(MATCH($D45,ListaPuestos,0),INDEX('Cronograma R. Operacional'!$O$5:$O$1000,$AM45),INDEX('Cronograma R. Normativo'!$O$5:$O$1000,$AM45),INDEX('Cronograma R. Financiero'!$O$5:$O$1000,$AM45),INDEX('Cronograma Asistente Técnico'!$O$5:$O$1000,$AM45))&amp;"",IF(ISNUMBER($G45),IF(AND(ISNUMBER($AS45),$G45&gt;$AS45),"Cumplida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f>IF(NOT((COUNTA($B45:$D45)+COUNTA($G45:$H45)+COUNTA($Q45))&gt;0),"",IF($D45="","Propia",IF($V45&lt;&gt;"Macro","Solo se delegan macroactividades",IF(N($AM45)&gt;0,"✔ Recibida por "&amp;$D45,"⚠ "&amp;$D45&amp;" aún no la agrega"))))</f>
        <v/>
      </c>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IF($V45&lt;&gt;"Sub","",N($X45)*IF(AND(ISNUMBER($G45),$G45&lt;=IF($S45=MesCiclo,InicioCiclo,$S45+MOD(2-WEEKDAY($S45),7))+6),1,MIN(1,MAX(0,IF(ISNUMBER(OFFSET($A$1,ROW()-1,8)),OFFSET($A$1,ROW()-1,8),0)))))</f>
        <v/>
      </c>
      <c r="AE45" s="62">
        <f>IF($V45&lt;&gt;"Sub","",N($X45)*IF(AND(ISNUMBER($G45),$G45&lt;=IF($S45=MesCiclo,InicioCiclo,$S45+MOD(2-WEEKDAY($S45),7))+13),1,MIN(1,MAX(0,IF(ISNUMBER(OFFSET($A$1,ROW()-1,9)),OFFSET($A$1,ROW()-1,9),IF(ISNUMBER(OFFSET($A$1,ROW()-1,8)),OFFSET($A$1,ROW()-1,8),0))))))</f>
        <v/>
      </c>
      <c r="AF45" s="62">
        <f>IF($V45&lt;&gt;"Sub","",N($X45)*IF(AND(ISNUMBER($G45),$G45&lt;=IF($S45=MesCiclo,InicioCiclo,$S45+MOD(2-WEEKDAY($S45),7))+20),1,MIN(1,MAX(0,IF(ISNUMBER(OFFSET($A$1,ROW()-1,10)),OFFSET($A$1,ROW()-1,10),IF(ISNUMBER(OFFSET($A$1,ROW()-1,9)),OFFSET($A$1,ROW()-1,9),IF(ISNUMBER(OFFSET($A$1,ROW()-1,8)),OFFSET($A$1,ROW()-1,8),0)))))))</f>
        <v/>
      </c>
      <c r="AG45" s="62">
        <f>IF($V45&lt;&gt;"Sub","",N($X45)*IF(AND(ISNUMBER($G45),$G45&lt;=IF($S45=MesCiclo,InicioCiclo,$S45+MOD(2-WEEKDAY($S45),7))+27),1,MIN(1,MAX(0,IF(ISNUMBER(OFFSET($A$1,ROW()-1,11)),OFFSET($A$1,ROW()-1,11),IF(ISNUMBER(OFFSET($A$1,ROW()-1,10)),OFFSET($A$1,ROW()-1,10),IF(ISNUMBER(OFFSET($A$1,ROW()-1,9)),OFFSET($A$1,ROW()-1,9),IF(ISNUMBER(OFFSET($A$1,ROW()-1,8)),OFFSET($A$1,ROW()-1,8),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f>IF(NOT(AND($D45&lt;&gt;"",$V45="Macro")),"",IFERROR(CHOOSE(MATCH($D45,ListaPuestos,0),MATCH("[Jefatura] "&amp;$C45,'Cronograma R. Operacional'!$C$5:$C$1000,0),MATCH("[Jefatura] "&amp;$C45,'Cronograma R. Normativo'!$C$5:$C$1000,0),MATCH("[Jefatura] "&amp;$C45,'Cronograma R. Financiero'!$C$5:$C$1000,0),MATCH("[Jefatura] "&amp;$C45,'Cronograma Asistente Técnico'!$C$5:$C$1000,0)),0))</f>
        <v/>
      </c>
      <c r="AN45" s="62">
        <f>IF(AND(AND($D45&lt;&gt;"",$V45="Macro"),$S45=MesCiclo),COUNTIFS($D$5:$D45,$D45,$S$5:$S45,MesCiclo,$V$5:$V45,"Macro"),"")</f>
        <v/>
      </c>
      <c r="AO45" s="62">
        <f>IF($AN45="","",$D45&amp;"|"&amp;$AN45)</f>
        <v/>
      </c>
      <c r="AP45" s="62">
        <f>IF(AND($D45&lt;&gt;"",$V45="Macro"),$D45&amp;"|"&amp;$C45,"")</f>
        <v/>
      </c>
      <c r="AQ45" s="62">
        <f>""</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t="n"/>
      <c r="F46" s="59" t="n"/>
      <c r="G46" s="59" t="n"/>
      <c r="H46" s="60" t="n"/>
      <c r="I46" s="60">
        <f>IF(N($W46)=0,"",IF(AND($S46=MesCiclo,1&gt;SemanaActual),"",MIN(1,SUMIFS(OFFSET($A$1,ROW(),29,1000-ROW(),1),OFFSET($A$1,ROW(),20,1000-ROW(),1),ROW(),OFFSET($A$1,ROW(),21,1000-ROW(),1),"Sub"))))</f>
        <v/>
      </c>
      <c r="J46" s="60">
        <f>IF(N($W46)=0,"",IF(AND($S46=MesCiclo,2&gt;SemanaActual),"",MIN(1,SUMIFS(OFFSET($A$1,ROW(),30,1000-ROW(),1),OFFSET($A$1,ROW(),20,1000-ROW(),1),ROW(),OFFSET($A$1,ROW(),21,1000-ROW(),1),"Sub"))))</f>
        <v/>
      </c>
      <c r="K46" s="60">
        <f>IF(N($W46)=0,"",IF(AND($S46=MesCiclo,3&gt;SemanaActual),"",MIN(1,SUMIFS(OFFSET($A$1,ROW(),31,1000-ROW(),1),OFFSET($A$1,ROW(),20,1000-ROW(),1),ROW(),OFFSET($A$1,ROW(),21,1000-ROW(),1),"Sub"))))</f>
        <v/>
      </c>
      <c r="L46" s="60">
        <f>IF(N($W46)=0,"",IF(AND($S46=MesCiclo,4&gt;SemanaActual),"",MIN(1,SUMIFS(OFFSET($A$1,ROW(),32,1000-ROW(),1),OFFSET($A$1,ROW(),20,1000-ROW(),1),ROW(),OFFSET($A$1,ROW(),21,1000-ROW(),1),"Sub"))))</f>
        <v/>
      </c>
      <c r="M46" s="61">
        <f>IF(NOT((COUNTA($B46:$D46)+COUNTA($G46:$H46)+COUNTA($Q46))&gt;0),"",IF(AND($D46&lt;&gt;"",$V46="Macro"),IF(N($AM46)&gt;0,N(CHOOSE(MATCH($D46,ListaPuestos,0),INDEX('Cronograma R. Operacional'!$M$5:$M$1000,$AM46),INDEX('Cronograma R. Normativo'!$M$5:$M$1000,$AM46),INDEX('Cronograma R. Financiero'!$M$5:$M$1000,$AM46),INDEX('Cronograma Asistente Técnico'!$M$5:$M$1000,$AM46))),0),IF(ISNUMBER($G46),1,IF(N($W46)&gt;0,MIN(1,SUMIFS($Y$5:$Y$1000,$U$5:$U$1000,ROW(),$V$5:$V$1000,"Sub")),$Y46))))</f>
        <v/>
      </c>
      <c r="N46" s="56">
        <f>IF(OR($M46="",$V46="Sub"),"",IF($M46&gt;=1,"Completado",IF($M46&gt;0,"En curso","Pendiente")))</f>
        <v/>
      </c>
      <c r="O46" s="56">
        <f>IF(NOT((COUNTA($B46:$D46)+COUNTA($G46:$H46)+COUNTA($Q46))&gt;0),"",IF(AND(AND($D46&lt;&gt;"",$V46="Macro"),N($AM46)&gt;0),CHOOSE(MATCH($D46,ListaPuestos,0),INDEX('Cronograma R. Operacional'!$O$5:$O$1000,$AM46),INDEX('Cronograma R. Normativo'!$O$5:$O$1000,$AM46),INDEX('Cronograma R. Financiero'!$O$5:$O$1000,$AM46),INDEX('Cronograma Asistente Técnico'!$O$5:$O$1000,$AM46))&amp;"",IF(ISNUMBER($G46),IF(AND(ISNUMBER($AS46),$G46&gt;$AS46),"Cumplida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f>IF(NOT((COUNTA($B46:$D46)+COUNTA($G46:$H46)+COUNTA($Q46))&gt;0),"",IF($D46="","Propia",IF($V46&lt;&gt;"Macro","Solo se delegan macroactividades",IF(N($AM46)&gt;0,"✔ Recibida por "&amp;$D46,"⚠ "&amp;$D46&amp;" aún no la agrega"))))</f>
        <v/>
      </c>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IF($V46&lt;&gt;"Sub","",N($X46)*IF(AND(ISNUMBER($G46),$G46&lt;=IF($S46=MesCiclo,InicioCiclo,$S46+MOD(2-WEEKDAY($S46),7))+6),1,MIN(1,MAX(0,IF(ISNUMBER(OFFSET($A$1,ROW()-1,8)),OFFSET($A$1,ROW()-1,8),0)))))</f>
        <v/>
      </c>
      <c r="AE46" s="62">
        <f>IF($V46&lt;&gt;"Sub","",N($X46)*IF(AND(ISNUMBER($G46),$G46&lt;=IF($S46=MesCiclo,InicioCiclo,$S46+MOD(2-WEEKDAY($S46),7))+13),1,MIN(1,MAX(0,IF(ISNUMBER(OFFSET($A$1,ROW()-1,9)),OFFSET($A$1,ROW()-1,9),IF(ISNUMBER(OFFSET($A$1,ROW()-1,8)),OFFSET($A$1,ROW()-1,8),0))))))</f>
        <v/>
      </c>
      <c r="AF46" s="62">
        <f>IF($V46&lt;&gt;"Sub","",N($X46)*IF(AND(ISNUMBER($G46),$G46&lt;=IF($S46=MesCiclo,InicioCiclo,$S46+MOD(2-WEEKDAY($S46),7))+20),1,MIN(1,MAX(0,IF(ISNUMBER(OFFSET($A$1,ROW()-1,10)),OFFSET($A$1,ROW()-1,10),IF(ISNUMBER(OFFSET($A$1,ROW()-1,9)),OFFSET($A$1,ROW()-1,9),IF(ISNUMBER(OFFSET($A$1,ROW()-1,8)),OFFSET($A$1,ROW()-1,8),0)))))))</f>
        <v/>
      </c>
      <c r="AG46" s="62">
        <f>IF($V46&lt;&gt;"Sub","",N($X46)*IF(AND(ISNUMBER($G46),$G46&lt;=IF($S46=MesCiclo,InicioCiclo,$S46+MOD(2-WEEKDAY($S46),7))+27),1,MIN(1,MAX(0,IF(ISNUMBER(OFFSET($A$1,ROW()-1,11)),OFFSET($A$1,ROW()-1,11),IF(ISNUMBER(OFFSET($A$1,ROW()-1,10)),OFFSET($A$1,ROW()-1,10),IF(ISNUMBER(OFFSET($A$1,ROW()-1,9)),OFFSET($A$1,ROW()-1,9),IF(ISNUMBER(OFFSET($A$1,ROW()-1,8)),OFFSET($A$1,ROW()-1,8),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f>IF(NOT(AND($D46&lt;&gt;"",$V46="Macro")),"",IFERROR(CHOOSE(MATCH($D46,ListaPuestos,0),MATCH("[Jefatura] "&amp;$C46,'Cronograma R. Operacional'!$C$5:$C$1000,0),MATCH("[Jefatura] "&amp;$C46,'Cronograma R. Normativo'!$C$5:$C$1000,0),MATCH("[Jefatura] "&amp;$C46,'Cronograma R. Financiero'!$C$5:$C$1000,0),MATCH("[Jefatura] "&amp;$C46,'Cronograma Asistente Técnico'!$C$5:$C$1000,0)),0))</f>
        <v/>
      </c>
      <c r="AN46" s="62">
        <f>IF(AND(AND($D46&lt;&gt;"",$V46="Macro"),$S46=MesCiclo),COUNTIFS($D$5:$D46,$D46,$S$5:$S46,MesCiclo,$V$5:$V46,"Macro"),"")</f>
        <v/>
      </c>
      <c r="AO46" s="62">
        <f>IF($AN46="","",$D46&amp;"|"&amp;$AN46)</f>
        <v/>
      </c>
      <c r="AP46" s="62">
        <f>IF(AND($D46&lt;&gt;"",$V46="Macro"),$D46&amp;"|"&amp;$C46,"")</f>
        <v/>
      </c>
      <c r="AQ46" s="62">
        <f>""</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t="n"/>
      <c r="F47" s="59" t="n"/>
      <c r="G47" s="59" t="n"/>
      <c r="H47" s="60" t="n"/>
      <c r="I47" s="60">
        <f>IF(N($W47)=0,"",IF(AND($S47=MesCiclo,1&gt;SemanaActual),"",MIN(1,SUMIFS(OFFSET($A$1,ROW(),29,1000-ROW(),1),OFFSET($A$1,ROW(),20,1000-ROW(),1),ROW(),OFFSET($A$1,ROW(),21,1000-ROW(),1),"Sub"))))</f>
        <v/>
      </c>
      <c r="J47" s="60">
        <f>IF(N($W47)=0,"",IF(AND($S47=MesCiclo,2&gt;SemanaActual),"",MIN(1,SUMIFS(OFFSET($A$1,ROW(),30,1000-ROW(),1),OFFSET($A$1,ROW(),20,1000-ROW(),1),ROW(),OFFSET($A$1,ROW(),21,1000-ROW(),1),"Sub"))))</f>
        <v/>
      </c>
      <c r="K47" s="60">
        <f>IF(N($W47)=0,"",IF(AND($S47=MesCiclo,3&gt;SemanaActual),"",MIN(1,SUMIFS(OFFSET($A$1,ROW(),31,1000-ROW(),1),OFFSET($A$1,ROW(),20,1000-ROW(),1),ROW(),OFFSET($A$1,ROW(),21,1000-ROW(),1),"Sub"))))</f>
        <v/>
      </c>
      <c r="L47" s="60">
        <f>IF(N($W47)=0,"",IF(AND($S47=MesCiclo,4&gt;SemanaActual),"",MIN(1,SUMIFS(OFFSET($A$1,ROW(),32,1000-ROW(),1),OFFSET($A$1,ROW(),20,1000-ROW(),1),ROW(),OFFSET($A$1,ROW(),21,1000-ROW(),1),"Sub"))))</f>
        <v/>
      </c>
      <c r="M47" s="61">
        <f>IF(NOT((COUNTA($B47:$D47)+COUNTA($G47:$H47)+COUNTA($Q47))&gt;0),"",IF(AND($D47&lt;&gt;"",$V47="Macro"),IF(N($AM47)&gt;0,N(CHOOSE(MATCH($D47,ListaPuestos,0),INDEX('Cronograma R. Operacional'!$M$5:$M$1000,$AM47),INDEX('Cronograma R. Normativo'!$M$5:$M$1000,$AM47),INDEX('Cronograma R. Financiero'!$M$5:$M$1000,$AM47),INDEX('Cronograma Asistente Técnico'!$M$5:$M$1000,$AM47))),0),IF(ISNUMBER($G47),1,IF(N($W47)&gt;0,MIN(1,SUMIFS($Y$5:$Y$1000,$U$5:$U$1000,ROW(),$V$5:$V$1000,"Sub")),$Y47))))</f>
        <v/>
      </c>
      <c r="N47" s="56">
        <f>IF(OR($M47="",$V47="Sub"),"",IF($M47&gt;=1,"Completado",IF($M47&gt;0,"En curso","Pendiente")))</f>
        <v/>
      </c>
      <c r="O47" s="56">
        <f>IF(NOT((COUNTA($B47:$D47)+COUNTA($G47:$H47)+COUNTA($Q47))&gt;0),"",IF(AND(AND($D47&lt;&gt;"",$V47="Macro"),N($AM47)&gt;0),CHOOSE(MATCH($D47,ListaPuestos,0),INDEX('Cronograma R. Operacional'!$O$5:$O$1000,$AM47),INDEX('Cronograma R. Normativo'!$O$5:$O$1000,$AM47),INDEX('Cronograma R. Financiero'!$O$5:$O$1000,$AM47),INDEX('Cronograma Asistente Técnico'!$O$5:$O$1000,$AM47))&amp;"",IF(ISNUMBER($G47),IF(AND(ISNUMBER($AS47),$G47&gt;$AS47),"Cumplida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f>IF(NOT((COUNTA($B47:$D47)+COUNTA($G47:$H47)+COUNTA($Q47))&gt;0),"",IF($D47="","Propia",IF($V47&lt;&gt;"Macro","Solo se delegan macroactividades",IF(N($AM47)&gt;0,"✔ Recibida por "&amp;$D47,"⚠ "&amp;$D47&amp;" aún no la agrega"))))</f>
        <v/>
      </c>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IF($V47&lt;&gt;"Sub","",N($X47)*IF(AND(ISNUMBER($G47),$G47&lt;=IF($S47=MesCiclo,InicioCiclo,$S47+MOD(2-WEEKDAY($S47),7))+6),1,MIN(1,MAX(0,IF(ISNUMBER(OFFSET($A$1,ROW()-1,8)),OFFSET($A$1,ROW()-1,8),0)))))</f>
        <v/>
      </c>
      <c r="AE47" s="62">
        <f>IF($V47&lt;&gt;"Sub","",N($X47)*IF(AND(ISNUMBER($G47),$G47&lt;=IF($S47=MesCiclo,InicioCiclo,$S47+MOD(2-WEEKDAY($S47),7))+13),1,MIN(1,MAX(0,IF(ISNUMBER(OFFSET($A$1,ROW()-1,9)),OFFSET($A$1,ROW()-1,9),IF(ISNUMBER(OFFSET($A$1,ROW()-1,8)),OFFSET($A$1,ROW()-1,8),0))))))</f>
        <v/>
      </c>
      <c r="AF47" s="62">
        <f>IF($V47&lt;&gt;"Sub","",N($X47)*IF(AND(ISNUMBER($G47),$G47&lt;=IF($S47=MesCiclo,InicioCiclo,$S47+MOD(2-WEEKDAY($S47),7))+20),1,MIN(1,MAX(0,IF(ISNUMBER(OFFSET($A$1,ROW()-1,10)),OFFSET($A$1,ROW()-1,10),IF(ISNUMBER(OFFSET($A$1,ROW()-1,9)),OFFSET($A$1,ROW()-1,9),IF(ISNUMBER(OFFSET($A$1,ROW()-1,8)),OFFSET($A$1,ROW()-1,8),0)))))))</f>
        <v/>
      </c>
      <c r="AG47" s="62">
        <f>IF($V47&lt;&gt;"Sub","",N($X47)*IF(AND(ISNUMBER($G47),$G47&lt;=IF($S47=MesCiclo,InicioCiclo,$S47+MOD(2-WEEKDAY($S47),7))+27),1,MIN(1,MAX(0,IF(ISNUMBER(OFFSET($A$1,ROW()-1,11)),OFFSET($A$1,ROW()-1,11),IF(ISNUMBER(OFFSET($A$1,ROW()-1,10)),OFFSET($A$1,ROW()-1,10),IF(ISNUMBER(OFFSET($A$1,ROW()-1,9)),OFFSET($A$1,ROW()-1,9),IF(ISNUMBER(OFFSET($A$1,ROW()-1,8)),OFFSET($A$1,ROW()-1,8),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f>IF(NOT(AND($D47&lt;&gt;"",$V47="Macro")),"",IFERROR(CHOOSE(MATCH($D47,ListaPuestos,0),MATCH("[Jefatura] "&amp;$C47,'Cronograma R. Operacional'!$C$5:$C$1000,0),MATCH("[Jefatura] "&amp;$C47,'Cronograma R. Normativo'!$C$5:$C$1000,0),MATCH("[Jefatura] "&amp;$C47,'Cronograma R. Financiero'!$C$5:$C$1000,0),MATCH("[Jefatura] "&amp;$C47,'Cronograma Asistente Técnico'!$C$5:$C$1000,0)),0))</f>
        <v/>
      </c>
      <c r="AN47" s="62">
        <f>IF(AND(AND($D47&lt;&gt;"",$V47="Macro"),$S47=MesCiclo),COUNTIFS($D$5:$D47,$D47,$S$5:$S47,MesCiclo,$V$5:$V47,"Macro"),"")</f>
        <v/>
      </c>
      <c r="AO47" s="62">
        <f>IF($AN47="","",$D47&amp;"|"&amp;$AN47)</f>
        <v/>
      </c>
      <c r="AP47" s="62">
        <f>IF(AND($D47&lt;&gt;"",$V47="Macro"),$D47&amp;"|"&amp;$C47,"")</f>
        <v/>
      </c>
      <c r="AQ47" s="62">
        <f>""</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t="n"/>
      <c r="F48" s="59" t="n"/>
      <c r="G48" s="59" t="n"/>
      <c r="H48" s="60" t="n"/>
      <c r="I48" s="60">
        <f>IF(N($W48)=0,"",IF(AND($S48=MesCiclo,1&gt;SemanaActual),"",MIN(1,SUMIFS(OFFSET($A$1,ROW(),29,1000-ROW(),1),OFFSET($A$1,ROW(),20,1000-ROW(),1),ROW(),OFFSET($A$1,ROW(),21,1000-ROW(),1),"Sub"))))</f>
        <v/>
      </c>
      <c r="J48" s="60">
        <f>IF(N($W48)=0,"",IF(AND($S48=MesCiclo,2&gt;SemanaActual),"",MIN(1,SUMIFS(OFFSET($A$1,ROW(),30,1000-ROW(),1),OFFSET($A$1,ROW(),20,1000-ROW(),1),ROW(),OFFSET($A$1,ROW(),21,1000-ROW(),1),"Sub"))))</f>
        <v/>
      </c>
      <c r="K48" s="60">
        <f>IF(N($W48)=0,"",IF(AND($S48=MesCiclo,3&gt;SemanaActual),"",MIN(1,SUMIFS(OFFSET($A$1,ROW(),31,1000-ROW(),1),OFFSET($A$1,ROW(),20,1000-ROW(),1),ROW(),OFFSET($A$1,ROW(),21,1000-ROW(),1),"Sub"))))</f>
        <v/>
      </c>
      <c r="L48" s="60">
        <f>IF(N($W48)=0,"",IF(AND($S48=MesCiclo,4&gt;SemanaActual),"",MIN(1,SUMIFS(OFFSET($A$1,ROW(),32,1000-ROW(),1),OFFSET($A$1,ROW(),20,1000-ROW(),1),ROW(),OFFSET($A$1,ROW(),21,1000-ROW(),1),"Sub"))))</f>
        <v/>
      </c>
      <c r="M48" s="61">
        <f>IF(NOT((COUNTA($B48:$D48)+COUNTA($G48:$H48)+COUNTA($Q48))&gt;0),"",IF(AND($D48&lt;&gt;"",$V48="Macro"),IF(N($AM48)&gt;0,N(CHOOSE(MATCH($D48,ListaPuestos,0),INDEX('Cronograma R. Operacional'!$M$5:$M$1000,$AM48),INDEX('Cronograma R. Normativo'!$M$5:$M$1000,$AM48),INDEX('Cronograma R. Financiero'!$M$5:$M$1000,$AM48),INDEX('Cronograma Asistente Técnico'!$M$5:$M$1000,$AM48))),0),IF(ISNUMBER($G48),1,IF(N($W48)&gt;0,MIN(1,SUMIFS($Y$5:$Y$1000,$U$5:$U$1000,ROW(),$V$5:$V$1000,"Sub")),$Y48))))</f>
        <v/>
      </c>
      <c r="N48" s="56">
        <f>IF(OR($M48="",$V48="Sub"),"",IF($M48&gt;=1,"Completado",IF($M48&gt;0,"En curso","Pendiente")))</f>
        <v/>
      </c>
      <c r="O48" s="56">
        <f>IF(NOT((COUNTA($B48:$D48)+COUNTA($G48:$H48)+COUNTA($Q48))&gt;0),"",IF(AND(AND($D48&lt;&gt;"",$V48="Macro"),N($AM48)&gt;0),CHOOSE(MATCH($D48,ListaPuestos,0),INDEX('Cronograma R. Operacional'!$O$5:$O$1000,$AM48),INDEX('Cronograma R. Normativo'!$O$5:$O$1000,$AM48),INDEX('Cronograma R. Financiero'!$O$5:$O$1000,$AM48),INDEX('Cronograma Asistente Técnico'!$O$5:$O$1000,$AM48))&amp;"",IF(ISNUMBER($G48),IF(AND(ISNUMBER($AS48),$G48&gt;$AS48),"Cumplida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f>IF(NOT((COUNTA($B48:$D48)+COUNTA($G48:$H48)+COUNTA($Q48))&gt;0),"",IF($D48="","Propia",IF($V48&lt;&gt;"Macro","Solo se delegan macroactividades",IF(N($AM48)&gt;0,"✔ Recibida por "&amp;$D48,"⚠ "&amp;$D48&amp;" aún no la agrega"))))</f>
        <v/>
      </c>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IF($V48&lt;&gt;"Sub","",N($X48)*IF(AND(ISNUMBER($G48),$G48&lt;=IF($S48=MesCiclo,InicioCiclo,$S48+MOD(2-WEEKDAY($S48),7))+6),1,MIN(1,MAX(0,IF(ISNUMBER(OFFSET($A$1,ROW()-1,8)),OFFSET($A$1,ROW()-1,8),0)))))</f>
        <v/>
      </c>
      <c r="AE48" s="62">
        <f>IF($V48&lt;&gt;"Sub","",N($X48)*IF(AND(ISNUMBER($G48),$G48&lt;=IF($S48=MesCiclo,InicioCiclo,$S48+MOD(2-WEEKDAY($S48),7))+13),1,MIN(1,MAX(0,IF(ISNUMBER(OFFSET($A$1,ROW()-1,9)),OFFSET($A$1,ROW()-1,9),IF(ISNUMBER(OFFSET($A$1,ROW()-1,8)),OFFSET($A$1,ROW()-1,8),0))))))</f>
        <v/>
      </c>
      <c r="AF48" s="62">
        <f>IF($V48&lt;&gt;"Sub","",N($X48)*IF(AND(ISNUMBER($G48),$G48&lt;=IF($S48=MesCiclo,InicioCiclo,$S48+MOD(2-WEEKDAY($S48),7))+20),1,MIN(1,MAX(0,IF(ISNUMBER(OFFSET($A$1,ROW()-1,10)),OFFSET($A$1,ROW()-1,10),IF(ISNUMBER(OFFSET($A$1,ROW()-1,9)),OFFSET($A$1,ROW()-1,9),IF(ISNUMBER(OFFSET($A$1,ROW()-1,8)),OFFSET($A$1,ROW()-1,8),0)))))))</f>
        <v/>
      </c>
      <c r="AG48" s="62">
        <f>IF($V48&lt;&gt;"Sub","",N($X48)*IF(AND(ISNUMBER($G48),$G48&lt;=IF($S48=MesCiclo,InicioCiclo,$S48+MOD(2-WEEKDAY($S48),7))+27),1,MIN(1,MAX(0,IF(ISNUMBER(OFFSET($A$1,ROW()-1,11)),OFFSET($A$1,ROW()-1,11),IF(ISNUMBER(OFFSET($A$1,ROW()-1,10)),OFFSET($A$1,ROW()-1,10),IF(ISNUMBER(OFFSET($A$1,ROW()-1,9)),OFFSET($A$1,ROW()-1,9),IF(ISNUMBER(OFFSET($A$1,ROW()-1,8)),OFFSET($A$1,ROW()-1,8),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f>IF(NOT(AND($D48&lt;&gt;"",$V48="Macro")),"",IFERROR(CHOOSE(MATCH($D48,ListaPuestos,0),MATCH("[Jefatura] "&amp;$C48,'Cronograma R. Operacional'!$C$5:$C$1000,0),MATCH("[Jefatura] "&amp;$C48,'Cronograma R. Normativo'!$C$5:$C$1000,0),MATCH("[Jefatura] "&amp;$C48,'Cronograma R. Financiero'!$C$5:$C$1000,0),MATCH("[Jefatura] "&amp;$C48,'Cronograma Asistente Técnico'!$C$5:$C$1000,0)),0))</f>
        <v/>
      </c>
      <c r="AN48" s="62">
        <f>IF(AND(AND($D48&lt;&gt;"",$V48="Macro"),$S48=MesCiclo),COUNTIFS($D$5:$D48,$D48,$S$5:$S48,MesCiclo,$V$5:$V48,"Macro"),"")</f>
        <v/>
      </c>
      <c r="AO48" s="62">
        <f>IF($AN48="","",$D48&amp;"|"&amp;$AN48)</f>
        <v/>
      </c>
      <c r="AP48" s="62">
        <f>IF(AND($D48&lt;&gt;"",$V48="Macro"),$D48&amp;"|"&amp;$C48,"")</f>
        <v/>
      </c>
      <c r="AQ48" s="62">
        <f>""</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t="n"/>
      <c r="F49" s="59" t="n"/>
      <c r="G49" s="59" t="n"/>
      <c r="H49" s="60" t="n"/>
      <c r="I49" s="60">
        <f>IF(N($W49)=0,"",IF(AND($S49=MesCiclo,1&gt;SemanaActual),"",MIN(1,SUMIFS(OFFSET($A$1,ROW(),29,1000-ROW(),1),OFFSET($A$1,ROW(),20,1000-ROW(),1),ROW(),OFFSET($A$1,ROW(),21,1000-ROW(),1),"Sub"))))</f>
        <v/>
      </c>
      <c r="J49" s="60">
        <f>IF(N($W49)=0,"",IF(AND($S49=MesCiclo,2&gt;SemanaActual),"",MIN(1,SUMIFS(OFFSET($A$1,ROW(),30,1000-ROW(),1),OFFSET($A$1,ROW(),20,1000-ROW(),1),ROW(),OFFSET($A$1,ROW(),21,1000-ROW(),1),"Sub"))))</f>
        <v/>
      </c>
      <c r="K49" s="60">
        <f>IF(N($W49)=0,"",IF(AND($S49=MesCiclo,3&gt;SemanaActual),"",MIN(1,SUMIFS(OFFSET($A$1,ROW(),31,1000-ROW(),1),OFFSET($A$1,ROW(),20,1000-ROW(),1),ROW(),OFFSET($A$1,ROW(),21,1000-ROW(),1),"Sub"))))</f>
        <v/>
      </c>
      <c r="L49" s="60">
        <f>IF(N($W49)=0,"",IF(AND($S49=MesCiclo,4&gt;SemanaActual),"",MIN(1,SUMIFS(OFFSET($A$1,ROW(),32,1000-ROW(),1),OFFSET($A$1,ROW(),20,1000-ROW(),1),ROW(),OFFSET($A$1,ROW(),21,1000-ROW(),1),"Sub"))))</f>
        <v/>
      </c>
      <c r="M49" s="61">
        <f>IF(NOT((COUNTA($B49:$D49)+COUNTA($G49:$H49)+COUNTA($Q49))&gt;0),"",IF(AND($D49&lt;&gt;"",$V49="Macro"),IF(N($AM49)&gt;0,N(CHOOSE(MATCH($D49,ListaPuestos,0),INDEX('Cronograma R. Operacional'!$M$5:$M$1000,$AM49),INDEX('Cronograma R. Normativo'!$M$5:$M$1000,$AM49),INDEX('Cronograma R. Financiero'!$M$5:$M$1000,$AM49),INDEX('Cronograma Asistente Técnico'!$M$5:$M$1000,$AM49))),0),IF(ISNUMBER($G49),1,IF(N($W49)&gt;0,MIN(1,SUMIFS($Y$5:$Y$1000,$U$5:$U$1000,ROW(),$V$5:$V$1000,"Sub")),$Y49))))</f>
        <v/>
      </c>
      <c r="N49" s="56">
        <f>IF(OR($M49="",$V49="Sub"),"",IF($M49&gt;=1,"Completado",IF($M49&gt;0,"En curso","Pendiente")))</f>
        <v/>
      </c>
      <c r="O49" s="56">
        <f>IF(NOT((COUNTA($B49:$D49)+COUNTA($G49:$H49)+COUNTA($Q49))&gt;0),"",IF(AND(AND($D49&lt;&gt;"",$V49="Macro"),N($AM49)&gt;0),CHOOSE(MATCH($D49,ListaPuestos,0),INDEX('Cronograma R. Operacional'!$O$5:$O$1000,$AM49),INDEX('Cronograma R. Normativo'!$O$5:$O$1000,$AM49),INDEX('Cronograma R. Financiero'!$O$5:$O$1000,$AM49),INDEX('Cronograma Asistente Técnico'!$O$5:$O$1000,$AM49))&amp;"",IF(ISNUMBER($G49),IF(AND(ISNUMBER($AS49),$G49&gt;$AS49),"Cumplida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f>IF(NOT((COUNTA($B49:$D49)+COUNTA($G49:$H49)+COUNTA($Q49))&gt;0),"",IF($D49="","Propia",IF($V49&lt;&gt;"Macro","Solo se delegan macroactividades",IF(N($AM49)&gt;0,"✔ Recibida por "&amp;$D49,"⚠ "&amp;$D49&amp;" aún no la agrega"))))</f>
        <v/>
      </c>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IF($V49&lt;&gt;"Sub","",N($X49)*IF(AND(ISNUMBER($G49),$G49&lt;=IF($S49=MesCiclo,InicioCiclo,$S49+MOD(2-WEEKDAY($S49),7))+6),1,MIN(1,MAX(0,IF(ISNUMBER(OFFSET($A$1,ROW()-1,8)),OFFSET($A$1,ROW()-1,8),0)))))</f>
        <v/>
      </c>
      <c r="AE49" s="62">
        <f>IF($V49&lt;&gt;"Sub","",N($X49)*IF(AND(ISNUMBER($G49),$G49&lt;=IF($S49=MesCiclo,InicioCiclo,$S49+MOD(2-WEEKDAY($S49),7))+13),1,MIN(1,MAX(0,IF(ISNUMBER(OFFSET($A$1,ROW()-1,9)),OFFSET($A$1,ROW()-1,9),IF(ISNUMBER(OFFSET($A$1,ROW()-1,8)),OFFSET($A$1,ROW()-1,8),0))))))</f>
        <v/>
      </c>
      <c r="AF49" s="62">
        <f>IF($V49&lt;&gt;"Sub","",N($X49)*IF(AND(ISNUMBER($G49),$G49&lt;=IF($S49=MesCiclo,InicioCiclo,$S49+MOD(2-WEEKDAY($S49),7))+20),1,MIN(1,MAX(0,IF(ISNUMBER(OFFSET($A$1,ROW()-1,10)),OFFSET($A$1,ROW()-1,10),IF(ISNUMBER(OFFSET($A$1,ROW()-1,9)),OFFSET($A$1,ROW()-1,9),IF(ISNUMBER(OFFSET($A$1,ROW()-1,8)),OFFSET($A$1,ROW()-1,8),0)))))))</f>
        <v/>
      </c>
      <c r="AG49" s="62">
        <f>IF($V49&lt;&gt;"Sub","",N($X49)*IF(AND(ISNUMBER($G49),$G49&lt;=IF($S49=MesCiclo,InicioCiclo,$S49+MOD(2-WEEKDAY($S49),7))+27),1,MIN(1,MAX(0,IF(ISNUMBER(OFFSET($A$1,ROW()-1,11)),OFFSET($A$1,ROW()-1,11),IF(ISNUMBER(OFFSET($A$1,ROW()-1,10)),OFFSET($A$1,ROW()-1,10),IF(ISNUMBER(OFFSET($A$1,ROW()-1,9)),OFFSET($A$1,ROW()-1,9),IF(ISNUMBER(OFFSET($A$1,ROW()-1,8)),OFFSET($A$1,ROW()-1,8),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f>IF(NOT(AND($D49&lt;&gt;"",$V49="Macro")),"",IFERROR(CHOOSE(MATCH($D49,ListaPuestos,0),MATCH("[Jefatura] "&amp;$C49,'Cronograma R. Operacional'!$C$5:$C$1000,0),MATCH("[Jefatura] "&amp;$C49,'Cronograma R. Normativo'!$C$5:$C$1000,0),MATCH("[Jefatura] "&amp;$C49,'Cronograma R. Financiero'!$C$5:$C$1000,0),MATCH("[Jefatura] "&amp;$C49,'Cronograma Asistente Técnico'!$C$5:$C$1000,0)),0))</f>
        <v/>
      </c>
      <c r="AN49" s="62">
        <f>IF(AND(AND($D49&lt;&gt;"",$V49="Macro"),$S49=MesCiclo),COUNTIFS($D$5:$D49,$D49,$S$5:$S49,MesCiclo,$V$5:$V49,"Macro"),"")</f>
        <v/>
      </c>
      <c r="AO49" s="62">
        <f>IF($AN49="","",$D49&amp;"|"&amp;$AN49)</f>
        <v/>
      </c>
      <c r="AP49" s="62">
        <f>IF(AND($D49&lt;&gt;"",$V49="Macro"),$D49&amp;"|"&amp;$C49,"")</f>
        <v/>
      </c>
      <c r="AQ49" s="62">
        <f>""</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t="n"/>
      <c r="F50" s="59" t="n"/>
      <c r="G50" s="59" t="n"/>
      <c r="H50" s="60" t="n"/>
      <c r="I50" s="60">
        <f>IF(N($W50)=0,"",IF(AND($S50=MesCiclo,1&gt;SemanaActual),"",MIN(1,SUMIFS(OFFSET($A$1,ROW(),29,1000-ROW(),1),OFFSET($A$1,ROW(),20,1000-ROW(),1),ROW(),OFFSET($A$1,ROW(),21,1000-ROW(),1),"Sub"))))</f>
        <v/>
      </c>
      <c r="J50" s="60">
        <f>IF(N($W50)=0,"",IF(AND($S50=MesCiclo,2&gt;SemanaActual),"",MIN(1,SUMIFS(OFFSET($A$1,ROW(),30,1000-ROW(),1),OFFSET($A$1,ROW(),20,1000-ROW(),1),ROW(),OFFSET($A$1,ROW(),21,1000-ROW(),1),"Sub"))))</f>
        <v/>
      </c>
      <c r="K50" s="60">
        <f>IF(N($W50)=0,"",IF(AND($S50=MesCiclo,3&gt;SemanaActual),"",MIN(1,SUMIFS(OFFSET($A$1,ROW(),31,1000-ROW(),1),OFFSET($A$1,ROW(),20,1000-ROW(),1),ROW(),OFFSET($A$1,ROW(),21,1000-ROW(),1),"Sub"))))</f>
        <v/>
      </c>
      <c r="L50" s="60">
        <f>IF(N($W50)=0,"",IF(AND($S50=MesCiclo,4&gt;SemanaActual),"",MIN(1,SUMIFS(OFFSET($A$1,ROW(),32,1000-ROW(),1),OFFSET($A$1,ROW(),20,1000-ROW(),1),ROW(),OFFSET($A$1,ROW(),21,1000-ROW(),1),"Sub"))))</f>
        <v/>
      </c>
      <c r="M50" s="61">
        <f>IF(NOT((COUNTA($B50:$D50)+COUNTA($G50:$H50)+COUNTA($Q50))&gt;0),"",IF(AND($D50&lt;&gt;"",$V50="Macro"),IF(N($AM50)&gt;0,N(CHOOSE(MATCH($D50,ListaPuestos,0),INDEX('Cronograma R. Operacional'!$M$5:$M$1000,$AM50),INDEX('Cronograma R. Normativo'!$M$5:$M$1000,$AM50),INDEX('Cronograma R. Financiero'!$M$5:$M$1000,$AM50),INDEX('Cronograma Asistente Técnico'!$M$5:$M$1000,$AM50))),0),IF(ISNUMBER($G50),1,IF(N($W50)&gt;0,MIN(1,SUMIFS($Y$5:$Y$1000,$U$5:$U$1000,ROW(),$V$5:$V$1000,"Sub")),$Y50))))</f>
        <v/>
      </c>
      <c r="N50" s="56">
        <f>IF(OR($M50="",$V50="Sub"),"",IF($M50&gt;=1,"Completado",IF($M50&gt;0,"En curso","Pendiente")))</f>
        <v/>
      </c>
      <c r="O50" s="56">
        <f>IF(NOT((COUNTA($B50:$D50)+COUNTA($G50:$H50)+COUNTA($Q50))&gt;0),"",IF(AND(AND($D50&lt;&gt;"",$V50="Macro"),N($AM50)&gt;0),CHOOSE(MATCH($D50,ListaPuestos,0),INDEX('Cronograma R. Operacional'!$O$5:$O$1000,$AM50),INDEX('Cronograma R. Normativo'!$O$5:$O$1000,$AM50),INDEX('Cronograma R. Financiero'!$O$5:$O$1000,$AM50),INDEX('Cronograma Asistente Técnico'!$O$5:$O$1000,$AM50))&amp;"",IF(ISNUMBER($G50),IF(AND(ISNUMBER($AS50),$G50&gt;$AS50),"Cumplida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f>IF(NOT((COUNTA($B50:$D50)+COUNTA($G50:$H50)+COUNTA($Q50))&gt;0),"",IF($D50="","Propia",IF($V50&lt;&gt;"Macro","Solo se delegan macroactividades",IF(N($AM50)&gt;0,"✔ Recibida por "&amp;$D50,"⚠ "&amp;$D50&amp;" aún no la agrega"))))</f>
        <v/>
      </c>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IF($V50&lt;&gt;"Sub","",N($X50)*IF(AND(ISNUMBER($G50),$G50&lt;=IF($S50=MesCiclo,InicioCiclo,$S50+MOD(2-WEEKDAY($S50),7))+6),1,MIN(1,MAX(0,IF(ISNUMBER(OFFSET($A$1,ROW()-1,8)),OFFSET($A$1,ROW()-1,8),0)))))</f>
        <v/>
      </c>
      <c r="AE50" s="62">
        <f>IF($V50&lt;&gt;"Sub","",N($X50)*IF(AND(ISNUMBER($G50),$G50&lt;=IF($S50=MesCiclo,InicioCiclo,$S50+MOD(2-WEEKDAY($S50),7))+13),1,MIN(1,MAX(0,IF(ISNUMBER(OFFSET($A$1,ROW()-1,9)),OFFSET($A$1,ROW()-1,9),IF(ISNUMBER(OFFSET($A$1,ROW()-1,8)),OFFSET($A$1,ROW()-1,8),0))))))</f>
        <v/>
      </c>
      <c r="AF50" s="62">
        <f>IF($V50&lt;&gt;"Sub","",N($X50)*IF(AND(ISNUMBER($G50),$G50&lt;=IF($S50=MesCiclo,InicioCiclo,$S50+MOD(2-WEEKDAY($S50),7))+20),1,MIN(1,MAX(0,IF(ISNUMBER(OFFSET($A$1,ROW()-1,10)),OFFSET($A$1,ROW()-1,10),IF(ISNUMBER(OFFSET($A$1,ROW()-1,9)),OFFSET($A$1,ROW()-1,9),IF(ISNUMBER(OFFSET($A$1,ROW()-1,8)),OFFSET($A$1,ROW()-1,8),0)))))))</f>
        <v/>
      </c>
      <c r="AG50" s="62">
        <f>IF($V50&lt;&gt;"Sub","",N($X50)*IF(AND(ISNUMBER($G50),$G50&lt;=IF($S50=MesCiclo,InicioCiclo,$S50+MOD(2-WEEKDAY($S50),7))+27),1,MIN(1,MAX(0,IF(ISNUMBER(OFFSET($A$1,ROW()-1,11)),OFFSET($A$1,ROW()-1,11),IF(ISNUMBER(OFFSET($A$1,ROW()-1,10)),OFFSET($A$1,ROW()-1,10),IF(ISNUMBER(OFFSET($A$1,ROW()-1,9)),OFFSET($A$1,ROW()-1,9),IF(ISNUMBER(OFFSET($A$1,ROW()-1,8)),OFFSET($A$1,ROW()-1,8),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f>IF(NOT(AND($D50&lt;&gt;"",$V50="Macro")),"",IFERROR(CHOOSE(MATCH($D50,ListaPuestos,0),MATCH("[Jefatura] "&amp;$C50,'Cronograma R. Operacional'!$C$5:$C$1000,0),MATCH("[Jefatura] "&amp;$C50,'Cronograma R. Normativo'!$C$5:$C$1000,0),MATCH("[Jefatura] "&amp;$C50,'Cronograma R. Financiero'!$C$5:$C$1000,0),MATCH("[Jefatura] "&amp;$C50,'Cronograma Asistente Técnico'!$C$5:$C$1000,0)),0))</f>
        <v/>
      </c>
      <c r="AN50" s="62">
        <f>IF(AND(AND($D50&lt;&gt;"",$V50="Macro"),$S50=MesCiclo),COUNTIFS($D$5:$D50,$D50,$S$5:$S50,MesCiclo,$V$5:$V50,"Macro"),"")</f>
        <v/>
      </c>
      <c r="AO50" s="62">
        <f>IF($AN50="","",$D50&amp;"|"&amp;$AN50)</f>
        <v/>
      </c>
      <c r="AP50" s="62">
        <f>IF(AND($D50&lt;&gt;"",$V50="Macro"),$D50&amp;"|"&amp;$C50,"")</f>
        <v/>
      </c>
      <c r="AQ50" s="62">
        <f>""</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t="n"/>
      <c r="F51" s="59" t="n"/>
      <c r="G51" s="59" t="n"/>
      <c r="H51" s="60" t="n"/>
      <c r="I51" s="60">
        <f>IF(N($W51)=0,"",IF(AND($S51=MesCiclo,1&gt;SemanaActual),"",MIN(1,SUMIFS(OFFSET($A$1,ROW(),29,1000-ROW(),1),OFFSET($A$1,ROW(),20,1000-ROW(),1),ROW(),OFFSET($A$1,ROW(),21,1000-ROW(),1),"Sub"))))</f>
        <v/>
      </c>
      <c r="J51" s="60">
        <f>IF(N($W51)=0,"",IF(AND($S51=MesCiclo,2&gt;SemanaActual),"",MIN(1,SUMIFS(OFFSET($A$1,ROW(),30,1000-ROW(),1),OFFSET($A$1,ROW(),20,1000-ROW(),1),ROW(),OFFSET($A$1,ROW(),21,1000-ROW(),1),"Sub"))))</f>
        <v/>
      </c>
      <c r="K51" s="60">
        <f>IF(N($W51)=0,"",IF(AND($S51=MesCiclo,3&gt;SemanaActual),"",MIN(1,SUMIFS(OFFSET($A$1,ROW(),31,1000-ROW(),1),OFFSET($A$1,ROW(),20,1000-ROW(),1),ROW(),OFFSET($A$1,ROW(),21,1000-ROW(),1),"Sub"))))</f>
        <v/>
      </c>
      <c r="L51" s="60">
        <f>IF(N($W51)=0,"",IF(AND($S51=MesCiclo,4&gt;SemanaActual),"",MIN(1,SUMIFS(OFFSET($A$1,ROW(),32,1000-ROW(),1),OFFSET($A$1,ROW(),20,1000-ROW(),1),ROW(),OFFSET($A$1,ROW(),21,1000-ROW(),1),"Sub"))))</f>
        <v/>
      </c>
      <c r="M51" s="61">
        <f>IF(NOT((COUNTA($B51:$D51)+COUNTA($G51:$H51)+COUNTA($Q51))&gt;0),"",IF(AND($D51&lt;&gt;"",$V51="Macro"),IF(N($AM51)&gt;0,N(CHOOSE(MATCH($D51,ListaPuestos,0),INDEX('Cronograma R. Operacional'!$M$5:$M$1000,$AM51),INDEX('Cronograma R. Normativo'!$M$5:$M$1000,$AM51),INDEX('Cronograma R. Financiero'!$M$5:$M$1000,$AM51),INDEX('Cronograma Asistente Técnico'!$M$5:$M$1000,$AM51))),0),IF(ISNUMBER($G51),1,IF(N($W51)&gt;0,MIN(1,SUMIFS($Y$5:$Y$1000,$U$5:$U$1000,ROW(),$V$5:$V$1000,"Sub")),$Y51))))</f>
        <v/>
      </c>
      <c r="N51" s="56">
        <f>IF(OR($M51="",$V51="Sub"),"",IF($M51&gt;=1,"Completado",IF($M51&gt;0,"En curso","Pendiente")))</f>
        <v/>
      </c>
      <c r="O51" s="56">
        <f>IF(NOT((COUNTA($B51:$D51)+COUNTA($G51:$H51)+COUNTA($Q51))&gt;0),"",IF(AND(AND($D51&lt;&gt;"",$V51="Macro"),N($AM51)&gt;0),CHOOSE(MATCH($D51,ListaPuestos,0),INDEX('Cronograma R. Operacional'!$O$5:$O$1000,$AM51),INDEX('Cronograma R. Normativo'!$O$5:$O$1000,$AM51),INDEX('Cronograma R. Financiero'!$O$5:$O$1000,$AM51),INDEX('Cronograma Asistente Técnico'!$O$5:$O$1000,$AM51))&amp;"",IF(ISNUMBER($G51),IF(AND(ISNUMBER($AS51),$G51&gt;$AS51),"Cumplida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f>IF(NOT((COUNTA($B51:$D51)+COUNTA($G51:$H51)+COUNTA($Q51))&gt;0),"",IF($D51="","Propia",IF($V51&lt;&gt;"Macro","Solo se delegan macroactividades",IF(N($AM51)&gt;0,"✔ Recibida por "&amp;$D51,"⚠ "&amp;$D51&amp;" aún no la agrega"))))</f>
        <v/>
      </c>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IF($V51&lt;&gt;"Sub","",N($X51)*IF(AND(ISNUMBER($G51),$G51&lt;=IF($S51=MesCiclo,InicioCiclo,$S51+MOD(2-WEEKDAY($S51),7))+6),1,MIN(1,MAX(0,IF(ISNUMBER(OFFSET($A$1,ROW()-1,8)),OFFSET($A$1,ROW()-1,8),0)))))</f>
        <v/>
      </c>
      <c r="AE51" s="62">
        <f>IF($V51&lt;&gt;"Sub","",N($X51)*IF(AND(ISNUMBER($G51),$G51&lt;=IF($S51=MesCiclo,InicioCiclo,$S51+MOD(2-WEEKDAY($S51),7))+13),1,MIN(1,MAX(0,IF(ISNUMBER(OFFSET($A$1,ROW()-1,9)),OFFSET($A$1,ROW()-1,9),IF(ISNUMBER(OFFSET($A$1,ROW()-1,8)),OFFSET($A$1,ROW()-1,8),0))))))</f>
        <v/>
      </c>
      <c r="AF51" s="62">
        <f>IF($V51&lt;&gt;"Sub","",N($X51)*IF(AND(ISNUMBER($G51),$G51&lt;=IF($S51=MesCiclo,InicioCiclo,$S51+MOD(2-WEEKDAY($S51),7))+20),1,MIN(1,MAX(0,IF(ISNUMBER(OFFSET($A$1,ROW()-1,10)),OFFSET($A$1,ROW()-1,10),IF(ISNUMBER(OFFSET($A$1,ROW()-1,9)),OFFSET($A$1,ROW()-1,9),IF(ISNUMBER(OFFSET($A$1,ROW()-1,8)),OFFSET($A$1,ROW()-1,8),0)))))))</f>
        <v/>
      </c>
      <c r="AG51" s="62">
        <f>IF($V51&lt;&gt;"Sub","",N($X51)*IF(AND(ISNUMBER($G51),$G51&lt;=IF($S51=MesCiclo,InicioCiclo,$S51+MOD(2-WEEKDAY($S51),7))+27),1,MIN(1,MAX(0,IF(ISNUMBER(OFFSET($A$1,ROW()-1,11)),OFFSET($A$1,ROW()-1,11),IF(ISNUMBER(OFFSET($A$1,ROW()-1,10)),OFFSET($A$1,ROW()-1,10),IF(ISNUMBER(OFFSET($A$1,ROW()-1,9)),OFFSET($A$1,ROW()-1,9),IF(ISNUMBER(OFFSET($A$1,ROW()-1,8)),OFFSET($A$1,ROW()-1,8),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f>IF(NOT(AND($D51&lt;&gt;"",$V51="Macro")),"",IFERROR(CHOOSE(MATCH($D51,ListaPuestos,0),MATCH("[Jefatura] "&amp;$C51,'Cronograma R. Operacional'!$C$5:$C$1000,0),MATCH("[Jefatura] "&amp;$C51,'Cronograma R. Normativo'!$C$5:$C$1000,0),MATCH("[Jefatura] "&amp;$C51,'Cronograma R. Financiero'!$C$5:$C$1000,0),MATCH("[Jefatura] "&amp;$C51,'Cronograma Asistente Técnico'!$C$5:$C$1000,0)),0))</f>
        <v/>
      </c>
      <c r="AN51" s="62">
        <f>IF(AND(AND($D51&lt;&gt;"",$V51="Macro"),$S51=MesCiclo),COUNTIFS($D$5:$D51,$D51,$S$5:$S51,MesCiclo,$V$5:$V51,"Macro"),"")</f>
        <v/>
      </c>
      <c r="AO51" s="62">
        <f>IF($AN51="","",$D51&amp;"|"&amp;$AN51)</f>
        <v/>
      </c>
      <c r="AP51" s="62">
        <f>IF(AND($D51&lt;&gt;"",$V51="Macro"),$D51&amp;"|"&amp;$C51,"")</f>
        <v/>
      </c>
      <c r="AQ51" s="62">
        <f>""</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t="n"/>
      <c r="F52" s="59" t="n"/>
      <c r="G52" s="59" t="n"/>
      <c r="H52" s="60" t="n"/>
      <c r="I52" s="60">
        <f>IF(N($W52)=0,"",IF(AND($S52=MesCiclo,1&gt;SemanaActual),"",MIN(1,SUMIFS(OFFSET($A$1,ROW(),29,1000-ROW(),1),OFFSET($A$1,ROW(),20,1000-ROW(),1),ROW(),OFFSET($A$1,ROW(),21,1000-ROW(),1),"Sub"))))</f>
        <v/>
      </c>
      <c r="J52" s="60">
        <f>IF(N($W52)=0,"",IF(AND($S52=MesCiclo,2&gt;SemanaActual),"",MIN(1,SUMIFS(OFFSET($A$1,ROW(),30,1000-ROW(),1),OFFSET($A$1,ROW(),20,1000-ROW(),1),ROW(),OFFSET($A$1,ROW(),21,1000-ROW(),1),"Sub"))))</f>
        <v/>
      </c>
      <c r="K52" s="60">
        <f>IF(N($W52)=0,"",IF(AND($S52=MesCiclo,3&gt;SemanaActual),"",MIN(1,SUMIFS(OFFSET($A$1,ROW(),31,1000-ROW(),1),OFFSET($A$1,ROW(),20,1000-ROW(),1),ROW(),OFFSET($A$1,ROW(),21,1000-ROW(),1),"Sub"))))</f>
        <v/>
      </c>
      <c r="L52" s="60">
        <f>IF(N($W52)=0,"",IF(AND($S52=MesCiclo,4&gt;SemanaActual),"",MIN(1,SUMIFS(OFFSET($A$1,ROW(),32,1000-ROW(),1),OFFSET($A$1,ROW(),20,1000-ROW(),1),ROW(),OFFSET($A$1,ROW(),21,1000-ROW(),1),"Sub"))))</f>
        <v/>
      </c>
      <c r="M52" s="61">
        <f>IF(NOT((COUNTA($B52:$D52)+COUNTA($G52:$H52)+COUNTA($Q52))&gt;0),"",IF(AND($D52&lt;&gt;"",$V52="Macro"),IF(N($AM52)&gt;0,N(CHOOSE(MATCH($D52,ListaPuestos,0),INDEX('Cronograma R. Operacional'!$M$5:$M$1000,$AM52),INDEX('Cronograma R. Normativo'!$M$5:$M$1000,$AM52),INDEX('Cronograma R. Financiero'!$M$5:$M$1000,$AM52),INDEX('Cronograma Asistente Técnico'!$M$5:$M$1000,$AM52))),0),IF(ISNUMBER($G52),1,IF(N($W52)&gt;0,MIN(1,SUMIFS($Y$5:$Y$1000,$U$5:$U$1000,ROW(),$V$5:$V$1000,"Sub")),$Y52))))</f>
        <v/>
      </c>
      <c r="N52" s="56">
        <f>IF(OR($M52="",$V52="Sub"),"",IF($M52&gt;=1,"Completado",IF($M52&gt;0,"En curso","Pendiente")))</f>
        <v/>
      </c>
      <c r="O52" s="56">
        <f>IF(NOT((COUNTA($B52:$D52)+COUNTA($G52:$H52)+COUNTA($Q52))&gt;0),"",IF(AND(AND($D52&lt;&gt;"",$V52="Macro"),N($AM52)&gt;0),CHOOSE(MATCH($D52,ListaPuestos,0),INDEX('Cronograma R. Operacional'!$O$5:$O$1000,$AM52),INDEX('Cronograma R. Normativo'!$O$5:$O$1000,$AM52),INDEX('Cronograma R. Financiero'!$O$5:$O$1000,$AM52),INDEX('Cronograma Asistente Técnico'!$O$5:$O$1000,$AM52))&amp;"",IF(ISNUMBER($G52),IF(AND(ISNUMBER($AS52),$G52&gt;$AS52),"Cumplida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f>IF(NOT((COUNTA($B52:$D52)+COUNTA($G52:$H52)+COUNTA($Q52))&gt;0),"",IF($D52="","Propia",IF($V52&lt;&gt;"Macro","Solo se delegan macroactividades",IF(N($AM52)&gt;0,"✔ Recibida por "&amp;$D52,"⚠ "&amp;$D52&amp;" aún no la agrega"))))</f>
        <v/>
      </c>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IF($V52&lt;&gt;"Sub","",N($X52)*IF(AND(ISNUMBER($G52),$G52&lt;=IF($S52=MesCiclo,InicioCiclo,$S52+MOD(2-WEEKDAY($S52),7))+6),1,MIN(1,MAX(0,IF(ISNUMBER(OFFSET($A$1,ROW()-1,8)),OFFSET($A$1,ROW()-1,8),0)))))</f>
        <v/>
      </c>
      <c r="AE52" s="62">
        <f>IF($V52&lt;&gt;"Sub","",N($X52)*IF(AND(ISNUMBER($G52),$G52&lt;=IF($S52=MesCiclo,InicioCiclo,$S52+MOD(2-WEEKDAY($S52),7))+13),1,MIN(1,MAX(0,IF(ISNUMBER(OFFSET($A$1,ROW()-1,9)),OFFSET($A$1,ROW()-1,9),IF(ISNUMBER(OFFSET($A$1,ROW()-1,8)),OFFSET($A$1,ROW()-1,8),0))))))</f>
        <v/>
      </c>
      <c r="AF52" s="62">
        <f>IF($V52&lt;&gt;"Sub","",N($X52)*IF(AND(ISNUMBER($G52),$G52&lt;=IF($S52=MesCiclo,InicioCiclo,$S52+MOD(2-WEEKDAY($S52),7))+20),1,MIN(1,MAX(0,IF(ISNUMBER(OFFSET($A$1,ROW()-1,10)),OFFSET($A$1,ROW()-1,10),IF(ISNUMBER(OFFSET($A$1,ROW()-1,9)),OFFSET($A$1,ROW()-1,9),IF(ISNUMBER(OFFSET($A$1,ROW()-1,8)),OFFSET($A$1,ROW()-1,8),0)))))))</f>
        <v/>
      </c>
      <c r="AG52" s="62">
        <f>IF($V52&lt;&gt;"Sub","",N($X52)*IF(AND(ISNUMBER($G52),$G52&lt;=IF($S52=MesCiclo,InicioCiclo,$S52+MOD(2-WEEKDAY($S52),7))+27),1,MIN(1,MAX(0,IF(ISNUMBER(OFFSET($A$1,ROW()-1,11)),OFFSET($A$1,ROW()-1,11),IF(ISNUMBER(OFFSET($A$1,ROW()-1,10)),OFFSET($A$1,ROW()-1,10),IF(ISNUMBER(OFFSET($A$1,ROW()-1,9)),OFFSET($A$1,ROW()-1,9),IF(ISNUMBER(OFFSET($A$1,ROW()-1,8)),OFFSET($A$1,ROW()-1,8),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f>IF(NOT(AND($D52&lt;&gt;"",$V52="Macro")),"",IFERROR(CHOOSE(MATCH($D52,ListaPuestos,0),MATCH("[Jefatura] "&amp;$C52,'Cronograma R. Operacional'!$C$5:$C$1000,0),MATCH("[Jefatura] "&amp;$C52,'Cronograma R. Normativo'!$C$5:$C$1000,0),MATCH("[Jefatura] "&amp;$C52,'Cronograma R. Financiero'!$C$5:$C$1000,0),MATCH("[Jefatura] "&amp;$C52,'Cronograma Asistente Técnico'!$C$5:$C$1000,0)),0))</f>
        <v/>
      </c>
      <c r="AN52" s="62">
        <f>IF(AND(AND($D52&lt;&gt;"",$V52="Macro"),$S52=MesCiclo),COUNTIFS($D$5:$D52,$D52,$S$5:$S52,MesCiclo,$V$5:$V52,"Macro"),"")</f>
        <v/>
      </c>
      <c r="AO52" s="62">
        <f>IF($AN52="","",$D52&amp;"|"&amp;$AN52)</f>
        <v/>
      </c>
      <c r="AP52" s="62">
        <f>IF(AND($D52&lt;&gt;"",$V52="Macro"),$D52&amp;"|"&amp;$C52,"")</f>
        <v/>
      </c>
      <c r="AQ52" s="62">
        <f>""</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t="n"/>
      <c r="F53" s="59" t="n"/>
      <c r="G53" s="59" t="n"/>
      <c r="H53" s="60" t="n"/>
      <c r="I53" s="60">
        <f>IF(N($W53)=0,"",IF(AND($S53=MesCiclo,1&gt;SemanaActual),"",MIN(1,SUMIFS(OFFSET($A$1,ROW(),29,1000-ROW(),1),OFFSET($A$1,ROW(),20,1000-ROW(),1),ROW(),OFFSET($A$1,ROW(),21,1000-ROW(),1),"Sub"))))</f>
        <v/>
      </c>
      <c r="J53" s="60">
        <f>IF(N($W53)=0,"",IF(AND($S53=MesCiclo,2&gt;SemanaActual),"",MIN(1,SUMIFS(OFFSET($A$1,ROW(),30,1000-ROW(),1),OFFSET($A$1,ROW(),20,1000-ROW(),1),ROW(),OFFSET($A$1,ROW(),21,1000-ROW(),1),"Sub"))))</f>
        <v/>
      </c>
      <c r="K53" s="60">
        <f>IF(N($W53)=0,"",IF(AND($S53=MesCiclo,3&gt;SemanaActual),"",MIN(1,SUMIFS(OFFSET($A$1,ROW(),31,1000-ROW(),1),OFFSET($A$1,ROW(),20,1000-ROW(),1),ROW(),OFFSET($A$1,ROW(),21,1000-ROW(),1),"Sub"))))</f>
        <v/>
      </c>
      <c r="L53" s="60">
        <f>IF(N($W53)=0,"",IF(AND($S53=MesCiclo,4&gt;SemanaActual),"",MIN(1,SUMIFS(OFFSET($A$1,ROW(),32,1000-ROW(),1),OFFSET($A$1,ROW(),20,1000-ROW(),1),ROW(),OFFSET($A$1,ROW(),21,1000-ROW(),1),"Sub"))))</f>
        <v/>
      </c>
      <c r="M53" s="61">
        <f>IF(NOT((COUNTA($B53:$D53)+COUNTA($G53:$H53)+COUNTA($Q53))&gt;0),"",IF(AND($D53&lt;&gt;"",$V53="Macro"),IF(N($AM53)&gt;0,N(CHOOSE(MATCH($D53,ListaPuestos,0),INDEX('Cronograma R. Operacional'!$M$5:$M$1000,$AM53),INDEX('Cronograma R. Normativo'!$M$5:$M$1000,$AM53),INDEX('Cronograma R. Financiero'!$M$5:$M$1000,$AM53),INDEX('Cronograma Asistente Técnico'!$M$5:$M$1000,$AM53))),0),IF(ISNUMBER($G53),1,IF(N($W53)&gt;0,MIN(1,SUMIFS($Y$5:$Y$1000,$U$5:$U$1000,ROW(),$V$5:$V$1000,"Sub")),$Y53))))</f>
        <v/>
      </c>
      <c r="N53" s="56">
        <f>IF(OR($M53="",$V53="Sub"),"",IF($M53&gt;=1,"Completado",IF($M53&gt;0,"En curso","Pendiente")))</f>
        <v/>
      </c>
      <c r="O53" s="56">
        <f>IF(NOT((COUNTA($B53:$D53)+COUNTA($G53:$H53)+COUNTA($Q53))&gt;0),"",IF(AND(AND($D53&lt;&gt;"",$V53="Macro"),N($AM53)&gt;0),CHOOSE(MATCH($D53,ListaPuestos,0),INDEX('Cronograma R. Operacional'!$O$5:$O$1000,$AM53),INDEX('Cronograma R. Normativo'!$O$5:$O$1000,$AM53),INDEX('Cronograma R. Financiero'!$O$5:$O$1000,$AM53),INDEX('Cronograma Asistente Técnico'!$O$5:$O$1000,$AM53))&amp;"",IF(ISNUMBER($G53),IF(AND(ISNUMBER($AS53),$G53&gt;$AS53),"Cumplida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f>IF(NOT((COUNTA($B53:$D53)+COUNTA($G53:$H53)+COUNTA($Q53))&gt;0),"",IF($D53="","Propia",IF($V53&lt;&gt;"Macro","Solo se delegan macroactividades",IF(N($AM53)&gt;0,"✔ Recibida por "&amp;$D53,"⚠ "&amp;$D53&amp;" aún no la agrega"))))</f>
        <v/>
      </c>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IF($V53&lt;&gt;"Sub","",N($X53)*IF(AND(ISNUMBER($G53),$G53&lt;=IF($S53=MesCiclo,InicioCiclo,$S53+MOD(2-WEEKDAY($S53),7))+6),1,MIN(1,MAX(0,IF(ISNUMBER(OFFSET($A$1,ROW()-1,8)),OFFSET($A$1,ROW()-1,8),0)))))</f>
        <v/>
      </c>
      <c r="AE53" s="62">
        <f>IF($V53&lt;&gt;"Sub","",N($X53)*IF(AND(ISNUMBER($G53),$G53&lt;=IF($S53=MesCiclo,InicioCiclo,$S53+MOD(2-WEEKDAY($S53),7))+13),1,MIN(1,MAX(0,IF(ISNUMBER(OFFSET($A$1,ROW()-1,9)),OFFSET($A$1,ROW()-1,9),IF(ISNUMBER(OFFSET($A$1,ROW()-1,8)),OFFSET($A$1,ROW()-1,8),0))))))</f>
        <v/>
      </c>
      <c r="AF53" s="62">
        <f>IF($V53&lt;&gt;"Sub","",N($X53)*IF(AND(ISNUMBER($G53),$G53&lt;=IF($S53=MesCiclo,InicioCiclo,$S53+MOD(2-WEEKDAY($S53),7))+20),1,MIN(1,MAX(0,IF(ISNUMBER(OFFSET($A$1,ROW()-1,10)),OFFSET($A$1,ROW()-1,10),IF(ISNUMBER(OFFSET($A$1,ROW()-1,9)),OFFSET($A$1,ROW()-1,9),IF(ISNUMBER(OFFSET($A$1,ROW()-1,8)),OFFSET($A$1,ROW()-1,8),0)))))))</f>
        <v/>
      </c>
      <c r="AG53" s="62">
        <f>IF($V53&lt;&gt;"Sub","",N($X53)*IF(AND(ISNUMBER($G53),$G53&lt;=IF($S53=MesCiclo,InicioCiclo,$S53+MOD(2-WEEKDAY($S53),7))+27),1,MIN(1,MAX(0,IF(ISNUMBER(OFFSET($A$1,ROW()-1,11)),OFFSET($A$1,ROW()-1,11),IF(ISNUMBER(OFFSET($A$1,ROW()-1,10)),OFFSET($A$1,ROW()-1,10),IF(ISNUMBER(OFFSET($A$1,ROW()-1,9)),OFFSET($A$1,ROW()-1,9),IF(ISNUMBER(OFFSET($A$1,ROW()-1,8)),OFFSET($A$1,ROW()-1,8),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f>IF(NOT(AND($D53&lt;&gt;"",$V53="Macro")),"",IFERROR(CHOOSE(MATCH($D53,ListaPuestos,0),MATCH("[Jefatura] "&amp;$C53,'Cronograma R. Operacional'!$C$5:$C$1000,0),MATCH("[Jefatura] "&amp;$C53,'Cronograma R. Normativo'!$C$5:$C$1000,0),MATCH("[Jefatura] "&amp;$C53,'Cronograma R. Financiero'!$C$5:$C$1000,0),MATCH("[Jefatura] "&amp;$C53,'Cronograma Asistente Técnico'!$C$5:$C$1000,0)),0))</f>
        <v/>
      </c>
      <c r="AN53" s="62">
        <f>IF(AND(AND($D53&lt;&gt;"",$V53="Macro"),$S53=MesCiclo),COUNTIFS($D$5:$D53,$D53,$S$5:$S53,MesCiclo,$V$5:$V53,"Macro"),"")</f>
        <v/>
      </c>
      <c r="AO53" s="62">
        <f>IF($AN53="","",$D53&amp;"|"&amp;$AN53)</f>
        <v/>
      </c>
      <c r="AP53" s="62">
        <f>IF(AND($D53&lt;&gt;"",$V53="Macro"),$D53&amp;"|"&amp;$C53,"")</f>
        <v/>
      </c>
      <c r="AQ53" s="62">
        <f>""</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t="n"/>
      <c r="F54" s="59" t="n"/>
      <c r="G54" s="59" t="n"/>
      <c r="H54" s="60" t="n"/>
      <c r="I54" s="60">
        <f>IF(N($W54)=0,"",IF(AND($S54=MesCiclo,1&gt;SemanaActual),"",MIN(1,SUMIFS(OFFSET($A$1,ROW(),29,1000-ROW(),1),OFFSET($A$1,ROW(),20,1000-ROW(),1),ROW(),OFFSET($A$1,ROW(),21,1000-ROW(),1),"Sub"))))</f>
        <v/>
      </c>
      <c r="J54" s="60">
        <f>IF(N($W54)=0,"",IF(AND($S54=MesCiclo,2&gt;SemanaActual),"",MIN(1,SUMIFS(OFFSET($A$1,ROW(),30,1000-ROW(),1),OFFSET($A$1,ROW(),20,1000-ROW(),1),ROW(),OFFSET($A$1,ROW(),21,1000-ROW(),1),"Sub"))))</f>
        <v/>
      </c>
      <c r="K54" s="60">
        <f>IF(N($W54)=0,"",IF(AND($S54=MesCiclo,3&gt;SemanaActual),"",MIN(1,SUMIFS(OFFSET($A$1,ROW(),31,1000-ROW(),1),OFFSET($A$1,ROW(),20,1000-ROW(),1),ROW(),OFFSET($A$1,ROW(),21,1000-ROW(),1),"Sub"))))</f>
        <v/>
      </c>
      <c r="L54" s="60">
        <f>IF(N($W54)=0,"",IF(AND($S54=MesCiclo,4&gt;SemanaActual),"",MIN(1,SUMIFS(OFFSET($A$1,ROW(),32,1000-ROW(),1),OFFSET($A$1,ROW(),20,1000-ROW(),1),ROW(),OFFSET($A$1,ROW(),21,1000-ROW(),1),"Sub"))))</f>
        <v/>
      </c>
      <c r="M54" s="61">
        <f>IF(NOT((COUNTA($B54:$D54)+COUNTA($G54:$H54)+COUNTA($Q54))&gt;0),"",IF(AND($D54&lt;&gt;"",$V54="Macro"),IF(N($AM54)&gt;0,N(CHOOSE(MATCH($D54,ListaPuestos,0),INDEX('Cronograma R. Operacional'!$M$5:$M$1000,$AM54),INDEX('Cronograma R. Normativo'!$M$5:$M$1000,$AM54),INDEX('Cronograma R. Financiero'!$M$5:$M$1000,$AM54),INDEX('Cronograma Asistente Técnico'!$M$5:$M$1000,$AM54))),0),IF(ISNUMBER($G54),1,IF(N($W54)&gt;0,MIN(1,SUMIFS($Y$5:$Y$1000,$U$5:$U$1000,ROW(),$V$5:$V$1000,"Sub")),$Y54))))</f>
        <v/>
      </c>
      <c r="N54" s="56">
        <f>IF(OR($M54="",$V54="Sub"),"",IF($M54&gt;=1,"Completado",IF($M54&gt;0,"En curso","Pendiente")))</f>
        <v/>
      </c>
      <c r="O54" s="56">
        <f>IF(NOT((COUNTA($B54:$D54)+COUNTA($G54:$H54)+COUNTA($Q54))&gt;0),"",IF(AND(AND($D54&lt;&gt;"",$V54="Macro"),N($AM54)&gt;0),CHOOSE(MATCH($D54,ListaPuestos,0),INDEX('Cronograma R. Operacional'!$O$5:$O$1000,$AM54),INDEX('Cronograma R. Normativo'!$O$5:$O$1000,$AM54),INDEX('Cronograma R. Financiero'!$O$5:$O$1000,$AM54),INDEX('Cronograma Asistente Técnico'!$O$5:$O$1000,$AM54))&amp;"",IF(ISNUMBER($G54),IF(AND(ISNUMBER($AS54),$G54&gt;$AS54),"Cumplida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f>IF(NOT((COUNTA($B54:$D54)+COUNTA($G54:$H54)+COUNTA($Q54))&gt;0),"",IF($D54="","Propia",IF($V54&lt;&gt;"Macro","Solo se delegan macroactividades",IF(N($AM54)&gt;0,"✔ Recibida por "&amp;$D54,"⚠ "&amp;$D54&amp;" aún no la agrega"))))</f>
        <v/>
      </c>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IF($V54&lt;&gt;"Sub","",N($X54)*IF(AND(ISNUMBER($G54),$G54&lt;=IF($S54=MesCiclo,InicioCiclo,$S54+MOD(2-WEEKDAY($S54),7))+6),1,MIN(1,MAX(0,IF(ISNUMBER(OFFSET($A$1,ROW()-1,8)),OFFSET($A$1,ROW()-1,8),0)))))</f>
        <v/>
      </c>
      <c r="AE54" s="62">
        <f>IF($V54&lt;&gt;"Sub","",N($X54)*IF(AND(ISNUMBER($G54),$G54&lt;=IF($S54=MesCiclo,InicioCiclo,$S54+MOD(2-WEEKDAY($S54),7))+13),1,MIN(1,MAX(0,IF(ISNUMBER(OFFSET($A$1,ROW()-1,9)),OFFSET($A$1,ROW()-1,9),IF(ISNUMBER(OFFSET($A$1,ROW()-1,8)),OFFSET($A$1,ROW()-1,8),0))))))</f>
        <v/>
      </c>
      <c r="AF54" s="62">
        <f>IF($V54&lt;&gt;"Sub","",N($X54)*IF(AND(ISNUMBER($G54),$G54&lt;=IF($S54=MesCiclo,InicioCiclo,$S54+MOD(2-WEEKDAY($S54),7))+20),1,MIN(1,MAX(0,IF(ISNUMBER(OFFSET($A$1,ROW()-1,10)),OFFSET($A$1,ROW()-1,10),IF(ISNUMBER(OFFSET($A$1,ROW()-1,9)),OFFSET($A$1,ROW()-1,9),IF(ISNUMBER(OFFSET($A$1,ROW()-1,8)),OFFSET($A$1,ROW()-1,8),0)))))))</f>
        <v/>
      </c>
      <c r="AG54" s="62">
        <f>IF($V54&lt;&gt;"Sub","",N($X54)*IF(AND(ISNUMBER($G54),$G54&lt;=IF($S54=MesCiclo,InicioCiclo,$S54+MOD(2-WEEKDAY($S54),7))+27),1,MIN(1,MAX(0,IF(ISNUMBER(OFFSET($A$1,ROW()-1,11)),OFFSET($A$1,ROW()-1,11),IF(ISNUMBER(OFFSET($A$1,ROW()-1,10)),OFFSET($A$1,ROW()-1,10),IF(ISNUMBER(OFFSET($A$1,ROW()-1,9)),OFFSET($A$1,ROW()-1,9),IF(ISNUMBER(OFFSET($A$1,ROW()-1,8)),OFFSET($A$1,ROW()-1,8),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f>IF(NOT(AND($D54&lt;&gt;"",$V54="Macro")),"",IFERROR(CHOOSE(MATCH($D54,ListaPuestos,0),MATCH("[Jefatura] "&amp;$C54,'Cronograma R. Operacional'!$C$5:$C$1000,0),MATCH("[Jefatura] "&amp;$C54,'Cronograma R. Normativo'!$C$5:$C$1000,0),MATCH("[Jefatura] "&amp;$C54,'Cronograma R. Financiero'!$C$5:$C$1000,0),MATCH("[Jefatura] "&amp;$C54,'Cronograma Asistente Técnico'!$C$5:$C$1000,0)),0))</f>
        <v/>
      </c>
      <c r="AN54" s="62">
        <f>IF(AND(AND($D54&lt;&gt;"",$V54="Macro"),$S54=MesCiclo),COUNTIFS($D$5:$D54,$D54,$S$5:$S54,MesCiclo,$V$5:$V54,"Macro"),"")</f>
        <v/>
      </c>
      <c r="AO54" s="62">
        <f>IF($AN54="","",$D54&amp;"|"&amp;$AN54)</f>
        <v/>
      </c>
      <c r="AP54" s="62">
        <f>IF(AND($D54&lt;&gt;"",$V54="Macro"),$D54&amp;"|"&amp;$C54,"")</f>
        <v/>
      </c>
      <c r="AQ54" s="62">
        <f>""</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t="n"/>
      <c r="F55" s="59" t="n"/>
      <c r="G55" s="59" t="n"/>
      <c r="H55" s="60" t="n"/>
      <c r="I55" s="60">
        <f>IF(N($W55)=0,"",IF(AND($S55=MesCiclo,1&gt;SemanaActual),"",MIN(1,SUMIFS(OFFSET($A$1,ROW(),29,1000-ROW(),1),OFFSET($A$1,ROW(),20,1000-ROW(),1),ROW(),OFFSET($A$1,ROW(),21,1000-ROW(),1),"Sub"))))</f>
        <v/>
      </c>
      <c r="J55" s="60">
        <f>IF(N($W55)=0,"",IF(AND($S55=MesCiclo,2&gt;SemanaActual),"",MIN(1,SUMIFS(OFFSET($A$1,ROW(),30,1000-ROW(),1),OFFSET($A$1,ROW(),20,1000-ROW(),1),ROW(),OFFSET($A$1,ROW(),21,1000-ROW(),1),"Sub"))))</f>
        <v/>
      </c>
      <c r="K55" s="60">
        <f>IF(N($W55)=0,"",IF(AND($S55=MesCiclo,3&gt;SemanaActual),"",MIN(1,SUMIFS(OFFSET($A$1,ROW(),31,1000-ROW(),1),OFFSET($A$1,ROW(),20,1000-ROW(),1),ROW(),OFFSET($A$1,ROW(),21,1000-ROW(),1),"Sub"))))</f>
        <v/>
      </c>
      <c r="L55" s="60">
        <f>IF(N($W55)=0,"",IF(AND($S55=MesCiclo,4&gt;SemanaActual),"",MIN(1,SUMIFS(OFFSET($A$1,ROW(),32,1000-ROW(),1),OFFSET($A$1,ROW(),20,1000-ROW(),1),ROW(),OFFSET($A$1,ROW(),21,1000-ROW(),1),"Sub"))))</f>
        <v/>
      </c>
      <c r="M55" s="61">
        <f>IF(NOT((COUNTA($B55:$D55)+COUNTA($G55:$H55)+COUNTA($Q55))&gt;0),"",IF(AND($D55&lt;&gt;"",$V55="Macro"),IF(N($AM55)&gt;0,N(CHOOSE(MATCH($D55,ListaPuestos,0),INDEX('Cronograma R. Operacional'!$M$5:$M$1000,$AM55),INDEX('Cronograma R. Normativo'!$M$5:$M$1000,$AM55),INDEX('Cronograma R. Financiero'!$M$5:$M$1000,$AM55),INDEX('Cronograma Asistente Técnico'!$M$5:$M$1000,$AM55))),0),IF(ISNUMBER($G55),1,IF(N($W55)&gt;0,MIN(1,SUMIFS($Y$5:$Y$1000,$U$5:$U$1000,ROW(),$V$5:$V$1000,"Sub")),$Y55))))</f>
        <v/>
      </c>
      <c r="N55" s="56">
        <f>IF(OR($M55="",$V55="Sub"),"",IF($M55&gt;=1,"Completado",IF($M55&gt;0,"En curso","Pendiente")))</f>
        <v/>
      </c>
      <c r="O55" s="56">
        <f>IF(NOT((COUNTA($B55:$D55)+COUNTA($G55:$H55)+COUNTA($Q55))&gt;0),"",IF(AND(AND($D55&lt;&gt;"",$V55="Macro"),N($AM55)&gt;0),CHOOSE(MATCH($D55,ListaPuestos,0),INDEX('Cronograma R. Operacional'!$O$5:$O$1000,$AM55),INDEX('Cronograma R. Normativo'!$O$5:$O$1000,$AM55),INDEX('Cronograma R. Financiero'!$O$5:$O$1000,$AM55),INDEX('Cronograma Asistente Técnico'!$O$5:$O$1000,$AM55))&amp;"",IF(ISNUMBER($G55),IF(AND(ISNUMBER($AS55),$G55&gt;$AS55),"Cumplida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f>IF(NOT((COUNTA($B55:$D55)+COUNTA($G55:$H55)+COUNTA($Q55))&gt;0),"",IF($D55="","Propia",IF($V55&lt;&gt;"Macro","Solo se delegan macroactividades",IF(N($AM55)&gt;0,"✔ Recibida por "&amp;$D55,"⚠ "&amp;$D55&amp;" aún no la agrega"))))</f>
        <v/>
      </c>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IF($V55&lt;&gt;"Sub","",N($X55)*IF(AND(ISNUMBER($G55),$G55&lt;=IF($S55=MesCiclo,InicioCiclo,$S55+MOD(2-WEEKDAY($S55),7))+6),1,MIN(1,MAX(0,IF(ISNUMBER(OFFSET($A$1,ROW()-1,8)),OFFSET($A$1,ROW()-1,8),0)))))</f>
        <v/>
      </c>
      <c r="AE55" s="62">
        <f>IF($V55&lt;&gt;"Sub","",N($X55)*IF(AND(ISNUMBER($G55),$G55&lt;=IF($S55=MesCiclo,InicioCiclo,$S55+MOD(2-WEEKDAY($S55),7))+13),1,MIN(1,MAX(0,IF(ISNUMBER(OFFSET($A$1,ROW()-1,9)),OFFSET($A$1,ROW()-1,9),IF(ISNUMBER(OFFSET($A$1,ROW()-1,8)),OFFSET($A$1,ROW()-1,8),0))))))</f>
        <v/>
      </c>
      <c r="AF55" s="62">
        <f>IF($V55&lt;&gt;"Sub","",N($X55)*IF(AND(ISNUMBER($G55),$G55&lt;=IF($S55=MesCiclo,InicioCiclo,$S55+MOD(2-WEEKDAY($S55),7))+20),1,MIN(1,MAX(0,IF(ISNUMBER(OFFSET($A$1,ROW()-1,10)),OFFSET($A$1,ROW()-1,10),IF(ISNUMBER(OFFSET($A$1,ROW()-1,9)),OFFSET($A$1,ROW()-1,9),IF(ISNUMBER(OFFSET($A$1,ROW()-1,8)),OFFSET($A$1,ROW()-1,8),0)))))))</f>
        <v/>
      </c>
      <c r="AG55" s="62">
        <f>IF($V55&lt;&gt;"Sub","",N($X55)*IF(AND(ISNUMBER($G55),$G55&lt;=IF($S55=MesCiclo,InicioCiclo,$S55+MOD(2-WEEKDAY($S55),7))+27),1,MIN(1,MAX(0,IF(ISNUMBER(OFFSET($A$1,ROW()-1,11)),OFFSET($A$1,ROW()-1,11),IF(ISNUMBER(OFFSET($A$1,ROW()-1,10)),OFFSET($A$1,ROW()-1,10),IF(ISNUMBER(OFFSET($A$1,ROW()-1,9)),OFFSET($A$1,ROW()-1,9),IF(ISNUMBER(OFFSET($A$1,ROW()-1,8)),OFFSET($A$1,ROW()-1,8),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f>IF(NOT(AND($D55&lt;&gt;"",$V55="Macro")),"",IFERROR(CHOOSE(MATCH($D55,ListaPuestos,0),MATCH("[Jefatura] "&amp;$C55,'Cronograma R. Operacional'!$C$5:$C$1000,0),MATCH("[Jefatura] "&amp;$C55,'Cronograma R. Normativo'!$C$5:$C$1000,0),MATCH("[Jefatura] "&amp;$C55,'Cronograma R. Financiero'!$C$5:$C$1000,0),MATCH("[Jefatura] "&amp;$C55,'Cronograma Asistente Técnico'!$C$5:$C$1000,0)),0))</f>
        <v/>
      </c>
      <c r="AN55" s="62">
        <f>IF(AND(AND($D55&lt;&gt;"",$V55="Macro"),$S55=MesCiclo),COUNTIFS($D$5:$D55,$D55,$S$5:$S55,MesCiclo,$V$5:$V55,"Macro"),"")</f>
        <v/>
      </c>
      <c r="AO55" s="62">
        <f>IF($AN55="","",$D55&amp;"|"&amp;$AN55)</f>
        <v/>
      </c>
      <c r="AP55" s="62">
        <f>IF(AND($D55&lt;&gt;"",$V55="Macro"),$D55&amp;"|"&amp;$C55,"")</f>
        <v/>
      </c>
      <c r="AQ55" s="62">
        <f>""</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t="n"/>
      <c r="F56" s="59" t="n"/>
      <c r="G56" s="59" t="n"/>
      <c r="H56" s="60" t="n"/>
      <c r="I56" s="60">
        <f>IF(N($W56)=0,"",IF(AND($S56=MesCiclo,1&gt;SemanaActual),"",MIN(1,SUMIFS(OFFSET($A$1,ROW(),29,1000-ROW(),1),OFFSET($A$1,ROW(),20,1000-ROW(),1),ROW(),OFFSET($A$1,ROW(),21,1000-ROW(),1),"Sub"))))</f>
        <v/>
      </c>
      <c r="J56" s="60">
        <f>IF(N($W56)=0,"",IF(AND($S56=MesCiclo,2&gt;SemanaActual),"",MIN(1,SUMIFS(OFFSET($A$1,ROW(),30,1000-ROW(),1),OFFSET($A$1,ROW(),20,1000-ROW(),1),ROW(),OFFSET($A$1,ROW(),21,1000-ROW(),1),"Sub"))))</f>
        <v/>
      </c>
      <c r="K56" s="60">
        <f>IF(N($W56)=0,"",IF(AND($S56=MesCiclo,3&gt;SemanaActual),"",MIN(1,SUMIFS(OFFSET($A$1,ROW(),31,1000-ROW(),1),OFFSET($A$1,ROW(),20,1000-ROW(),1),ROW(),OFFSET($A$1,ROW(),21,1000-ROW(),1),"Sub"))))</f>
        <v/>
      </c>
      <c r="L56" s="60">
        <f>IF(N($W56)=0,"",IF(AND($S56=MesCiclo,4&gt;SemanaActual),"",MIN(1,SUMIFS(OFFSET($A$1,ROW(),32,1000-ROW(),1),OFFSET($A$1,ROW(),20,1000-ROW(),1),ROW(),OFFSET($A$1,ROW(),21,1000-ROW(),1),"Sub"))))</f>
        <v/>
      </c>
      <c r="M56" s="61">
        <f>IF(NOT((COUNTA($B56:$D56)+COUNTA($G56:$H56)+COUNTA($Q56))&gt;0),"",IF(AND($D56&lt;&gt;"",$V56="Macro"),IF(N($AM56)&gt;0,N(CHOOSE(MATCH($D56,ListaPuestos,0),INDEX('Cronograma R. Operacional'!$M$5:$M$1000,$AM56),INDEX('Cronograma R. Normativo'!$M$5:$M$1000,$AM56),INDEX('Cronograma R. Financiero'!$M$5:$M$1000,$AM56),INDEX('Cronograma Asistente Técnico'!$M$5:$M$1000,$AM56))),0),IF(ISNUMBER($G56),1,IF(N($W56)&gt;0,MIN(1,SUMIFS($Y$5:$Y$1000,$U$5:$U$1000,ROW(),$V$5:$V$1000,"Sub")),$Y56))))</f>
        <v/>
      </c>
      <c r="N56" s="56">
        <f>IF(OR($M56="",$V56="Sub"),"",IF($M56&gt;=1,"Completado",IF($M56&gt;0,"En curso","Pendiente")))</f>
        <v/>
      </c>
      <c r="O56" s="56">
        <f>IF(NOT((COUNTA($B56:$D56)+COUNTA($G56:$H56)+COUNTA($Q56))&gt;0),"",IF(AND(AND($D56&lt;&gt;"",$V56="Macro"),N($AM56)&gt;0),CHOOSE(MATCH($D56,ListaPuestos,0),INDEX('Cronograma R. Operacional'!$O$5:$O$1000,$AM56),INDEX('Cronograma R. Normativo'!$O$5:$O$1000,$AM56),INDEX('Cronograma R. Financiero'!$O$5:$O$1000,$AM56),INDEX('Cronograma Asistente Técnico'!$O$5:$O$1000,$AM56))&amp;"",IF(ISNUMBER($G56),IF(AND(ISNUMBER($AS56),$G56&gt;$AS56),"Cumplida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f>IF(NOT((COUNTA($B56:$D56)+COUNTA($G56:$H56)+COUNTA($Q56))&gt;0),"",IF($D56="","Propia",IF($V56&lt;&gt;"Macro","Solo se delegan macroactividades",IF(N($AM56)&gt;0,"✔ Recibida por "&amp;$D56,"⚠ "&amp;$D56&amp;" aún no la agrega"))))</f>
        <v/>
      </c>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IF($V56&lt;&gt;"Sub","",N($X56)*IF(AND(ISNUMBER($G56),$G56&lt;=IF($S56=MesCiclo,InicioCiclo,$S56+MOD(2-WEEKDAY($S56),7))+6),1,MIN(1,MAX(0,IF(ISNUMBER(OFFSET($A$1,ROW()-1,8)),OFFSET($A$1,ROW()-1,8),0)))))</f>
        <v/>
      </c>
      <c r="AE56" s="62">
        <f>IF($V56&lt;&gt;"Sub","",N($X56)*IF(AND(ISNUMBER($G56),$G56&lt;=IF($S56=MesCiclo,InicioCiclo,$S56+MOD(2-WEEKDAY($S56),7))+13),1,MIN(1,MAX(0,IF(ISNUMBER(OFFSET($A$1,ROW()-1,9)),OFFSET($A$1,ROW()-1,9),IF(ISNUMBER(OFFSET($A$1,ROW()-1,8)),OFFSET($A$1,ROW()-1,8),0))))))</f>
        <v/>
      </c>
      <c r="AF56" s="62">
        <f>IF($V56&lt;&gt;"Sub","",N($X56)*IF(AND(ISNUMBER($G56),$G56&lt;=IF($S56=MesCiclo,InicioCiclo,$S56+MOD(2-WEEKDAY($S56),7))+20),1,MIN(1,MAX(0,IF(ISNUMBER(OFFSET($A$1,ROW()-1,10)),OFFSET($A$1,ROW()-1,10),IF(ISNUMBER(OFFSET($A$1,ROW()-1,9)),OFFSET($A$1,ROW()-1,9),IF(ISNUMBER(OFFSET($A$1,ROW()-1,8)),OFFSET($A$1,ROW()-1,8),0)))))))</f>
        <v/>
      </c>
      <c r="AG56" s="62">
        <f>IF($V56&lt;&gt;"Sub","",N($X56)*IF(AND(ISNUMBER($G56),$G56&lt;=IF($S56=MesCiclo,InicioCiclo,$S56+MOD(2-WEEKDAY($S56),7))+27),1,MIN(1,MAX(0,IF(ISNUMBER(OFFSET($A$1,ROW()-1,11)),OFFSET($A$1,ROW()-1,11),IF(ISNUMBER(OFFSET($A$1,ROW()-1,10)),OFFSET($A$1,ROW()-1,10),IF(ISNUMBER(OFFSET($A$1,ROW()-1,9)),OFFSET($A$1,ROW()-1,9),IF(ISNUMBER(OFFSET($A$1,ROW()-1,8)),OFFSET($A$1,ROW()-1,8),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f>IF(NOT(AND($D56&lt;&gt;"",$V56="Macro")),"",IFERROR(CHOOSE(MATCH($D56,ListaPuestos,0),MATCH("[Jefatura] "&amp;$C56,'Cronograma R. Operacional'!$C$5:$C$1000,0),MATCH("[Jefatura] "&amp;$C56,'Cronograma R. Normativo'!$C$5:$C$1000,0),MATCH("[Jefatura] "&amp;$C56,'Cronograma R. Financiero'!$C$5:$C$1000,0),MATCH("[Jefatura] "&amp;$C56,'Cronograma Asistente Técnico'!$C$5:$C$1000,0)),0))</f>
        <v/>
      </c>
      <c r="AN56" s="62">
        <f>IF(AND(AND($D56&lt;&gt;"",$V56="Macro"),$S56=MesCiclo),COUNTIFS($D$5:$D56,$D56,$S$5:$S56,MesCiclo,$V$5:$V56,"Macro"),"")</f>
        <v/>
      </c>
      <c r="AO56" s="62">
        <f>IF($AN56="","",$D56&amp;"|"&amp;$AN56)</f>
        <v/>
      </c>
      <c r="AP56" s="62">
        <f>IF(AND($D56&lt;&gt;"",$V56="Macro"),$D56&amp;"|"&amp;$C56,"")</f>
        <v/>
      </c>
      <c r="AQ56" s="62">
        <f>""</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t="n"/>
      <c r="F57" s="59" t="n"/>
      <c r="G57" s="59" t="n"/>
      <c r="H57" s="60" t="n"/>
      <c r="I57" s="60">
        <f>IF(N($W57)=0,"",IF(AND($S57=MesCiclo,1&gt;SemanaActual),"",MIN(1,SUMIFS(OFFSET($A$1,ROW(),29,1000-ROW(),1),OFFSET($A$1,ROW(),20,1000-ROW(),1),ROW(),OFFSET($A$1,ROW(),21,1000-ROW(),1),"Sub"))))</f>
        <v/>
      </c>
      <c r="J57" s="60">
        <f>IF(N($W57)=0,"",IF(AND($S57=MesCiclo,2&gt;SemanaActual),"",MIN(1,SUMIFS(OFFSET($A$1,ROW(),30,1000-ROW(),1),OFFSET($A$1,ROW(),20,1000-ROW(),1),ROW(),OFFSET($A$1,ROW(),21,1000-ROW(),1),"Sub"))))</f>
        <v/>
      </c>
      <c r="K57" s="60">
        <f>IF(N($W57)=0,"",IF(AND($S57=MesCiclo,3&gt;SemanaActual),"",MIN(1,SUMIFS(OFFSET($A$1,ROW(),31,1000-ROW(),1),OFFSET($A$1,ROW(),20,1000-ROW(),1),ROW(),OFFSET($A$1,ROW(),21,1000-ROW(),1),"Sub"))))</f>
        <v/>
      </c>
      <c r="L57" s="60">
        <f>IF(N($W57)=0,"",IF(AND($S57=MesCiclo,4&gt;SemanaActual),"",MIN(1,SUMIFS(OFFSET($A$1,ROW(),32,1000-ROW(),1),OFFSET($A$1,ROW(),20,1000-ROW(),1),ROW(),OFFSET($A$1,ROW(),21,1000-ROW(),1),"Sub"))))</f>
        <v/>
      </c>
      <c r="M57" s="61">
        <f>IF(NOT((COUNTA($B57:$D57)+COUNTA($G57:$H57)+COUNTA($Q57))&gt;0),"",IF(AND($D57&lt;&gt;"",$V57="Macro"),IF(N($AM57)&gt;0,N(CHOOSE(MATCH($D57,ListaPuestos,0),INDEX('Cronograma R. Operacional'!$M$5:$M$1000,$AM57),INDEX('Cronograma R. Normativo'!$M$5:$M$1000,$AM57),INDEX('Cronograma R. Financiero'!$M$5:$M$1000,$AM57),INDEX('Cronograma Asistente Técnico'!$M$5:$M$1000,$AM57))),0),IF(ISNUMBER($G57),1,IF(N($W57)&gt;0,MIN(1,SUMIFS($Y$5:$Y$1000,$U$5:$U$1000,ROW(),$V$5:$V$1000,"Sub")),$Y57))))</f>
        <v/>
      </c>
      <c r="N57" s="56">
        <f>IF(OR($M57="",$V57="Sub"),"",IF($M57&gt;=1,"Completado",IF($M57&gt;0,"En curso","Pendiente")))</f>
        <v/>
      </c>
      <c r="O57" s="56">
        <f>IF(NOT((COUNTA($B57:$D57)+COUNTA($G57:$H57)+COUNTA($Q57))&gt;0),"",IF(AND(AND($D57&lt;&gt;"",$V57="Macro"),N($AM57)&gt;0),CHOOSE(MATCH($D57,ListaPuestos,0),INDEX('Cronograma R. Operacional'!$O$5:$O$1000,$AM57),INDEX('Cronograma R. Normativo'!$O$5:$O$1000,$AM57),INDEX('Cronograma R. Financiero'!$O$5:$O$1000,$AM57),INDEX('Cronograma Asistente Técnico'!$O$5:$O$1000,$AM57))&amp;"",IF(ISNUMBER($G57),IF(AND(ISNUMBER($AS57),$G57&gt;$AS57),"Cumplida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f>IF(NOT((COUNTA($B57:$D57)+COUNTA($G57:$H57)+COUNTA($Q57))&gt;0),"",IF($D57="","Propia",IF($V57&lt;&gt;"Macro","Solo se delegan macroactividades",IF(N($AM57)&gt;0,"✔ Recibida por "&amp;$D57,"⚠ "&amp;$D57&amp;" aún no la agrega"))))</f>
        <v/>
      </c>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IF($V57&lt;&gt;"Sub","",N($X57)*IF(AND(ISNUMBER($G57),$G57&lt;=IF($S57=MesCiclo,InicioCiclo,$S57+MOD(2-WEEKDAY($S57),7))+6),1,MIN(1,MAX(0,IF(ISNUMBER(OFFSET($A$1,ROW()-1,8)),OFFSET($A$1,ROW()-1,8),0)))))</f>
        <v/>
      </c>
      <c r="AE57" s="62">
        <f>IF($V57&lt;&gt;"Sub","",N($X57)*IF(AND(ISNUMBER($G57),$G57&lt;=IF($S57=MesCiclo,InicioCiclo,$S57+MOD(2-WEEKDAY($S57),7))+13),1,MIN(1,MAX(0,IF(ISNUMBER(OFFSET($A$1,ROW()-1,9)),OFFSET($A$1,ROW()-1,9),IF(ISNUMBER(OFFSET($A$1,ROW()-1,8)),OFFSET($A$1,ROW()-1,8),0))))))</f>
        <v/>
      </c>
      <c r="AF57" s="62">
        <f>IF($V57&lt;&gt;"Sub","",N($X57)*IF(AND(ISNUMBER($G57),$G57&lt;=IF($S57=MesCiclo,InicioCiclo,$S57+MOD(2-WEEKDAY($S57),7))+20),1,MIN(1,MAX(0,IF(ISNUMBER(OFFSET($A$1,ROW()-1,10)),OFFSET($A$1,ROW()-1,10),IF(ISNUMBER(OFFSET($A$1,ROW()-1,9)),OFFSET($A$1,ROW()-1,9),IF(ISNUMBER(OFFSET($A$1,ROW()-1,8)),OFFSET($A$1,ROW()-1,8),0)))))))</f>
        <v/>
      </c>
      <c r="AG57" s="62">
        <f>IF($V57&lt;&gt;"Sub","",N($X57)*IF(AND(ISNUMBER($G57),$G57&lt;=IF($S57=MesCiclo,InicioCiclo,$S57+MOD(2-WEEKDAY($S57),7))+27),1,MIN(1,MAX(0,IF(ISNUMBER(OFFSET($A$1,ROW()-1,11)),OFFSET($A$1,ROW()-1,11),IF(ISNUMBER(OFFSET($A$1,ROW()-1,10)),OFFSET($A$1,ROW()-1,10),IF(ISNUMBER(OFFSET($A$1,ROW()-1,9)),OFFSET($A$1,ROW()-1,9),IF(ISNUMBER(OFFSET($A$1,ROW()-1,8)),OFFSET($A$1,ROW()-1,8),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f>IF(NOT(AND($D57&lt;&gt;"",$V57="Macro")),"",IFERROR(CHOOSE(MATCH($D57,ListaPuestos,0),MATCH("[Jefatura] "&amp;$C57,'Cronograma R. Operacional'!$C$5:$C$1000,0),MATCH("[Jefatura] "&amp;$C57,'Cronograma R. Normativo'!$C$5:$C$1000,0),MATCH("[Jefatura] "&amp;$C57,'Cronograma R. Financiero'!$C$5:$C$1000,0),MATCH("[Jefatura] "&amp;$C57,'Cronograma Asistente Técnico'!$C$5:$C$1000,0)),0))</f>
        <v/>
      </c>
      <c r="AN57" s="62">
        <f>IF(AND(AND($D57&lt;&gt;"",$V57="Macro"),$S57=MesCiclo),COUNTIFS($D$5:$D57,$D57,$S$5:$S57,MesCiclo,$V$5:$V57,"Macro"),"")</f>
        <v/>
      </c>
      <c r="AO57" s="62">
        <f>IF($AN57="","",$D57&amp;"|"&amp;$AN57)</f>
        <v/>
      </c>
      <c r="AP57" s="62">
        <f>IF(AND($D57&lt;&gt;"",$V57="Macro"),$D57&amp;"|"&amp;$C57,"")</f>
        <v/>
      </c>
      <c r="AQ57" s="62">
        <f>""</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t="n"/>
      <c r="F58" s="59" t="n"/>
      <c r="G58" s="59" t="n"/>
      <c r="H58" s="60" t="n"/>
      <c r="I58" s="60">
        <f>IF(N($W58)=0,"",IF(AND($S58=MesCiclo,1&gt;SemanaActual),"",MIN(1,SUMIFS(OFFSET($A$1,ROW(),29,1000-ROW(),1),OFFSET($A$1,ROW(),20,1000-ROW(),1),ROW(),OFFSET($A$1,ROW(),21,1000-ROW(),1),"Sub"))))</f>
        <v/>
      </c>
      <c r="J58" s="60">
        <f>IF(N($W58)=0,"",IF(AND($S58=MesCiclo,2&gt;SemanaActual),"",MIN(1,SUMIFS(OFFSET($A$1,ROW(),30,1000-ROW(),1),OFFSET($A$1,ROW(),20,1000-ROW(),1),ROW(),OFFSET($A$1,ROW(),21,1000-ROW(),1),"Sub"))))</f>
        <v/>
      </c>
      <c r="K58" s="60">
        <f>IF(N($W58)=0,"",IF(AND($S58=MesCiclo,3&gt;SemanaActual),"",MIN(1,SUMIFS(OFFSET($A$1,ROW(),31,1000-ROW(),1),OFFSET($A$1,ROW(),20,1000-ROW(),1),ROW(),OFFSET($A$1,ROW(),21,1000-ROW(),1),"Sub"))))</f>
        <v/>
      </c>
      <c r="L58" s="60">
        <f>IF(N($W58)=0,"",IF(AND($S58=MesCiclo,4&gt;SemanaActual),"",MIN(1,SUMIFS(OFFSET($A$1,ROW(),32,1000-ROW(),1),OFFSET($A$1,ROW(),20,1000-ROW(),1),ROW(),OFFSET($A$1,ROW(),21,1000-ROW(),1),"Sub"))))</f>
        <v/>
      </c>
      <c r="M58" s="61">
        <f>IF(NOT((COUNTA($B58:$D58)+COUNTA($G58:$H58)+COUNTA($Q58))&gt;0),"",IF(AND($D58&lt;&gt;"",$V58="Macro"),IF(N($AM58)&gt;0,N(CHOOSE(MATCH($D58,ListaPuestos,0),INDEX('Cronograma R. Operacional'!$M$5:$M$1000,$AM58),INDEX('Cronograma R. Normativo'!$M$5:$M$1000,$AM58),INDEX('Cronograma R. Financiero'!$M$5:$M$1000,$AM58),INDEX('Cronograma Asistente Técnico'!$M$5:$M$1000,$AM58))),0),IF(ISNUMBER($G58),1,IF(N($W58)&gt;0,MIN(1,SUMIFS($Y$5:$Y$1000,$U$5:$U$1000,ROW(),$V$5:$V$1000,"Sub")),$Y58))))</f>
        <v/>
      </c>
      <c r="N58" s="56">
        <f>IF(OR($M58="",$V58="Sub"),"",IF($M58&gt;=1,"Completado",IF($M58&gt;0,"En curso","Pendiente")))</f>
        <v/>
      </c>
      <c r="O58" s="56">
        <f>IF(NOT((COUNTA($B58:$D58)+COUNTA($G58:$H58)+COUNTA($Q58))&gt;0),"",IF(AND(AND($D58&lt;&gt;"",$V58="Macro"),N($AM58)&gt;0),CHOOSE(MATCH($D58,ListaPuestos,0),INDEX('Cronograma R. Operacional'!$O$5:$O$1000,$AM58),INDEX('Cronograma R. Normativo'!$O$5:$O$1000,$AM58),INDEX('Cronograma R. Financiero'!$O$5:$O$1000,$AM58),INDEX('Cronograma Asistente Técnico'!$O$5:$O$1000,$AM58))&amp;"",IF(ISNUMBER($G58),IF(AND(ISNUMBER($AS58),$G58&gt;$AS58),"Cumplida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f>IF(NOT((COUNTA($B58:$D58)+COUNTA($G58:$H58)+COUNTA($Q58))&gt;0),"",IF($D58="","Propia",IF($V58&lt;&gt;"Macro","Solo se delegan macroactividades",IF(N($AM58)&gt;0,"✔ Recibida por "&amp;$D58,"⚠ "&amp;$D58&amp;" aún no la agrega"))))</f>
        <v/>
      </c>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IF($V58&lt;&gt;"Sub","",N($X58)*IF(AND(ISNUMBER($G58),$G58&lt;=IF($S58=MesCiclo,InicioCiclo,$S58+MOD(2-WEEKDAY($S58),7))+6),1,MIN(1,MAX(0,IF(ISNUMBER(OFFSET($A$1,ROW()-1,8)),OFFSET($A$1,ROW()-1,8),0)))))</f>
        <v/>
      </c>
      <c r="AE58" s="62">
        <f>IF($V58&lt;&gt;"Sub","",N($X58)*IF(AND(ISNUMBER($G58),$G58&lt;=IF($S58=MesCiclo,InicioCiclo,$S58+MOD(2-WEEKDAY($S58),7))+13),1,MIN(1,MAX(0,IF(ISNUMBER(OFFSET($A$1,ROW()-1,9)),OFFSET($A$1,ROW()-1,9),IF(ISNUMBER(OFFSET($A$1,ROW()-1,8)),OFFSET($A$1,ROW()-1,8),0))))))</f>
        <v/>
      </c>
      <c r="AF58" s="62">
        <f>IF($V58&lt;&gt;"Sub","",N($X58)*IF(AND(ISNUMBER($G58),$G58&lt;=IF($S58=MesCiclo,InicioCiclo,$S58+MOD(2-WEEKDAY($S58),7))+20),1,MIN(1,MAX(0,IF(ISNUMBER(OFFSET($A$1,ROW()-1,10)),OFFSET($A$1,ROW()-1,10),IF(ISNUMBER(OFFSET($A$1,ROW()-1,9)),OFFSET($A$1,ROW()-1,9),IF(ISNUMBER(OFFSET($A$1,ROW()-1,8)),OFFSET($A$1,ROW()-1,8),0)))))))</f>
        <v/>
      </c>
      <c r="AG58" s="62">
        <f>IF($V58&lt;&gt;"Sub","",N($X58)*IF(AND(ISNUMBER($G58),$G58&lt;=IF($S58=MesCiclo,InicioCiclo,$S58+MOD(2-WEEKDAY($S58),7))+27),1,MIN(1,MAX(0,IF(ISNUMBER(OFFSET($A$1,ROW()-1,11)),OFFSET($A$1,ROW()-1,11),IF(ISNUMBER(OFFSET($A$1,ROW()-1,10)),OFFSET($A$1,ROW()-1,10),IF(ISNUMBER(OFFSET($A$1,ROW()-1,9)),OFFSET($A$1,ROW()-1,9),IF(ISNUMBER(OFFSET($A$1,ROW()-1,8)),OFFSET($A$1,ROW()-1,8),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f>IF(NOT(AND($D58&lt;&gt;"",$V58="Macro")),"",IFERROR(CHOOSE(MATCH($D58,ListaPuestos,0),MATCH("[Jefatura] "&amp;$C58,'Cronograma R. Operacional'!$C$5:$C$1000,0),MATCH("[Jefatura] "&amp;$C58,'Cronograma R. Normativo'!$C$5:$C$1000,0),MATCH("[Jefatura] "&amp;$C58,'Cronograma R. Financiero'!$C$5:$C$1000,0),MATCH("[Jefatura] "&amp;$C58,'Cronograma Asistente Técnico'!$C$5:$C$1000,0)),0))</f>
        <v/>
      </c>
      <c r="AN58" s="62">
        <f>IF(AND(AND($D58&lt;&gt;"",$V58="Macro"),$S58=MesCiclo),COUNTIFS($D$5:$D58,$D58,$S$5:$S58,MesCiclo,$V$5:$V58,"Macro"),"")</f>
        <v/>
      </c>
      <c r="AO58" s="62">
        <f>IF($AN58="","",$D58&amp;"|"&amp;$AN58)</f>
        <v/>
      </c>
      <c r="AP58" s="62">
        <f>IF(AND($D58&lt;&gt;"",$V58="Macro"),$D58&amp;"|"&amp;$C58,"")</f>
        <v/>
      </c>
      <c r="AQ58" s="62">
        <f>""</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t="n"/>
      <c r="F59" s="59" t="n"/>
      <c r="G59" s="59" t="n"/>
      <c r="H59" s="60" t="n"/>
      <c r="I59" s="60">
        <f>IF(N($W59)=0,"",IF(AND($S59=MesCiclo,1&gt;SemanaActual),"",MIN(1,SUMIFS(OFFSET($A$1,ROW(),29,1000-ROW(),1),OFFSET($A$1,ROW(),20,1000-ROW(),1),ROW(),OFFSET($A$1,ROW(),21,1000-ROW(),1),"Sub"))))</f>
        <v/>
      </c>
      <c r="J59" s="60">
        <f>IF(N($W59)=0,"",IF(AND($S59=MesCiclo,2&gt;SemanaActual),"",MIN(1,SUMIFS(OFFSET($A$1,ROW(),30,1000-ROW(),1),OFFSET($A$1,ROW(),20,1000-ROW(),1),ROW(),OFFSET($A$1,ROW(),21,1000-ROW(),1),"Sub"))))</f>
        <v/>
      </c>
      <c r="K59" s="60">
        <f>IF(N($W59)=0,"",IF(AND($S59=MesCiclo,3&gt;SemanaActual),"",MIN(1,SUMIFS(OFFSET($A$1,ROW(),31,1000-ROW(),1),OFFSET($A$1,ROW(),20,1000-ROW(),1),ROW(),OFFSET($A$1,ROW(),21,1000-ROW(),1),"Sub"))))</f>
        <v/>
      </c>
      <c r="L59" s="60">
        <f>IF(N($W59)=0,"",IF(AND($S59=MesCiclo,4&gt;SemanaActual),"",MIN(1,SUMIFS(OFFSET($A$1,ROW(),32,1000-ROW(),1),OFFSET($A$1,ROW(),20,1000-ROW(),1),ROW(),OFFSET($A$1,ROW(),21,1000-ROW(),1),"Sub"))))</f>
        <v/>
      </c>
      <c r="M59" s="61">
        <f>IF(NOT((COUNTA($B59:$D59)+COUNTA($G59:$H59)+COUNTA($Q59))&gt;0),"",IF(AND($D59&lt;&gt;"",$V59="Macro"),IF(N($AM59)&gt;0,N(CHOOSE(MATCH($D59,ListaPuestos,0),INDEX('Cronograma R. Operacional'!$M$5:$M$1000,$AM59),INDEX('Cronograma R. Normativo'!$M$5:$M$1000,$AM59),INDEX('Cronograma R. Financiero'!$M$5:$M$1000,$AM59),INDEX('Cronograma Asistente Técnico'!$M$5:$M$1000,$AM59))),0),IF(ISNUMBER($G59),1,IF(N($W59)&gt;0,MIN(1,SUMIFS($Y$5:$Y$1000,$U$5:$U$1000,ROW(),$V$5:$V$1000,"Sub")),$Y59))))</f>
        <v/>
      </c>
      <c r="N59" s="56">
        <f>IF(OR($M59="",$V59="Sub"),"",IF($M59&gt;=1,"Completado",IF($M59&gt;0,"En curso","Pendiente")))</f>
        <v/>
      </c>
      <c r="O59" s="56">
        <f>IF(NOT((COUNTA($B59:$D59)+COUNTA($G59:$H59)+COUNTA($Q59))&gt;0),"",IF(AND(AND($D59&lt;&gt;"",$V59="Macro"),N($AM59)&gt;0),CHOOSE(MATCH($D59,ListaPuestos,0),INDEX('Cronograma R. Operacional'!$O$5:$O$1000,$AM59),INDEX('Cronograma R. Normativo'!$O$5:$O$1000,$AM59),INDEX('Cronograma R. Financiero'!$O$5:$O$1000,$AM59),INDEX('Cronograma Asistente Técnico'!$O$5:$O$1000,$AM59))&amp;"",IF(ISNUMBER($G59),IF(AND(ISNUMBER($AS59),$G59&gt;$AS59),"Cumplida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f>IF(NOT((COUNTA($B59:$D59)+COUNTA($G59:$H59)+COUNTA($Q59))&gt;0),"",IF($D59="","Propia",IF($V59&lt;&gt;"Macro","Solo se delegan macroactividades",IF(N($AM59)&gt;0,"✔ Recibida por "&amp;$D59,"⚠ "&amp;$D59&amp;" aún no la agrega"))))</f>
        <v/>
      </c>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IF($V59&lt;&gt;"Sub","",N($X59)*IF(AND(ISNUMBER($G59),$G59&lt;=IF($S59=MesCiclo,InicioCiclo,$S59+MOD(2-WEEKDAY($S59),7))+6),1,MIN(1,MAX(0,IF(ISNUMBER(OFFSET($A$1,ROW()-1,8)),OFFSET($A$1,ROW()-1,8),0)))))</f>
        <v/>
      </c>
      <c r="AE59" s="62">
        <f>IF($V59&lt;&gt;"Sub","",N($X59)*IF(AND(ISNUMBER($G59),$G59&lt;=IF($S59=MesCiclo,InicioCiclo,$S59+MOD(2-WEEKDAY($S59),7))+13),1,MIN(1,MAX(0,IF(ISNUMBER(OFFSET($A$1,ROW()-1,9)),OFFSET($A$1,ROW()-1,9),IF(ISNUMBER(OFFSET($A$1,ROW()-1,8)),OFFSET($A$1,ROW()-1,8),0))))))</f>
        <v/>
      </c>
      <c r="AF59" s="62">
        <f>IF($V59&lt;&gt;"Sub","",N($X59)*IF(AND(ISNUMBER($G59),$G59&lt;=IF($S59=MesCiclo,InicioCiclo,$S59+MOD(2-WEEKDAY($S59),7))+20),1,MIN(1,MAX(0,IF(ISNUMBER(OFFSET($A$1,ROW()-1,10)),OFFSET($A$1,ROW()-1,10),IF(ISNUMBER(OFFSET($A$1,ROW()-1,9)),OFFSET($A$1,ROW()-1,9),IF(ISNUMBER(OFFSET($A$1,ROW()-1,8)),OFFSET($A$1,ROW()-1,8),0)))))))</f>
        <v/>
      </c>
      <c r="AG59" s="62">
        <f>IF($V59&lt;&gt;"Sub","",N($X59)*IF(AND(ISNUMBER($G59),$G59&lt;=IF($S59=MesCiclo,InicioCiclo,$S59+MOD(2-WEEKDAY($S59),7))+27),1,MIN(1,MAX(0,IF(ISNUMBER(OFFSET($A$1,ROW()-1,11)),OFFSET($A$1,ROW()-1,11),IF(ISNUMBER(OFFSET($A$1,ROW()-1,10)),OFFSET($A$1,ROW()-1,10),IF(ISNUMBER(OFFSET($A$1,ROW()-1,9)),OFFSET($A$1,ROW()-1,9),IF(ISNUMBER(OFFSET($A$1,ROW()-1,8)),OFFSET($A$1,ROW()-1,8),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f>IF(NOT(AND($D59&lt;&gt;"",$V59="Macro")),"",IFERROR(CHOOSE(MATCH($D59,ListaPuestos,0),MATCH("[Jefatura] "&amp;$C59,'Cronograma R. Operacional'!$C$5:$C$1000,0),MATCH("[Jefatura] "&amp;$C59,'Cronograma R. Normativo'!$C$5:$C$1000,0),MATCH("[Jefatura] "&amp;$C59,'Cronograma R. Financiero'!$C$5:$C$1000,0),MATCH("[Jefatura] "&amp;$C59,'Cronograma Asistente Técnico'!$C$5:$C$1000,0)),0))</f>
        <v/>
      </c>
      <c r="AN59" s="62">
        <f>IF(AND(AND($D59&lt;&gt;"",$V59="Macro"),$S59=MesCiclo),COUNTIFS($D$5:$D59,$D59,$S$5:$S59,MesCiclo,$V$5:$V59,"Macro"),"")</f>
        <v/>
      </c>
      <c r="AO59" s="62">
        <f>IF($AN59="","",$D59&amp;"|"&amp;$AN59)</f>
        <v/>
      </c>
      <c r="AP59" s="62">
        <f>IF(AND($D59&lt;&gt;"",$V59="Macro"),$D59&amp;"|"&amp;$C59,"")</f>
        <v/>
      </c>
      <c r="AQ59" s="62">
        <f>""</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t="n"/>
      <c r="F60" s="59" t="n"/>
      <c r="G60" s="59" t="n"/>
      <c r="H60" s="60" t="n"/>
      <c r="I60" s="60">
        <f>IF(N($W60)=0,"",IF(AND($S60=MesCiclo,1&gt;SemanaActual),"",MIN(1,SUMIFS(OFFSET($A$1,ROW(),29,1000-ROW(),1),OFFSET($A$1,ROW(),20,1000-ROW(),1),ROW(),OFFSET($A$1,ROW(),21,1000-ROW(),1),"Sub"))))</f>
        <v/>
      </c>
      <c r="J60" s="60">
        <f>IF(N($W60)=0,"",IF(AND($S60=MesCiclo,2&gt;SemanaActual),"",MIN(1,SUMIFS(OFFSET($A$1,ROW(),30,1000-ROW(),1),OFFSET($A$1,ROW(),20,1000-ROW(),1),ROW(),OFFSET($A$1,ROW(),21,1000-ROW(),1),"Sub"))))</f>
        <v/>
      </c>
      <c r="K60" s="60">
        <f>IF(N($W60)=0,"",IF(AND($S60=MesCiclo,3&gt;SemanaActual),"",MIN(1,SUMIFS(OFFSET($A$1,ROW(),31,1000-ROW(),1),OFFSET($A$1,ROW(),20,1000-ROW(),1),ROW(),OFFSET($A$1,ROW(),21,1000-ROW(),1),"Sub"))))</f>
        <v/>
      </c>
      <c r="L60" s="60">
        <f>IF(N($W60)=0,"",IF(AND($S60=MesCiclo,4&gt;SemanaActual),"",MIN(1,SUMIFS(OFFSET($A$1,ROW(),32,1000-ROW(),1),OFFSET($A$1,ROW(),20,1000-ROW(),1),ROW(),OFFSET($A$1,ROW(),21,1000-ROW(),1),"Sub"))))</f>
        <v/>
      </c>
      <c r="M60" s="61">
        <f>IF(NOT((COUNTA($B60:$D60)+COUNTA($G60:$H60)+COUNTA($Q60))&gt;0),"",IF(AND($D60&lt;&gt;"",$V60="Macro"),IF(N($AM60)&gt;0,N(CHOOSE(MATCH($D60,ListaPuestos,0),INDEX('Cronograma R. Operacional'!$M$5:$M$1000,$AM60),INDEX('Cronograma R. Normativo'!$M$5:$M$1000,$AM60),INDEX('Cronograma R. Financiero'!$M$5:$M$1000,$AM60),INDEX('Cronograma Asistente Técnico'!$M$5:$M$1000,$AM60))),0),IF(ISNUMBER($G60),1,IF(N($W60)&gt;0,MIN(1,SUMIFS($Y$5:$Y$1000,$U$5:$U$1000,ROW(),$V$5:$V$1000,"Sub")),$Y60))))</f>
        <v/>
      </c>
      <c r="N60" s="56">
        <f>IF(OR($M60="",$V60="Sub"),"",IF($M60&gt;=1,"Completado",IF($M60&gt;0,"En curso","Pendiente")))</f>
        <v/>
      </c>
      <c r="O60" s="56">
        <f>IF(NOT((COUNTA($B60:$D60)+COUNTA($G60:$H60)+COUNTA($Q60))&gt;0),"",IF(AND(AND($D60&lt;&gt;"",$V60="Macro"),N($AM60)&gt;0),CHOOSE(MATCH($D60,ListaPuestos,0),INDEX('Cronograma R. Operacional'!$O$5:$O$1000,$AM60),INDEX('Cronograma R. Normativo'!$O$5:$O$1000,$AM60),INDEX('Cronograma R. Financiero'!$O$5:$O$1000,$AM60),INDEX('Cronograma Asistente Técnico'!$O$5:$O$1000,$AM60))&amp;"",IF(ISNUMBER($G60),IF(AND(ISNUMBER($AS60),$G60&gt;$AS60),"Cumplida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f>IF(NOT((COUNTA($B60:$D60)+COUNTA($G60:$H60)+COUNTA($Q60))&gt;0),"",IF($D60="","Propia",IF($V60&lt;&gt;"Macro","Solo se delegan macroactividades",IF(N($AM60)&gt;0,"✔ Recibida por "&amp;$D60,"⚠ "&amp;$D60&amp;" aún no la agrega"))))</f>
        <v/>
      </c>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IF($V60&lt;&gt;"Sub","",N($X60)*IF(AND(ISNUMBER($G60),$G60&lt;=IF($S60=MesCiclo,InicioCiclo,$S60+MOD(2-WEEKDAY($S60),7))+6),1,MIN(1,MAX(0,IF(ISNUMBER(OFFSET($A$1,ROW()-1,8)),OFFSET($A$1,ROW()-1,8),0)))))</f>
        <v/>
      </c>
      <c r="AE60" s="62">
        <f>IF($V60&lt;&gt;"Sub","",N($X60)*IF(AND(ISNUMBER($G60),$G60&lt;=IF($S60=MesCiclo,InicioCiclo,$S60+MOD(2-WEEKDAY($S60),7))+13),1,MIN(1,MAX(0,IF(ISNUMBER(OFFSET($A$1,ROW()-1,9)),OFFSET($A$1,ROW()-1,9),IF(ISNUMBER(OFFSET($A$1,ROW()-1,8)),OFFSET($A$1,ROW()-1,8),0))))))</f>
        <v/>
      </c>
      <c r="AF60" s="62">
        <f>IF($V60&lt;&gt;"Sub","",N($X60)*IF(AND(ISNUMBER($G60),$G60&lt;=IF($S60=MesCiclo,InicioCiclo,$S60+MOD(2-WEEKDAY($S60),7))+20),1,MIN(1,MAX(0,IF(ISNUMBER(OFFSET($A$1,ROW()-1,10)),OFFSET($A$1,ROW()-1,10),IF(ISNUMBER(OFFSET($A$1,ROW()-1,9)),OFFSET($A$1,ROW()-1,9),IF(ISNUMBER(OFFSET($A$1,ROW()-1,8)),OFFSET($A$1,ROW()-1,8),0)))))))</f>
        <v/>
      </c>
      <c r="AG60" s="62">
        <f>IF($V60&lt;&gt;"Sub","",N($X60)*IF(AND(ISNUMBER($G60),$G60&lt;=IF($S60=MesCiclo,InicioCiclo,$S60+MOD(2-WEEKDAY($S60),7))+27),1,MIN(1,MAX(0,IF(ISNUMBER(OFFSET($A$1,ROW()-1,11)),OFFSET($A$1,ROW()-1,11),IF(ISNUMBER(OFFSET($A$1,ROW()-1,10)),OFFSET($A$1,ROW()-1,10),IF(ISNUMBER(OFFSET($A$1,ROW()-1,9)),OFFSET($A$1,ROW()-1,9),IF(ISNUMBER(OFFSET($A$1,ROW()-1,8)),OFFSET($A$1,ROW()-1,8),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f>IF(NOT(AND($D60&lt;&gt;"",$V60="Macro")),"",IFERROR(CHOOSE(MATCH($D60,ListaPuestos,0),MATCH("[Jefatura] "&amp;$C60,'Cronograma R. Operacional'!$C$5:$C$1000,0),MATCH("[Jefatura] "&amp;$C60,'Cronograma R. Normativo'!$C$5:$C$1000,0),MATCH("[Jefatura] "&amp;$C60,'Cronograma R. Financiero'!$C$5:$C$1000,0),MATCH("[Jefatura] "&amp;$C60,'Cronograma Asistente Técnico'!$C$5:$C$1000,0)),0))</f>
        <v/>
      </c>
      <c r="AN60" s="62">
        <f>IF(AND(AND($D60&lt;&gt;"",$V60="Macro"),$S60=MesCiclo),COUNTIFS($D$5:$D60,$D60,$S$5:$S60,MesCiclo,$V$5:$V60,"Macro"),"")</f>
        <v/>
      </c>
      <c r="AO60" s="62">
        <f>IF($AN60="","",$D60&amp;"|"&amp;$AN60)</f>
        <v/>
      </c>
      <c r="AP60" s="62">
        <f>IF(AND($D60&lt;&gt;"",$V60="Macro"),$D60&amp;"|"&amp;$C60,"")</f>
        <v/>
      </c>
      <c r="AQ60" s="62">
        <f>""</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t="n"/>
      <c r="F61" s="59" t="n"/>
      <c r="G61" s="59" t="n"/>
      <c r="H61" s="60" t="n"/>
      <c r="I61" s="60">
        <f>IF(N($W61)=0,"",IF(AND($S61=MesCiclo,1&gt;SemanaActual),"",MIN(1,SUMIFS(OFFSET($A$1,ROW(),29,1000-ROW(),1),OFFSET($A$1,ROW(),20,1000-ROW(),1),ROW(),OFFSET($A$1,ROW(),21,1000-ROW(),1),"Sub"))))</f>
        <v/>
      </c>
      <c r="J61" s="60">
        <f>IF(N($W61)=0,"",IF(AND($S61=MesCiclo,2&gt;SemanaActual),"",MIN(1,SUMIFS(OFFSET($A$1,ROW(),30,1000-ROW(),1),OFFSET($A$1,ROW(),20,1000-ROW(),1),ROW(),OFFSET($A$1,ROW(),21,1000-ROW(),1),"Sub"))))</f>
        <v/>
      </c>
      <c r="K61" s="60">
        <f>IF(N($W61)=0,"",IF(AND($S61=MesCiclo,3&gt;SemanaActual),"",MIN(1,SUMIFS(OFFSET($A$1,ROW(),31,1000-ROW(),1),OFFSET($A$1,ROW(),20,1000-ROW(),1),ROW(),OFFSET($A$1,ROW(),21,1000-ROW(),1),"Sub"))))</f>
        <v/>
      </c>
      <c r="L61" s="60">
        <f>IF(N($W61)=0,"",IF(AND($S61=MesCiclo,4&gt;SemanaActual),"",MIN(1,SUMIFS(OFFSET($A$1,ROW(),32,1000-ROW(),1),OFFSET($A$1,ROW(),20,1000-ROW(),1),ROW(),OFFSET($A$1,ROW(),21,1000-ROW(),1),"Sub"))))</f>
        <v/>
      </c>
      <c r="M61" s="61">
        <f>IF(NOT((COUNTA($B61:$D61)+COUNTA($G61:$H61)+COUNTA($Q61))&gt;0),"",IF(AND($D61&lt;&gt;"",$V61="Macro"),IF(N($AM61)&gt;0,N(CHOOSE(MATCH($D61,ListaPuestos,0),INDEX('Cronograma R. Operacional'!$M$5:$M$1000,$AM61),INDEX('Cronograma R. Normativo'!$M$5:$M$1000,$AM61),INDEX('Cronograma R. Financiero'!$M$5:$M$1000,$AM61),INDEX('Cronograma Asistente Técnico'!$M$5:$M$1000,$AM61))),0),IF(ISNUMBER($G61),1,IF(N($W61)&gt;0,MIN(1,SUMIFS($Y$5:$Y$1000,$U$5:$U$1000,ROW(),$V$5:$V$1000,"Sub")),$Y61))))</f>
        <v/>
      </c>
      <c r="N61" s="56">
        <f>IF(OR($M61="",$V61="Sub"),"",IF($M61&gt;=1,"Completado",IF($M61&gt;0,"En curso","Pendiente")))</f>
        <v/>
      </c>
      <c r="O61" s="56">
        <f>IF(NOT((COUNTA($B61:$D61)+COUNTA($G61:$H61)+COUNTA($Q61))&gt;0),"",IF(AND(AND($D61&lt;&gt;"",$V61="Macro"),N($AM61)&gt;0),CHOOSE(MATCH($D61,ListaPuestos,0),INDEX('Cronograma R. Operacional'!$O$5:$O$1000,$AM61),INDEX('Cronograma R. Normativo'!$O$5:$O$1000,$AM61),INDEX('Cronograma R. Financiero'!$O$5:$O$1000,$AM61),INDEX('Cronograma Asistente Técnico'!$O$5:$O$1000,$AM61))&amp;"",IF(ISNUMBER($G61),IF(AND(ISNUMBER($AS61),$G61&gt;$AS61),"Cumplida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f>IF(NOT((COUNTA($B61:$D61)+COUNTA($G61:$H61)+COUNTA($Q61))&gt;0),"",IF($D61="","Propia",IF($V61&lt;&gt;"Macro","Solo se delegan macroactividades",IF(N($AM61)&gt;0,"✔ Recibida por "&amp;$D61,"⚠ "&amp;$D61&amp;" aún no la agrega"))))</f>
        <v/>
      </c>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IF($V61&lt;&gt;"Sub","",N($X61)*IF(AND(ISNUMBER($G61),$G61&lt;=IF($S61=MesCiclo,InicioCiclo,$S61+MOD(2-WEEKDAY($S61),7))+6),1,MIN(1,MAX(0,IF(ISNUMBER(OFFSET($A$1,ROW()-1,8)),OFFSET($A$1,ROW()-1,8),0)))))</f>
        <v/>
      </c>
      <c r="AE61" s="62">
        <f>IF($V61&lt;&gt;"Sub","",N($X61)*IF(AND(ISNUMBER($G61),$G61&lt;=IF($S61=MesCiclo,InicioCiclo,$S61+MOD(2-WEEKDAY($S61),7))+13),1,MIN(1,MAX(0,IF(ISNUMBER(OFFSET($A$1,ROW()-1,9)),OFFSET($A$1,ROW()-1,9),IF(ISNUMBER(OFFSET($A$1,ROW()-1,8)),OFFSET($A$1,ROW()-1,8),0))))))</f>
        <v/>
      </c>
      <c r="AF61" s="62">
        <f>IF($V61&lt;&gt;"Sub","",N($X61)*IF(AND(ISNUMBER($G61),$G61&lt;=IF($S61=MesCiclo,InicioCiclo,$S61+MOD(2-WEEKDAY($S61),7))+20),1,MIN(1,MAX(0,IF(ISNUMBER(OFFSET($A$1,ROW()-1,10)),OFFSET($A$1,ROW()-1,10),IF(ISNUMBER(OFFSET($A$1,ROW()-1,9)),OFFSET($A$1,ROW()-1,9),IF(ISNUMBER(OFFSET($A$1,ROW()-1,8)),OFFSET($A$1,ROW()-1,8),0)))))))</f>
        <v/>
      </c>
      <c r="AG61" s="62">
        <f>IF($V61&lt;&gt;"Sub","",N($X61)*IF(AND(ISNUMBER($G61),$G61&lt;=IF($S61=MesCiclo,InicioCiclo,$S61+MOD(2-WEEKDAY($S61),7))+27),1,MIN(1,MAX(0,IF(ISNUMBER(OFFSET($A$1,ROW()-1,11)),OFFSET($A$1,ROW()-1,11),IF(ISNUMBER(OFFSET($A$1,ROW()-1,10)),OFFSET($A$1,ROW()-1,10),IF(ISNUMBER(OFFSET($A$1,ROW()-1,9)),OFFSET($A$1,ROW()-1,9),IF(ISNUMBER(OFFSET($A$1,ROW()-1,8)),OFFSET($A$1,ROW()-1,8),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f>IF(NOT(AND($D61&lt;&gt;"",$V61="Macro")),"",IFERROR(CHOOSE(MATCH($D61,ListaPuestos,0),MATCH("[Jefatura] "&amp;$C61,'Cronograma R. Operacional'!$C$5:$C$1000,0),MATCH("[Jefatura] "&amp;$C61,'Cronograma R. Normativo'!$C$5:$C$1000,0),MATCH("[Jefatura] "&amp;$C61,'Cronograma R. Financiero'!$C$5:$C$1000,0),MATCH("[Jefatura] "&amp;$C61,'Cronograma Asistente Técnico'!$C$5:$C$1000,0)),0))</f>
        <v/>
      </c>
      <c r="AN61" s="62">
        <f>IF(AND(AND($D61&lt;&gt;"",$V61="Macro"),$S61=MesCiclo),COUNTIFS($D$5:$D61,$D61,$S$5:$S61,MesCiclo,$V$5:$V61,"Macro"),"")</f>
        <v/>
      </c>
      <c r="AO61" s="62">
        <f>IF($AN61="","",$D61&amp;"|"&amp;$AN61)</f>
        <v/>
      </c>
      <c r="AP61" s="62">
        <f>IF(AND($D61&lt;&gt;"",$V61="Macro"),$D61&amp;"|"&amp;$C61,"")</f>
        <v/>
      </c>
      <c r="AQ61" s="62">
        <f>""</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t="n"/>
      <c r="F62" s="59" t="n"/>
      <c r="G62" s="59" t="n"/>
      <c r="H62" s="60" t="n"/>
      <c r="I62" s="60">
        <f>IF(N($W62)=0,"",IF(AND($S62=MesCiclo,1&gt;SemanaActual),"",MIN(1,SUMIFS(OFFSET($A$1,ROW(),29,1000-ROW(),1),OFFSET($A$1,ROW(),20,1000-ROW(),1),ROW(),OFFSET($A$1,ROW(),21,1000-ROW(),1),"Sub"))))</f>
        <v/>
      </c>
      <c r="J62" s="60">
        <f>IF(N($W62)=0,"",IF(AND($S62=MesCiclo,2&gt;SemanaActual),"",MIN(1,SUMIFS(OFFSET($A$1,ROW(),30,1000-ROW(),1),OFFSET($A$1,ROW(),20,1000-ROW(),1),ROW(),OFFSET($A$1,ROW(),21,1000-ROW(),1),"Sub"))))</f>
        <v/>
      </c>
      <c r="K62" s="60">
        <f>IF(N($W62)=0,"",IF(AND($S62=MesCiclo,3&gt;SemanaActual),"",MIN(1,SUMIFS(OFFSET($A$1,ROW(),31,1000-ROW(),1),OFFSET($A$1,ROW(),20,1000-ROW(),1),ROW(),OFFSET($A$1,ROW(),21,1000-ROW(),1),"Sub"))))</f>
        <v/>
      </c>
      <c r="L62" s="60">
        <f>IF(N($W62)=0,"",IF(AND($S62=MesCiclo,4&gt;SemanaActual),"",MIN(1,SUMIFS(OFFSET($A$1,ROW(),32,1000-ROW(),1),OFFSET($A$1,ROW(),20,1000-ROW(),1),ROW(),OFFSET($A$1,ROW(),21,1000-ROW(),1),"Sub"))))</f>
        <v/>
      </c>
      <c r="M62" s="61">
        <f>IF(NOT((COUNTA($B62:$D62)+COUNTA($G62:$H62)+COUNTA($Q62))&gt;0),"",IF(AND($D62&lt;&gt;"",$V62="Macro"),IF(N($AM62)&gt;0,N(CHOOSE(MATCH($D62,ListaPuestos,0),INDEX('Cronograma R. Operacional'!$M$5:$M$1000,$AM62),INDEX('Cronograma R. Normativo'!$M$5:$M$1000,$AM62),INDEX('Cronograma R. Financiero'!$M$5:$M$1000,$AM62),INDEX('Cronograma Asistente Técnico'!$M$5:$M$1000,$AM62))),0),IF(ISNUMBER($G62),1,IF(N($W62)&gt;0,MIN(1,SUMIFS($Y$5:$Y$1000,$U$5:$U$1000,ROW(),$V$5:$V$1000,"Sub")),$Y62))))</f>
        <v/>
      </c>
      <c r="N62" s="56">
        <f>IF(OR($M62="",$V62="Sub"),"",IF($M62&gt;=1,"Completado",IF($M62&gt;0,"En curso","Pendiente")))</f>
        <v/>
      </c>
      <c r="O62" s="56">
        <f>IF(NOT((COUNTA($B62:$D62)+COUNTA($G62:$H62)+COUNTA($Q62))&gt;0),"",IF(AND(AND($D62&lt;&gt;"",$V62="Macro"),N($AM62)&gt;0),CHOOSE(MATCH($D62,ListaPuestos,0),INDEX('Cronograma R. Operacional'!$O$5:$O$1000,$AM62),INDEX('Cronograma R. Normativo'!$O$5:$O$1000,$AM62),INDEX('Cronograma R. Financiero'!$O$5:$O$1000,$AM62),INDEX('Cronograma Asistente Técnico'!$O$5:$O$1000,$AM62))&amp;"",IF(ISNUMBER($G62),IF(AND(ISNUMBER($AS62),$G62&gt;$AS62),"Cumplida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f>IF(NOT((COUNTA($B62:$D62)+COUNTA($G62:$H62)+COUNTA($Q62))&gt;0),"",IF($D62="","Propia",IF($V62&lt;&gt;"Macro","Solo se delegan macroactividades",IF(N($AM62)&gt;0,"✔ Recibida por "&amp;$D62,"⚠ "&amp;$D62&amp;" aún no la agrega"))))</f>
        <v/>
      </c>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IF($V62&lt;&gt;"Sub","",N($X62)*IF(AND(ISNUMBER($G62),$G62&lt;=IF($S62=MesCiclo,InicioCiclo,$S62+MOD(2-WEEKDAY($S62),7))+6),1,MIN(1,MAX(0,IF(ISNUMBER(OFFSET($A$1,ROW()-1,8)),OFFSET($A$1,ROW()-1,8),0)))))</f>
        <v/>
      </c>
      <c r="AE62" s="62">
        <f>IF($V62&lt;&gt;"Sub","",N($X62)*IF(AND(ISNUMBER($G62),$G62&lt;=IF($S62=MesCiclo,InicioCiclo,$S62+MOD(2-WEEKDAY($S62),7))+13),1,MIN(1,MAX(0,IF(ISNUMBER(OFFSET($A$1,ROW()-1,9)),OFFSET($A$1,ROW()-1,9),IF(ISNUMBER(OFFSET($A$1,ROW()-1,8)),OFFSET($A$1,ROW()-1,8),0))))))</f>
        <v/>
      </c>
      <c r="AF62" s="62">
        <f>IF($V62&lt;&gt;"Sub","",N($X62)*IF(AND(ISNUMBER($G62),$G62&lt;=IF($S62=MesCiclo,InicioCiclo,$S62+MOD(2-WEEKDAY($S62),7))+20),1,MIN(1,MAX(0,IF(ISNUMBER(OFFSET($A$1,ROW()-1,10)),OFFSET($A$1,ROW()-1,10),IF(ISNUMBER(OFFSET($A$1,ROW()-1,9)),OFFSET($A$1,ROW()-1,9),IF(ISNUMBER(OFFSET($A$1,ROW()-1,8)),OFFSET($A$1,ROW()-1,8),0)))))))</f>
        <v/>
      </c>
      <c r="AG62" s="62">
        <f>IF($V62&lt;&gt;"Sub","",N($X62)*IF(AND(ISNUMBER($G62),$G62&lt;=IF($S62=MesCiclo,InicioCiclo,$S62+MOD(2-WEEKDAY($S62),7))+27),1,MIN(1,MAX(0,IF(ISNUMBER(OFFSET($A$1,ROW()-1,11)),OFFSET($A$1,ROW()-1,11),IF(ISNUMBER(OFFSET($A$1,ROW()-1,10)),OFFSET($A$1,ROW()-1,10),IF(ISNUMBER(OFFSET($A$1,ROW()-1,9)),OFFSET($A$1,ROW()-1,9),IF(ISNUMBER(OFFSET($A$1,ROW()-1,8)),OFFSET($A$1,ROW()-1,8),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f>IF(NOT(AND($D62&lt;&gt;"",$V62="Macro")),"",IFERROR(CHOOSE(MATCH($D62,ListaPuestos,0),MATCH("[Jefatura] "&amp;$C62,'Cronograma R. Operacional'!$C$5:$C$1000,0),MATCH("[Jefatura] "&amp;$C62,'Cronograma R. Normativo'!$C$5:$C$1000,0),MATCH("[Jefatura] "&amp;$C62,'Cronograma R. Financiero'!$C$5:$C$1000,0),MATCH("[Jefatura] "&amp;$C62,'Cronograma Asistente Técnico'!$C$5:$C$1000,0)),0))</f>
        <v/>
      </c>
      <c r="AN62" s="62">
        <f>IF(AND(AND($D62&lt;&gt;"",$V62="Macro"),$S62=MesCiclo),COUNTIFS($D$5:$D62,$D62,$S$5:$S62,MesCiclo,$V$5:$V62,"Macro"),"")</f>
        <v/>
      </c>
      <c r="AO62" s="62">
        <f>IF($AN62="","",$D62&amp;"|"&amp;$AN62)</f>
        <v/>
      </c>
      <c r="AP62" s="62">
        <f>IF(AND($D62&lt;&gt;"",$V62="Macro"),$D62&amp;"|"&amp;$C62,"")</f>
        <v/>
      </c>
      <c r="AQ62" s="62">
        <f>""</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t="n"/>
      <c r="F63" s="59" t="n"/>
      <c r="G63" s="59" t="n"/>
      <c r="H63" s="60" t="n"/>
      <c r="I63" s="60">
        <f>IF(N($W63)=0,"",IF(AND($S63=MesCiclo,1&gt;SemanaActual),"",MIN(1,SUMIFS(OFFSET($A$1,ROW(),29,1000-ROW(),1),OFFSET($A$1,ROW(),20,1000-ROW(),1),ROW(),OFFSET($A$1,ROW(),21,1000-ROW(),1),"Sub"))))</f>
        <v/>
      </c>
      <c r="J63" s="60">
        <f>IF(N($W63)=0,"",IF(AND($S63=MesCiclo,2&gt;SemanaActual),"",MIN(1,SUMIFS(OFFSET($A$1,ROW(),30,1000-ROW(),1),OFFSET($A$1,ROW(),20,1000-ROW(),1),ROW(),OFFSET($A$1,ROW(),21,1000-ROW(),1),"Sub"))))</f>
        <v/>
      </c>
      <c r="K63" s="60">
        <f>IF(N($W63)=0,"",IF(AND($S63=MesCiclo,3&gt;SemanaActual),"",MIN(1,SUMIFS(OFFSET($A$1,ROW(),31,1000-ROW(),1),OFFSET($A$1,ROW(),20,1000-ROW(),1),ROW(),OFFSET($A$1,ROW(),21,1000-ROW(),1),"Sub"))))</f>
        <v/>
      </c>
      <c r="L63" s="60">
        <f>IF(N($W63)=0,"",IF(AND($S63=MesCiclo,4&gt;SemanaActual),"",MIN(1,SUMIFS(OFFSET($A$1,ROW(),32,1000-ROW(),1),OFFSET($A$1,ROW(),20,1000-ROW(),1),ROW(),OFFSET($A$1,ROW(),21,1000-ROW(),1),"Sub"))))</f>
        <v/>
      </c>
      <c r="M63" s="61">
        <f>IF(NOT((COUNTA($B63:$D63)+COUNTA($G63:$H63)+COUNTA($Q63))&gt;0),"",IF(AND($D63&lt;&gt;"",$V63="Macro"),IF(N($AM63)&gt;0,N(CHOOSE(MATCH($D63,ListaPuestos,0),INDEX('Cronograma R. Operacional'!$M$5:$M$1000,$AM63),INDEX('Cronograma R. Normativo'!$M$5:$M$1000,$AM63),INDEX('Cronograma R. Financiero'!$M$5:$M$1000,$AM63),INDEX('Cronograma Asistente Técnico'!$M$5:$M$1000,$AM63))),0),IF(ISNUMBER($G63),1,IF(N($W63)&gt;0,MIN(1,SUMIFS($Y$5:$Y$1000,$U$5:$U$1000,ROW(),$V$5:$V$1000,"Sub")),$Y63))))</f>
        <v/>
      </c>
      <c r="N63" s="56">
        <f>IF(OR($M63="",$V63="Sub"),"",IF($M63&gt;=1,"Completado",IF($M63&gt;0,"En curso","Pendiente")))</f>
        <v/>
      </c>
      <c r="O63" s="56">
        <f>IF(NOT((COUNTA($B63:$D63)+COUNTA($G63:$H63)+COUNTA($Q63))&gt;0),"",IF(AND(AND($D63&lt;&gt;"",$V63="Macro"),N($AM63)&gt;0),CHOOSE(MATCH($D63,ListaPuestos,0),INDEX('Cronograma R. Operacional'!$O$5:$O$1000,$AM63),INDEX('Cronograma R. Normativo'!$O$5:$O$1000,$AM63),INDEX('Cronograma R. Financiero'!$O$5:$O$1000,$AM63),INDEX('Cronograma Asistente Técnico'!$O$5:$O$1000,$AM63))&amp;"",IF(ISNUMBER($G63),IF(AND(ISNUMBER($AS63),$G63&gt;$AS63),"Cumplida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f>IF(NOT((COUNTA($B63:$D63)+COUNTA($G63:$H63)+COUNTA($Q63))&gt;0),"",IF($D63="","Propia",IF($V63&lt;&gt;"Macro","Solo se delegan macroactividades",IF(N($AM63)&gt;0,"✔ Recibida por "&amp;$D63,"⚠ "&amp;$D63&amp;" aún no la agrega"))))</f>
        <v/>
      </c>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IF($V63&lt;&gt;"Sub","",N($X63)*IF(AND(ISNUMBER($G63),$G63&lt;=IF($S63=MesCiclo,InicioCiclo,$S63+MOD(2-WEEKDAY($S63),7))+6),1,MIN(1,MAX(0,IF(ISNUMBER(OFFSET($A$1,ROW()-1,8)),OFFSET($A$1,ROW()-1,8),0)))))</f>
        <v/>
      </c>
      <c r="AE63" s="62">
        <f>IF($V63&lt;&gt;"Sub","",N($X63)*IF(AND(ISNUMBER($G63),$G63&lt;=IF($S63=MesCiclo,InicioCiclo,$S63+MOD(2-WEEKDAY($S63),7))+13),1,MIN(1,MAX(0,IF(ISNUMBER(OFFSET($A$1,ROW()-1,9)),OFFSET($A$1,ROW()-1,9),IF(ISNUMBER(OFFSET($A$1,ROW()-1,8)),OFFSET($A$1,ROW()-1,8),0))))))</f>
        <v/>
      </c>
      <c r="AF63" s="62">
        <f>IF($V63&lt;&gt;"Sub","",N($X63)*IF(AND(ISNUMBER($G63),$G63&lt;=IF($S63=MesCiclo,InicioCiclo,$S63+MOD(2-WEEKDAY($S63),7))+20),1,MIN(1,MAX(0,IF(ISNUMBER(OFFSET($A$1,ROW()-1,10)),OFFSET($A$1,ROW()-1,10),IF(ISNUMBER(OFFSET($A$1,ROW()-1,9)),OFFSET($A$1,ROW()-1,9),IF(ISNUMBER(OFFSET($A$1,ROW()-1,8)),OFFSET($A$1,ROW()-1,8),0)))))))</f>
        <v/>
      </c>
      <c r="AG63" s="62">
        <f>IF($V63&lt;&gt;"Sub","",N($X63)*IF(AND(ISNUMBER($G63),$G63&lt;=IF($S63=MesCiclo,InicioCiclo,$S63+MOD(2-WEEKDAY($S63),7))+27),1,MIN(1,MAX(0,IF(ISNUMBER(OFFSET($A$1,ROW()-1,11)),OFFSET($A$1,ROW()-1,11),IF(ISNUMBER(OFFSET($A$1,ROW()-1,10)),OFFSET($A$1,ROW()-1,10),IF(ISNUMBER(OFFSET($A$1,ROW()-1,9)),OFFSET($A$1,ROW()-1,9),IF(ISNUMBER(OFFSET($A$1,ROW()-1,8)),OFFSET($A$1,ROW()-1,8),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f>IF(NOT(AND($D63&lt;&gt;"",$V63="Macro")),"",IFERROR(CHOOSE(MATCH($D63,ListaPuestos,0),MATCH("[Jefatura] "&amp;$C63,'Cronograma R. Operacional'!$C$5:$C$1000,0),MATCH("[Jefatura] "&amp;$C63,'Cronograma R. Normativo'!$C$5:$C$1000,0),MATCH("[Jefatura] "&amp;$C63,'Cronograma R. Financiero'!$C$5:$C$1000,0),MATCH("[Jefatura] "&amp;$C63,'Cronograma Asistente Técnico'!$C$5:$C$1000,0)),0))</f>
        <v/>
      </c>
      <c r="AN63" s="62">
        <f>IF(AND(AND($D63&lt;&gt;"",$V63="Macro"),$S63=MesCiclo),COUNTIFS($D$5:$D63,$D63,$S$5:$S63,MesCiclo,$V$5:$V63,"Macro"),"")</f>
        <v/>
      </c>
      <c r="AO63" s="62">
        <f>IF($AN63="","",$D63&amp;"|"&amp;$AN63)</f>
        <v/>
      </c>
      <c r="AP63" s="62">
        <f>IF(AND($D63&lt;&gt;"",$V63="Macro"),$D63&amp;"|"&amp;$C63,"")</f>
        <v/>
      </c>
      <c r="AQ63" s="62">
        <f>""</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t="n"/>
      <c r="F64" s="59" t="n"/>
      <c r="G64" s="59" t="n"/>
      <c r="H64" s="60" t="n"/>
      <c r="I64" s="60">
        <f>IF(N($W64)=0,"",IF(AND($S64=MesCiclo,1&gt;SemanaActual),"",MIN(1,SUMIFS(OFFSET($A$1,ROW(),29,1000-ROW(),1),OFFSET($A$1,ROW(),20,1000-ROW(),1),ROW(),OFFSET($A$1,ROW(),21,1000-ROW(),1),"Sub"))))</f>
        <v/>
      </c>
      <c r="J64" s="60">
        <f>IF(N($W64)=0,"",IF(AND($S64=MesCiclo,2&gt;SemanaActual),"",MIN(1,SUMIFS(OFFSET($A$1,ROW(),30,1000-ROW(),1),OFFSET($A$1,ROW(),20,1000-ROW(),1),ROW(),OFFSET($A$1,ROW(),21,1000-ROW(),1),"Sub"))))</f>
        <v/>
      </c>
      <c r="K64" s="60">
        <f>IF(N($W64)=0,"",IF(AND($S64=MesCiclo,3&gt;SemanaActual),"",MIN(1,SUMIFS(OFFSET($A$1,ROW(),31,1000-ROW(),1),OFFSET($A$1,ROW(),20,1000-ROW(),1),ROW(),OFFSET($A$1,ROW(),21,1000-ROW(),1),"Sub"))))</f>
        <v/>
      </c>
      <c r="L64" s="60">
        <f>IF(N($W64)=0,"",IF(AND($S64=MesCiclo,4&gt;SemanaActual),"",MIN(1,SUMIFS(OFFSET($A$1,ROW(),32,1000-ROW(),1),OFFSET($A$1,ROW(),20,1000-ROW(),1),ROW(),OFFSET($A$1,ROW(),21,1000-ROW(),1),"Sub"))))</f>
        <v/>
      </c>
      <c r="M64" s="61">
        <f>IF(NOT((COUNTA($B64:$D64)+COUNTA($G64:$H64)+COUNTA($Q64))&gt;0),"",IF(AND($D64&lt;&gt;"",$V64="Macro"),IF(N($AM64)&gt;0,N(CHOOSE(MATCH($D64,ListaPuestos,0),INDEX('Cronograma R. Operacional'!$M$5:$M$1000,$AM64),INDEX('Cronograma R. Normativo'!$M$5:$M$1000,$AM64),INDEX('Cronograma R. Financiero'!$M$5:$M$1000,$AM64),INDEX('Cronograma Asistente Técnico'!$M$5:$M$1000,$AM64))),0),IF(ISNUMBER($G64),1,IF(N($W64)&gt;0,MIN(1,SUMIFS($Y$5:$Y$1000,$U$5:$U$1000,ROW(),$V$5:$V$1000,"Sub")),$Y64))))</f>
        <v/>
      </c>
      <c r="N64" s="56">
        <f>IF(OR($M64="",$V64="Sub"),"",IF($M64&gt;=1,"Completado",IF($M64&gt;0,"En curso","Pendiente")))</f>
        <v/>
      </c>
      <c r="O64" s="56">
        <f>IF(NOT((COUNTA($B64:$D64)+COUNTA($G64:$H64)+COUNTA($Q64))&gt;0),"",IF(AND(AND($D64&lt;&gt;"",$V64="Macro"),N($AM64)&gt;0),CHOOSE(MATCH($D64,ListaPuestos,0),INDEX('Cronograma R. Operacional'!$O$5:$O$1000,$AM64),INDEX('Cronograma R. Normativo'!$O$5:$O$1000,$AM64),INDEX('Cronograma R. Financiero'!$O$5:$O$1000,$AM64),INDEX('Cronograma Asistente Técnico'!$O$5:$O$1000,$AM64))&amp;"",IF(ISNUMBER($G64),IF(AND(ISNUMBER($AS64),$G64&gt;$AS64),"Cumplida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f>IF(NOT((COUNTA($B64:$D64)+COUNTA($G64:$H64)+COUNTA($Q64))&gt;0),"",IF($D64="","Propia",IF($V64&lt;&gt;"Macro","Solo se delegan macroactividades",IF(N($AM64)&gt;0,"✔ Recibida por "&amp;$D64,"⚠ "&amp;$D64&amp;" aún no la agrega"))))</f>
        <v/>
      </c>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IF($V64&lt;&gt;"Sub","",N($X64)*IF(AND(ISNUMBER($G64),$G64&lt;=IF($S64=MesCiclo,InicioCiclo,$S64+MOD(2-WEEKDAY($S64),7))+6),1,MIN(1,MAX(0,IF(ISNUMBER(OFFSET($A$1,ROW()-1,8)),OFFSET($A$1,ROW()-1,8),0)))))</f>
        <v/>
      </c>
      <c r="AE64" s="62">
        <f>IF($V64&lt;&gt;"Sub","",N($X64)*IF(AND(ISNUMBER($G64),$G64&lt;=IF($S64=MesCiclo,InicioCiclo,$S64+MOD(2-WEEKDAY($S64),7))+13),1,MIN(1,MAX(0,IF(ISNUMBER(OFFSET($A$1,ROW()-1,9)),OFFSET($A$1,ROW()-1,9),IF(ISNUMBER(OFFSET($A$1,ROW()-1,8)),OFFSET($A$1,ROW()-1,8),0))))))</f>
        <v/>
      </c>
      <c r="AF64" s="62">
        <f>IF($V64&lt;&gt;"Sub","",N($X64)*IF(AND(ISNUMBER($G64),$G64&lt;=IF($S64=MesCiclo,InicioCiclo,$S64+MOD(2-WEEKDAY($S64),7))+20),1,MIN(1,MAX(0,IF(ISNUMBER(OFFSET($A$1,ROW()-1,10)),OFFSET($A$1,ROW()-1,10),IF(ISNUMBER(OFFSET($A$1,ROW()-1,9)),OFFSET($A$1,ROW()-1,9),IF(ISNUMBER(OFFSET($A$1,ROW()-1,8)),OFFSET($A$1,ROW()-1,8),0)))))))</f>
        <v/>
      </c>
      <c r="AG64" s="62">
        <f>IF($V64&lt;&gt;"Sub","",N($X64)*IF(AND(ISNUMBER($G64),$G64&lt;=IF($S64=MesCiclo,InicioCiclo,$S64+MOD(2-WEEKDAY($S64),7))+27),1,MIN(1,MAX(0,IF(ISNUMBER(OFFSET($A$1,ROW()-1,11)),OFFSET($A$1,ROW()-1,11),IF(ISNUMBER(OFFSET($A$1,ROW()-1,10)),OFFSET($A$1,ROW()-1,10),IF(ISNUMBER(OFFSET($A$1,ROW()-1,9)),OFFSET($A$1,ROW()-1,9),IF(ISNUMBER(OFFSET($A$1,ROW()-1,8)),OFFSET($A$1,ROW()-1,8),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f>IF(NOT(AND($D64&lt;&gt;"",$V64="Macro")),"",IFERROR(CHOOSE(MATCH($D64,ListaPuestos,0),MATCH("[Jefatura] "&amp;$C64,'Cronograma R. Operacional'!$C$5:$C$1000,0),MATCH("[Jefatura] "&amp;$C64,'Cronograma R. Normativo'!$C$5:$C$1000,0),MATCH("[Jefatura] "&amp;$C64,'Cronograma R. Financiero'!$C$5:$C$1000,0),MATCH("[Jefatura] "&amp;$C64,'Cronograma Asistente Técnico'!$C$5:$C$1000,0)),0))</f>
        <v/>
      </c>
      <c r="AN64" s="62">
        <f>IF(AND(AND($D64&lt;&gt;"",$V64="Macro"),$S64=MesCiclo),COUNTIFS($D$5:$D64,$D64,$S$5:$S64,MesCiclo,$V$5:$V64,"Macro"),"")</f>
        <v/>
      </c>
      <c r="AO64" s="62">
        <f>IF($AN64="","",$D64&amp;"|"&amp;$AN64)</f>
        <v/>
      </c>
      <c r="AP64" s="62">
        <f>IF(AND($D64&lt;&gt;"",$V64="Macro"),$D64&amp;"|"&amp;$C64,"")</f>
        <v/>
      </c>
      <c r="AQ64" s="62">
        <f>""</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t="n"/>
      <c r="F65" s="59" t="n"/>
      <c r="G65" s="59" t="n"/>
      <c r="H65" s="60" t="n"/>
      <c r="I65" s="60">
        <f>IF(N($W65)=0,"",IF(AND($S65=MesCiclo,1&gt;SemanaActual),"",MIN(1,SUMIFS(OFFSET($A$1,ROW(),29,1000-ROW(),1),OFFSET($A$1,ROW(),20,1000-ROW(),1),ROW(),OFFSET($A$1,ROW(),21,1000-ROW(),1),"Sub"))))</f>
        <v/>
      </c>
      <c r="J65" s="60">
        <f>IF(N($W65)=0,"",IF(AND($S65=MesCiclo,2&gt;SemanaActual),"",MIN(1,SUMIFS(OFFSET($A$1,ROW(),30,1000-ROW(),1),OFFSET($A$1,ROW(),20,1000-ROW(),1),ROW(),OFFSET($A$1,ROW(),21,1000-ROW(),1),"Sub"))))</f>
        <v/>
      </c>
      <c r="K65" s="60">
        <f>IF(N($W65)=0,"",IF(AND($S65=MesCiclo,3&gt;SemanaActual),"",MIN(1,SUMIFS(OFFSET($A$1,ROW(),31,1000-ROW(),1),OFFSET($A$1,ROW(),20,1000-ROW(),1),ROW(),OFFSET($A$1,ROW(),21,1000-ROW(),1),"Sub"))))</f>
        <v/>
      </c>
      <c r="L65" s="60">
        <f>IF(N($W65)=0,"",IF(AND($S65=MesCiclo,4&gt;SemanaActual),"",MIN(1,SUMIFS(OFFSET($A$1,ROW(),32,1000-ROW(),1),OFFSET($A$1,ROW(),20,1000-ROW(),1),ROW(),OFFSET($A$1,ROW(),21,1000-ROW(),1),"Sub"))))</f>
        <v/>
      </c>
      <c r="M65" s="61">
        <f>IF(NOT((COUNTA($B65:$D65)+COUNTA($G65:$H65)+COUNTA($Q65))&gt;0),"",IF(AND($D65&lt;&gt;"",$V65="Macro"),IF(N($AM65)&gt;0,N(CHOOSE(MATCH($D65,ListaPuestos,0),INDEX('Cronograma R. Operacional'!$M$5:$M$1000,$AM65),INDEX('Cronograma R. Normativo'!$M$5:$M$1000,$AM65),INDEX('Cronograma R. Financiero'!$M$5:$M$1000,$AM65),INDEX('Cronograma Asistente Técnico'!$M$5:$M$1000,$AM65))),0),IF(ISNUMBER($G65),1,IF(N($W65)&gt;0,MIN(1,SUMIFS($Y$5:$Y$1000,$U$5:$U$1000,ROW(),$V$5:$V$1000,"Sub")),$Y65))))</f>
        <v/>
      </c>
      <c r="N65" s="56">
        <f>IF(OR($M65="",$V65="Sub"),"",IF($M65&gt;=1,"Completado",IF($M65&gt;0,"En curso","Pendiente")))</f>
        <v/>
      </c>
      <c r="O65" s="56">
        <f>IF(NOT((COUNTA($B65:$D65)+COUNTA($G65:$H65)+COUNTA($Q65))&gt;0),"",IF(AND(AND($D65&lt;&gt;"",$V65="Macro"),N($AM65)&gt;0),CHOOSE(MATCH($D65,ListaPuestos,0),INDEX('Cronograma R. Operacional'!$O$5:$O$1000,$AM65),INDEX('Cronograma R. Normativo'!$O$5:$O$1000,$AM65),INDEX('Cronograma R. Financiero'!$O$5:$O$1000,$AM65),INDEX('Cronograma Asistente Técnico'!$O$5:$O$1000,$AM65))&amp;"",IF(ISNUMBER($G65),IF(AND(ISNUMBER($AS65),$G65&gt;$AS65),"Cumplida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f>IF(NOT((COUNTA($B65:$D65)+COUNTA($G65:$H65)+COUNTA($Q65))&gt;0),"",IF($D65="","Propia",IF($V65&lt;&gt;"Macro","Solo se delegan macroactividades",IF(N($AM65)&gt;0,"✔ Recibida por "&amp;$D65,"⚠ "&amp;$D65&amp;" aún no la agrega"))))</f>
        <v/>
      </c>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IF($V65&lt;&gt;"Sub","",N($X65)*IF(AND(ISNUMBER($G65),$G65&lt;=IF($S65=MesCiclo,InicioCiclo,$S65+MOD(2-WEEKDAY($S65),7))+6),1,MIN(1,MAX(0,IF(ISNUMBER(OFFSET($A$1,ROW()-1,8)),OFFSET($A$1,ROW()-1,8),0)))))</f>
        <v/>
      </c>
      <c r="AE65" s="62">
        <f>IF($V65&lt;&gt;"Sub","",N($X65)*IF(AND(ISNUMBER($G65),$G65&lt;=IF($S65=MesCiclo,InicioCiclo,$S65+MOD(2-WEEKDAY($S65),7))+13),1,MIN(1,MAX(0,IF(ISNUMBER(OFFSET($A$1,ROW()-1,9)),OFFSET($A$1,ROW()-1,9),IF(ISNUMBER(OFFSET($A$1,ROW()-1,8)),OFFSET($A$1,ROW()-1,8),0))))))</f>
        <v/>
      </c>
      <c r="AF65" s="62">
        <f>IF($V65&lt;&gt;"Sub","",N($X65)*IF(AND(ISNUMBER($G65),$G65&lt;=IF($S65=MesCiclo,InicioCiclo,$S65+MOD(2-WEEKDAY($S65),7))+20),1,MIN(1,MAX(0,IF(ISNUMBER(OFFSET($A$1,ROW()-1,10)),OFFSET($A$1,ROW()-1,10),IF(ISNUMBER(OFFSET($A$1,ROW()-1,9)),OFFSET($A$1,ROW()-1,9),IF(ISNUMBER(OFFSET($A$1,ROW()-1,8)),OFFSET($A$1,ROW()-1,8),0)))))))</f>
        <v/>
      </c>
      <c r="AG65" s="62">
        <f>IF($V65&lt;&gt;"Sub","",N($X65)*IF(AND(ISNUMBER($G65),$G65&lt;=IF($S65=MesCiclo,InicioCiclo,$S65+MOD(2-WEEKDAY($S65),7))+27),1,MIN(1,MAX(0,IF(ISNUMBER(OFFSET($A$1,ROW()-1,11)),OFFSET($A$1,ROW()-1,11),IF(ISNUMBER(OFFSET($A$1,ROW()-1,10)),OFFSET($A$1,ROW()-1,10),IF(ISNUMBER(OFFSET($A$1,ROW()-1,9)),OFFSET($A$1,ROW()-1,9),IF(ISNUMBER(OFFSET($A$1,ROW()-1,8)),OFFSET($A$1,ROW()-1,8),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f>IF(NOT(AND($D65&lt;&gt;"",$V65="Macro")),"",IFERROR(CHOOSE(MATCH($D65,ListaPuestos,0),MATCH("[Jefatura] "&amp;$C65,'Cronograma R. Operacional'!$C$5:$C$1000,0),MATCH("[Jefatura] "&amp;$C65,'Cronograma R. Normativo'!$C$5:$C$1000,0),MATCH("[Jefatura] "&amp;$C65,'Cronograma R. Financiero'!$C$5:$C$1000,0),MATCH("[Jefatura] "&amp;$C65,'Cronograma Asistente Técnico'!$C$5:$C$1000,0)),0))</f>
        <v/>
      </c>
      <c r="AN65" s="62">
        <f>IF(AND(AND($D65&lt;&gt;"",$V65="Macro"),$S65=MesCiclo),COUNTIFS($D$5:$D65,$D65,$S$5:$S65,MesCiclo,$V$5:$V65,"Macro"),"")</f>
        <v/>
      </c>
      <c r="AO65" s="62">
        <f>IF($AN65="","",$D65&amp;"|"&amp;$AN65)</f>
        <v/>
      </c>
      <c r="AP65" s="62">
        <f>IF(AND($D65&lt;&gt;"",$V65="Macro"),$D65&amp;"|"&amp;$C65,"")</f>
        <v/>
      </c>
      <c r="AQ65" s="62">
        <f>""</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t="n"/>
      <c r="F66" s="59" t="n"/>
      <c r="G66" s="59" t="n"/>
      <c r="H66" s="60" t="n"/>
      <c r="I66" s="60">
        <f>IF(N($W66)=0,"",IF(AND($S66=MesCiclo,1&gt;SemanaActual),"",MIN(1,SUMIFS(OFFSET($A$1,ROW(),29,1000-ROW(),1),OFFSET($A$1,ROW(),20,1000-ROW(),1),ROW(),OFFSET($A$1,ROW(),21,1000-ROW(),1),"Sub"))))</f>
        <v/>
      </c>
      <c r="J66" s="60">
        <f>IF(N($W66)=0,"",IF(AND($S66=MesCiclo,2&gt;SemanaActual),"",MIN(1,SUMIFS(OFFSET($A$1,ROW(),30,1000-ROW(),1),OFFSET($A$1,ROW(),20,1000-ROW(),1),ROW(),OFFSET($A$1,ROW(),21,1000-ROW(),1),"Sub"))))</f>
        <v/>
      </c>
      <c r="K66" s="60">
        <f>IF(N($W66)=0,"",IF(AND($S66=MesCiclo,3&gt;SemanaActual),"",MIN(1,SUMIFS(OFFSET($A$1,ROW(),31,1000-ROW(),1),OFFSET($A$1,ROW(),20,1000-ROW(),1),ROW(),OFFSET($A$1,ROW(),21,1000-ROW(),1),"Sub"))))</f>
        <v/>
      </c>
      <c r="L66" s="60">
        <f>IF(N($W66)=0,"",IF(AND($S66=MesCiclo,4&gt;SemanaActual),"",MIN(1,SUMIFS(OFFSET($A$1,ROW(),32,1000-ROW(),1),OFFSET($A$1,ROW(),20,1000-ROW(),1),ROW(),OFFSET($A$1,ROW(),21,1000-ROW(),1),"Sub"))))</f>
        <v/>
      </c>
      <c r="M66" s="61">
        <f>IF(NOT((COUNTA($B66:$D66)+COUNTA($G66:$H66)+COUNTA($Q66))&gt;0),"",IF(AND($D66&lt;&gt;"",$V66="Macro"),IF(N($AM66)&gt;0,N(CHOOSE(MATCH($D66,ListaPuestos,0),INDEX('Cronograma R. Operacional'!$M$5:$M$1000,$AM66),INDEX('Cronograma R. Normativo'!$M$5:$M$1000,$AM66),INDEX('Cronograma R. Financiero'!$M$5:$M$1000,$AM66),INDEX('Cronograma Asistente Técnico'!$M$5:$M$1000,$AM66))),0),IF(ISNUMBER($G66),1,IF(N($W66)&gt;0,MIN(1,SUMIFS($Y$5:$Y$1000,$U$5:$U$1000,ROW(),$V$5:$V$1000,"Sub")),$Y66))))</f>
        <v/>
      </c>
      <c r="N66" s="56">
        <f>IF(OR($M66="",$V66="Sub"),"",IF($M66&gt;=1,"Completado",IF($M66&gt;0,"En curso","Pendiente")))</f>
        <v/>
      </c>
      <c r="O66" s="56">
        <f>IF(NOT((COUNTA($B66:$D66)+COUNTA($G66:$H66)+COUNTA($Q66))&gt;0),"",IF(AND(AND($D66&lt;&gt;"",$V66="Macro"),N($AM66)&gt;0),CHOOSE(MATCH($D66,ListaPuestos,0),INDEX('Cronograma R. Operacional'!$O$5:$O$1000,$AM66),INDEX('Cronograma R. Normativo'!$O$5:$O$1000,$AM66),INDEX('Cronograma R. Financiero'!$O$5:$O$1000,$AM66),INDEX('Cronograma Asistente Técnico'!$O$5:$O$1000,$AM66))&amp;"",IF(ISNUMBER($G66),IF(AND(ISNUMBER($AS66),$G66&gt;$AS66),"Cumplida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f>IF(NOT((COUNTA($B66:$D66)+COUNTA($G66:$H66)+COUNTA($Q66))&gt;0),"",IF($D66="","Propia",IF($V66&lt;&gt;"Macro","Solo se delegan macroactividades",IF(N($AM66)&gt;0,"✔ Recibida por "&amp;$D66,"⚠ "&amp;$D66&amp;" aún no la agrega"))))</f>
        <v/>
      </c>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IF($V66&lt;&gt;"Sub","",N($X66)*IF(AND(ISNUMBER($G66),$G66&lt;=IF($S66=MesCiclo,InicioCiclo,$S66+MOD(2-WEEKDAY($S66),7))+6),1,MIN(1,MAX(0,IF(ISNUMBER(OFFSET($A$1,ROW()-1,8)),OFFSET($A$1,ROW()-1,8),0)))))</f>
        <v/>
      </c>
      <c r="AE66" s="62">
        <f>IF($V66&lt;&gt;"Sub","",N($X66)*IF(AND(ISNUMBER($G66),$G66&lt;=IF($S66=MesCiclo,InicioCiclo,$S66+MOD(2-WEEKDAY($S66),7))+13),1,MIN(1,MAX(0,IF(ISNUMBER(OFFSET($A$1,ROW()-1,9)),OFFSET($A$1,ROW()-1,9),IF(ISNUMBER(OFFSET($A$1,ROW()-1,8)),OFFSET($A$1,ROW()-1,8),0))))))</f>
        <v/>
      </c>
      <c r="AF66" s="62">
        <f>IF($V66&lt;&gt;"Sub","",N($X66)*IF(AND(ISNUMBER($G66),$G66&lt;=IF($S66=MesCiclo,InicioCiclo,$S66+MOD(2-WEEKDAY($S66),7))+20),1,MIN(1,MAX(0,IF(ISNUMBER(OFFSET($A$1,ROW()-1,10)),OFFSET($A$1,ROW()-1,10),IF(ISNUMBER(OFFSET($A$1,ROW()-1,9)),OFFSET($A$1,ROW()-1,9),IF(ISNUMBER(OFFSET($A$1,ROW()-1,8)),OFFSET($A$1,ROW()-1,8),0)))))))</f>
        <v/>
      </c>
      <c r="AG66" s="62">
        <f>IF($V66&lt;&gt;"Sub","",N($X66)*IF(AND(ISNUMBER($G66),$G66&lt;=IF($S66=MesCiclo,InicioCiclo,$S66+MOD(2-WEEKDAY($S66),7))+27),1,MIN(1,MAX(0,IF(ISNUMBER(OFFSET($A$1,ROW()-1,11)),OFFSET($A$1,ROW()-1,11),IF(ISNUMBER(OFFSET($A$1,ROW()-1,10)),OFFSET($A$1,ROW()-1,10),IF(ISNUMBER(OFFSET($A$1,ROW()-1,9)),OFFSET($A$1,ROW()-1,9),IF(ISNUMBER(OFFSET($A$1,ROW()-1,8)),OFFSET($A$1,ROW()-1,8),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f>IF(NOT(AND($D66&lt;&gt;"",$V66="Macro")),"",IFERROR(CHOOSE(MATCH($D66,ListaPuestos,0),MATCH("[Jefatura] "&amp;$C66,'Cronograma R. Operacional'!$C$5:$C$1000,0),MATCH("[Jefatura] "&amp;$C66,'Cronograma R. Normativo'!$C$5:$C$1000,0),MATCH("[Jefatura] "&amp;$C66,'Cronograma R. Financiero'!$C$5:$C$1000,0),MATCH("[Jefatura] "&amp;$C66,'Cronograma Asistente Técnico'!$C$5:$C$1000,0)),0))</f>
        <v/>
      </c>
      <c r="AN66" s="62">
        <f>IF(AND(AND($D66&lt;&gt;"",$V66="Macro"),$S66=MesCiclo),COUNTIFS($D$5:$D66,$D66,$S$5:$S66,MesCiclo,$V$5:$V66,"Macro"),"")</f>
        <v/>
      </c>
      <c r="AO66" s="62">
        <f>IF($AN66="","",$D66&amp;"|"&amp;$AN66)</f>
        <v/>
      </c>
      <c r="AP66" s="62">
        <f>IF(AND($D66&lt;&gt;"",$V66="Macro"),$D66&amp;"|"&amp;$C66,"")</f>
        <v/>
      </c>
      <c r="AQ66" s="62">
        <f>""</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t="n"/>
      <c r="F67" s="59" t="n"/>
      <c r="G67" s="59" t="n"/>
      <c r="H67" s="60" t="n"/>
      <c r="I67" s="60">
        <f>IF(N($W67)=0,"",IF(AND($S67=MesCiclo,1&gt;SemanaActual),"",MIN(1,SUMIFS(OFFSET($A$1,ROW(),29,1000-ROW(),1),OFFSET($A$1,ROW(),20,1000-ROW(),1),ROW(),OFFSET($A$1,ROW(),21,1000-ROW(),1),"Sub"))))</f>
        <v/>
      </c>
      <c r="J67" s="60">
        <f>IF(N($W67)=0,"",IF(AND($S67=MesCiclo,2&gt;SemanaActual),"",MIN(1,SUMIFS(OFFSET($A$1,ROW(),30,1000-ROW(),1),OFFSET($A$1,ROW(),20,1000-ROW(),1),ROW(),OFFSET($A$1,ROW(),21,1000-ROW(),1),"Sub"))))</f>
        <v/>
      </c>
      <c r="K67" s="60">
        <f>IF(N($W67)=0,"",IF(AND($S67=MesCiclo,3&gt;SemanaActual),"",MIN(1,SUMIFS(OFFSET($A$1,ROW(),31,1000-ROW(),1),OFFSET($A$1,ROW(),20,1000-ROW(),1),ROW(),OFFSET($A$1,ROW(),21,1000-ROW(),1),"Sub"))))</f>
        <v/>
      </c>
      <c r="L67" s="60">
        <f>IF(N($W67)=0,"",IF(AND($S67=MesCiclo,4&gt;SemanaActual),"",MIN(1,SUMIFS(OFFSET($A$1,ROW(),32,1000-ROW(),1),OFFSET($A$1,ROW(),20,1000-ROW(),1),ROW(),OFFSET($A$1,ROW(),21,1000-ROW(),1),"Sub"))))</f>
        <v/>
      </c>
      <c r="M67" s="61">
        <f>IF(NOT((COUNTA($B67:$D67)+COUNTA($G67:$H67)+COUNTA($Q67))&gt;0),"",IF(AND($D67&lt;&gt;"",$V67="Macro"),IF(N($AM67)&gt;0,N(CHOOSE(MATCH($D67,ListaPuestos,0),INDEX('Cronograma R. Operacional'!$M$5:$M$1000,$AM67),INDEX('Cronograma R. Normativo'!$M$5:$M$1000,$AM67),INDEX('Cronograma R. Financiero'!$M$5:$M$1000,$AM67),INDEX('Cronograma Asistente Técnico'!$M$5:$M$1000,$AM67))),0),IF(ISNUMBER($G67),1,IF(N($W67)&gt;0,MIN(1,SUMIFS($Y$5:$Y$1000,$U$5:$U$1000,ROW(),$V$5:$V$1000,"Sub")),$Y67))))</f>
        <v/>
      </c>
      <c r="N67" s="56">
        <f>IF(OR($M67="",$V67="Sub"),"",IF($M67&gt;=1,"Completado",IF($M67&gt;0,"En curso","Pendiente")))</f>
        <v/>
      </c>
      <c r="O67" s="56">
        <f>IF(NOT((COUNTA($B67:$D67)+COUNTA($G67:$H67)+COUNTA($Q67))&gt;0),"",IF(AND(AND($D67&lt;&gt;"",$V67="Macro"),N($AM67)&gt;0),CHOOSE(MATCH($D67,ListaPuestos,0),INDEX('Cronograma R. Operacional'!$O$5:$O$1000,$AM67),INDEX('Cronograma R. Normativo'!$O$5:$O$1000,$AM67),INDEX('Cronograma R. Financiero'!$O$5:$O$1000,$AM67),INDEX('Cronograma Asistente Técnico'!$O$5:$O$1000,$AM67))&amp;"",IF(ISNUMBER($G67),IF(AND(ISNUMBER($AS67),$G67&gt;$AS67),"Cumplida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f>IF(NOT((COUNTA($B67:$D67)+COUNTA($G67:$H67)+COUNTA($Q67))&gt;0),"",IF($D67="","Propia",IF($V67&lt;&gt;"Macro","Solo se delegan macroactividades",IF(N($AM67)&gt;0,"✔ Recibida por "&amp;$D67,"⚠ "&amp;$D67&amp;" aún no la agrega"))))</f>
        <v/>
      </c>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IF($V67&lt;&gt;"Sub","",N($X67)*IF(AND(ISNUMBER($G67),$G67&lt;=IF($S67=MesCiclo,InicioCiclo,$S67+MOD(2-WEEKDAY($S67),7))+6),1,MIN(1,MAX(0,IF(ISNUMBER(OFFSET($A$1,ROW()-1,8)),OFFSET($A$1,ROW()-1,8),0)))))</f>
        <v/>
      </c>
      <c r="AE67" s="62">
        <f>IF($V67&lt;&gt;"Sub","",N($X67)*IF(AND(ISNUMBER($G67),$G67&lt;=IF($S67=MesCiclo,InicioCiclo,$S67+MOD(2-WEEKDAY($S67),7))+13),1,MIN(1,MAX(0,IF(ISNUMBER(OFFSET($A$1,ROW()-1,9)),OFFSET($A$1,ROW()-1,9),IF(ISNUMBER(OFFSET($A$1,ROW()-1,8)),OFFSET($A$1,ROW()-1,8),0))))))</f>
        <v/>
      </c>
      <c r="AF67" s="62">
        <f>IF($V67&lt;&gt;"Sub","",N($X67)*IF(AND(ISNUMBER($G67),$G67&lt;=IF($S67=MesCiclo,InicioCiclo,$S67+MOD(2-WEEKDAY($S67),7))+20),1,MIN(1,MAX(0,IF(ISNUMBER(OFFSET($A$1,ROW()-1,10)),OFFSET($A$1,ROW()-1,10),IF(ISNUMBER(OFFSET($A$1,ROW()-1,9)),OFFSET($A$1,ROW()-1,9),IF(ISNUMBER(OFFSET($A$1,ROW()-1,8)),OFFSET($A$1,ROW()-1,8),0)))))))</f>
        <v/>
      </c>
      <c r="AG67" s="62">
        <f>IF($V67&lt;&gt;"Sub","",N($X67)*IF(AND(ISNUMBER($G67),$G67&lt;=IF($S67=MesCiclo,InicioCiclo,$S67+MOD(2-WEEKDAY($S67),7))+27),1,MIN(1,MAX(0,IF(ISNUMBER(OFFSET($A$1,ROW()-1,11)),OFFSET($A$1,ROW()-1,11),IF(ISNUMBER(OFFSET($A$1,ROW()-1,10)),OFFSET($A$1,ROW()-1,10),IF(ISNUMBER(OFFSET($A$1,ROW()-1,9)),OFFSET($A$1,ROW()-1,9),IF(ISNUMBER(OFFSET($A$1,ROW()-1,8)),OFFSET($A$1,ROW()-1,8),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f>IF(NOT(AND($D67&lt;&gt;"",$V67="Macro")),"",IFERROR(CHOOSE(MATCH($D67,ListaPuestos,0),MATCH("[Jefatura] "&amp;$C67,'Cronograma R. Operacional'!$C$5:$C$1000,0),MATCH("[Jefatura] "&amp;$C67,'Cronograma R. Normativo'!$C$5:$C$1000,0),MATCH("[Jefatura] "&amp;$C67,'Cronograma R. Financiero'!$C$5:$C$1000,0),MATCH("[Jefatura] "&amp;$C67,'Cronograma Asistente Técnico'!$C$5:$C$1000,0)),0))</f>
        <v/>
      </c>
      <c r="AN67" s="62">
        <f>IF(AND(AND($D67&lt;&gt;"",$V67="Macro"),$S67=MesCiclo),COUNTIFS($D$5:$D67,$D67,$S$5:$S67,MesCiclo,$V$5:$V67,"Macro"),"")</f>
        <v/>
      </c>
      <c r="AO67" s="62">
        <f>IF($AN67="","",$D67&amp;"|"&amp;$AN67)</f>
        <v/>
      </c>
      <c r="AP67" s="62">
        <f>IF(AND($D67&lt;&gt;"",$V67="Macro"),$D67&amp;"|"&amp;$C67,"")</f>
        <v/>
      </c>
      <c r="AQ67" s="62">
        <f>""</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t="n"/>
      <c r="F68" s="59" t="n"/>
      <c r="G68" s="59" t="n"/>
      <c r="H68" s="60" t="n"/>
      <c r="I68" s="60">
        <f>IF(N($W68)=0,"",IF(AND($S68=MesCiclo,1&gt;SemanaActual),"",MIN(1,SUMIFS(OFFSET($A$1,ROW(),29,1000-ROW(),1),OFFSET($A$1,ROW(),20,1000-ROW(),1),ROW(),OFFSET($A$1,ROW(),21,1000-ROW(),1),"Sub"))))</f>
        <v/>
      </c>
      <c r="J68" s="60">
        <f>IF(N($W68)=0,"",IF(AND($S68=MesCiclo,2&gt;SemanaActual),"",MIN(1,SUMIFS(OFFSET($A$1,ROW(),30,1000-ROW(),1),OFFSET($A$1,ROW(),20,1000-ROW(),1),ROW(),OFFSET($A$1,ROW(),21,1000-ROW(),1),"Sub"))))</f>
        <v/>
      </c>
      <c r="K68" s="60">
        <f>IF(N($W68)=0,"",IF(AND($S68=MesCiclo,3&gt;SemanaActual),"",MIN(1,SUMIFS(OFFSET($A$1,ROW(),31,1000-ROW(),1),OFFSET($A$1,ROW(),20,1000-ROW(),1),ROW(),OFFSET($A$1,ROW(),21,1000-ROW(),1),"Sub"))))</f>
        <v/>
      </c>
      <c r="L68" s="60">
        <f>IF(N($W68)=0,"",IF(AND($S68=MesCiclo,4&gt;SemanaActual),"",MIN(1,SUMIFS(OFFSET($A$1,ROW(),32,1000-ROW(),1),OFFSET($A$1,ROW(),20,1000-ROW(),1),ROW(),OFFSET($A$1,ROW(),21,1000-ROW(),1),"Sub"))))</f>
        <v/>
      </c>
      <c r="M68" s="61">
        <f>IF(NOT((COUNTA($B68:$D68)+COUNTA($G68:$H68)+COUNTA($Q68))&gt;0),"",IF(AND($D68&lt;&gt;"",$V68="Macro"),IF(N($AM68)&gt;0,N(CHOOSE(MATCH($D68,ListaPuestos,0),INDEX('Cronograma R. Operacional'!$M$5:$M$1000,$AM68),INDEX('Cronograma R. Normativo'!$M$5:$M$1000,$AM68),INDEX('Cronograma R. Financiero'!$M$5:$M$1000,$AM68),INDEX('Cronograma Asistente Técnico'!$M$5:$M$1000,$AM68))),0),IF(ISNUMBER($G68),1,IF(N($W68)&gt;0,MIN(1,SUMIFS($Y$5:$Y$1000,$U$5:$U$1000,ROW(),$V$5:$V$1000,"Sub")),$Y68))))</f>
        <v/>
      </c>
      <c r="N68" s="56">
        <f>IF(OR($M68="",$V68="Sub"),"",IF($M68&gt;=1,"Completado",IF($M68&gt;0,"En curso","Pendiente")))</f>
        <v/>
      </c>
      <c r="O68" s="56">
        <f>IF(NOT((COUNTA($B68:$D68)+COUNTA($G68:$H68)+COUNTA($Q68))&gt;0),"",IF(AND(AND($D68&lt;&gt;"",$V68="Macro"),N($AM68)&gt;0),CHOOSE(MATCH($D68,ListaPuestos,0),INDEX('Cronograma R. Operacional'!$O$5:$O$1000,$AM68),INDEX('Cronograma R. Normativo'!$O$5:$O$1000,$AM68),INDEX('Cronograma R. Financiero'!$O$5:$O$1000,$AM68),INDEX('Cronograma Asistente Técnico'!$O$5:$O$1000,$AM68))&amp;"",IF(ISNUMBER($G68),IF(AND(ISNUMBER($AS68),$G68&gt;$AS68),"Cumplida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f>IF(NOT((COUNTA($B68:$D68)+COUNTA($G68:$H68)+COUNTA($Q68))&gt;0),"",IF($D68="","Propia",IF($V68&lt;&gt;"Macro","Solo se delegan macroactividades",IF(N($AM68)&gt;0,"✔ Recibida por "&amp;$D68,"⚠ "&amp;$D68&amp;" aún no la agrega"))))</f>
        <v/>
      </c>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IF($V68&lt;&gt;"Sub","",N($X68)*IF(AND(ISNUMBER($G68),$G68&lt;=IF($S68=MesCiclo,InicioCiclo,$S68+MOD(2-WEEKDAY($S68),7))+6),1,MIN(1,MAX(0,IF(ISNUMBER(OFFSET($A$1,ROW()-1,8)),OFFSET($A$1,ROW()-1,8),0)))))</f>
        <v/>
      </c>
      <c r="AE68" s="62">
        <f>IF($V68&lt;&gt;"Sub","",N($X68)*IF(AND(ISNUMBER($G68),$G68&lt;=IF($S68=MesCiclo,InicioCiclo,$S68+MOD(2-WEEKDAY($S68),7))+13),1,MIN(1,MAX(0,IF(ISNUMBER(OFFSET($A$1,ROW()-1,9)),OFFSET($A$1,ROW()-1,9),IF(ISNUMBER(OFFSET($A$1,ROW()-1,8)),OFFSET($A$1,ROW()-1,8),0))))))</f>
        <v/>
      </c>
      <c r="AF68" s="62">
        <f>IF($V68&lt;&gt;"Sub","",N($X68)*IF(AND(ISNUMBER($G68),$G68&lt;=IF($S68=MesCiclo,InicioCiclo,$S68+MOD(2-WEEKDAY($S68),7))+20),1,MIN(1,MAX(0,IF(ISNUMBER(OFFSET($A$1,ROW()-1,10)),OFFSET($A$1,ROW()-1,10),IF(ISNUMBER(OFFSET($A$1,ROW()-1,9)),OFFSET($A$1,ROW()-1,9),IF(ISNUMBER(OFFSET($A$1,ROW()-1,8)),OFFSET($A$1,ROW()-1,8),0)))))))</f>
        <v/>
      </c>
      <c r="AG68" s="62">
        <f>IF($V68&lt;&gt;"Sub","",N($X68)*IF(AND(ISNUMBER($G68),$G68&lt;=IF($S68=MesCiclo,InicioCiclo,$S68+MOD(2-WEEKDAY($S68),7))+27),1,MIN(1,MAX(0,IF(ISNUMBER(OFFSET($A$1,ROW()-1,11)),OFFSET($A$1,ROW()-1,11),IF(ISNUMBER(OFFSET($A$1,ROW()-1,10)),OFFSET($A$1,ROW()-1,10),IF(ISNUMBER(OFFSET($A$1,ROW()-1,9)),OFFSET($A$1,ROW()-1,9),IF(ISNUMBER(OFFSET($A$1,ROW()-1,8)),OFFSET($A$1,ROW()-1,8),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f>IF(NOT(AND($D68&lt;&gt;"",$V68="Macro")),"",IFERROR(CHOOSE(MATCH($D68,ListaPuestos,0),MATCH("[Jefatura] "&amp;$C68,'Cronograma R. Operacional'!$C$5:$C$1000,0),MATCH("[Jefatura] "&amp;$C68,'Cronograma R. Normativo'!$C$5:$C$1000,0),MATCH("[Jefatura] "&amp;$C68,'Cronograma R. Financiero'!$C$5:$C$1000,0),MATCH("[Jefatura] "&amp;$C68,'Cronograma Asistente Técnico'!$C$5:$C$1000,0)),0))</f>
        <v/>
      </c>
      <c r="AN68" s="62">
        <f>IF(AND(AND($D68&lt;&gt;"",$V68="Macro"),$S68=MesCiclo),COUNTIFS($D$5:$D68,$D68,$S$5:$S68,MesCiclo,$V$5:$V68,"Macro"),"")</f>
        <v/>
      </c>
      <c r="AO68" s="62">
        <f>IF($AN68="","",$D68&amp;"|"&amp;$AN68)</f>
        <v/>
      </c>
      <c r="AP68" s="62">
        <f>IF(AND($D68&lt;&gt;"",$V68="Macro"),$D68&amp;"|"&amp;$C68,"")</f>
        <v/>
      </c>
      <c r="AQ68" s="62">
        <f>""</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t="n"/>
      <c r="F69" s="59" t="n"/>
      <c r="G69" s="59" t="n"/>
      <c r="H69" s="60" t="n"/>
      <c r="I69" s="60">
        <f>IF(N($W69)=0,"",IF(AND($S69=MesCiclo,1&gt;SemanaActual),"",MIN(1,SUMIFS(OFFSET($A$1,ROW(),29,1000-ROW(),1),OFFSET($A$1,ROW(),20,1000-ROW(),1),ROW(),OFFSET($A$1,ROW(),21,1000-ROW(),1),"Sub"))))</f>
        <v/>
      </c>
      <c r="J69" s="60">
        <f>IF(N($W69)=0,"",IF(AND($S69=MesCiclo,2&gt;SemanaActual),"",MIN(1,SUMIFS(OFFSET($A$1,ROW(),30,1000-ROW(),1),OFFSET($A$1,ROW(),20,1000-ROW(),1),ROW(),OFFSET($A$1,ROW(),21,1000-ROW(),1),"Sub"))))</f>
        <v/>
      </c>
      <c r="K69" s="60">
        <f>IF(N($W69)=0,"",IF(AND($S69=MesCiclo,3&gt;SemanaActual),"",MIN(1,SUMIFS(OFFSET($A$1,ROW(),31,1000-ROW(),1),OFFSET($A$1,ROW(),20,1000-ROW(),1),ROW(),OFFSET($A$1,ROW(),21,1000-ROW(),1),"Sub"))))</f>
        <v/>
      </c>
      <c r="L69" s="60">
        <f>IF(N($W69)=0,"",IF(AND($S69=MesCiclo,4&gt;SemanaActual),"",MIN(1,SUMIFS(OFFSET($A$1,ROW(),32,1000-ROW(),1),OFFSET($A$1,ROW(),20,1000-ROW(),1),ROW(),OFFSET($A$1,ROW(),21,1000-ROW(),1),"Sub"))))</f>
        <v/>
      </c>
      <c r="M69" s="61">
        <f>IF(NOT((COUNTA($B69:$D69)+COUNTA($G69:$H69)+COUNTA($Q69))&gt;0),"",IF(AND($D69&lt;&gt;"",$V69="Macro"),IF(N($AM69)&gt;0,N(CHOOSE(MATCH($D69,ListaPuestos,0),INDEX('Cronograma R. Operacional'!$M$5:$M$1000,$AM69),INDEX('Cronograma R. Normativo'!$M$5:$M$1000,$AM69),INDEX('Cronograma R. Financiero'!$M$5:$M$1000,$AM69),INDEX('Cronograma Asistente Técnico'!$M$5:$M$1000,$AM69))),0),IF(ISNUMBER($G69),1,IF(N($W69)&gt;0,MIN(1,SUMIFS($Y$5:$Y$1000,$U$5:$U$1000,ROW(),$V$5:$V$1000,"Sub")),$Y69))))</f>
        <v/>
      </c>
      <c r="N69" s="56">
        <f>IF(OR($M69="",$V69="Sub"),"",IF($M69&gt;=1,"Completado",IF($M69&gt;0,"En curso","Pendiente")))</f>
        <v/>
      </c>
      <c r="O69" s="56">
        <f>IF(NOT((COUNTA($B69:$D69)+COUNTA($G69:$H69)+COUNTA($Q69))&gt;0),"",IF(AND(AND($D69&lt;&gt;"",$V69="Macro"),N($AM69)&gt;0),CHOOSE(MATCH($D69,ListaPuestos,0),INDEX('Cronograma R. Operacional'!$O$5:$O$1000,$AM69),INDEX('Cronograma R. Normativo'!$O$5:$O$1000,$AM69),INDEX('Cronograma R. Financiero'!$O$5:$O$1000,$AM69),INDEX('Cronograma Asistente Técnico'!$O$5:$O$1000,$AM69))&amp;"",IF(ISNUMBER($G69),IF(AND(ISNUMBER($AS69),$G69&gt;$AS69),"Cumplida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f>IF(NOT((COUNTA($B69:$D69)+COUNTA($G69:$H69)+COUNTA($Q69))&gt;0),"",IF($D69="","Propia",IF($V69&lt;&gt;"Macro","Solo se delegan macroactividades",IF(N($AM69)&gt;0,"✔ Recibida por "&amp;$D69,"⚠ "&amp;$D69&amp;" aún no la agrega"))))</f>
        <v/>
      </c>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IF($V69&lt;&gt;"Sub","",N($X69)*IF(AND(ISNUMBER($G69),$G69&lt;=IF($S69=MesCiclo,InicioCiclo,$S69+MOD(2-WEEKDAY($S69),7))+6),1,MIN(1,MAX(0,IF(ISNUMBER(OFFSET($A$1,ROW()-1,8)),OFFSET($A$1,ROW()-1,8),0)))))</f>
        <v/>
      </c>
      <c r="AE69" s="62">
        <f>IF($V69&lt;&gt;"Sub","",N($X69)*IF(AND(ISNUMBER($G69),$G69&lt;=IF($S69=MesCiclo,InicioCiclo,$S69+MOD(2-WEEKDAY($S69),7))+13),1,MIN(1,MAX(0,IF(ISNUMBER(OFFSET($A$1,ROW()-1,9)),OFFSET($A$1,ROW()-1,9),IF(ISNUMBER(OFFSET($A$1,ROW()-1,8)),OFFSET($A$1,ROW()-1,8),0))))))</f>
        <v/>
      </c>
      <c r="AF69" s="62">
        <f>IF($V69&lt;&gt;"Sub","",N($X69)*IF(AND(ISNUMBER($G69),$G69&lt;=IF($S69=MesCiclo,InicioCiclo,$S69+MOD(2-WEEKDAY($S69),7))+20),1,MIN(1,MAX(0,IF(ISNUMBER(OFFSET($A$1,ROW()-1,10)),OFFSET($A$1,ROW()-1,10),IF(ISNUMBER(OFFSET($A$1,ROW()-1,9)),OFFSET($A$1,ROW()-1,9),IF(ISNUMBER(OFFSET($A$1,ROW()-1,8)),OFFSET($A$1,ROW()-1,8),0)))))))</f>
        <v/>
      </c>
      <c r="AG69" s="62">
        <f>IF($V69&lt;&gt;"Sub","",N($X69)*IF(AND(ISNUMBER($G69),$G69&lt;=IF($S69=MesCiclo,InicioCiclo,$S69+MOD(2-WEEKDAY($S69),7))+27),1,MIN(1,MAX(0,IF(ISNUMBER(OFFSET($A$1,ROW()-1,11)),OFFSET($A$1,ROW()-1,11),IF(ISNUMBER(OFFSET($A$1,ROW()-1,10)),OFFSET($A$1,ROW()-1,10),IF(ISNUMBER(OFFSET($A$1,ROW()-1,9)),OFFSET($A$1,ROW()-1,9),IF(ISNUMBER(OFFSET($A$1,ROW()-1,8)),OFFSET($A$1,ROW()-1,8),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f>IF(NOT(AND($D69&lt;&gt;"",$V69="Macro")),"",IFERROR(CHOOSE(MATCH($D69,ListaPuestos,0),MATCH("[Jefatura] "&amp;$C69,'Cronograma R. Operacional'!$C$5:$C$1000,0),MATCH("[Jefatura] "&amp;$C69,'Cronograma R. Normativo'!$C$5:$C$1000,0),MATCH("[Jefatura] "&amp;$C69,'Cronograma R. Financiero'!$C$5:$C$1000,0),MATCH("[Jefatura] "&amp;$C69,'Cronograma Asistente Técnico'!$C$5:$C$1000,0)),0))</f>
        <v/>
      </c>
      <c r="AN69" s="62">
        <f>IF(AND(AND($D69&lt;&gt;"",$V69="Macro"),$S69=MesCiclo),COUNTIFS($D$5:$D69,$D69,$S$5:$S69,MesCiclo,$V$5:$V69,"Macro"),"")</f>
        <v/>
      </c>
      <c r="AO69" s="62">
        <f>IF($AN69="","",$D69&amp;"|"&amp;$AN69)</f>
        <v/>
      </c>
      <c r="AP69" s="62">
        <f>IF(AND($D69&lt;&gt;"",$V69="Macro"),$D69&amp;"|"&amp;$C69,"")</f>
        <v/>
      </c>
      <c r="AQ69" s="62">
        <f>""</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t="n"/>
      <c r="F70" s="59" t="n"/>
      <c r="G70" s="59" t="n"/>
      <c r="H70" s="60" t="n"/>
      <c r="I70" s="60">
        <f>IF(N($W70)=0,"",IF(AND($S70=MesCiclo,1&gt;SemanaActual),"",MIN(1,SUMIFS(OFFSET($A$1,ROW(),29,1000-ROW(),1),OFFSET($A$1,ROW(),20,1000-ROW(),1),ROW(),OFFSET($A$1,ROW(),21,1000-ROW(),1),"Sub"))))</f>
        <v/>
      </c>
      <c r="J70" s="60">
        <f>IF(N($W70)=0,"",IF(AND($S70=MesCiclo,2&gt;SemanaActual),"",MIN(1,SUMIFS(OFFSET($A$1,ROW(),30,1000-ROW(),1),OFFSET($A$1,ROW(),20,1000-ROW(),1),ROW(),OFFSET($A$1,ROW(),21,1000-ROW(),1),"Sub"))))</f>
        <v/>
      </c>
      <c r="K70" s="60">
        <f>IF(N($W70)=0,"",IF(AND($S70=MesCiclo,3&gt;SemanaActual),"",MIN(1,SUMIFS(OFFSET($A$1,ROW(),31,1000-ROW(),1),OFFSET($A$1,ROW(),20,1000-ROW(),1),ROW(),OFFSET($A$1,ROW(),21,1000-ROW(),1),"Sub"))))</f>
        <v/>
      </c>
      <c r="L70" s="60">
        <f>IF(N($W70)=0,"",IF(AND($S70=MesCiclo,4&gt;SemanaActual),"",MIN(1,SUMIFS(OFFSET($A$1,ROW(),32,1000-ROW(),1),OFFSET($A$1,ROW(),20,1000-ROW(),1),ROW(),OFFSET($A$1,ROW(),21,1000-ROW(),1),"Sub"))))</f>
        <v/>
      </c>
      <c r="M70" s="61">
        <f>IF(NOT((COUNTA($B70:$D70)+COUNTA($G70:$H70)+COUNTA($Q70))&gt;0),"",IF(AND($D70&lt;&gt;"",$V70="Macro"),IF(N($AM70)&gt;0,N(CHOOSE(MATCH($D70,ListaPuestos,0),INDEX('Cronograma R. Operacional'!$M$5:$M$1000,$AM70),INDEX('Cronograma R. Normativo'!$M$5:$M$1000,$AM70),INDEX('Cronograma R. Financiero'!$M$5:$M$1000,$AM70),INDEX('Cronograma Asistente Técnico'!$M$5:$M$1000,$AM70))),0),IF(ISNUMBER($G70),1,IF(N($W70)&gt;0,MIN(1,SUMIFS($Y$5:$Y$1000,$U$5:$U$1000,ROW(),$V$5:$V$1000,"Sub")),$Y70))))</f>
        <v/>
      </c>
      <c r="N70" s="56">
        <f>IF(OR($M70="",$V70="Sub"),"",IF($M70&gt;=1,"Completado",IF($M70&gt;0,"En curso","Pendiente")))</f>
        <v/>
      </c>
      <c r="O70" s="56">
        <f>IF(NOT((COUNTA($B70:$D70)+COUNTA($G70:$H70)+COUNTA($Q70))&gt;0),"",IF(AND(AND($D70&lt;&gt;"",$V70="Macro"),N($AM70)&gt;0),CHOOSE(MATCH($D70,ListaPuestos,0),INDEX('Cronograma R. Operacional'!$O$5:$O$1000,$AM70),INDEX('Cronograma R. Normativo'!$O$5:$O$1000,$AM70),INDEX('Cronograma R. Financiero'!$O$5:$O$1000,$AM70),INDEX('Cronograma Asistente Técnico'!$O$5:$O$1000,$AM70))&amp;"",IF(ISNUMBER($G70),IF(AND(ISNUMBER($AS70),$G70&gt;$AS70),"Cumplida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f>IF(NOT((COUNTA($B70:$D70)+COUNTA($G70:$H70)+COUNTA($Q70))&gt;0),"",IF($D70="","Propia",IF($V70&lt;&gt;"Macro","Solo se delegan macroactividades",IF(N($AM70)&gt;0,"✔ Recibida por "&amp;$D70,"⚠ "&amp;$D70&amp;" aún no la agrega"))))</f>
        <v/>
      </c>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IF($V70&lt;&gt;"Sub","",N($X70)*IF(AND(ISNUMBER($G70),$G70&lt;=IF($S70=MesCiclo,InicioCiclo,$S70+MOD(2-WEEKDAY($S70),7))+6),1,MIN(1,MAX(0,IF(ISNUMBER(OFFSET($A$1,ROW()-1,8)),OFFSET($A$1,ROW()-1,8),0)))))</f>
        <v/>
      </c>
      <c r="AE70" s="62">
        <f>IF($V70&lt;&gt;"Sub","",N($X70)*IF(AND(ISNUMBER($G70),$G70&lt;=IF($S70=MesCiclo,InicioCiclo,$S70+MOD(2-WEEKDAY($S70),7))+13),1,MIN(1,MAX(0,IF(ISNUMBER(OFFSET($A$1,ROW()-1,9)),OFFSET($A$1,ROW()-1,9),IF(ISNUMBER(OFFSET($A$1,ROW()-1,8)),OFFSET($A$1,ROW()-1,8),0))))))</f>
        <v/>
      </c>
      <c r="AF70" s="62">
        <f>IF($V70&lt;&gt;"Sub","",N($X70)*IF(AND(ISNUMBER($G70),$G70&lt;=IF($S70=MesCiclo,InicioCiclo,$S70+MOD(2-WEEKDAY($S70),7))+20),1,MIN(1,MAX(0,IF(ISNUMBER(OFFSET($A$1,ROW()-1,10)),OFFSET($A$1,ROW()-1,10),IF(ISNUMBER(OFFSET($A$1,ROW()-1,9)),OFFSET($A$1,ROW()-1,9),IF(ISNUMBER(OFFSET($A$1,ROW()-1,8)),OFFSET($A$1,ROW()-1,8),0)))))))</f>
        <v/>
      </c>
      <c r="AG70" s="62">
        <f>IF($V70&lt;&gt;"Sub","",N($X70)*IF(AND(ISNUMBER($G70),$G70&lt;=IF($S70=MesCiclo,InicioCiclo,$S70+MOD(2-WEEKDAY($S70),7))+27),1,MIN(1,MAX(0,IF(ISNUMBER(OFFSET($A$1,ROW()-1,11)),OFFSET($A$1,ROW()-1,11),IF(ISNUMBER(OFFSET($A$1,ROW()-1,10)),OFFSET($A$1,ROW()-1,10),IF(ISNUMBER(OFFSET($A$1,ROW()-1,9)),OFFSET($A$1,ROW()-1,9),IF(ISNUMBER(OFFSET($A$1,ROW()-1,8)),OFFSET($A$1,ROW()-1,8),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f>IF(NOT(AND($D70&lt;&gt;"",$V70="Macro")),"",IFERROR(CHOOSE(MATCH($D70,ListaPuestos,0),MATCH("[Jefatura] "&amp;$C70,'Cronograma R. Operacional'!$C$5:$C$1000,0),MATCH("[Jefatura] "&amp;$C70,'Cronograma R. Normativo'!$C$5:$C$1000,0),MATCH("[Jefatura] "&amp;$C70,'Cronograma R. Financiero'!$C$5:$C$1000,0),MATCH("[Jefatura] "&amp;$C70,'Cronograma Asistente Técnico'!$C$5:$C$1000,0)),0))</f>
        <v/>
      </c>
      <c r="AN70" s="62">
        <f>IF(AND(AND($D70&lt;&gt;"",$V70="Macro"),$S70=MesCiclo),COUNTIFS($D$5:$D70,$D70,$S$5:$S70,MesCiclo,$V$5:$V70,"Macro"),"")</f>
        <v/>
      </c>
      <c r="AO70" s="62">
        <f>IF($AN70="","",$D70&amp;"|"&amp;$AN70)</f>
        <v/>
      </c>
      <c r="AP70" s="62">
        <f>IF(AND($D70&lt;&gt;"",$V70="Macro"),$D70&amp;"|"&amp;$C70,"")</f>
        <v/>
      </c>
      <c r="AQ70" s="62">
        <f>""</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t="n"/>
      <c r="F71" s="59" t="n"/>
      <c r="G71" s="59" t="n"/>
      <c r="H71" s="60" t="n"/>
      <c r="I71" s="60">
        <f>IF(N($W71)=0,"",IF(AND($S71=MesCiclo,1&gt;SemanaActual),"",MIN(1,SUMIFS(OFFSET($A$1,ROW(),29,1000-ROW(),1),OFFSET($A$1,ROW(),20,1000-ROW(),1),ROW(),OFFSET($A$1,ROW(),21,1000-ROW(),1),"Sub"))))</f>
        <v/>
      </c>
      <c r="J71" s="60">
        <f>IF(N($W71)=0,"",IF(AND($S71=MesCiclo,2&gt;SemanaActual),"",MIN(1,SUMIFS(OFFSET($A$1,ROW(),30,1000-ROW(),1),OFFSET($A$1,ROW(),20,1000-ROW(),1),ROW(),OFFSET($A$1,ROW(),21,1000-ROW(),1),"Sub"))))</f>
        <v/>
      </c>
      <c r="K71" s="60">
        <f>IF(N($W71)=0,"",IF(AND($S71=MesCiclo,3&gt;SemanaActual),"",MIN(1,SUMIFS(OFFSET($A$1,ROW(),31,1000-ROW(),1),OFFSET($A$1,ROW(),20,1000-ROW(),1),ROW(),OFFSET($A$1,ROW(),21,1000-ROW(),1),"Sub"))))</f>
        <v/>
      </c>
      <c r="L71" s="60">
        <f>IF(N($W71)=0,"",IF(AND($S71=MesCiclo,4&gt;SemanaActual),"",MIN(1,SUMIFS(OFFSET($A$1,ROW(),32,1000-ROW(),1),OFFSET($A$1,ROW(),20,1000-ROW(),1),ROW(),OFFSET($A$1,ROW(),21,1000-ROW(),1),"Sub"))))</f>
        <v/>
      </c>
      <c r="M71" s="61">
        <f>IF(NOT((COUNTA($B71:$D71)+COUNTA($G71:$H71)+COUNTA($Q71))&gt;0),"",IF(AND($D71&lt;&gt;"",$V71="Macro"),IF(N($AM71)&gt;0,N(CHOOSE(MATCH($D71,ListaPuestos,0),INDEX('Cronograma R. Operacional'!$M$5:$M$1000,$AM71),INDEX('Cronograma R. Normativo'!$M$5:$M$1000,$AM71),INDEX('Cronograma R. Financiero'!$M$5:$M$1000,$AM71),INDEX('Cronograma Asistente Técnico'!$M$5:$M$1000,$AM71))),0),IF(ISNUMBER($G71),1,IF(N($W71)&gt;0,MIN(1,SUMIFS($Y$5:$Y$1000,$U$5:$U$1000,ROW(),$V$5:$V$1000,"Sub")),$Y71))))</f>
        <v/>
      </c>
      <c r="N71" s="56">
        <f>IF(OR($M71="",$V71="Sub"),"",IF($M71&gt;=1,"Completado",IF($M71&gt;0,"En curso","Pendiente")))</f>
        <v/>
      </c>
      <c r="O71" s="56">
        <f>IF(NOT((COUNTA($B71:$D71)+COUNTA($G71:$H71)+COUNTA($Q71))&gt;0),"",IF(AND(AND($D71&lt;&gt;"",$V71="Macro"),N($AM71)&gt;0),CHOOSE(MATCH($D71,ListaPuestos,0),INDEX('Cronograma R. Operacional'!$O$5:$O$1000,$AM71),INDEX('Cronograma R. Normativo'!$O$5:$O$1000,$AM71),INDEX('Cronograma R. Financiero'!$O$5:$O$1000,$AM71),INDEX('Cronograma Asistente Técnico'!$O$5:$O$1000,$AM71))&amp;"",IF(ISNUMBER($G71),IF(AND(ISNUMBER($AS71),$G71&gt;$AS71),"Cumplida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f>IF(NOT((COUNTA($B71:$D71)+COUNTA($G71:$H71)+COUNTA($Q71))&gt;0),"",IF($D71="","Propia",IF($V71&lt;&gt;"Macro","Solo se delegan macroactividades",IF(N($AM71)&gt;0,"✔ Recibida por "&amp;$D71,"⚠ "&amp;$D71&amp;" aún no la agrega"))))</f>
        <v/>
      </c>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IF($V71&lt;&gt;"Sub","",N($X71)*IF(AND(ISNUMBER($G71),$G71&lt;=IF($S71=MesCiclo,InicioCiclo,$S71+MOD(2-WEEKDAY($S71),7))+6),1,MIN(1,MAX(0,IF(ISNUMBER(OFFSET($A$1,ROW()-1,8)),OFFSET($A$1,ROW()-1,8),0)))))</f>
        <v/>
      </c>
      <c r="AE71" s="62">
        <f>IF($V71&lt;&gt;"Sub","",N($X71)*IF(AND(ISNUMBER($G71),$G71&lt;=IF($S71=MesCiclo,InicioCiclo,$S71+MOD(2-WEEKDAY($S71),7))+13),1,MIN(1,MAX(0,IF(ISNUMBER(OFFSET($A$1,ROW()-1,9)),OFFSET($A$1,ROW()-1,9),IF(ISNUMBER(OFFSET($A$1,ROW()-1,8)),OFFSET($A$1,ROW()-1,8),0))))))</f>
        <v/>
      </c>
      <c r="AF71" s="62">
        <f>IF($V71&lt;&gt;"Sub","",N($X71)*IF(AND(ISNUMBER($G71),$G71&lt;=IF($S71=MesCiclo,InicioCiclo,$S71+MOD(2-WEEKDAY($S71),7))+20),1,MIN(1,MAX(0,IF(ISNUMBER(OFFSET($A$1,ROW()-1,10)),OFFSET($A$1,ROW()-1,10),IF(ISNUMBER(OFFSET($A$1,ROW()-1,9)),OFFSET($A$1,ROW()-1,9),IF(ISNUMBER(OFFSET($A$1,ROW()-1,8)),OFFSET($A$1,ROW()-1,8),0)))))))</f>
        <v/>
      </c>
      <c r="AG71" s="62">
        <f>IF($V71&lt;&gt;"Sub","",N($X71)*IF(AND(ISNUMBER($G71),$G71&lt;=IF($S71=MesCiclo,InicioCiclo,$S71+MOD(2-WEEKDAY($S71),7))+27),1,MIN(1,MAX(0,IF(ISNUMBER(OFFSET($A$1,ROW()-1,11)),OFFSET($A$1,ROW()-1,11),IF(ISNUMBER(OFFSET($A$1,ROW()-1,10)),OFFSET($A$1,ROW()-1,10),IF(ISNUMBER(OFFSET($A$1,ROW()-1,9)),OFFSET($A$1,ROW()-1,9),IF(ISNUMBER(OFFSET($A$1,ROW()-1,8)),OFFSET($A$1,ROW()-1,8),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f>IF(NOT(AND($D71&lt;&gt;"",$V71="Macro")),"",IFERROR(CHOOSE(MATCH($D71,ListaPuestos,0),MATCH("[Jefatura] "&amp;$C71,'Cronograma R. Operacional'!$C$5:$C$1000,0),MATCH("[Jefatura] "&amp;$C71,'Cronograma R. Normativo'!$C$5:$C$1000,0),MATCH("[Jefatura] "&amp;$C71,'Cronograma R. Financiero'!$C$5:$C$1000,0),MATCH("[Jefatura] "&amp;$C71,'Cronograma Asistente Técnico'!$C$5:$C$1000,0)),0))</f>
        <v/>
      </c>
      <c r="AN71" s="62">
        <f>IF(AND(AND($D71&lt;&gt;"",$V71="Macro"),$S71=MesCiclo),COUNTIFS($D$5:$D71,$D71,$S$5:$S71,MesCiclo,$V$5:$V71,"Macro"),"")</f>
        <v/>
      </c>
      <c r="AO71" s="62">
        <f>IF($AN71="","",$D71&amp;"|"&amp;$AN71)</f>
        <v/>
      </c>
      <c r="AP71" s="62">
        <f>IF(AND($D71&lt;&gt;"",$V71="Macro"),$D71&amp;"|"&amp;$C71,"")</f>
        <v/>
      </c>
      <c r="AQ71" s="62">
        <f>""</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t="n"/>
      <c r="F72" s="59" t="n"/>
      <c r="G72" s="59" t="n"/>
      <c r="H72" s="60" t="n"/>
      <c r="I72" s="60">
        <f>IF(N($W72)=0,"",IF(AND($S72=MesCiclo,1&gt;SemanaActual),"",MIN(1,SUMIFS(OFFSET($A$1,ROW(),29,1000-ROW(),1),OFFSET($A$1,ROW(),20,1000-ROW(),1),ROW(),OFFSET($A$1,ROW(),21,1000-ROW(),1),"Sub"))))</f>
        <v/>
      </c>
      <c r="J72" s="60">
        <f>IF(N($W72)=0,"",IF(AND($S72=MesCiclo,2&gt;SemanaActual),"",MIN(1,SUMIFS(OFFSET($A$1,ROW(),30,1000-ROW(),1),OFFSET($A$1,ROW(),20,1000-ROW(),1),ROW(),OFFSET($A$1,ROW(),21,1000-ROW(),1),"Sub"))))</f>
        <v/>
      </c>
      <c r="K72" s="60">
        <f>IF(N($W72)=0,"",IF(AND($S72=MesCiclo,3&gt;SemanaActual),"",MIN(1,SUMIFS(OFFSET($A$1,ROW(),31,1000-ROW(),1),OFFSET($A$1,ROW(),20,1000-ROW(),1),ROW(),OFFSET($A$1,ROW(),21,1000-ROW(),1),"Sub"))))</f>
        <v/>
      </c>
      <c r="L72" s="60">
        <f>IF(N($W72)=0,"",IF(AND($S72=MesCiclo,4&gt;SemanaActual),"",MIN(1,SUMIFS(OFFSET($A$1,ROW(),32,1000-ROW(),1),OFFSET($A$1,ROW(),20,1000-ROW(),1),ROW(),OFFSET($A$1,ROW(),21,1000-ROW(),1),"Sub"))))</f>
        <v/>
      </c>
      <c r="M72" s="61">
        <f>IF(NOT((COUNTA($B72:$D72)+COUNTA($G72:$H72)+COUNTA($Q72))&gt;0),"",IF(AND($D72&lt;&gt;"",$V72="Macro"),IF(N($AM72)&gt;0,N(CHOOSE(MATCH($D72,ListaPuestos,0),INDEX('Cronograma R. Operacional'!$M$5:$M$1000,$AM72),INDEX('Cronograma R. Normativo'!$M$5:$M$1000,$AM72),INDEX('Cronograma R. Financiero'!$M$5:$M$1000,$AM72),INDEX('Cronograma Asistente Técnico'!$M$5:$M$1000,$AM72))),0),IF(ISNUMBER($G72),1,IF(N($W72)&gt;0,MIN(1,SUMIFS($Y$5:$Y$1000,$U$5:$U$1000,ROW(),$V$5:$V$1000,"Sub")),$Y72))))</f>
        <v/>
      </c>
      <c r="N72" s="56">
        <f>IF(OR($M72="",$V72="Sub"),"",IF($M72&gt;=1,"Completado",IF($M72&gt;0,"En curso","Pendiente")))</f>
        <v/>
      </c>
      <c r="O72" s="56">
        <f>IF(NOT((COUNTA($B72:$D72)+COUNTA($G72:$H72)+COUNTA($Q72))&gt;0),"",IF(AND(AND($D72&lt;&gt;"",$V72="Macro"),N($AM72)&gt;0),CHOOSE(MATCH($D72,ListaPuestos,0),INDEX('Cronograma R. Operacional'!$O$5:$O$1000,$AM72),INDEX('Cronograma R. Normativo'!$O$5:$O$1000,$AM72),INDEX('Cronograma R. Financiero'!$O$5:$O$1000,$AM72),INDEX('Cronograma Asistente Técnico'!$O$5:$O$1000,$AM72))&amp;"",IF(ISNUMBER($G72),IF(AND(ISNUMBER($AS72),$G72&gt;$AS72),"Cumplida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f>IF(NOT((COUNTA($B72:$D72)+COUNTA($G72:$H72)+COUNTA($Q72))&gt;0),"",IF($D72="","Propia",IF($V72&lt;&gt;"Macro","Solo se delegan macroactividades",IF(N($AM72)&gt;0,"✔ Recibida por "&amp;$D72,"⚠ "&amp;$D72&amp;" aún no la agrega"))))</f>
        <v/>
      </c>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IF($V72&lt;&gt;"Sub","",N($X72)*IF(AND(ISNUMBER($G72),$G72&lt;=IF($S72=MesCiclo,InicioCiclo,$S72+MOD(2-WEEKDAY($S72),7))+6),1,MIN(1,MAX(0,IF(ISNUMBER(OFFSET($A$1,ROW()-1,8)),OFFSET($A$1,ROW()-1,8),0)))))</f>
        <v/>
      </c>
      <c r="AE72" s="62">
        <f>IF($V72&lt;&gt;"Sub","",N($X72)*IF(AND(ISNUMBER($G72),$G72&lt;=IF($S72=MesCiclo,InicioCiclo,$S72+MOD(2-WEEKDAY($S72),7))+13),1,MIN(1,MAX(0,IF(ISNUMBER(OFFSET($A$1,ROW()-1,9)),OFFSET($A$1,ROW()-1,9),IF(ISNUMBER(OFFSET($A$1,ROW()-1,8)),OFFSET($A$1,ROW()-1,8),0))))))</f>
        <v/>
      </c>
      <c r="AF72" s="62">
        <f>IF($V72&lt;&gt;"Sub","",N($X72)*IF(AND(ISNUMBER($G72),$G72&lt;=IF($S72=MesCiclo,InicioCiclo,$S72+MOD(2-WEEKDAY($S72),7))+20),1,MIN(1,MAX(0,IF(ISNUMBER(OFFSET($A$1,ROW()-1,10)),OFFSET($A$1,ROW()-1,10),IF(ISNUMBER(OFFSET($A$1,ROW()-1,9)),OFFSET($A$1,ROW()-1,9),IF(ISNUMBER(OFFSET($A$1,ROW()-1,8)),OFFSET($A$1,ROW()-1,8),0)))))))</f>
        <v/>
      </c>
      <c r="AG72" s="62">
        <f>IF($V72&lt;&gt;"Sub","",N($X72)*IF(AND(ISNUMBER($G72),$G72&lt;=IF($S72=MesCiclo,InicioCiclo,$S72+MOD(2-WEEKDAY($S72),7))+27),1,MIN(1,MAX(0,IF(ISNUMBER(OFFSET($A$1,ROW()-1,11)),OFFSET($A$1,ROW()-1,11),IF(ISNUMBER(OFFSET($A$1,ROW()-1,10)),OFFSET($A$1,ROW()-1,10),IF(ISNUMBER(OFFSET($A$1,ROW()-1,9)),OFFSET($A$1,ROW()-1,9),IF(ISNUMBER(OFFSET($A$1,ROW()-1,8)),OFFSET($A$1,ROW()-1,8),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f>IF(NOT(AND($D72&lt;&gt;"",$V72="Macro")),"",IFERROR(CHOOSE(MATCH($D72,ListaPuestos,0),MATCH("[Jefatura] "&amp;$C72,'Cronograma R. Operacional'!$C$5:$C$1000,0),MATCH("[Jefatura] "&amp;$C72,'Cronograma R. Normativo'!$C$5:$C$1000,0),MATCH("[Jefatura] "&amp;$C72,'Cronograma R. Financiero'!$C$5:$C$1000,0),MATCH("[Jefatura] "&amp;$C72,'Cronograma Asistente Técnico'!$C$5:$C$1000,0)),0))</f>
        <v/>
      </c>
      <c r="AN72" s="62">
        <f>IF(AND(AND($D72&lt;&gt;"",$V72="Macro"),$S72=MesCiclo),COUNTIFS($D$5:$D72,$D72,$S$5:$S72,MesCiclo,$V$5:$V72,"Macro"),"")</f>
        <v/>
      </c>
      <c r="AO72" s="62">
        <f>IF($AN72="","",$D72&amp;"|"&amp;$AN72)</f>
        <v/>
      </c>
      <c r="AP72" s="62">
        <f>IF(AND($D72&lt;&gt;"",$V72="Macro"),$D72&amp;"|"&amp;$C72,"")</f>
        <v/>
      </c>
      <c r="AQ72" s="62">
        <f>""</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t="n"/>
      <c r="F73" s="59" t="n"/>
      <c r="G73" s="59" t="n"/>
      <c r="H73" s="60" t="n"/>
      <c r="I73" s="60">
        <f>IF(N($W73)=0,"",IF(AND($S73=MesCiclo,1&gt;SemanaActual),"",MIN(1,SUMIFS(OFFSET($A$1,ROW(),29,1000-ROW(),1),OFFSET($A$1,ROW(),20,1000-ROW(),1),ROW(),OFFSET($A$1,ROW(),21,1000-ROW(),1),"Sub"))))</f>
        <v/>
      </c>
      <c r="J73" s="60">
        <f>IF(N($W73)=0,"",IF(AND($S73=MesCiclo,2&gt;SemanaActual),"",MIN(1,SUMIFS(OFFSET($A$1,ROW(),30,1000-ROW(),1),OFFSET($A$1,ROW(),20,1000-ROW(),1),ROW(),OFFSET($A$1,ROW(),21,1000-ROW(),1),"Sub"))))</f>
        <v/>
      </c>
      <c r="K73" s="60">
        <f>IF(N($W73)=0,"",IF(AND($S73=MesCiclo,3&gt;SemanaActual),"",MIN(1,SUMIFS(OFFSET($A$1,ROW(),31,1000-ROW(),1),OFFSET($A$1,ROW(),20,1000-ROW(),1),ROW(),OFFSET($A$1,ROW(),21,1000-ROW(),1),"Sub"))))</f>
        <v/>
      </c>
      <c r="L73" s="60">
        <f>IF(N($W73)=0,"",IF(AND($S73=MesCiclo,4&gt;SemanaActual),"",MIN(1,SUMIFS(OFFSET($A$1,ROW(),32,1000-ROW(),1),OFFSET($A$1,ROW(),20,1000-ROW(),1),ROW(),OFFSET($A$1,ROW(),21,1000-ROW(),1),"Sub"))))</f>
        <v/>
      </c>
      <c r="M73" s="61">
        <f>IF(NOT((COUNTA($B73:$D73)+COUNTA($G73:$H73)+COUNTA($Q73))&gt;0),"",IF(AND($D73&lt;&gt;"",$V73="Macro"),IF(N($AM73)&gt;0,N(CHOOSE(MATCH($D73,ListaPuestos,0),INDEX('Cronograma R. Operacional'!$M$5:$M$1000,$AM73),INDEX('Cronograma R. Normativo'!$M$5:$M$1000,$AM73),INDEX('Cronograma R. Financiero'!$M$5:$M$1000,$AM73),INDEX('Cronograma Asistente Técnico'!$M$5:$M$1000,$AM73))),0),IF(ISNUMBER($G73),1,IF(N($W73)&gt;0,MIN(1,SUMIFS($Y$5:$Y$1000,$U$5:$U$1000,ROW(),$V$5:$V$1000,"Sub")),$Y73))))</f>
        <v/>
      </c>
      <c r="N73" s="56">
        <f>IF(OR($M73="",$V73="Sub"),"",IF($M73&gt;=1,"Completado",IF($M73&gt;0,"En curso","Pendiente")))</f>
        <v/>
      </c>
      <c r="O73" s="56">
        <f>IF(NOT((COUNTA($B73:$D73)+COUNTA($G73:$H73)+COUNTA($Q73))&gt;0),"",IF(AND(AND($D73&lt;&gt;"",$V73="Macro"),N($AM73)&gt;0),CHOOSE(MATCH($D73,ListaPuestos,0),INDEX('Cronograma R. Operacional'!$O$5:$O$1000,$AM73),INDEX('Cronograma R. Normativo'!$O$5:$O$1000,$AM73),INDEX('Cronograma R. Financiero'!$O$5:$O$1000,$AM73),INDEX('Cronograma Asistente Técnico'!$O$5:$O$1000,$AM73))&amp;"",IF(ISNUMBER($G73),IF(AND(ISNUMBER($AS73),$G73&gt;$AS73),"Cumplida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f>IF(NOT((COUNTA($B73:$D73)+COUNTA($G73:$H73)+COUNTA($Q73))&gt;0),"",IF($D73="","Propia",IF($V73&lt;&gt;"Macro","Solo se delegan macroactividades",IF(N($AM73)&gt;0,"✔ Recibida por "&amp;$D73,"⚠ "&amp;$D73&amp;" aún no la agrega"))))</f>
        <v/>
      </c>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IF($V73&lt;&gt;"Sub","",N($X73)*IF(AND(ISNUMBER($G73),$G73&lt;=IF($S73=MesCiclo,InicioCiclo,$S73+MOD(2-WEEKDAY($S73),7))+6),1,MIN(1,MAX(0,IF(ISNUMBER(OFFSET($A$1,ROW()-1,8)),OFFSET($A$1,ROW()-1,8),0)))))</f>
        <v/>
      </c>
      <c r="AE73" s="62">
        <f>IF($V73&lt;&gt;"Sub","",N($X73)*IF(AND(ISNUMBER($G73),$G73&lt;=IF($S73=MesCiclo,InicioCiclo,$S73+MOD(2-WEEKDAY($S73),7))+13),1,MIN(1,MAX(0,IF(ISNUMBER(OFFSET($A$1,ROW()-1,9)),OFFSET($A$1,ROW()-1,9),IF(ISNUMBER(OFFSET($A$1,ROW()-1,8)),OFFSET($A$1,ROW()-1,8),0))))))</f>
        <v/>
      </c>
      <c r="AF73" s="62">
        <f>IF($V73&lt;&gt;"Sub","",N($X73)*IF(AND(ISNUMBER($G73),$G73&lt;=IF($S73=MesCiclo,InicioCiclo,$S73+MOD(2-WEEKDAY($S73),7))+20),1,MIN(1,MAX(0,IF(ISNUMBER(OFFSET($A$1,ROW()-1,10)),OFFSET($A$1,ROW()-1,10),IF(ISNUMBER(OFFSET($A$1,ROW()-1,9)),OFFSET($A$1,ROW()-1,9),IF(ISNUMBER(OFFSET($A$1,ROW()-1,8)),OFFSET($A$1,ROW()-1,8),0)))))))</f>
        <v/>
      </c>
      <c r="AG73" s="62">
        <f>IF($V73&lt;&gt;"Sub","",N($X73)*IF(AND(ISNUMBER($G73),$G73&lt;=IF($S73=MesCiclo,InicioCiclo,$S73+MOD(2-WEEKDAY($S73),7))+27),1,MIN(1,MAX(0,IF(ISNUMBER(OFFSET($A$1,ROW()-1,11)),OFFSET($A$1,ROW()-1,11),IF(ISNUMBER(OFFSET($A$1,ROW()-1,10)),OFFSET($A$1,ROW()-1,10),IF(ISNUMBER(OFFSET($A$1,ROW()-1,9)),OFFSET($A$1,ROW()-1,9),IF(ISNUMBER(OFFSET($A$1,ROW()-1,8)),OFFSET($A$1,ROW()-1,8),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f>IF(NOT(AND($D73&lt;&gt;"",$V73="Macro")),"",IFERROR(CHOOSE(MATCH($D73,ListaPuestos,0),MATCH("[Jefatura] "&amp;$C73,'Cronograma R. Operacional'!$C$5:$C$1000,0),MATCH("[Jefatura] "&amp;$C73,'Cronograma R. Normativo'!$C$5:$C$1000,0),MATCH("[Jefatura] "&amp;$C73,'Cronograma R. Financiero'!$C$5:$C$1000,0),MATCH("[Jefatura] "&amp;$C73,'Cronograma Asistente Técnico'!$C$5:$C$1000,0)),0))</f>
        <v/>
      </c>
      <c r="AN73" s="62">
        <f>IF(AND(AND($D73&lt;&gt;"",$V73="Macro"),$S73=MesCiclo),COUNTIFS($D$5:$D73,$D73,$S$5:$S73,MesCiclo,$V$5:$V73,"Macro"),"")</f>
        <v/>
      </c>
      <c r="AO73" s="62">
        <f>IF($AN73="","",$D73&amp;"|"&amp;$AN73)</f>
        <v/>
      </c>
      <c r="AP73" s="62">
        <f>IF(AND($D73&lt;&gt;"",$V73="Macro"),$D73&amp;"|"&amp;$C73,"")</f>
        <v/>
      </c>
      <c r="AQ73" s="62">
        <f>""</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t="n"/>
      <c r="F74" s="59" t="n"/>
      <c r="G74" s="59" t="n"/>
      <c r="H74" s="60" t="n"/>
      <c r="I74" s="60">
        <f>IF(N($W74)=0,"",IF(AND($S74=MesCiclo,1&gt;SemanaActual),"",MIN(1,SUMIFS(OFFSET($A$1,ROW(),29,1000-ROW(),1),OFFSET($A$1,ROW(),20,1000-ROW(),1),ROW(),OFFSET($A$1,ROW(),21,1000-ROW(),1),"Sub"))))</f>
        <v/>
      </c>
      <c r="J74" s="60">
        <f>IF(N($W74)=0,"",IF(AND($S74=MesCiclo,2&gt;SemanaActual),"",MIN(1,SUMIFS(OFFSET($A$1,ROW(),30,1000-ROW(),1),OFFSET($A$1,ROW(),20,1000-ROW(),1),ROW(),OFFSET($A$1,ROW(),21,1000-ROW(),1),"Sub"))))</f>
        <v/>
      </c>
      <c r="K74" s="60">
        <f>IF(N($W74)=0,"",IF(AND($S74=MesCiclo,3&gt;SemanaActual),"",MIN(1,SUMIFS(OFFSET($A$1,ROW(),31,1000-ROW(),1),OFFSET($A$1,ROW(),20,1000-ROW(),1),ROW(),OFFSET($A$1,ROW(),21,1000-ROW(),1),"Sub"))))</f>
        <v/>
      </c>
      <c r="L74" s="60">
        <f>IF(N($W74)=0,"",IF(AND($S74=MesCiclo,4&gt;SemanaActual),"",MIN(1,SUMIFS(OFFSET($A$1,ROW(),32,1000-ROW(),1),OFFSET($A$1,ROW(),20,1000-ROW(),1),ROW(),OFFSET($A$1,ROW(),21,1000-ROW(),1),"Sub"))))</f>
        <v/>
      </c>
      <c r="M74" s="61">
        <f>IF(NOT((COUNTA($B74:$D74)+COUNTA($G74:$H74)+COUNTA($Q74))&gt;0),"",IF(AND($D74&lt;&gt;"",$V74="Macro"),IF(N($AM74)&gt;0,N(CHOOSE(MATCH($D74,ListaPuestos,0),INDEX('Cronograma R. Operacional'!$M$5:$M$1000,$AM74),INDEX('Cronograma R. Normativo'!$M$5:$M$1000,$AM74),INDEX('Cronograma R. Financiero'!$M$5:$M$1000,$AM74),INDEX('Cronograma Asistente Técnico'!$M$5:$M$1000,$AM74))),0),IF(ISNUMBER($G74),1,IF(N($W74)&gt;0,MIN(1,SUMIFS($Y$5:$Y$1000,$U$5:$U$1000,ROW(),$V$5:$V$1000,"Sub")),$Y74))))</f>
        <v/>
      </c>
      <c r="N74" s="56">
        <f>IF(OR($M74="",$V74="Sub"),"",IF($M74&gt;=1,"Completado",IF($M74&gt;0,"En curso","Pendiente")))</f>
        <v/>
      </c>
      <c r="O74" s="56">
        <f>IF(NOT((COUNTA($B74:$D74)+COUNTA($G74:$H74)+COUNTA($Q74))&gt;0),"",IF(AND(AND($D74&lt;&gt;"",$V74="Macro"),N($AM74)&gt;0),CHOOSE(MATCH($D74,ListaPuestos,0),INDEX('Cronograma R. Operacional'!$O$5:$O$1000,$AM74),INDEX('Cronograma R. Normativo'!$O$5:$O$1000,$AM74),INDEX('Cronograma R. Financiero'!$O$5:$O$1000,$AM74),INDEX('Cronograma Asistente Técnico'!$O$5:$O$1000,$AM74))&amp;"",IF(ISNUMBER($G74),IF(AND(ISNUMBER($AS74),$G74&gt;$AS74),"Cumplida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f>IF(NOT((COUNTA($B74:$D74)+COUNTA($G74:$H74)+COUNTA($Q74))&gt;0),"",IF($D74="","Propia",IF($V74&lt;&gt;"Macro","Solo se delegan macroactividades",IF(N($AM74)&gt;0,"✔ Recibida por "&amp;$D74,"⚠ "&amp;$D74&amp;" aún no la agrega"))))</f>
        <v/>
      </c>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IF($V74&lt;&gt;"Sub","",N($X74)*IF(AND(ISNUMBER($G74),$G74&lt;=IF($S74=MesCiclo,InicioCiclo,$S74+MOD(2-WEEKDAY($S74),7))+6),1,MIN(1,MAX(0,IF(ISNUMBER(OFFSET($A$1,ROW()-1,8)),OFFSET($A$1,ROW()-1,8),0)))))</f>
        <v/>
      </c>
      <c r="AE74" s="62">
        <f>IF($V74&lt;&gt;"Sub","",N($X74)*IF(AND(ISNUMBER($G74),$G74&lt;=IF($S74=MesCiclo,InicioCiclo,$S74+MOD(2-WEEKDAY($S74),7))+13),1,MIN(1,MAX(0,IF(ISNUMBER(OFFSET($A$1,ROW()-1,9)),OFFSET($A$1,ROW()-1,9),IF(ISNUMBER(OFFSET($A$1,ROW()-1,8)),OFFSET($A$1,ROW()-1,8),0))))))</f>
        <v/>
      </c>
      <c r="AF74" s="62">
        <f>IF($V74&lt;&gt;"Sub","",N($X74)*IF(AND(ISNUMBER($G74),$G74&lt;=IF($S74=MesCiclo,InicioCiclo,$S74+MOD(2-WEEKDAY($S74),7))+20),1,MIN(1,MAX(0,IF(ISNUMBER(OFFSET($A$1,ROW()-1,10)),OFFSET($A$1,ROW()-1,10),IF(ISNUMBER(OFFSET($A$1,ROW()-1,9)),OFFSET($A$1,ROW()-1,9),IF(ISNUMBER(OFFSET($A$1,ROW()-1,8)),OFFSET($A$1,ROW()-1,8),0)))))))</f>
        <v/>
      </c>
      <c r="AG74" s="62">
        <f>IF($V74&lt;&gt;"Sub","",N($X74)*IF(AND(ISNUMBER($G74),$G74&lt;=IF($S74=MesCiclo,InicioCiclo,$S74+MOD(2-WEEKDAY($S74),7))+27),1,MIN(1,MAX(0,IF(ISNUMBER(OFFSET($A$1,ROW()-1,11)),OFFSET($A$1,ROW()-1,11),IF(ISNUMBER(OFFSET($A$1,ROW()-1,10)),OFFSET($A$1,ROW()-1,10),IF(ISNUMBER(OFFSET($A$1,ROW()-1,9)),OFFSET($A$1,ROW()-1,9),IF(ISNUMBER(OFFSET($A$1,ROW()-1,8)),OFFSET($A$1,ROW()-1,8),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f>IF(NOT(AND($D74&lt;&gt;"",$V74="Macro")),"",IFERROR(CHOOSE(MATCH($D74,ListaPuestos,0),MATCH("[Jefatura] "&amp;$C74,'Cronograma R. Operacional'!$C$5:$C$1000,0),MATCH("[Jefatura] "&amp;$C74,'Cronograma R. Normativo'!$C$5:$C$1000,0),MATCH("[Jefatura] "&amp;$C74,'Cronograma R. Financiero'!$C$5:$C$1000,0),MATCH("[Jefatura] "&amp;$C74,'Cronograma Asistente Técnico'!$C$5:$C$1000,0)),0))</f>
        <v/>
      </c>
      <c r="AN74" s="62">
        <f>IF(AND(AND($D74&lt;&gt;"",$V74="Macro"),$S74=MesCiclo),COUNTIFS($D$5:$D74,$D74,$S$5:$S74,MesCiclo,$V$5:$V74,"Macro"),"")</f>
        <v/>
      </c>
      <c r="AO74" s="62">
        <f>IF($AN74="","",$D74&amp;"|"&amp;$AN74)</f>
        <v/>
      </c>
      <c r="AP74" s="62">
        <f>IF(AND($D74&lt;&gt;"",$V74="Macro"),$D74&amp;"|"&amp;$C74,"")</f>
        <v/>
      </c>
      <c r="AQ74" s="62">
        <f>""</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t="n"/>
      <c r="F75" s="59" t="n"/>
      <c r="G75" s="59" t="n"/>
      <c r="H75" s="60" t="n"/>
      <c r="I75" s="60">
        <f>IF(N($W75)=0,"",IF(AND($S75=MesCiclo,1&gt;SemanaActual),"",MIN(1,SUMIFS(OFFSET($A$1,ROW(),29,1000-ROW(),1),OFFSET($A$1,ROW(),20,1000-ROW(),1),ROW(),OFFSET($A$1,ROW(),21,1000-ROW(),1),"Sub"))))</f>
        <v/>
      </c>
      <c r="J75" s="60">
        <f>IF(N($W75)=0,"",IF(AND($S75=MesCiclo,2&gt;SemanaActual),"",MIN(1,SUMIFS(OFFSET($A$1,ROW(),30,1000-ROW(),1),OFFSET($A$1,ROW(),20,1000-ROW(),1),ROW(),OFFSET($A$1,ROW(),21,1000-ROW(),1),"Sub"))))</f>
        <v/>
      </c>
      <c r="K75" s="60">
        <f>IF(N($W75)=0,"",IF(AND($S75=MesCiclo,3&gt;SemanaActual),"",MIN(1,SUMIFS(OFFSET($A$1,ROW(),31,1000-ROW(),1),OFFSET($A$1,ROW(),20,1000-ROW(),1),ROW(),OFFSET($A$1,ROW(),21,1000-ROW(),1),"Sub"))))</f>
        <v/>
      </c>
      <c r="L75" s="60">
        <f>IF(N($W75)=0,"",IF(AND($S75=MesCiclo,4&gt;SemanaActual),"",MIN(1,SUMIFS(OFFSET($A$1,ROW(),32,1000-ROW(),1),OFFSET($A$1,ROW(),20,1000-ROW(),1),ROW(),OFFSET($A$1,ROW(),21,1000-ROW(),1),"Sub"))))</f>
        <v/>
      </c>
      <c r="M75" s="61">
        <f>IF(NOT((COUNTA($B75:$D75)+COUNTA($G75:$H75)+COUNTA($Q75))&gt;0),"",IF(AND($D75&lt;&gt;"",$V75="Macro"),IF(N($AM75)&gt;0,N(CHOOSE(MATCH($D75,ListaPuestos,0),INDEX('Cronograma R. Operacional'!$M$5:$M$1000,$AM75),INDEX('Cronograma R. Normativo'!$M$5:$M$1000,$AM75),INDEX('Cronograma R. Financiero'!$M$5:$M$1000,$AM75),INDEX('Cronograma Asistente Técnico'!$M$5:$M$1000,$AM75))),0),IF(ISNUMBER($G75),1,IF(N($W75)&gt;0,MIN(1,SUMIFS($Y$5:$Y$1000,$U$5:$U$1000,ROW(),$V$5:$V$1000,"Sub")),$Y75))))</f>
        <v/>
      </c>
      <c r="N75" s="56">
        <f>IF(OR($M75="",$V75="Sub"),"",IF($M75&gt;=1,"Completado",IF($M75&gt;0,"En curso","Pendiente")))</f>
        <v/>
      </c>
      <c r="O75" s="56">
        <f>IF(NOT((COUNTA($B75:$D75)+COUNTA($G75:$H75)+COUNTA($Q75))&gt;0),"",IF(AND(AND($D75&lt;&gt;"",$V75="Macro"),N($AM75)&gt;0),CHOOSE(MATCH($D75,ListaPuestos,0),INDEX('Cronograma R. Operacional'!$O$5:$O$1000,$AM75),INDEX('Cronograma R. Normativo'!$O$5:$O$1000,$AM75),INDEX('Cronograma R. Financiero'!$O$5:$O$1000,$AM75),INDEX('Cronograma Asistente Técnico'!$O$5:$O$1000,$AM75))&amp;"",IF(ISNUMBER($G75),IF(AND(ISNUMBER($AS75),$G75&gt;$AS75),"Cumplida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f>IF(NOT((COUNTA($B75:$D75)+COUNTA($G75:$H75)+COUNTA($Q75))&gt;0),"",IF($D75="","Propia",IF($V75&lt;&gt;"Macro","Solo se delegan macroactividades",IF(N($AM75)&gt;0,"✔ Recibida por "&amp;$D75,"⚠ "&amp;$D75&amp;" aún no la agrega"))))</f>
        <v/>
      </c>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IF($V75&lt;&gt;"Sub","",N($X75)*IF(AND(ISNUMBER($G75),$G75&lt;=IF($S75=MesCiclo,InicioCiclo,$S75+MOD(2-WEEKDAY($S75),7))+6),1,MIN(1,MAX(0,IF(ISNUMBER(OFFSET($A$1,ROW()-1,8)),OFFSET($A$1,ROW()-1,8),0)))))</f>
        <v/>
      </c>
      <c r="AE75" s="62">
        <f>IF($V75&lt;&gt;"Sub","",N($X75)*IF(AND(ISNUMBER($G75),$G75&lt;=IF($S75=MesCiclo,InicioCiclo,$S75+MOD(2-WEEKDAY($S75),7))+13),1,MIN(1,MAX(0,IF(ISNUMBER(OFFSET($A$1,ROW()-1,9)),OFFSET($A$1,ROW()-1,9),IF(ISNUMBER(OFFSET($A$1,ROW()-1,8)),OFFSET($A$1,ROW()-1,8),0))))))</f>
        <v/>
      </c>
      <c r="AF75" s="62">
        <f>IF($V75&lt;&gt;"Sub","",N($X75)*IF(AND(ISNUMBER($G75),$G75&lt;=IF($S75=MesCiclo,InicioCiclo,$S75+MOD(2-WEEKDAY($S75),7))+20),1,MIN(1,MAX(0,IF(ISNUMBER(OFFSET($A$1,ROW()-1,10)),OFFSET($A$1,ROW()-1,10),IF(ISNUMBER(OFFSET($A$1,ROW()-1,9)),OFFSET($A$1,ROW()-1,9),IF(ISNUMBER(OFFSET($A$1,ROW()-1,8)),OFFSET($A$1,ROW()-1,8),0)))))))</f>
        <v/>
      </c>
      <c r="AG75" s="62">
        <f>IF($V75&lt;&gt;"Sub","",N($X75)*IF(AND(ISNUMBER($G75),$G75&lt;=IF($S75=MesCiclo,InicioCiclo,$S75+MOD(2-WEEKDAY($S75),7))+27),1,MIN(1,MAX(0,IF(ISNUMBER(OFFSET($A$1,ROW()-1,11)),OFFSET($A$1,ROW()-1,11),IF(ISNUMBER(OFFSET($A$1,ROW()-1,10)),OFFSET($A$1,ROW()-1,10),IF(ISNUMBER(OFFSET($A$1,ROW()-1,9)),OFFSET($A$1,ROW()-1,9),IF(ISNUMBER(OFFSET($A$1,ROW()-1,8)),OFFSET($A$1,ROW()-1,8),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f>IF(NOT(AND($D75&lt;&gt;"",$V75="Macro")),"",IFERROR(CHOOSE(MATCH($D75,ListaPuestos,0),MATCH("[Jefatura] "&amp;$C75,'Cronograma R. Operacional'!$C$5:$C$1000,0),MATCH("[Jefatura] "&amp;$C75,'Cronograma R. Normativo'!$C$5:$C$1000,0),MATCH("[Jefatura] "&amp;$C75,'Cronograma R. Financiero'!$C$5:$C$1000,0),MATCH("[Jefatura] "&amp;$C75,'Cronograma Asistente Técnico'!$C$5:$C$1000,0)),0))</f>
        <v/>
      </c>
      <c r="AN75" s="62">
        <f>IF(AND(AND($D75&lt;&gt;"",$V75="Macro"),$S75=MesCiclo),COUNTIFS($D$5:$D75,$D75,$S$5:$S75,MesCiclo,$V$5:$V75,"Macro"),"")</f>
        <v/>
      </c>
      <c r="AO75" s="62">
        <f>IF($AN75="","",$D75&amp;"|"&amp;$AN75)</f>
        <v/>
      </c>
      <c r="AP75" s="62">
        <f>IF(AND($D75&lt;&gt;"",$V75="Macro"),$D75&amp;"|"&amp;$C75,"")</f>
        <v/>
      </c>
      <c r="AQ75" s="62">
        <f>""</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t="n"/>
      <c r="F76" s="59" t="n"/>
      <c r="G76" s="59" t="n"/>
      <c r="H76" s="60" t="n"/>
      <c r="I76" s="60">
        <f>IF(N($W76)=0,"",IF(AND($S76=MesCiclo,1&gt;SemanaActual),"",MIN(1,SUMIFS(OFFSET($A$1,ROW(),29,1000-ROW(),1),OFFSET($A$1,ROW(),20,1000-ROW(),1),ROW(),OFFSET($A$1,ROW(),21,1000-ROW(),1),"Sub"))))</f>
        <v/>
      </c>
      <c r="J76" s="60">
        <f>IF(N($W76)=0,"",IF(AND($S76=MesCiclo,2&gt;SemanaActual),"",MIN(1,SUMIFS(OFFSET($A$1,ROW(),30,1000-ROW(),1),OFFSET($A$1,ROW(),20,1000-ROW(),1),ROW(),OFFSET($A$1,ROW(),21,1000-ROW(),1),"Sub"))))</f>
        <v/>
      </c>
      <c r="K76" s="60">
        <f>IF(N($W76)=0,"",IF(AND($S76=MesCiclo,3&gt;SemanaActual),"",MIN(1,SUMIFS(OFFSET($A$1,ROW(),31,1000-ROW(),1),OFFSET($A$1,ROW(),20,1000-ROW(),1),ROW(),OFFSET($A$1,ROW(),21,1000-ROW(),1),"Sub"))))</f>
        <v/>
      </c>
      <c r="L76" s="60">
        <f>IF(N($W76)=0,"",IF(AND($S76=MesCiclo,4&gt;SemanaActual),"",MIN(1,SUMIFS(OFFSET($A$1,ROW(),32,1000-ROW(),1),OFFSET($A$1,ROW(),20,1000-ROW(),1),ROW(),OFFSET($A$1,ROW(),21,1000-ROW(),1),"Sub"))))</f>
        <v/>
      </c>
      <c r="M76" s="61">
        <f>IF(NOT((COUNTA($B76:$D76)+COUNTA($G76:$H76)+COUNTA($Q76))&gt;0),"",IF(AND($D76&lt;&gt;"",$V76="Macro"),IF(N($AM76)&gt;0,N(CHOOSE(MATCH($D76,ListaPuestos,0),INDEX('Cronograma R. Operacional'!$M$5:$M$1000,$AM76),INDEX('Cronograma R. Normativo'!$M$5:$M$1000,$AM76),INDEX('Cronograma R. Financiero'!$M$5:$M$1000,$AM76),INDEX('Cronograma Asistente Técnico'!$M$5:$M$1000,$AM76))),0),IF(ISNUMBER($G76),1,IF(N($W76)&gt;0,MIN(1,SUMIFS($Y$5:$Y$1000,$U$5:$U$1000,ROW(),$V$5:$V$1000,"Sub")),$Y76))))</f>
        <v/>
      </c>
      <c r="N76" s="56">
        <f>IF(OR($M76="",$V76="Sub"),"",IF($M76&gt;=1,"Completado",IF($M76&gt;0,"En curso","Pendiente")))</f>
        <v/>
      </c>
      <c r="O76" s="56">
        <f>IF(NOT((COUNTA($B76:$D76)+COUNTA($G76:$H76)+COUNTA($Q76))&gt;0),"",IF(AND(AND($D76&lt;&gt;"",$V76="Macro"),N($AM76)&gt;0),CHOOSE(MATCH($D76,ListaPuestos,0),INDEX('Cronograma R. Operacional'!$O$5:$O$1000,$AM76),INDEX('Cronograma R. Normativo'!$O$5:$O$1000,$AM76),INDEX('Cronograma R. Financiero'!$O$5:$O$1000,$AM76),INDEX('Cronograma Asistente Técnico'!$O$5:$O$1000,$AM76))&amp;"",IF(ISNUMBER($G76),IF(AND(ISNUMBER($AS76),$G76&gt;$AS76),"Cumplida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f>IF(NOT((COUNTA($B76:$D76)+COUNTA($G76:$H76)+COUNTA($Q76))&gt;0),"",IF($D76="","Propia",IF($V76&lt;&gt;"Macro","Solo se delegan macroactividades",IF(N($AM76)&gt;0,"✔ Recibida por "&amp;$D76,"⚠ "&amp;$D76&amp;" aún no la agrega"))))</f>
        <v/>
      </c>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IF($V76&lt;&gt;"Sub","",N($X76)*IF(AND(ISNUMBER($G76),$G76&lt;=IF($S76=MesCiclo,InicioCiclo,$S76+MOD(2-WEEKDAY($S76),7))+6),1,MIN(1,MAX(0,IF(ISNUMBER(OFFSET($A$1,ROW()-1,8)),OFFSET($A$1,ROW()-1,8),0)))))</f>
        <v/>
      </c>
      <c r="AE76" s="62">
        <f>IF($V76&lt;&gt;"Sub","",N($X76)*IF(AND(ISNUMBER($G76),$G76&lt;=IF($S76=MesCiclo,InicioCiclo,$S76+MOD(2-WEEKDAY($S76),7))+13),1,MIN(1,MAX(0,IF(ISNUMBER(OFFSET($A$1,ROW()-1,9)),OFFSET($A$1,ROW()-1,9),IF(ISNUMBER(OFFSET($A$1,ROW()-1,8)),OFFSET($A$1,ROW()-1,8),0))))))</f>
        <v/>
      </c>
      <c r="AF76" s="62">
        <f>IF($V76&lt;&gt;"Sub","",N($X76)*IF(AND(ISNUMBER($G76),$G76&lt;=IF($S76=MesCiclo,InicioCiclo,$S76+MOD(2-WEEKDAY($S76),7))+20),1,MIN(1,MAX(0,IF(ISNUMBER(OFFSET($A$1,ROW()-1,10)),OFFSET($A$1,ROW()-1,10),IF(ISNUMBER(OFFSET($A$1,ROW()-1,9)),OFFSET($A$1,ROW()-1,9),IF(ISNUMBER(OFFSET($A$1,ROW()-1,8)),OFFSET($A$1,ROW()-1,8),0)))))))</f>
        <v/>
      </c>
      <c r="AG76" s="62">
        <f>IF($V76&lt;&gt;"Sub","",N($X76)*IF(AND(ISNUMBER($G76),$G76&lt;=IF($S76=MesCiclo,InicioCiclo,$S76+MOD(2-WEEKDAY($S76),7))+27),1,MIN(1,MAX(0,IF(ISNUMBER(OFFSET($A$1,ROW()-1,11)),OFFSET($A$1,ROW()-1,11),IF(ISNUMBER(OFFSET($A$1,ROW()-1,10)),OFFSET($A$1,ROW()-1,10),IF(ISNUMBER(OFFSET($A$1,ROW()-1,9)),OFFSET($A$1,ROW()-1,9),IF(ISNUMBER(OFFSET($A$1,ROW()-1,8)),OFFSET($A$1,ROW()-1,8),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f>IF(NOT(AND($D76&lt;&gt;"",$V76="Macro")),"",IFERROR(CHOOSE(MATCH($D76,ListaPuestos,0),MATCH("[Jefatura] "&amp;$C76,'Cronograma R. Operacional'!$C$5:$C$1000,0),MATCH("[Jefatura] "&amp;$C76,'Cronograma R. Normativo'!$C$5:$C$1000,0),MATCH("[Jefatura] "&amp;$C76,'Cronograma R. Financiero'!$C$5:$C$1000,0),MATCH("[Jefatura] "&amp;$C76,'Cronograma Asistente Técnico'!$C$5:$C$1000,0)),0))</f>
        <v/>
      </c>
      <c r="AN76" s="62">
        <f>IF(AND(AND($D76&lt;&gt;"",$V76="Macro"),$S76=MesCiclo),COUNTIFS($D$5:$D76,$D76,$S$5:$S76,MesCiclo,$V$5:$V76,"Macro"),"")</f>
        <v/>
      </c>
      <c r="AO76" s="62">
        <f>IF($AN76="","",$D76&amp;"|"&amp;$AN76)</f>
        <v/>
      </c>
      <c r="AP76" s="62">
        <f>IF(AND($D76&lt;&gt;"",$V76="Macro"),$D76&amp;"|"&amp;$C76,"")</f>
        <v/>
      </c>
      <c r="AQ76" s="62">
        <f>""</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t="n"/>
      <c r="F77" s="59" t="n"/>
      <c r="G77" s="59" t="n"/>
      <c r="H77" s="60" t="n"/>
      <c r="I77" s="60">
        <f>IF(N($W77)=0,"",IF(AND($S77=MesCiclo,1&gt;SemanaActual),"",MIN(1,SUMIFS(OFFSET($A$1,ROW(),29,1000-ROW(),1),OFFSET($A$1,ROW(),20,1000-ROW(),1),ROW(),OFFSET($A$1,ROW(),21,1000-ROW(),1),"Sub"))))</f>
        <v/>
      </c>
      <c r="J77" s="60">
        <f>IF(N($W77)=0,"",IF(AND($S77=MesCiclo,2&gt;SemanaActual),"",MIN(1,SUMIFS(OFFSET($A$1,ROW(),30,1000-ROW(),1),OFFSET($A$1,ROW(),20,1000-ROW(),1),ROW(),OFFSET($A$1,ROW(),21,1000-ROW(),1),"Sub"))))</f>
        <v/>
      </c>
      <c r="K77" s="60">
        <f>IF(N($W77)=0,"",IF(AND($S77=MesCiclo,3&gt;SemanaActual),"",MIN(1,SUMIFS(OFFSET($A$1,ROW(),31,1000-ROW(),1),OFFSET($A$1,ROW(),20,1000-ROW(),1),ROW(),OFFSET($A$1,ROW(),21,1000-ROW(),1),"Sub"))))</f>
        <v/>
      </c>
      <c r="L77" s="60">
        <f>IF(N($W77)=0,"",IF(AND($S77=MesCiclo,4&gt;SemanaActual),"",MIN(1,SUMIFS(OFFSET($A$1,ROW(),32,1000-ROW(),1),OFFSET($A$1,ROW(),20,1000-ROW(),1),ROW(),OFFSET($A$1,ROW(),21,1000-ROW(),1),"Sub"))))</f>
        <v/>
      </c>
      <c r="M77" s="61">
        <f>IF(NOT((COUNTA($B77:$D77)+COUNTA($G77:$H77)+COUNTA($Q77))&gt;0),"",IF(AND($D77&lt;&gt;"",$V77="Macro"),IF(N($AM77)&gt;0,N(CHOOSE(MATCH($D77,ListaPuestos,0),INDEX('Cronograma R. Operacional'!$M$5:$M$1000,$AM77),INDEX('Cronograma R. Normativo'!$M$5:$M$1000,$AM77),INDEX('Cronograma R. Financiero'!$M$5:$M$1000,$AM77),INDEX('Cronograma Asistente Técnico'!$M$5:$M$1000,$AM77))),0),IF(ISNUMBER($G77),1,IF(N($W77)&gt;0,MIN(1,SUMIFS($Y$5:$Y$1000,$U$5:$U$1000,ROW(),$V$5:$V$1000,"Sub")),$Y77))))</f>
        <v/>
      </c>
      <c r="N77" s="56">
        <f>IF(OR($M77="",$V77="Sub"),"",IF($M77&gt;=1,"Completado",IF($M77&gt;0,"En curso","Pendiente")))</f>
        <v/>
      </c>
      <c r="O77" s="56">
        <f>IF(NOT((COUNTA($B77:$D77)+COUNTA($G77:$H77)+COUNTA($Q77))&gt;0),"",IF(AND(AND($D77&lt;&gt;"",$V77="Macro"),N($AM77)&gt;0),CHOOSE(MATCH($D77,ListaPuestos,0),INDEX('Cronograma R. Operacional'!$O$5:$O$1000,$AM77),INDEX('Cronograma R. Normativo'!$O$5:$O$1000,$AM77),INDEX('Cronograma R. Financiero'!$O$5:$O$1000,$AM77),INDEX('Cronograma Asistente Técnico'!$O$5:$O$1000,$AM77))&amp;"",IF(ISNUMBER($G77),IF(AND(ISNUMBER($AS77),$G77&gt;$AS77),"Cumplida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f>IF(NOT((COUNTA($B77:$D77)+COUNTA($G77:$H77)+COUNTA($Q77))&gt;0),"",IF($D77="","Propia",IF($V77&lt;&gt;"Macro","Solo se delegan macroactividades",IF(N($AM77)&gt;0,"✔ Recibida por "&amp;$D77,"⚠ "&amp;$D77&amp;" aún no la agrega"))))</f>
        <v/>
      </c>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IF($V77&lt;&gt;"Sub","",N($X77)*IF(AND(ISNUMBER($G77),$G77&lt;=IF($S77=MesCiclo,InicioCiclo,$S77+MOD(2-WEEKDAY($S77),7))+6),1,MIN(1,MAX(0,IF(ISNUMBER(OFFSET($A$1,ROW()-1,8)),OFFSET($A$1,ROW()-1,8),0)))))</f>
        <v/>
      </c>
      <c r="AE77" s="62">
        <f>IF($V77&lt;&gt;"Sub","",N($X77)*IF(AND(ISNUMBER($G77),$G77&lt;=IF($S77=MesCiclo,InicioCiclo,$S77+MOD(2-WEEKDAY($S77),7))+13),1,MIN(1,MAX(0,IF(ISNUMBER(OFFSET($A$1,ROW()-1,9)),OFFSET($A$1,ROW()-1,9),IF(ISNUMBER(OFFSET($A$1,ROW()-1,8)),OFFSET($A$1,ROW()-1,8),0))))))</f>
        <v/>
      </c>
      <c r="AF77" s="62">
        <f>IF($V77&lt;&gt;"Sub","",N($X77)*IF(AND(ISNUMBER($G77),$G77&lt;=IF($S77=MesCiclo,InicioCiclo,$S77+MOD(2-WEEKDAY($S77),7))+20),1,MIN(1,MAX(0,IF(ISNUMBER(OFFSET($A$1,ROW()-1,10)),OFFSET($A$1,ROW()-1,10),IF(ISNUMBER(OFFSET($A$1,ROW()-1,9)),OFFSET($A$1,ROW()-1,9),IF(ISNUMBER(OFFSET($A$1,ROW()-1,8)),OFFSET($A$1,ROW()-1,8),0)))))))</f>
        <v/>
      </c>
      <c r="AG77" s="62">
        <f>IF($V77&lt;&gt;"Sub","",N($X77)*IF(AND(ISNUMBER($G77),$G77&lt;=IF($S77=MesCiclo,InicioCiclo,$S77+MOD(2-WEEKDAY($S77),7))+27),1,MIN(1,MAX(0,IF(ISNUMBER(OFFSET($A$1,ROW()-1,11)),OFFSET($A$1,ROW()-1,11),IF(ISNUMBER(OFFSET($A$1,ROW()-1,10)),OFFSET($A$1,ROW()-1,10),IF(ISNUMBER(OFFSET($A$1,ROW()-1,9)),OFFSET($A$1,ROW()-1,9),IF(ISNUMBER(OFFSET($A$1,ROW()-1,8)),OFFSET($A$1,ROW()-1,8),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f>IF(NOT(AND($D77&lt;&gt;"",$V77="Macro")),"",IFERROR(CHOOSE(MATCH($D77,ListaPuestos,0),MATCH("[Jefatura] "&amp;$C77,'Cronograma R. Operacional'!$C$5:$C$1000,0),MATCH("[Jefatura] "&amp;$C77,'Cronograma R. Normativo'!$C$5:$C$1000,0),MATCH("[Jefatura] "&amp;$C77,'Cronograma R. Financiero'!$C$5:$C$1000,0),MATCH("[Jefatura] "&amp;$C77,'Cronograma Asistente Técnico'!$C$5:$C$1000,0)),0))</f>
        <v/>
      </c>
      <c r="AN77" s="62">
        <f>IF(AND(AND($D77&lt;&gt;"",$V77="Macro"),$S77=MesCiclo),COUNTIFS($D$5:$D77,$D77,$S$5:$S77,MesCiclo,$V$5:$V77,"Macro"),"")</f>
        <v/>
      </c>
      <c r="AO77" s="62">
        <f>IF($AN77="","",$D77&amp;"|"&amp;$AN77)</f>
        <v/>
      </c>
      <c r="AP77" s="62">
        <f>IF(AND($D77&lt;&gt;"",$V77="Macro"),$D77&amp;"|"&amp;$C77,"")</f>
        <v/>
      </c>
      <c r="AQ77" s="62">
        <f>""</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t="n"/>
      <c r="F78" s="59" t="n"/>
      <c r="G78" s="59" t="n"/>
      <c r="H78" s="60" t="n"/>
      <c r="I78" s="60">
        <f>IF(N($W78)=0,"",IF(AND($S78=MesCiclo,1&gt;SemanaActual),"",MIN(1,SUMIFS(OFFSET($A$1,ROW(),29,1000-ROW(),1),OFFSET($A$1,ROW(),20,1000-ROW(),1),ROW(),OFFSET($A$1,ROW(),21,1000-ROW(),1),"Sub"))))</f>
        <v/>
      </c>
      <c r="J78" s="60">
        <f>IF(N($W78)=0,"",IF(AND($S78=MesCiclo,2&gt;SemanaActual),"",MIN(1,SUMIFS(OFFSET($A$1,ROW(),30,1000-ROW(),1),OFFSET($A$1,ROW(),20,1000-ROW(),1),ROW(),OFFSET($A$1,ROW(),21,1000-ROW(),1),"Sub"))))</f>
        <v/>
      </c>
      <c r="K78" s="60">
        <f>IF(N($W78)=0,"",IF(AND($S78=MesCiclo,3&gt;SemanaActual),"",MIN(1,SUMIFS(OFFSET($A$1,ROW(),31,1000-ROW(),1),OFFSET($A$1,ROW(),20,1000-ROW(),1),ROW(),OFFSET($A$1,ROW(),21,1000-ROW(),1),"Sub"))))</f>
        <v/>
      </c>
      <c r="L78" s="60">
        <f>IF(N($W78)=0,"",IF(AND($S78=MesCiclo,4&gt;SemanaActual),"",MIN(1,SUMIFS(OFFSET($A$1,ROW(),32,1000-ROW(),1),OFFSET($A$1,ROW(),20,1000-ROW(),1),ROW(),OFFSET($A$1,ROW(),21,1000-ROW(),1),"Sub"))))</f>
        <v/>
      </c>
      <c r="M78" s="61">
        <f>IF(NOT((COUNTA($B78:$D78)+COUNTA($G78:$H78)+COUNTA($Q78))&gt;0),"",IF(AND($D78&lt;&gt;"",$V78="Macro"),IF(N($AM78)&gt;0,N(CHOOSE(MATCH($D78,ListaPuestos,0),INDEX('Cronograma R. Operacional'!$M$5:$M$1000,$AM78),INDEX('Cronograma R. Normativo'!$M$5:$M$1000,$AM78),INDEX('Cronograma R. Financiero'!$M$5:$M$1000,$AM78),INDEX('Cronograma Asistente Técnico'!$M$5:$M$1000,$AM78))),0),IF(ISNUMBER($G78),1,IF(N($W78)&gt;0,MIN(1,SUMIFS($Y$5:$Y$1000,$U$5:$U$1000,ROW(),$V$5:$V$1000,"Sub")),$Y78))))</f>
        <v/>
      </c>
      <c r="N78" s="56">
        <f>IF(OR($M78="",$V78="Sub"),"",IF($M78&gt;=1,"Completado",IF($M78&gt;0,"En curso","Pendiente")))</f>
        <v/>
      </c>
      <c r="O78" s="56">
        <f>IF(NOT((COUNTA($B78:$D78)+COUNTA($G78:$H78)+COUNTA($Q78))&gt;0),"",IF(AND(AND($D78&lt;&gt;"",$V78="Macro"),N($AM78)&gt;0),CHOOSE(MATCH($D78,ListaPuestos,0),INDEX('Cronograma R. Operacional'!$O$5:$O$1000,$AM78),INDEX('Cronograma R. Normativo'!$O$5:$O$1000,$AM78),INDEX('Cronograma R. Financiero'!$O$5:$O$1000,$AM78),INDEX('Cronograma Asistente Técnico'!$O$5:$O$1000,$AM78))&amp;"",IF(ISNUMBER($G78),IF(AND(ISNUMBER($AS78),$G78&gt;$AS78),"Cumplida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f>IF(NOT((COUNTA($B78:$D78)+COUNTA($G78:$H78)+COUNTA($Q78))&gt;0),"",IF($D78="","Propia",IF($V78&lt;&gt;"Macro","Solo se delegan macroactividades",IF(N($AM78)&gt;0,"✔ Recibida por "&amp;$D78,"⚠ "&amp;$D78&amp;" aún no la agrega"))))</f>
        <v/>
      </c>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IF($V78&lt;&gt;"Sub","",N($X78)*IF(AND(ISNUMBER($G78),$G78&lt;=IF($S78=MesCiclo,InicioCiclo,$S78+MOD(2-WEEKDAY($S78),7))+6),1,MIN(1,MAX(0,IF(ISNUMBER(OFFSET($A$1,ROW()-1,8)),OFFSET($A$1,ROW()-1,8),0)))))</f>
        <v/>
      </c>
      <c r="AE78" s="62">
        <f>IF($V78&lt;&gt;"Sub","",N($X78)*IF(AND(ISNUMBER($G78),$G78&lt;=IF($S78=MesCiclo,InicioCiclo,$S78+MOD(2-WEEKDAY($S78),7))+13),1,MIN(1,MAX(0,IF(ISNUMBER(OFFSET($A$1,ROW()-1,9)),OFFSET($A$1,ROW()-1,9),IF(ISNUMBER(OFFSET($A$1,ROW()-1,8)),OFFSET($A$1,ROW()-1,8),0))))))</f>
        <v/>
      </c>
      <c r="AF78" s="62">
        <f>IF($V78&lt;&gt;"Sub","",N($X78)*IF(AND(ISNUMBER($G78),$G78&lt;=IF($S78=MesCiclo,InicioCiclo,$S78+MOD(2-WEEKDAY($S78),7))+20),1,MIN(1,MAX(0,IF(ISNUMBER(OFFSET($A$1,ROW()-1,10)),OFFSET($A$1,ROW()-1,10),IF(ISNUMBER(OFFSET($A$1,ROW()-1,9)),OFFSET($A$1,ROW()-1,9),IF(ISNUMBER(OFFSET($A$1,ROW()-1,8)),OFFSET($A$1,ROW()-1,8),0)))))))</f>
        <v/>
      </c>
      <c r="AG78" s="62">
        <f>IF($V78&lt;&gt;"Sub","",N($X78)*IF(AND(ISNUMBER($G78),$G78&lt;=IF($S78=MesCiclo,InicioCiclo,$S78+MOD(2-WEEKDAY($S78),7))+27),1,MIN(1,MAX(0,IF(ISNUMBER(OFFSET($A$1,ROW()-1,11)),OFFSET($A$1,ROW()-1,11),IF(ISNUMBER(OFFSET($A$1,ROW()-1,10)),OFFSET($A$1,ROW()-1,10),IF(ISNUMBER(OFFSET($A$1,ROW()-1,9)),OFFSET($A$1,ROW()-1,9),IF(ISNUMBER(OFFSET($A$1,ROW()-1,8)),OFFSET($A$1,ROW()-1,8),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f>IF(NOT(AND($D78&lt;&gt;"",$V78="Macro")),"",IFERROR(CHOOSE(MATCH($D78,ListaPuestos,0),MATCH("[Jefatura] "&amp;$C78,'Cronograma R. Operacional'!$C$5:$C$1000,0),MATCH("[Jefatura] "&amp;$C78,'Cronograma R. Normativo'!$C$5:$C$1000,0),MATCH("[Jefatura] "&amp;$C78,'Cronograma R. Financiero'!$C$5:$C$1000,0),MATCH("[Jefatura] "&amp;$C78,'Cronograma Asistente Técnico'!$C$5:$C$1000,0)),0))</f>
        <v/>
      </c>
      <c r="AN78" s="62">
        <f>IF(AND(AND($D78&lt;&gt;"",$V78="Macro"),$S78=MesCiclo),COUNTIFS($D$5:$D78,$D78,$S$5:$S78,MesCiclo,$V$5:$V78,"Macro"),"")</f>
        <v/>
      </c>
      <c r="AO78" s="62">
        <f>IF($AN78="","",$D78&amp;"|"&amp;$AN78)</f>
        <v/>
      </c>
      <c r="AP78" s="62">
        <f>IF(AND($D78&lt;&gt;"",$V78="Macro"),$D78&amp;"|"&amp;$C78,"")</f>
        <v/>
      </c>
      <c r="AQ78" s="62">
        <f>""</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t="n"/>
      <c r="F79" s="59" t="n"/>
      <c r="G79" s="59" t="n"/>
      <c r="H79" s="60" t="n"/>
      <c r="I79" s="60">
        <f>IF(N($W79)=0,"",IF(AND($S79=MesCiclo,1&gt;SemanaActual),"",MIN(1,SUMIFS(OFFSET($A$1,ROW(),29,1000-ROW(),1),OFFSET($A$1,ROW(),20,1000-ROW(),1),ROW(),OFFSET($A$1,ROW(),21,1000-ROW(),1),"Sub"))))</f>
        <v/>
      </c>
      <c r="J79" s="60">
        <f>IF(N($W79)=0,"",IF(AND($S79=MesCiclo,2&gt;SemanaActual),"",MIN(1,SUMIFS(OFFSET($A$1,ROW(),30,1000-ROW(),1),OFFSET($A$1,ROW(),20,1000-ROW(),1),ROW(),OFFSET($A$1,ROW(),21,1000-ROW(),1),"Sub"))))</f>
        <v/>
      </c>
      <c r="K79" s="60">
        <f>IF(N($W79)=0,"",IF(AND($S79=MesCiclo,3&gt;SemanaActual),"",MIN(1,SUMIFS(OFFSET($A$1,ROW(),31,1000-ROW(),1),OFFSET($A$1,ROW(),20,1000-ROW(),1),ROW(),OFFSET($A$1,ROW(),21,1000-ROW(),1),"Sub"))))</f>
        <v/>
      </c>
      <c r="L79" s="60">
        <f>IF(N($W79)=0,"",IF(AND($S79=MesCiclo,4&gt;SemanaActual),"",MIN(1,SUMIFS(OFFSET($A$1,ROW(),32,1000-ROW(),1),OFFSET($A$1,ROW(),20,1000-ROW(),1),ROW(),OFFSET($A$1,ROW(),21,1000-ROW(),1),"Sub"))))</f>
        <v/>
      </c>
      <c r="M79" s="61">
        <f>IF(NOT((COUNTA($B79:$D79)+COUNTA($G79:$H79)+COUNTA($Q79))&gt;0),"",IF(AND($D79&lt;&gt;"",$V79="Macro"),IF(N($AM79)&gt;0,N(CHOOSE(MATCH($D79,ListaPuestos,0),INDEX('Cronograma R. Operacional'!$M$5:$M$1000,$AM79),INDEX('Cronograma R. Normativo'!$M$5:$M$1000,$AM79),INDEX('Cronograma R. Financiero'!$M$5:$M$1000,$AM79),INDEX('Cronograma Asistente Técnico'!$M$5:$M$1000,$AM79))),0),IF(ISNUMBER($G79),1,IF(N($W79)&gt;0,MIN(1,SUMIFS($Y$5:$Y$1000,$U$5:$U$1000,ROW(),$V$5:$V$1000,"Sub")),$Y79))))</f>
        <v/>
      </c>
      <c r="N79" s="56">
        <f>IF(OR($M79="",$V79="Sub"),"",IF($M79&gt;=1,"Completado",IF($M79&gt;0,"En curso","Pendiente")))</f>
        <v/>
      </c>
      <c r="O79" s="56">
        <f>IF(NOT((COUNTA($B79:$D79)+COUNTA($G79:$H79)+COUNTA($Q79))&gt;0),"",IF(AND(AND($D79&lt;&gt;"",$V79="Macro"),N($AM79)&gt;0),CHOOSE(MATCH($D79,ListaPuestos,0),INDEX('Cronograma R. Operacional'!$O$5:$O$1000,$AM79),INDEX('Cronograma R. Normativo'!$O$5:$O$1000,$AM79),INDEX('Cronograma R. Financiero'!$O$5:$O$1000,$AM79),INDEX('Cronograma Asistente Técnico'!$O$5:$O$1000,$AM79))&amp;"",IF(ISNUMBER($G79),IF(AND(ISNUMBER($AS79),$G79&gt;$AS79),"Cumplida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f>IF(NOT((COUNTA($B79:$D79)+COUNTA($G79:$H79)+COUNTA($Q79))&gt;0),"",IF($D79="","Propia",IF($V79&lt;&gt;"Macro","Solo se delegan macroactividades",IF(N($AM79)&gt;0,"✔ Recibida por "&amp;$D79,"⚠ "&amp;$D79&amp;" aún no la agrega"))))</f>
        <v/>
      </c>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IF($V79&lt;&gt;"Sub","",N($X79)*IF(AND(ISNUMBER($G79),$G79&lt;=IF($S79=MesCiclo,InicioCiclo,$S79+MOD(2-WEEKDAY($S79),7))+6),1,MIN(1,MAX(0,IF(ISNUMBER(OFFSET($A$1,ROW()-1,8)),OFFSET($A$1,ROW()-1,8),0)))))</f>
        <v/>
      </c>
      <c r="AE79" s="62">
        <f>IF($V79&lt;&gt;"Sub","",N($X79)*IF(AND(ISNUMBER($G79),$G79&lt;=IF($S79=MesCiclo,InicioCiclo,$S79+MOD(2-WEEKDAY($S79),7))+13),1,MIN(1,MAX(0,IF(ISNUMBER(OFFSET($A$1,ROW()-1,9)),OFFSET($A$1,ROW()-1,9),IF(ISNUMBER(OFFSET($A$1,ROW()-1,8)),OFFSET($A$1,ROW()-1,8),0))))))</f>
        <v/>
      </c>
      <c r="AF79" s="62">
        <f>IF($V79&lt;&gt;"Sub","",N($X79)*IF(AND(ISNUMBER($G79),$G79&lt;=IF($S79=MesCiclo,InicioCiclo,$S79+MOD(2-WEEKDAY($S79),7))+20),1,MIN(1,MAX(0,IF(ISNUMBER(OFFSET($A$1,ROW()-1,10)),OFFSET($A$1,ROW()-1,10),IF(ISNUMBER(OFFSET($A$1,ROW()-1,9)),OFFSET($A$1,ROW()-1,9),IF(ISNUMBER(OFFSET($A$1,ROW()-1,8)),OFFSET($A$1,ROW()-1,8),0)))))))</f>
        <v/>
      </c>
      <c r="AG79" s="62">
        <f>IF($V79&lt;&gt;"Sub","",N($X79)*IF(AND(ISNUMBER($G79),$G79&lt;=IF($S79=MesCiclo,InicioCiclo,$S79+MOD(2-WEEKDAY($S79),7))+27),1,MIN(1,MAX(0,IF(ISNUMBER(OFFSET($A$1,ROW()-1,11)),OFFSET($A$1,ROW()-1,11),IF(ISNUMBER(OFFSET($A$1,ROW()-1,10)),OFFSET($A$1,ROW()-1,10),IF(ISNUMBER(OFFSET($A$1,ROW()-1,9)),OFFSET($A$1,ROW()-1,9),IF(ISNUMBER(OFFSET($A$1,ROW()-1,8)),OFFSET($A$1,ROW()-1,8),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f>IF(NOT(AND($D79&lt;&gt;"",$V79="Macro")),"",IFERROR(CHOOSE(MATCH($D79,ListaPuestos,0),MATCH("[Jefatura] "&amp;$C79,'Cronograma R. Operacional'!$C$5:$C$1000,0),MATCH("[Jefatura] "&amp;$C79,'Cronograma R. Normativo'!$C$5:$C$1000,0),MATCH("[Jefatura] "&amp;$C79,'Cronograma R. Financiero'!$C$5:$C$1000,0),MATCH("[Jefatura] "&amp;$C79,'Cronograma Asistente Técnico'!$C$5:$C$1000,0)),0))</f>
        <v/>
      </c>
      <c r="AN79" s="62">
        <f>IF(AND(AND($D79&lt;&gt;"",$V79="Macro"),$S79=MesCiclo),COUNTIFS($D$5:$D79,$D79,$S$5:$S79,MesCiclo,$V$5:$V79,"Macro"),"")</f>
        <v/>
      </c>
      <c r="AO79" s="62">
        <f>IF($AN79="","",$D79&amp;"|"&amp;$AN79)</f>
        <v/>
      </c>
      <c r="AP79" s="62">
        <f>IF(AND($D79&lt;&gt;"",$V79="Macro"),$D79&amp;"|"&amp;$C79,"")</f>
        <v/>
      </c>
      <c r="AQ79" s="62">
        <f>""</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t="n"/>
      <c r="F80" s="59" t="n"/>
      <c r="G80" s="59" t="n"/>
      <c r="H80" s="60" t="n"/>
      <c r="I80" s="60">
        <f>IF(N($W80)=0,"",IF(AND($S80=MesCiclo,1&gt;SemanaActual),"",MIN(1,SUMIFS(OFFSET($A$1,ROW(),29,1000-ROW(),1),OFFSET($A$1,ROW(),20,1000-ROW(),1),ROW(),OFFSET($A$1,ROW(),21,1000-ROW(),1),"Sub"))))</f>
        <v/>
      </c>
      <c r="J80" s="60">
        <f>IF(N($W80)=0,"",IF(AND($S80=MesCiclo,2&gt;SemanaActual),"",MIN(1,SUMIFS(OFFSET($A$1,ROW(),30,1000-ROW(),1),OFFSET($A$1,ROW(),20,1000-ROW(),1),ROW(),OFFSET($A$1,ROW(),21,1000-ROW(),1),"Sub"))))</f>
        <v/>
      </c>
      <c r="K80" s="60">
        <f>IF(N($W80)=0,"",IF(AND($S80=MesCiclo,3&gt;SemanaActual),"",MIN(1,SUMIFS(OFFSET($A$1,ROW(),31,1000-ROW(),1),OFFSET($A$1,ROW(),20,1000-ROW(),1),ROW(),OFFSET($A$1,ROW(),21,1000-ROW(),1),"Sub"))))</f>
        <v/>
      </c>
      <c r="L80" s="60">
        <f>IF(N($W80)=0,"",IF(AND($S80=MesCiclo,4&gt;SemanaActual),"",MIN(1,SUMIFS(OFFSET($A$1,ROW(),32,1000-ROW(),1),OFFSET($A$1,ROW(),20,1000-ROW(),1),ROW(),OFFSET($A$1,ROW(),21,1000-ROW(),1),"Sub"))))</f>
        <v/>
      </c>
      <c r="M80" s="61">
        <f>IF(NOT((COUNTA($B80:$D80)+COUNTA($G80:$H80)+COUNTA($Q80))&gt;0),"",IF(AND($D80&lt;&gt;"",$V80="Macro"),IF(N($AM80)&gt;0,N(CHOOSE(MATCH($D80,ListaPuestos,0),INDEX('Cronograma R. Operacional'!$M$5:$M$1000,$AM80),INDEX('Cronograma R. Normativo'!$M$5:$M$1000,$AM80),INDEX('Cronograma R. Financiero'!$M$5:$M$1000,$AM80),INDEX('Cronograma Asistente Técnico'!$M$5:$M$1000,$AM80))),0),IF(ISNUMBER($G80),1,IF(N($W80)&gt;0,MIN(1,SUMIFS($Y$5:$Y$1000,$U$5:$U$1000,ROW(),$V$5:$V$1000,"Sub")),$Y80))))</f>
        <v/>
      </c>
      <c r="N80" s="56">
        <f>IF(OR($M80="",$V80="Sub"),"",IF($M80&gt;=1,"Completado",IF($M80&gt;0,"En curso","Pendiente")))</f>
        <v/>
      </c>
      <c r="O80" s="56">
        <f>IF(NOT((COUNTA($B80:$D80)+COUNTA($G80:$H80)+COUNTA($Q80))&gt;0),"",IF(AND(AND($D80&lt;&gt;"",$V80="Macro"),N($AM80)&gt;0),CHOOSE(MATCH($D80,ListaPuestos,0),INDEX('Cronograma R. Operacional'!$O$5:$O$1000,$AM80),INDEX('Cronograma R. Normativo'!$O$5:$O$1000,$AM80),INDEX('Cronograma R. Financiero'!$O$5:$O$1000,$AM80),INDEX('Cronograma Asistente Técnico'!$O$5:$O$1000,$AM80))&amp;"",IF(ISNUMBER($G80),IF(AND(ISNUMBER($AS80),$G80&gt;$AS80),"Cumplida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f>IF(NOT((COUNTA($B80:$D80)+COUNTA($G80:$H80)+COUNTA($Q80))&gt;0),"",IF($D80="","Propia",IF($V80&lt;&gt;"Macro","Solo se delegan macroactividades",IF(N($AM80)&gt;0,"✔ Recibida por "&amp;$D80,"⚠ "&amp;$D80&amp;" aún no la agrega"))))</f>
        <v/>
      </c>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IF($V80&lt;&gt;"Sub","",N($X80)*IF(AND(ISNUMBER($G80),$G80&lt;=IF($S80=MesCiclo,InicioCiclo,$S80+MOD(2-WEEKDAY($S80),7))+6),1,MIN(1,MAX(0,IF(ISNUMBER(OFFSET($A$1,ROW()-1,8)),OFFSET($A$1,ROW()-1,8),0)))))</f>
        <v/>
      </c>
      <c r="AE80" s="62">
        <f>IF($V80&lt;&gt;"Sub","",N($X80)*IF(AND(ISNUMBER($G80),$G80&lt;=IF($S80=MesCiclo,InicioCiclo,$S80+MOD(2-WEEKDAY($S80),7))+13),1,MIN(1,MAX(0,IF(ISNUMBER(OFFSET($A$1,ROW()-1,9)),OFFSET($A$1,ROW()-1,9),IF(ISNUMBER(OFFSET($A$1,ROW()-1,8)),OFFSET($A$1,ROW()-1,8),0))))))</f>
        <v/>
      </c>
      <c r="AF80" s="62">
        <f>IF($V80&lt;&gt;"Sub","",N($X80)*IF(AND(ISNUMBER($G80),$G80&lt;=IF($S80=MesCiclo,InicioCiclo,$S80+MOD(2-WEEKDAY($S80),7))+20),1,MIN(1,MAX(0,IF(ISNUMBER(OFFSET($A$1,ROW()-1,10)),OFFSET($A$1,ROW()-1,10),IF(ISNUMBER(OFFSET($A$1,ROW()-1,9)),OFFSET($A$1,ROW()-1,9),IF(ISNUMBER(OFFSET($A$1,ROW()-1,8)),OFFSET($A$1,ROW()-1,8),0)))))))</f>
        <v/>
      </c>
      <c r="AG80" s="62">
        <f>IF($V80&lt;&gt;"Sub","",N($X80)*IF(AND(ISNUMBER($G80),$G80&lt;=IF($S80=MesCiclo,InicioCiclo,$S80+MOD(2-WEEKDAY($S80),7))+27),1,MIN(1,MAX(0,IF(ISNUMBER(OFFSET($A$1,ROW()-1,11)),OFFSET($A$1,ROW()-1,11),IF(ISNUMBER(OFFSET($A$1,ROW()-1,10)),OFFSET($A$1,ROW()-1,10),IF(ISNUMBER(OFFSET($A$1,ROW()-1,9)),OFFSET($A$1,ROW()-1,9),IF(ISNUMBER(OFFSET($A$1,ROW()-1,8)),OFFSET($A$1,ROW()-1,8),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f>IF(NOT(AND($D80&lt;&gt;"",$V80="Macro")),"",IFERROR(CHOOSE(MATCH($D80,ListaPuestos,0),MATCH("[Jefatura] "&amp;$C80,'Cronograma R. Operacional'!$C$5:$C$1000,0),MATCH("[Jefatura] "&amp;$C80,'Cronograma R. Normativo'!$C$5:$C$1000,0),MATCH("[Jefatura] "&amp;$C80,'Cronograma R. Financiero'!$C$5:$C$1000,0),MATCH("[Jefatura] "&amp;$C80,'Cronograma Asistente Técnico'!$C$5:$C$1000,0)),0))</f>
        <v/>
      </c>
      <c r="AN80" s="62">
        <f>IF(AND(AND($D80&lt;&gt;"",$V80="Macro"),$S80=MesCiclo),COUNTIFS($D$5:$D80,$D80,$S$5:$S80,MesCiclo,$V$5:$V80,"Macro"),"")</f>
        <v/>
      </c>
      <c r="AO80" s="62">
        <f>IF($AN80="","",$D80&amp;"|"&amp;$AN80)</f>
        <v/>
      </c>
      <c r="AP80" s="62">
        <f>IF(AND($D80&lt;&gt;"",$V80="Macro"),$D80&amp;"|"&amp;$C80,"")</f>
        <v/>
      </c>
      <c r="AQ80" s="62">
        <f>""</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t="n"/>
      <c r="F81" s="59" t="n"/>
      <c r="G81" s="59" t="n"/>
      <c r="H81" s="60" t="n"/>
      <c r="I81" s="60">
        <f>IF(N($W81)=0,"",IF(AND($S81=MesCiclo,1&gt;SemanaActual),"",MIN(1,SUMIFS(OFFSET($A$1,ROW(),29,1000-ROW(),1),OFFSET($A$1,ROW(),20,1000-ROW(),1),ROW(),OFFSET($A$1,ROW(),21,1000-ROW(),1),"Sub"))))</f>
        <v/>
      </c>
      <c r="J81" s="60">
        <f>IF(N($W81)=0,"",IF(AND($S81=MesCiclo,2&gt;SemanaActual),"",MIN(1,SUMIFS(OFFSET($A$1,ROW(),30,1000-ROW(),1),OFFSET($A$1,ROW(),20,1000-ROW(),1),ROW(),OFFSET($A$1,ROW(),21,1000-ROW(),1),"Sub"))))</f>
        <v/>
      </c>
      <c r="K81" s="60">
        <f>IF(N($W81)=0,"",IF(AND($S81=MesCiclo,3&gt;SemanaActual),"",MIN(1,SUMIFS(OFFSET($A$1,ROW(),31,1000-ROW(),1),OFFSET($A$1,ROW(),20,1000-ROW(),1),ROW(),OFFSET($A$1,ROW(),21,1000-ROW(),1),"Sub"))))</f>
        <v/>
      </c>
      <c r="L81" s="60">
        <f>IF(N($W81)=0,"",IF(AND($S81=MesCiclo,4&gt;SemanaActual),"",MIN(1,SUMIFS(OFFSET($A$1,ROW(),32,1000-ROW(),1),OFFSET($A$1,ROW(),20,1000-ROW(),1),ROW(),OFFSET($A$1,ROW(),21,1000-ROW(),1),"Sub"))))</f>
        <v/>
      </c>
      <c r="M81" s="61">
        <f>IF(NOT((COUNTA($B81:$D81)+COUNTA($G81:$H81)+COUNTA($Q81))&gt;0),"",IF(AND($D81&lt;&gt;"",$V81="Macro"),IF(N($AM81)&gt;0,N(CHOOSE(MATCH($D81,ListaPuestos,0),INDEX('Cronograma R. Operacional'!$M$5:$M$1000,$AM81),INDEX('Cronograma R. Normativo'!$M$5:$M$1000,$AM81),INDEX('Cronograma R. Financiero'!$M$5:$M$1000,$AM81),INDEX('Cronograma Asistente Técnico'!$M$5:$M$1000,$AM81))),0),IF(ISNUMBER($G81),1,IF(N($W81)&gt;0,MIN(1,SUMIFS($Y$5:$Y$1000,$U$5:$U$1000,ROW(),$V$5:$V$1000,"Sub")),$Y81))))</f>
        <v/>
      </c>
      <c r="N81" s="56">
        <f>IF(OR($M81="",$V81="Sub"),"",IF($M81&gt;=1,"Completado",IF($M81&gt;0,"En curso","Pendiente")))</f>
        <v/>
      </c>
      <c r="O81" s="56">
        <f>IF(NOT((COUNTA($B81:$D81)+COUNTA($G81:$H81)+COUNTA($Q81))&gt;0),"",IF(AND(AND($D81&lt;&gt;"",$V81="Macro"),N($AM81)&gt;0),CHOOSE(MATCH($D81,ListaPuestos,0),INDEX('Cronograma R. Operacional'!$O$5:$O$1000,$AM81),INDEX('Cronograma R. Normativo'!$O$5:$O$1000,$AM81),INDEX('Cronograma R. Financiero'!$O$5:$O$1000,$AM81),INDEX('Cronograma Asistente Técnico'!$O$5:$O$1000,$AM81))&amp;"",IF(ISNUMBER($G81),IF(AND(ISNUMBER($AS81),$G81&gt;$AS81),"Cumplida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f>IF(NOT((COUNTA($B81:$D81)+COUNTA($G81:$H81)+COUNTA($Q81))&gt;0),"",IF($D81="","Propia",IF($V81&lt;&gt;"Macro","Solo se delegan macroactividades",IF(N($AM81)&gt;0,"✔ Recibida por "&amp;$D81,"⚠ "&amp;$D81&amp;" aún no la agrega"))))</f>
        <v/>
      </c>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IF($V81&lt;&gt;"Sub","",N($X81)*IF(AND(ISNUMBER($G81),$G81&lt;=IF($S81=MesCiclo,InicioCiclo,$S81+MOD(2-WEEKDAY($S81),7))+6),1,MIN(1,MAX(0,IF(ISNUMBER(OFFSET($A$1,ROW()-1,8)),OFFSET($A$1,ROW()-1,8),0)))))</f>
        <v/>
      </c>
      <c r="AE81" s="62">
        <f>IF($V81&lt;&gt;"Sub","",N($X81)*IF(AND(ISNUMBER($G81),$G81&lt;=IF($S81=MesCiclo,InicioCiclo,$S81+MOD(2-WEEKDAY($S81),7))+13),1,MIN(1,MAX(0,IF(ISNUMBER(OFFSET($A$1,ROW()-1,9)),OFFSET($A$1,ROW()-1,9),IF(ISNUMBER(OFFSET($A$1,ROW()-1,8)),OFFSET($A$1,ROW()-1,8),0))))))</f>
        <v/>
      </c>
      <c r="AF81" s="62">
        <f>IF($V81&lt;&gt;"Sub","",N($X81)*IF(AND(ISNUMBER($G81),$G81&lt;=IF($S81=MesCiclo,InicioCiclo,$S81+MOD(2-WEEKDAY($S81),7))+20),1,MIN(1,MAX(0,IF(ISNUMBER(OFFSET($A$1,ROW()-1,10)),OFFSET($A$1,ROW()-1,10),IF(ISNUMBER(OFFSET($A$1,ROW()-1,9)),OFFSET($A$1,ROW()-1,9),IF(ISNUMBER(OFFSET($A$1,ROW()-1,8)),OFFSET($A$1,ROW()-1,8),0)))))))</f>
        <v/>
      </c>
      <c r="AG81" s="62">
        <f>IF($V81&lt;&gt;"Sub","",N($X81)*IF(AND(ISNUMBER($G81),$G81&lt;=IF($S81=MesCiclo,InicioCiclo,$S81+MOD(2-WEEKDAY($S81),7))+27),1,MIN(1,MAX(0,IF(ISNUMBER(OFFSET($A$1,ROW()-1,11)),OFFSET($A$1,ROW()-1,11),IF(ISNUMBER(OFFSET($A$1,ROW()-1,10)),OFFSET($A$1,ROW()-1,10),IF(ISNUMBER(OFFSET($A$1,ROW()-1,9)),OFFSET($A$1,ROW()-1,9),IF(ISNUMBER(OFFSET($A$1,ROW()-1,8)),OFFSET($A$1,ROW()-1,8),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f>IF(NOT(AND($D81&lt;&gt;"",$V81="Macro")),"",IFERROR(CHOOSE(MATCH($D81,ListaPuestos,0),MATCH("[Jefatura] "&amp;$C81,'Cronograma R. Operacional'!$C$5:$C$1000,0),MATCH("[Jefatura] "&amp;$C81,'Cronograma R. Normativo'!$C$5:$C$1000,0),MATCH("[Jefatura] "&amp;$C81,'Cronograma R. Financiero'!$C$5:$C$1000,0),MATCH("[Jefatura] "&amp;$C81,'Cronograma Asistente Técnico'!$C$5:$C$1000,0)),0))</f>
        <v/>
      </c>
      <c r="AN81" s="62">
        <f>IF(AND(AND($D81&lt;&gt;"",$V81="Macro"),$S81=MesCiclo),COUNTIFS($D$5:$D81,$D81,$S$5:$S81,MesCiclo,$V$5:$V81,"Macro"),"")</f>
        <v/>
      </c>
      <c r="AO81" s="62">
        <f>IF($AN81="","",$D81&amp;"|"&amp;$AN81)</f>
        <v/>
      </c>
      <c r="AP81" s="62">
        <f>IF(AND($D81&lt;&gt;"",$V81="Macro"),$D81&amp;"|"&amp;$C81,"")</f>
        <v/>
      </c>
      <c r="AQ81" s="62">
        <f>""</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t="n"/>
      <c r="F82" s="59" t="n"/>
      <c r="G82" s="59" t="n"/>
      <c r="H82" s="60" t="n"/>
      <c r="I82" s="60">
        <f>IF(N($W82)=0,"",IF(AND($S82=MesCiclo,1&gt;SemanaActual),"",MIN(1,SUMIFS(OFFSET($A$1,ROW(),29,1000-ROW(),1),OFFSET($A$1,ROW(),20,1000-ROW(),1),ROW(),OFFSET($A$1,ROW(),21,1000-ROW(),1),"Sub"))))</f>
        <v/>
      </c>
      <c r="J82" s="60">
        <f>IF(N($W82)=0,"",IF(AND($S82=MesCiclo,2&gt;SemanaActual),"",MIN(1,SUMIFS(OFFSET($A$1,ROW(),30,1000-ROW(),1),OFFSET($A$1,ROW(),20,1000-ROW(),1),ROW(),OFFSET($A$1,ROW(),21,1000-ROW(),1),"Sub"))))</f>
        <v/>
      </c>
      <c r="K82" s="60">
        <f>IF(N($W82)=0,"",IF(AND($S82=MesCiclo,3&gt;SemanaActual),"",MIN(1,SUMIFS(OFFSET($A$1,ROW(),31,1000-ROW(),1),OFFSET($A$1,ROW(),20,1000-ROW(),1),ROW(),OFFSET($A$1,ROW(),21,1000-ROW(),1),"Sub"))))</f>
        <v/>
      </c>
      <c r="L82" s="60">
        <f>IF(N($W82)=0,"",IF(AND($S82=MesCiclo,4&gt;SemanaActual),"",MIN(1,SUMIFS(OFFSET($A$1,ROW(),32,1000-ROW(),1),OFFSET($A$1,ROW(),20,1000-ROW(),1),ROW(),OFFSET($A$1,ROW(),21,1000-ROW(),1),"Sub"))))</f>
        <v/>
      </c>
      <c r="M82" s="61">
        <f>IF(NOT((COUNTA($B82:$D82)+COUNTA($G82:$H82)+COUNTA($Q82))&gt;0),"",IF(AND($D82&lt;&gt;"",$V82="Macro"),IF(N($AM82)&gt;0,N(CHOOSE(MATCH($D82,ListaPuestos,0),INDEX('Cronograma R. Operacional'!$M$5:$M$1000,$AM82),INDEX('Cronograma R. Normativo'!$M$5:$M$1000,$AM82),INDEX('Cronograma R. Financiero'!$M$5:$M$1000,$AM82),INDEX('Cronograma Asistente Técnico'!$M$5:$M$1000,$AM82))),0),IF(ISNUMBER($G82),1,IF(N($W82)&gt;0,MIN(1,SUMIFS($Y$5:$Y$1000,$U$5:$U$1000,ROW(),$V$5:$V$1000,"Sub")),$Y82))))</f>
        <v/>
      </c>
      <c r="N82" s="56">
        <f>IF(OR($M82="",$V82="Sub"),"",IF($M82&gt;=1,"Completado",IF($M82&gt;0,"En curso","Pendiente")))</f>
        <v/>
      </c>
      <c r="O82" s="56">
        <f>IF(NOT((COUNTA($B82:$D82)+COUNTA($G82:$H82)+COUNTA($Q82))&gt;0),"",IF(AND(AND($D82&lt;&gt;"",$V82="Macro"),N($AM82)&gt;0),CHOOSE(MATCH($D82,ListaPuestos,0),INDEX('Cronograma R. Operacional'!$O$5:$O$1000,$AM82),INDEX('Cronograma R. Normativo'!$O$5:$O$1000,$AM82),INDEX('Cronograma R. Financiero'!$O$5:$O$1000,$AM82),INDEX('Cronograma Asistente Técnico'!$O$5:$O$1000,$AM82))&amp;"",IF(ISNUMBER($G82),IF(AND(ISNUMBER($AS82),$G82&gt;$AS82),"Cumplida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f>IF(NOT((COUNTA($B82:$D82)+COUNTA($G82:$H82)+COUNTA($Q82))&gt;0),"",IF($D82="","Propia",IF($V82&lt;&gt;"Macro","Solo se delegan macroactividades",IF(N($AM82)&gt;0,"✔ Recibida por "&amp;$D82,"⚠ "&amp;$D82&amp;" aún no la agrega"))))</f>
        <v/>
      </c>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IF($V82&lt;&gt;"Sub","",N($X82)*IF(AND(ISNUMBER($G82),$G82&lt;=IF($S82=MesCiclo,InicioCiclo,$S82+MOD(2-WEEKDAY($S82),7))+6),1,MIN(1,MAX(0,IF(ISNUMBER(OFFSET($A$1,ROW()-1,8)),OFFSET($A$1,ROW()-1,8),0)))))</f>
        <v/>
      </c>
      <c r="AE82" s="62">
        <f>IF($V82&lt;&gt;"Sub","",N($X82)*IF(AND(ISNUMBER($G82),$G82&lt;=IF($S82=MesCiclo,InicioCiclo,$S82+MOD(2-WEEKDAY($S82),7))+13),1,MIN(1,MAX(0,IF(ISNUMBER(OFFSET($A$1,ROW()-1,9)),OFFSET($A$1,ROW()-1,9),IF(ISNUMBER(OFFSET($A$1,ROW()-1,8)),OFFSET($A$1,ROW()-1,8),0))))))</f>
        <v/>
      </c>
      <c r="AF82" s="62">
        <f>IF($V82&lt;&gt;"Sub","",N($X82)*IF(AND(ISNUMBER($G82),$G82&lt;=IF($S82=MesCiclo,InicioCiclo,$S82+MOD(2-WEEKDAY($S82),7))+20),1,MIN(1,MAX(0,IF(ISNUMBER(OFFSET($A$1,ROW()-1,10)),OFFSET($A$1,ROW()-1,10),IF(ISNUMBER(OFFSET($A$1,ROW()-1,9)),OFFSET($A$1,ROW()-1,9),IF(ISNUMBER(OFFSET($A$1,ROW()-1,8)),OFFSET($A$1,ROW()-1,8),0)))))))</f>
        <v/>
      </c>
      <c r="AG82" s="62">
        <f>IF($V82&lt;&gt;"Sub","",N($X82)*IF(AND(ISNUMBER($G82),$G82&lt;=IF($S82=MesCiclo,InicioCiclo,$S82+MOD(2-WEEKDAY($S82),7))+27),1,MIN(1,MAX(0,IF(ISNUMBER(OFFSET($A$1,ROW()-1,11)),OFFSET($A$1,ROW()-1,11),IF(ISNUMBER(OFFSET($A$1,ROW()-1,10)),OFFSET($A$1,ROW()-1,10),IF(ISNUMBER(OFFSET($A$1,ROW()-1,9)),OFFSET($A$1,ROW()-1,9),IF(ISNUMBER(OFFSET($A$1,ROW()-1,8)),OFFSET($A$1,ROW()-1,8),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f>IF(NOT(AND($D82&lt;&gt;"",$V82="Macro")),"",IFERROR(CHOOSE(MATCH($D82,ListaPuestos,0),MATCH("[Jefatura] "&amp;$C82,'Cronograma R. Operacional'!$C$5:$C$1000,0),MATCH("[Jefatura] "&amp;$C82,'Cronograma R. Normativo'!$C$5:$C$1000,0),MATCH("[Jefatura] "&amp;$C82,'Cronograma R. Financiero'!$C$5:$C$1000,0),MATCH("[Jefatura] "&amp;$C82,'Cronograma Asistente Técnico'!$C$5:$C$1000,0)),0))</f>
        <v/>
      </c>
      <c r="AN82" s="62">
        <f>IF(AND(AND($D82&lt;&gt;"",$V82="Macro"),$S82=MesCiclo),COUNTIFS($D$5:$D82,$D82,$S$5:$S82,MesCiclo,$V$5:$V82,"Macro"),"")</f>
        <v/>
      </c>
      <c r="AO82" s="62">
        <f>IF($AN82="","",$D82&amp;"|"&amp;$AN82)</f>
        <v/>
      </c>
      <c r="AP82" s="62">
        <f>IF(AND($D82&lt;&gt;"",$V82="Macro"),$D82&amp;"|"&amp;$C82,"")</f>
        <v/>
      </c>
      <c r="AQ82" s="62">
        <f>""</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t="n"/>
      <c r="F83" s="59" t="n"/>
      <c r="G83" s="59" t="n"/>
      <c r="H83" s="60" t="n"/>
      <c r="I83" s="60">
        <f>IF(N($W83)=0,"",IF(AND($S83=MesCiclo,1&gt;SemanaActual),"",MIN(1,SUMIFS(OFFSET($A$1,ROW(),29,1000-ROW(),1),OFFSET($A$1,ROW(),20,1000-ROW(),1),ROW(),OFFSET($A$1,ROW(),21,1000-ROW(),1),"Sub"))))</f>
        <v/>
      </c>
      <c r="J83" s="60">
        <f>IF(N($W83)=0,"",IF(AND($S83=MesCiclo,2&gt;SemanaActual),"",MIN(1,SUMIFS(OFFSET($A$1,ROW(),30,1000-ROW(),1),OFFSET($A$1,ROW(),20,1000-ROW(),1),ROW(),OFFSET($A$1,ROW(),21,1000-ROW(),1),"Sub"))))</f>
        <v/>
      </c>
      <c r="K83" s="60">
        <f>IF(N($W83)=0,"",IF(AND($S83=MesCiclo,3&gt;SemanaActual),"",MIN(1,SUMIFS(OFFSET($A$1,ROW(),31,1000-ROW(),1),OFFSET($A$1,ROW(),20,1000-ROW(),1),ROW(),OFFSET($A$1,ROW(),21,1000-ROW(),1),"Sub"))))</f>
        <v/>
      </c>
      <c r="L83" s="60">
        <f>IF(N($W83)=0,"",IF(AND($S83=MesCiclo,4&gt;SemanaActual),"",MIN(1,SUMIFS(OFFSET($A$1,ROW(),32,1000-ROW(),1),OFFSET($A$1,ROW(),20,1000-ROW(),1),ROW(),OFFSET($A$1,ROW(),21,1000-ROW(),1),"Sub"))))</f>
        <v/>
      </c>
      <c r="M83" s="61">
        <f>IF(NOT((COUNTA($B83:$D83)+COUNTA($G83:$H83)+COUNTA($Q83))&gt;0),"",IF(AND($D83&lt;&gt;"",$V83="Macro"),IF(N($AM83)&gt;0,N(CHOOSE(MATCH($D83,ListaPuestos,0),INDEX('Cronograma R. Operacional'!$M$5:$M$1000,$AM83),INDEX('Cronograma R. Normativo'!$M$5:$M$1000,$AM83),INDEX('Cronograma R. Financiero'!$M$5:$M$1000,$AM83),INDEX('Cronograma Asistente Técnico'!$M$5:$M$1000,$AM83))),0),IF(ISNUMBER($G83),1,IF(N($W83)&gt;0,MIN(1,SUMIFS($Y$5:$Y$1000,$U$5:$U$1000,ROW(),$V$5:$V$1000,"Sub")),$Y83))))</f>
        <v/>
      </c>
      <c r="N83" s="56">
        <f>IF(OR($M83="",$V83="Sub"),"",IF($M83&gt;=1,"Completado",IF($M83&gt;0,"En curso","Pendiente")))</f>
        <v/>
      </c>
      <c r="O83" s="56">
        <f>IF(NOT((COUNTA($B83:$D83)+COUNTA($G83:$H83)+COUNTA($Q83))&gt;0),"",IF(AND(AND($D83&lt;&gt;"",$V83="Macro"),N($AM83)&gt;0),CHOOSE(MATCH($D83,ListaPuestos,0),INDEX('Cronograma R. Operacional'!$O$5:$O$1000,$AM83),INDEX('Cronograma R. Normativo'!$O$5:$O$1000,$AM83),INDEX('Cronograma R. Financiero'!$O$5:$O$1000,$AM83),INDEX('Cronograma Asistente Técnico'!$O$5:$O$1000,$AM83))&amp;"",IF(ISNUMBER($G83),IF(AND(ISNUMBER($AS83),$G83&gt;$AS83),"Cumplida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f>IF(NOT((COUNTA($B83:$D83)+COUNTA($G83:$H83)+COUNTA($Q83))&gt;0),"",IF($D83="","Propia",IF($V83&lt;&gt;"Macro","Solo se delegan macroactividades",IF(N($AM83)&gt;0,"✔ Recibida por "&amp;$D83,"⚠ "&amp;$D83&amp;" aún no la agrega"))))</f>
        <v/>
      </c>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IF($V83&lt;&gt;"Sub","",N($X83)*IF(AND(ISNUMBER($G83),$G83&lt;=IF($S83=MesCiclo,InicioCiclo,$S83+MOD(2-WEEKDAY($S83),7))+6),1,MIN(1,MAX(0,IF(ISNUMBER(OFFSET($A$1,ROW()-1,8)),OFFSET($A$1,ROW()-1,8),0)))))</f>
        <v/>
      </c>
      <c r="AE83" s="62">
        <f>IF($V83&lt;&gt;"Sub","",N($X83)*IF(AND(ISNUMBER($G83),$G83&lt;=IF($S83=MesCiclo,InicioCiclo,$S83+MOD(2-WEEKDAY($S83),7))+13),1,MIN(1,MAX(0,IF(ISNUMBER(OFFSET($A$1,ROW()-1,9)),OFFSET($A$1,ROW()-1,9),IF(ISNUMBER(OFFSET($A$1,ROW()-1,8)),OFFSET($A$1,ROW()-1,8),0))))))</f>
        <v/>
      </c>
      <c r="AF83" s="62">
        <f>IF($V83&lt;&gt;"Sub","",N($X83)*IF(AND(ISNUMBER($G83),$G83&lt;=IF($S83=MesCiclo,InicioCiclo,$S83+MOD(2-WEEKDAY($S83),7))+20),1,MIN(1,MAX(0,IF(ISNUMBER(OFFSET($A$1,ROW()-1,10)),OFFSET($A$1,ROW()-1,10),IF(ISNUMBER(OFFSET($A$1,ROW()-1,9)),OFFSET($A$1,ROW()-1,9),IF(ISNUMBER(OFFSET($A$1,ROW()-1,8)),OFFSET($A$1,ROW()-1,8),0)))))))</f>
        <v/>
      </c>
      <c r="AG83" s="62">
        <f>IF($V83&lt;&gt;"Sub","",N($X83)*IF(AND(ISNUMBER($G83),$G83&lt;=IF($S83=MesCiclo,InicioCiclo,$S83+MOD(2-WEEKDAY($S83),7))+27),1,MIN(1,MAX(0,IF(ISNUMBER(OFFSET($A$1,ROW()-1,11)),OFFSET($A$1,ROW()-1,11),IF(ISNUMBER(OFFSET($A$1,ROW()-1,10)),OFFSET($A$1,ROW()-1,10),IF(ISNUMBER(OFFSET($A$1,ROW()-1,9)),OFFSET($A$1,ROW()-1,9),IF(ISNUMBER(OFFSET($A$1,ROW()-1,8)),OFFSET($A$1,ROW()-1,8),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f>IF(NOT(AND($D83&lt;&gt;"",$V83="Macro")),"",IFERROR(CHOOSE(MATCH($D83,ListaPuestos,0),MATCH("[Jefatura] "&amp;$C83,'Cronograma R. Operacional'!$C$5:$C$1000,0),MATCH("[Jefatura] "&amp;$C83,'Cronograma R. Normativo'!$C$5:$C$1000,0),MATCH("[Jefatura] "&amp;$C83,'Cronograma R. Financiero'!$C$5:$C$1000,0),MATCH("[Jefatura] "&amp;$C83,'Cronograma Asistente Técnico'!$C$5:$C$1000,0)),0))</f>
        <v/>
      </c>
      <c r="AN83" s="62">
        <f>IF(AND(AND($D83&lt;&gt;"",$V83="Macro"),$S83=MesCiclo),COUNTIFS($D$5:$D83,$D83,$S$5:$S83,MesCiclo,$V$5:$V83,"Macro"),"")</f>
        <v/>
      </c>
      <c r="AO83" s="62">
        <f>IF($AN83="","",$D83&amp;"|"&amp;$AN83)</f>
        <v/>
      </c>
      <c r="AP83" s="62">
        <f>IF(AND($D83&lt;&gt;"",$V83="Macro"),$D83&amp;"|"&amp;$C83,"")</f>
        <v/>
      </c>
      <c r="AQ83" s="62">
        <f>""</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t="n"/>
      <c r="F84" s="59" t="n"/>
      <c r="G84" s="59" t="n"/>
      <c r="H84" s="60" t="n"/>
      <c r="I84" s="60">
        <f>IF(N($W84)=0,"",IF(AND($S84=MesCiclo,1&gt;SemanaActual),"",MIN(1,SUMIFS(OFFSET($A$1,ROW(),29,1000-ROW(),1),OFFSET($A$1,ROW(),20,1000-ROW(),1),ROW(),OFFSET($A$1,ROW(),21,1000-ROW(),1),"Sub"))))</f>
        <v/>
      </c>
      <c r="J84" s="60">
        <f>IF(N($W84)=0,"",IF(AND($S84=MesCiclo,2&gt;SemanaActual),"",MIN(1,SUMIFS(OFFSET($A$1,ROW(),30,1000-ROW(),1),OFFSET($A$1,ROW(),20,1000-ROW(),1),ROW(),OFFSET($A$1,ROW(),21,1000-ROW(),1),"Sub"))))</f>
        <v/>
      </c>
      <c r="K84" s="60">
        <f>IF(N($W84)=0,"",IF(AND($S84=MesCiclo,3&gt;SemanaActual),"",MIN(1,SUMIFS(OFFSET($A$1,ROW(),31,1000-ROW(),1),OFFSET($A$1,ROW(),20,1000-ROW(),1),ROW(),OFFSET($A$1,ROW(),21,1000-ROW(),1),"Sub"))))</f>
        <v/>
      </c>
      <c r="L84" s="60">
        <f>IF(N($W84)=0,"",IF(AND($S84=MesCiclo,4&gt;SemanaActual),"",MIN(1,SUMIFS(OFFSET($A$1,ROW(),32,1000-ROW(),1),OFFSET($A$1,ROW(),20,1000-ROW(),1),ROW(),OFFSET($A$1,ROW(),21,1000-ROW(),1),"Sub"))))</f>
        <v/>
      </c>
      <c r="M84" s="61">
        <f>IF(NOT((COUNTA($B84:$D84)+COUNTA($G84:$H84)+COUNTA($Q84))&gt;0),"",IF(AND($D84&lt;&gt;"",$V84="Macro"),IF(N($AM84)&gt;0,N(CHOOSE(MATCH($D84,ListaPuestos,0),INDEX('Cronograma R. Operacional'!$M$5:$M$1000,$AM84),INDEX('Cronograma R. Normativo'!$M$5:$M$1000,$AM84),INDEX('Cronograma R. Financiero'!$M$5:$M$1000,$AM84),INDEX('Cronograma Asistente Técnico'!$M$5:$M$1000,$AM84))),0),IF(ISNUMBER($G84),1,IF(N($W84)&gt;0,MIN(1,SUMIFS($Y$5:$Y$1000,$U$5:$U$1000,ROW(),$V$5:$V$1000,"Sub")),$Y84))))</f>
        <v/>
      </c>
      <c r="N84" s="56">
        <f>IF(OR($M84="",$V84="Sub"),"",IF($M84&gt;=1,"Completado",IF($M84&gt;0,"En curso","Pendiente")))</f>
        <v/>
      </c>
      <c r="O84" s="56">
        <f>IF(NOT((COUNTA($B84:$D84)+COUNTA($G84:$H84)+COUNTA($Q84))&gt;0),"",IF(AND(AND($D84&lt;&gt;"",$V84="Macro"),N($AM84)&gt;0),CHOOSE(MATCH($D84,ListaPuestos,0),INDEX('Cronograma R. Operacional'!$O$5:$O$1000,$AM84),INDEX('Cronograma R. Normativo'!$O$5:$O$1000,$AM84),INDEX('Cronograma R. Financiero'!$O$5:$O$1000,$AM84),INDEX('Cronograma Asistente Técnico'!$O$5:$O$1000,$AM84))&amp;"",IF(ISNUMBER($G84),IF(AND(ISNUMBER($AS84),$G84&gt;$AS84),"Cumplida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f>IF(NOT((COUNTA($B84:$D84)+COUNTA($G84:$H84)+COUNTA($Q84))&gt;0),"",IF($D84="","Propia",IF($V84&lt;&gt;"Macro","Solo se delegan macroactividades",IF(N($AM84)&gt;0,"✔ Recibida por "&amp;$D84,"⚠ "&amp;$D84&amp;" aún no la agrega"))))</f>
        <v/>
      </c>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IF($V84&lt;&gt;"Sub","",N($X84)*IF(AND(ISNUMBER($G84),$G84&lt;=IF($S84=MesCiclo,InicioCiclo,$S84+MOD(2-WEEKDAY($S84),7))+6),1,MIN(1,MAX(0,IF(ISNUMBER(OFFSET($A$1,ROW()-1,8)),OFFSET($A$1,ROW()-1,8),0)))))</f>
        <v/>
      </c>
      <c r="AE84" s="62">
        <f>IF($V84&lt;&gt;"Sub","",N($X84)*IF(AND(ISNUMBER($G84),$G84&lt;=IF($S84=MesCiclo,InicioCiclo,$S84+MOD(2-WEEKDAY($S84),7))+13),1,MIN(1,MAX(0,IF(ISNUMBER(OFFSET($A$1,ROW()-1,9)),OFFSET($A$1,ROW()-1,9),IF(ISNUMBER(OFFSET($A$1,ROW()-1,8)),OFFSET($A$1,ROW()-1,8),0))))))</f>
        <v/>
      </c>
      <c r="AF84" s="62">
        <f>IF($V84&lt;&gt;"Sub","",N($X84)*IF(AND(ISNUMBER($G84),$G84&lt;=IF($S84=MesCiclo,InicioCiclo,$S84+MOD(2-WEEKDAY($S84),7))+20),1,MIN(1,MAX(0,IF(ISNUMBER(OFFSET($A$1,ROW()-1,10)),OFFSET($A$1,ROW()-1,10),IF(ISNUMBER(OFFSET($A$1,ROW()-1,9)),OFFSET($A$1,ROW()-1,9),IF(ISNUMBER(OFFSET($A$1,ROW()-1,8)),OFFSET($A$1,ROW()-1,8),0)))))))</f>
        <v/>
      </c>
      <c r="AG84" s="62">
        <f>IF($V84&lt;&gt;"Sub","",N($X84)*IF(AND(ISNUMBER($G84),$G84&lt;=IF($S84=MesCiclo,InicioCiclo,$S84+MOD(2-WEEKDAY($S84),7))+27),1,MIN(1,MAX(0,IF(ISNUMBER(OFFSET($A$1,ROW()-1,11)),OFFSET($A$1,ROW()-1,11),IF(ISNUMBER(OFFSET($A$1,ROW()-1,10)),OFFSET($A$1,ROW()-1,10),IF(ISNUMBER(OFFSET($A$1,ROW()-1,9)),OFFSET($A$1,ROW()-1,9),IF(ISNUMBER(OFFSET($A$1,ROW()-1,8)),OFFSET($A$1,ROW()-1,8),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f>IF(NOT(AND($D84&lt;&gt;"",$V84="Macro")),"",IFERROR(CHOOSE(MATCH($D84,ListaPuestos,0),MATCH("[Jefatura] "&amp;$C84,'Cronograma R. Operacional'!$C$5:$C$1000,0),MATCH("[Jefatura] "&amp;$C84,'Cronograma R. Normativo'!$C$5:$C$1000,0),MATCH("[Jefatura] "&amp;$C84,'Cronograma R. Financiero'!$C$5:$C$1000,0),MATCH("[Jefatura] "&amp;$C84,'Cronograma Asistente Técnico'!$C$5:$C$1000,0)),0))</f>
        <v/>
      </c>
      <c r="AN84" s="62">
        <f>IF(AND(AND($D84&lt;&gt;"",$V84="Macro"),$S84=MesCiclo),COUNTIFS($D$5:$D84,$D84,$S$5:$S84,MesCiclo,$V$5:$V84,"Macro"),"")</f>
        <v/>
      </c>
      <c r="AO84" s="62">
        <f>IF($AN84="","",$D84&amp;"|"&amp;$AN84)</f>
        <v/>
      </c>
      <c r="AP84" s="62">
        <f>IF(AND($D84&lt;&gt;"",$V84="Macro"),$D84&amp;"|"&amp;$C84,"")</f>
        <v/>
      </c>
      <c r="AQ84" s="62">
        <f>""</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t="n"/>
      <c r="F85" s="59" t="n"/>
      <c r="G85" s="59" t="n"/>
      <c r="H85" s="60" t="n"/>
      <c r="I85" s="60">
        <f>IF(N($W85)=0,"",IF(AND($S85=MesCiclo,1&gt;SemanaActual),"",MIN(1,SUMIFS(OFFSET($A$1,ROW(),29,1000-ROW(),1),OFFSET($A$1,ROW(),20,1000-ROW(),1),ROW(),OFFSET($A$1,ROW(),21,1000-ROW(),1),"Sub"))))</f>
        <v/>
      </c>
      <c r="J85" s="60">
        <f>IF(N($W85)=0,"",IF(AND($S85=MesCiclo,2&gt;SemanaActual),"",MIN(1,SUMIFS(OFFSET($A$1,ROW(),30,1000-ROW(),1),OFFSET($A$1,ROW(),20,1000-ROW(),1),ROW(),OFFSET($A$1,ROW(),21,1000-ROW(),1),"Sub"))))</f>
        <v/>
      </c>
      <c r="K85" s="60">
        <f>IF(N($W85)=0,"",IF(AND($S85=MesCiclo,3&gt;SemanaActual),"",MIN(1,SUMIFS(OFFSET($A$1,ROW(),31,1000-ROW(),1),OFFSET($A$1,ROW(),20,1000-ROW(),1),ROW(),OFFSET($A$1,ROW(),21,1000-ROW(),1),"Sub"))))</f>
        <v/>
      </c>
      <c r="L85" s="60">
        <f>IF(N($W85)=0,"",IF(AND($S85=MesCiclo,4&gt;SemanaActual),"",MIN(1,SUMIFS(OFFSET($A$1,ROW(),32,1000-ROW(),1),OFFSET($A$1,ROW(),20,1000-ROW(),1),ROW(),OFFSET($A$1,ROW(),21,1000-ROW(),1),"Sub"))))</f>
        <v/>
      </c>
      <c r="M85" s="61">
        <f>IF(NOT((COUNTA($B85:$D85)+COUNTA($G85:$H85)+COUNTA($Q85))&gt;0),"",IF(AND($D85&lt;&gt;"",$V85="Macro"),IF(N($AM85)&gt;0,N(CHOOSE(MATCH($D85,ListaPuestos,0),INDEX('Cronograma R. Operacional'!$M$5:$M$1000,$AM85),INDEX('Cronograma R. Normativo'!$M$5:$M$1000,$AM85),INDEX('Cronograma R. Financiero'!$M$5:$M$1000,$AM85),INDEX('Cronograma Asistente Técnico'!$M$5:$M$1000,$AM85))),0),IF(ISNUMBER($G85),1,IF(N($W85)&gt;0,MIN(1,SUMIFS($Y$5:$Y$1000,$U$5:$U$1000,ROW(),$V$5:$V$1000,"Sub")),$Y85))))</f>
        <v/>
      </c>
      <c r="N85" s="56">
        <f>IF(OR($M85="",$V85="Sub"),"",IF($M85&gt;=1,"Completado",IF($M85&gt;0,"En curso","Pendiente")))</f>
        <v/>
      </c>
      <c r="O85" s="56">
        <f>IF(NOT((COUNTA($B85:$D85)+COUNTA($G85:$H85)+COUNTA($Q85))&gt;0),"",IF(AND(AND($D85&lt;&gt;"",$V85="Macro"),N($AM85)&gt;0),CHOOSE(MATCH($D85,ListaPuestos,0),INDEX('Cronograma R. Operacional'!$O$5:$O$1000,$AM85),INDEX('Cronograma R. Normativo'!$O$5:$O$1000,$AM85),INDEX('Cronograma R. Financiero'!$O$5:$O$1000,$AM85),INDEX('Cronograma Asistente Técnico'!$O$5:$O$1000,$AM85))&amp;"",IF(ISNUMBER($G85),IF(AND(ISNUMBER($AS85),$G85&gt;$AS85),"Cumplida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f>IF(NOT((COUNTA($B85:$D85)+COUNTA($G85:$H85)+COUNTA($Q85))&gt;0),"",IF($D85="","Propia",IF($V85&lt;&gt;"Macro","Solo se delegan macroactividades",IF(N($AM85)&gt;0,"✔ Recibida por "&amp;$D85,"⚠ "&amp;$D85&amp;" aún no la agrega"))))</f>
        <v/>
      </c>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IF($V85&lt;&gt;"Sub","",N($X85)*IF(AND(ISNUMBER($G85),$G85&lt;=IF($S85=MesCiclo,InicioCiclo,$S85+MOD(2-WEEKDAY($S85),7))+6),1,MIN(1,MAX(0,IF(ISNUMBER(OFFSET($A$1,ROW()-1,8)),OFFSET($A$1,ROW()-1,8),0)))))</f>
        <v/>
      </c>
      <c r="AE85" s="62">
        <f>IF($V85&lt;&gt;"Sub","",N($X85)*IF(AND(ISNUMBER($G85),$G85&lt;=IF($S85=MesCiclo,InicioCiclo,$S85+MOD(2-WEEKDAY($S85),7))+13),1,MIN(1,MAX(0,IF(ISNUMBER(OFFSET($A$1,ROW()-1,9)),OFFSET($A$1,ROW()-1,9),IF(ISNUMBER(OFFSET($A$1,ROW()-1,8)),OFFSET($A$1,ROW()-1,8),0))))))</f>
        <v/>
      </c>
      <c r="AF85" s="62">
        <f>IF($V85&lt;&gt;"Sub","",N($X85)*IF(AND(ISNUMBER($G85),$G85&lt;=IF($S85=MesCiclo,InicioCiclo,$S85+MOD(2-WEEKDAY($S85),7))+20),1,MIN(1,MAX(0,IF(ISNUMBER(OFFSET($A$1,ROW()-1,10)),OFFSET($A$1,ROW()-1,10),IF(ISNUMBER(OFFSET($A$1,ROW()-1,9)),OFFSET($A$1,ROW()-1,9),IF(ISNUMBER(OFFSET($A$1,ROW()-1,8)),OFFSET($A$1,ROW()-1,8),0)))))))</f>
        <v/>
      </c>
      <c r="AG85" s="62">
        <f>IF($V85&lt;&gt;"Sub","",N($X85)*IF(AND(ISNUMBER($G85),$G85&lt;=IF($S85=MesCiclo,InicioCiclo,$S85+MOD(2-WEEKDAY($S85),7))+27),1,MIN(1,MAX(0,IF(ISNUMBER(OFFSET($A$1,ROW()-1,11)),OFFSET($A$1,ROW()-1,11),IF(ISNUMBER(OFFSET($A$1,ROW()-1,10)),OFFSET($A$1,ROW()-1,10),IF(ISNUMBER(OFFSET($A$1,ROW()-1,9)),OFFSET($A$1,ROW()-1,9),IF(ISNUMBER(OFFSET($A$1,ROW()-1,8)),OFFSET($A$1,ROW()-1,8),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f>IF(NOT(AND($D85&lt;&gt;"",$V85="Macro")),"",IFERROR(CHOOSE(MATCH($D85,ListaPuestos,0),MATCH("[Jefatura] "&amp;$C85,'Cronograma R. Operacional'!$C$5:$C$1000,0),MATCH("[Jefatura] "&amp;$C85,'Cronograma R. Normativo'!$C$5:$C$1000,0),MATCH("[Jefatura] "&amp;$C85,'Cronograma R. Financiero'!$C$5:$C$1000,0),MATCH("[Jefatura] "&amp;$C85,'Cronograma Asistente Técnico'!$C$5:$C$1000,0)),0))</f>
        <v/>
      </c>
      <c r="AN85" s="62">
        <f>IF(AND(AND($D85&lt;&gt;"",$V85="Macro"),$S85=MesCiclo),COUNTIFS($D$5:$D85,$D85,$S$5:$S85,MesCiclo,$V$5:$V85,"Macro"),"")</f>
        <v/>
      </c>
      <c r="AO85" s="62">
        <f>IF($AN85="","",$D85&amp;"|"&amp;$AN85)</f>
        <v/>
      </c>
      <c r="AP85" s="62">
        <f>IF(AND($D85&lt;&gt;"",$V85="Macro"),$D85&amp;"|"&amp;$C85,"")</f>
        <v/>
      </c>
      <c r="AQ85" s="62">
        <f>""</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t="n"/>
      <c r="F86" s="59" t="n"/>
      <c r="G86" s="59" t="n"/>
      <c r="H86" s="60" t="n"/>
      <c r="I86" s="60">
        <f>IF(N($W86)=0,"",IF(AND($S86=MesCiclo,1&gt;SemanaActual),"",MIN(1,SUMIFS(OFFSET($A$1,ROW(),29,1000-ROW(),1),OFFSET($A$1,ROW(),20,1000-ROW(),1),ROW(),OFFSET($A$1,ROW(),21,1000-ROW(),1),"Sub"))))</f>
        <v/>
      </c>
      <c r="J86" s="60">
        <f>IF(N($W86)=0,"",IF(AND($S86=MesCiclo,2&gt;SemanaActual),"",MIN(1,SUMIFS(OFFSET($A$1,ROW(),30,1000-ROW(),1),OFFSET($A$1,ROW(),20,1000-ROW(),1),ROW(),OFFSET($A$1,ROW(),21,1000-ROW(),1),"Sub"))))</f>
        <v/>
      </c>
      <c r="K86" s="60">
        <f>IF(N($W86)=0,"",IF(AND($S86=MesCiclo,3&gt;SemanaActual),"",MIN(1,SUMIFS(OFFSET($A$1,ROW(),31,1000-ROW(),1),OFFSET($A$1,ROW(),20,1000-ROW(),1),ROW(),OFFSET($A$1,ROW(),21,1000-ROW(),1),"Sub"))))</f>
        <v/>
      </c>
      <c r="L86" s="60">
        <f>IF(N($W86)=0,"",IF(AND($S86=MesCiclo,4&gt;SemanaActual),"",MIN(1,SUMIFS(OFFSET($A$1,ROW(),32,1000-ROW(),1),OFFSET($A$1,ROW(),20,1000-ROW(),1),ROW(),OFFSET($A$1,ROW(),21,1000-ROW(),1),"Sub"))))</f>
        <v/>
      </c>
      <c r="M86" s="61">
        <f>IF(NOT((COUNTA($B86:$D86)+COUNTA($G86:$H86)+COUNTA($Q86))&gt;0),"",IF(AND($D86&lt;&gt;"",$V86="Macro"),IF(N($AM86)&gt;0,N(CHOOSE(MATCH($D86,ListaPuestos,0),INDEX('Cronograma R. Operacional'!$M$5:$M$1000,$AM86),INDEX('Cronograma R. Normativo'!$M$5:$M$1000,$AM86),INDEX('Cronograma R. Financiero'!$M$5:$M$1000,$AM86),INDEX('Cronograma Asistente Técnico'!$M$5:$M$1000,$AM86))),0),IF(ISNUMBER($G86),1,IF(N($W86)&gt;0,MIN(1,SUMIFS($Y$5:$Y$1000,$U$5:$U$1000,ROW(),$V$5:$V$1000,"Sub")),$Y86))))</f>
        <v/>
      </c>
      <c r="N86" s="56">
        <f>IF(OR($M86="",$V86="Sub"),"",IF($M86&gt;=1,"Completado",IF($M86&gt;0,"En curso","Pendiente")))</f>
        <v/>
      </c>
      <c r="O86" s="56">
        <f>IF(NOT((COUNTA($B86:$D86)+COUNTA($G86:$H86)+COUNTA($Q86))&gt;0),"",IF(AND(AND($D86&lt;&gt;"",$V86="Macro"),N($AM86)&gt;0),CHOOSE(MATCH($D86,ListaPuestos,0),INDEX('Cronograma R. Operacional'!$O$5:$O$1000,$AM86),INDEX('Cronograma R. Normativo'!$O$5:$O$1000,$AM86),INDEX('Cronograma R. Financiero'!$O$5:$O$1000,$AM86),INDEX('Cronograma Asistente Técnico'!$O$5:$O$1000,$AM86))&amp;"",IF(ISNUMBER($G86),IF(AND(ISNUMBER($AS86),$G86&gt;$AS86),"Cumplida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f>IF(NOT((COUNTA($B86:$D86)+COUNTA($G86:$H86)+COUNTA($Q86))&gt;0),"",IF($D86="","Propia",IF($V86&lt;&gt;"Macro","Solo se delegan macroactividades",IF(N($AM86)&gt;0,"✔ Recibida por "&amp;$D86,"⚠ "&amp;$D86&amp;" aún no la agrega"))))</f>
        <v/>
      </c>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IF($V86&lt;&gt;"Sub","",N($X86)*IF(AND(ISNUMBER($G86),$G86&lt;=IF($S86=MesCiclo,InicioCiclo,$S86+MOD(2-WEEKDAY($S86),7))+6),1,MIN(1,MAX(0,IF(ISNUMBER(OFFSET($A$1,ROW()-1,8)),OFFSET($A$1,ROW()-1,8),0)))))</f>
        <v/>
      </c>
      <c r="AE86" s="62">
        <f>IF($V86&lt;&gt;"Sub","",N($X86)*IF(AND(ISNUMBER($G86),$G86&lt;=IF($S86=MesCiclo,InicioCiclo,$S86+MOD(2-WEEKDAY($S86),7))+13),1,MIN(1,MAX(0,IF(ISNUMBER(OFFSET($A$1,ROW()-1,9)),OFFSET($A$1,ROW()-1,9),IF(ISNUMBER(OFFSET($A$1,ROW()-1,8)),OFFSET($A$1,ROW()-1,8),0))))))</f>
        <v/>
      </c>
      <c r="AF86" s="62">
        <f>IF($V86&lt;&gt;"Sub","",N($X86)*IF(AND(ISNUMBER($G86),$G86&lt;=IF($S86=MesCiclo,InicioCiclo,$S86+MOD(2-WEEKDAY($S86),7))+20),1,MIN(1,MAX(0,IF(ISNUMBER(OFFSET($A$1,ROW()-1,10)),OFFSET($A$1,ROW()-1,10),IF(ISNUMBER(OFFSET($A$1,ROW()-1,9)),OFFSET($A$1,ROW()-1,9),IF(ISNUMBER(OFFSET($A$1,ROW()-1,8)),OFFSET($A$1,ROW()-1,8),0)))))))</f>
        <v/>
      </c>
      <c r="AG86" s="62">
        <f>IF($V86&lt;&gt;"Sub","",N($X86)*IF(AND(ISNUMBER($G86),$G86&lt;=IF($S86=MesCiclo,InicioCiclo,$S86+MOD(2-WEEKDAY($S86),7))+27),1,MIN(1,MAX(0,IF(ISNUMBER(OFFSET($A$1,ROW()-1,11)),OFFSET($A$1,ROW()-1,11),IF(ISNUMBER(OFFSET($A$1,ROW()-1,10)),OFFSET($A$1,ROW()-1,10),IF(ISNUMBER(OFFSET($A$1,ROW()-1,9)),OFFSET($A$1,ROW()-1,9),IF(ISNUMBER(OFFSET($A$1,ROW()-1,8)),OFFSET($A$1,ROW()-1,8),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f>IF(NOT(AND($D86&lt;&gt;"",$V86="Macro")),"",IFERROR(CHOOSE(MATCH($D86,ListaPuestos,0),MATCH("[Jefatura] "&amp;$C86,'Cronograma R. Operacional'!$C$5:$C$1000,0),MATCH("[Jefatura] "&amp;$C86,'Cronograma R. Normativo'!$C$5:$C$1000,0),MATCH("[Jefatura] "&amp;$C86,'Cronograma R. Financiero'!$C$5:$C$1000,0),MATCH("[Jefatura] "&amp;$C86,'Cronograma Asistente Técnico'!$C$5:$C$1000,0)),0))</f>
        <v/>
      </c>
      <c r="AN86" s="62">
        <f>IF(AND(AND($D86&lt;&gt;"",$V86="Macro"),$S86=MesCiclo),COUNTIFS($D$5:$D86,$D86,$S$5:$S86,MesCiclo,$V$5:$V86,"Macro"),"")</f>
        <v/>
      </c>
      <c r="AO86" s="62">
        <f>IF($AN86="","",$D86&amp;"|"&amp;$AN86)</f>
        <v/>
      </c>
      <c r="AP86" s="62">
        <f>IF(AND($D86&lt;&gt;"",$V86="Macro"),$D86&amp;"|"&amp;$C86,"")</f>
        <v/>
      </c>
      <c r="AQ86" s="62">
        <f>""</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t="n"/>
      <c r="F87" s="59" t="n"/>
      <c r="G87" s="59" t="n"/>
      <c r="H87" s="60" t="n"/>
      <c r="I87" s="60">
        <f>IF(N($W87)=0,"",IF(AND($S87=MesCiclo,1&gt;SemanaActual),"",MIN(1,SUMIFS(OFFSET($A$1,ROW(),29,1000-ROW(),1),OFFSET($A$1,ROW(),20,1000-ROW(),1),ROW(),OFFSET($A$1,ROW(),21,1000-ROW(),1),"Sub"))))</f>
        <v/>
      </c>
      <c r="J87" s="60">
        <f>IF(N($W87)=0,"",IF(AND($S87=MesCiclo,2&gt;SemanaActual),"",MIN(1,SUMIFS(OFFSET($A$1,ROW(),30,1000-ROW(),1),OFFSET($A$1,ROW(),20,1000-ROW(),1),ROW(),OFFSET($A$1,ROW(),21,1000-ROW(),1),"Sub"))))</f>
        <v/>
      </c>
      <c r="K87" s="60">
        <f>IF(N($W87)=0,"",IF(AND($S87=MesCiclo,3&gt;SemanaActual),"",MIN(1,SUMIFS(OFFSET($A$1,ROW(),31,1000-ROW(),1),OFFSET($A$1,ROW(),20,1000-ROW(),1),ROW(),OFFSET($A$1,ROW(),21,1000-ROW(),1),"Sub"))))</f>
        <v/>
      </c>
      <c r="L87" s="60">
        <f>IF(N($W87)=0,"",IF(AND($S87=MesCiclo,4&gt;SemanaActual),"",MIN(1,SUMIFS(OFFSET($A$1,ROW(),32,1000-ROW(),1),OFFSET($A$1,ROW(),20,1000-ROW(),1),ROW(),OFFSET($A$1,ROW(),21,1000-ROW(),1),"Sub"))))</f>
        <v/>
      </c>
      <c r="M87" s="61">
        <f>IF(NOT((COUNTA($B87:$D87)+COUNTA($G87:$H87)+COUNTA($Q87))&gt;0),"",IF(AND($D87&lt;&gt;"",$V87="Macro"),IF(N($AM87)&gt;0,N(CHOOSE(MATCH($D87,ListaPuestos,0),INDEX('Cronograma R. Operacional'!$M$5:$M$1000,$AM87),INDEX('Cronograma R. Normativo'!$M$5:$M$1000,$AM87),INDEX('Cronograma R. Financiero'!$M$5:$M$1000,$AM87),INDEX('Cronograma Asistente Técnico'!$M$5:$M$1000,$AM87))),0),IF(ISNUMBER($G87),1,IF(N($W87)&gt;0,MIN(1,SUMIFS($Y$5:$Y$1000,$U$5:$U$1000,ROW(),$V$5:$V$1000,"Sub")),$Y87))))</f>
        <v/>
      </c>
      <c r="N87" s="56">
        <f>IF(OR($M87="",$V87="Sub"),"",IF($M87&gt;=1,"Completado",IF($M87&gt;0,"En curso","Pendiente")))</f>
        <v/>
      </c>
      <c r="O87" s="56">
        <f>IF(NOT((COUNTA($B87:$D87)+COUNTA($G87:$H87)+COUNTA($Q87))&gt;0),"",IF(AND(AND($D87&lt;&gt;"",$V87="Macro"),N($AM87)&gt;0),CHOOSE(MATCH($D87,ListaPuestos,0),INDEX('Cronograma R. Operacional'!$O$5:$O$1000,$AM87),INDEX('Cronograma R. Normativo'!$O$5:$O$1000,$AM87),INDEX('Cronograma R. Financiero'!$O$5:$O$1000,$AM87),INDEX('Cronograma Asistente Técnico'!$O$5:$O$1000,$AM87))&amp;"",IF(ISNUMBER($G87),IF(AND(ISNUMBER($AS87),$G87&gt;$AS87),"Cumplida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f>IF(NOT((COUNTA($B87:$D87)+COUNTA($G87:$H87)+COUNTA($Q87))&gt;0),"",IF($D87="","Propia",IF($V87&lt;&gt;"Macro","Solo se delegan macroactividades",IF(N($AM87)&gt;0,"✔ Recibida por "&amp;$D87,"⚠ "&amp;$D87&amp;" aún no la agrega"))))</f>
        <v/>
      </c>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IF($V87&lt;&gt;"Sub","",N($X87)*IF(AND(ISNUMBER($G87),$G87&lt;=IF($S87=MesCiclo,InicioCiclo,$S87+MOD(2-WEEKDAY($S87),7))+6),1,MIN(1,MAX(0,IF(ISNUMBER(OFFSET($A$1,ROW()-1,8)),OFFSET($A$1,ROW()-1,8),0)))))</f>
        <v/>
      </c>
      <c r="AE87" s="62">
        <f>IF($V87&lt;&gt;"Sub","",N($X87)*IF(AND(ISNUMBER($G87),$G87&lt;=IF($S87=MesCiclo,InicioCiclo,$S87+MOD(2-WEEKDAY($S87),7))+13),1,MIN(1,MAX(0,IF(ISNUMBER(OFFSET($A$1,ROW()-1,9)),OFFSET($A$1,ROW()-1,9),IF(ISNUMBER(OFFSET($A$1,ROW()-1,8)),OFFSET($A$1,ROW()-1,8),0))))))</f>
        <v/>
      </c>
      <c r="AF87" s="62">
        <f>IF($V87&lt;&gt;"Sub","",N($X87)*IF(AND(ISNUMBER($G87),$G87&lt;=IF($S87=MesCiclo,InicioCiclo,$S87+MOD(2-WEEKDAY($S87),7))+20),1,MIN(1,MAX(0,IF(ISNUMBER(OFFSET($A$1,ROW()-1,10)),OFFSET($A$1,ROW()-1,10),IF(ISNUMBER(OFFSET($A$1,ROW()-1,9)),OFFSET($A$1,ROW()-1,9),IF(ISNUMBER(OFFSET($A$1,ROW()-1,8)),OFFSET($A$1,ROW()-1,8),0)))))))</f>
        <v/>
      </c>
      <c r="AG87" s="62">
        <f>IF($V87&lt;&gt;"Sub","",N($X87)*IF(AND(ISNUMBER($G87),$G87&lt;=IF($S87=MesCiclo,InicioCiclo,$S87+MOD(2-WEEKDAY($S87),7))+27),1,MIN(1,MAX(0,IF(ISNUMBER(OFFSET($A$1,ROW()-1,11)),OFFSET($A$1,ROW()-1,11),IF(ISNUMBER(OFFSET($A$1,ROW()-1,10)),OFFSET($A$1,ROW()-1,10),IF(ISNUMBER(OFFSET($A$1,ROW()-1,9)),OFFSET($A$1,ROW()-1,9),IF(ISNUMBER(OFFSET($A$1,ROW()-1,8)),OFFSET($A$1,ROW()-1,8),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f>IF(NOT(AND($D87&lt;&gt;"",$V87="Macro")),"",IFERROR(CHOOSE(MATCH($D87,ListaPuestos,0),MATCH("[Jefatura] "&amp;$C87,'Cronograma R. Operacional'!$C$5:$C$1000,0),MATCH("[Jefatura] "&amp;$C87,'Cronograma R. Normativo'!$C$5:$C$1000,0),MATCH("[Jefatura] "&amp;$C87,'Cronograma R. Financiero'!$C$5:$C$1000,0),MATCH("[Jefatura] "&amp;$C87,'Cronograma Asistente Técnico'!$C$5:$C$1000,0)),0))</f>
        <v/>
      </c>
      <c r="AN87" s="62">
        <f>IF(AND(AND($D87&lt;&gt;"",$V87="Macro"),$S87=MesCiclo),COUNTIFS($D$5:$D87,$D87,$S$5:$S87,MesCiclo,$V$5:$V87,"Macro"),"")</f>
        <v/>
      </c>
      <c r="AO87" s="62">
        <f>IF($AN87="","",$D87&amp;"|"&amp;$AN87)</f>
        <v/>
      </c>
      <c r="AP87" s="62">
        <f>IF(AND($D87&lt;&gt;"",$V87="Macro"),$D87&amp;"|"&amp;$C87,"")</f>
        <v/>
      </c>
      <c r="AQ87" s="62">
        <f>""</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t="n"/>
      <c r="F88" s="59" t="n"/>
      <c r="G88" s="59" t="n"/>
      <c r="H88" s="60" t="n"/>
      <c r="I88" s="60">
        <f>IF(N($W88)=0,"",IF(AND($S88=MesCiclo,1&gt;SemanaActual),"",MIN(1,SUMIFS(OFFSET($A$1,ROW(),29,1000-ROW(),1),OFFSET($A$1,ROW(),20,1000-ROW(),1),ROW(),OFFSET($A$1,ROW(),21,1000-ROW(),1),"Sub"))))</f>
        <v/>
      </c>
      <c r="J88" s="60">
        <f>IF(N($W88)=0,"",IF(AND($S88=MesCiclo,2&gt;SemanaActual),"",MIN(1,SUMIFS(OFFSET($A$1,ROW(),30,1000-ROW(),1),OFFSET($A$1,ROW(),20,1000-ROW(),1),ROW(),OFFSET($A$1,ROW(),21,1000-ROW(),1),"Sub"))))</f>
        <v/>
      </c>
      <c r="K88" s="60">
        <f>IF(N($W88)=0,"",IF(AND($S88=MesCiclo,3&gt;SemanaActual),"",MIN(1,SUMIFS(OFFSET($A$1,ROW(),31,1000-ROW(),1),OFFSET($A$1,ROW(),20,1000-ROW(),1),ROW(),OFFSET($A$1,ROW(),21,1000-ROW(),1),"Sub"))))</f>
        <v/>
      </c>
      <c r="L88" s="60">
        <f>IF(N($W88)=0,"",IF(AND($S88=MesCiclo,4&gt;SemanaActual),"",MIN(1,SUMIFS(OFFSET($A$1,ROW(),32,1000-ROW(),1),OFFSET($A$1,ROW(),20,1000-ROW(),1),ROW(),OFFSET($A$1,ROW(),21,1000-ROW(),1),"Sub"))))</f>
        <v/>
      </c>
      <c r="M88" s="61">
        <f>IF(NOT((COUNTA($B88:$D88)+COUNTA($G88:$H88)+COUNTA($Q88))&gt;0),"",IF(AND($D88&lt;&gt;"",$V88="Macro"),IF(N($AM88)&gt;0,N(CHOOSE(MATCH($D88,ListaPuestos,0),INDEX('Cronograma R. Operacional'!$M$5:$M$1000,$AM88),INDEX('Cronograma R. Normativo'!$M$5:$M$1000,$AM88),INDEX('Cronograma R. Financiero'!$M$5:$M$1000,$AM88),INDEX('Cronograma Asistente Técnico'!$M$5:$M$1000,$AM88))),0),IF(ISNUMBER($G88),1,IF(N($W88)&gt;0,MIN(1,SUMIFS($Y$5:$Y$1000,$U$5:$U$1000,ROW(),$V$5:$V$1000,"Sub")),$Y88))))</f>
        <v/>
      </c>
      <c r="N88" s="56">
        <f>IF(OR($M88="",$V88="Sub"),"",IF($M88&gt;=1,"Completado",IF($M88&gt;0,"En curso","Pendiente")))</f>
        <v/>
      </c>
      <c r="O88" s="56">
        <f>IF(NOT((COUNTA($B88:$D88)+COUNTA($G88:$H88)+COUNTA($Q88))&gt;0),"",IF(AND(AND($D88&lt;&gt;"",$V88="Macro"),N($AM88)&gt;0),CHOOSE(MATCH($D88,ListaPuestos,0),INDEX('Cronograma R. Operacional'!$O$5:$O$1000,$AM88),INDEX('Cronograma R. Normativo'!$O$5:$O$1000,$AM88),INDEX('Cronograma R. Financiero'!$O$5:$O$1000,$AM88),INDEX('Cronograma Asistente Técnico'!$O$5:$O$1000,$AM88))&amp;"",IF(ISNUMBER($G88),IF(AND(ISNUMBER($AS88),$G88&gt;$AS88),"Cumplida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f>IF(NOT((COUNTA($B88:$D88)+COUNTA($G88:$H88)+COUNTA($Q88))&gt;0),"",IF($D88="","Propia",IF($V88&lt;&gt;"Macro","Solo se delegan macroactividades",IF(N($AM88)&gt;0,"✔ Recibida por "&amp;$D88,"⚠ "&amp;$D88&amp;" aún no la agrega"))))</f>
        <v/>
      </c>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IF($V88&lt;&gt;"Sub","",N($X88)*IF(AND(ISNUMBER($G88),$G88&lt;=IF($S88=MesCiclo,InicioCiclo,$S88+MOD(2-WEEKDAY($S88),7))+6),1,MIN(1,MAX(0,IF(ISNUMBER(OFFSET($A$1,ROW()-1,8)),OFFSET($A$1,ROW()-1,8),0)))))</f>
        <v/>
      </c>
      <c r="AE88" s="62">
        <f>IF($V88&lt;&gt;"Sub","",N($X88)*IF(AND(ISNUMBER($G88),$G88&lt;=IF($S88=MesCiclo,InicioCiclo,$S88+MOD(2-WEEKDAY($S88),7))+13),1,MIN(1,MAX(0,IF(ISNUMBER(OFFSET($A$1,ROW()-1,9)),OFFSET($A$1,ROW()-1,9),IF(ISNUMBER(OFFSET($A$1,ROW()-1,8)),OFFSET($A$1,ROW()-1,8),0))))))</f>
        <v/>
      </c>
      <c r="AF88" s="62">
        <f>IF($V88&lt;&gt;"Sub","",N($X88)*IF(AND(ISNUMBER($G88),$G88&lt;=IF($S88=MesCiclo,InicioCiclo,$S88+MOD(2-WEEKDAY($S88),7))+20),1,MIN(1,MAX(0,IF(ISNUMBER(OFFSET($A$1,ROW()-1,10)),OFFSET($A$1,ROW()-1,10),IF(ISNUMBER(OFFSET($A$1,ROW()-1,9)),OFFSET($A$1,ROW()-1,9),IF(ISNUMBER(OFFSET($A$1,ROW()-1,8)),OFFSET($A$1,ROW()-1,8),0)))))))</f>
        <v/>
      </c>
      <c r="AG88" s="62">
        <f>IF($V88&lt;&gt;"Sub","",N($X88)*IF(AND(ISNUMBER($G88),$G88&lt;=IF($S88=MesCiclo,InicioCiclo,$S88+MOD(2-WEEKDAY($S88),7))+27),1,MIN(1,MAX(0,IF(ISNUMBER(OFFSET($A$1,ROW()-1,11)),OFFSET($A$1,ROW()-1,11),IF(ISNUMBER(OFFSET($A$1,ROW()-1,10)),OFFSET($A$1,ROW()-1,10),IF(ISNUMBER(OFFSET($A$1,ROW()-1,9)),OFFSET($A$1,ROW()-1,9),IF(ISNUMBER(OFFSET($A$1,ROW()-1,8)),OFFSET($A$1,ROW()-1,8),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f>IF(NOT(AND($D88&lt;&gt;"",$V88="Macro")),"",IFERROR(CHOOSE(MATCH($D88,ListaPuestos,0),MATCH("[Jefatura] "&amp;$C88,'Cronograma R. Operacional'!$C$5:$C$1000,0),MATCH("[Jefatura] "&amp;$C88,'Cronograma R. Normativo'!$C$5:$C$1000,0),MATCH("[Jefatura] "&amp;$C88,'Cronograma R. Financiero'!$C$5:$C$1000,0),MATCH("[Jefatura] "&amp;$C88,'Cronograma Asistente Técnico'!$C$5:$C$1000,0)),0))</f>
        <v/>
      </c>
      <c r="AN88" s="62">
        <f>IF(AND(AND($D88&lt;&gt;"",$V88="Macro"),$S88=MesCiclo),COUNTIFS($D$5:$D88,$D88,$S$5:$S88,MesCiclo,$V$5:$V88,"Macro"),"")</f>
        <v/>
      </c>
      <c r="AO88" s="62">
        <f>IF($AN88="","",$D88&amp;"|"&amp;$AN88)</f>
        <v/>
      </c>
      <c r="AP88" s="62">
        <f>IF(AND($D88&lt;&gt;"",$V88="Macro"),$D88&amp;"|"&amp;$C88,"")</f>
        <v/>
      </c>
      <c r="AQ88" s="62">
        <f>""</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t="n"/>
      <c r="F89" s="59" t="n"/>
      <c r="G89" s="59" t="n"/>
      <c r="H89" s="60" t="n"/>
      <c r="I89" s="60">
        <f>IF(N($W89)=0,"",IF(AND($S89=MesCiclo,1&gt;SemanaActual),"",MIN(1,SUMIFS(OFFSET($A$1,ROW(),29,1000-ROW(),1),OFFSET($A$1,ROW(),20,1000-ROW(),1),ROW(),OFFSET($A$1,ROW(),21,1000-ROW(),1),"Sub"))))</f>
        <v/>
      </c>
      <c r="J89" s="60">
        <f>IF(N($W89)=0,"",IF(AND($S89=MesCiclo,2&gt;SemanaActual),"",MIN(1,SUMIFS(OFFSET($A$1,ROW(),30,1000-ROW(),1),OFFSET($A$1,ROW(),20,1000-ROW(),1),ROW(),OFFSET($A$1,ROW(),21,1000-ROW(),1),"Sub"))))</f>
        <v/>
      </c>
      <c r="K89" s="60">
        <f>IF(N($W89)=0,"",IF(AND($S89=MesCiclo,3&gt;SemanaActual),"",MIN(1,SUMIFS(OFFSET($A$1,ROW(),31,1000-ROW(),1),OFFSET($A$1,ROW(),20,1000-ROW(),1),ROW(),OFFSET($A$1,ROW(),21,1000-ROW(),1),"Sub"))))</f>
        <v/>
      </c>
      <c r="L89" s="60">
        <f>IF(N($W89)=0,"",IF(AND($S89=MesCiclo,4&gt;SemanaActual),"",MIN(1,SUMIFS(OFFSET($A$1,ROW(),32,1000-ROW(),1),OFFSET($A$1,ROW(),20,1000-ROW(),1),ROW(),OFFSET($A$1,ROW(),21,1000-ROW(),1),"Sub"))))</f>
        <v/>
      </c>
      <c r="M89" s="61">
        <f>IF(NOT((COUNTA($B89:$D89)+COUNTA($G89:$H89)+COUNTA($Q89))&gt;0),"",IF(AND($D89&lt;&gt;"",$V89="Macro"),IF(N($AM89)&gt;0,N(CHOOSE(MATCH($D89,ListaPuestos,0),INDEX('Cronograma R. Operacional'!$M$5:$M$1000,$AM89),INDEX('Cronograma R. Normativo'!$M$5:$M$1000,$AM89),INDEX('Cronograma R. Financiero'!$M$5:$M$1000,$AM89),INDEX('Cronograma Asistente Técnico'!$M$5:$M$1000,$AM89))),0),IF(ISNUMBER($G89),1,IF(N($W89)&gt;0,MIN(1,SUMIFS($Y$5:$Y$1000,$U$5:$U$1000,ROW(),$V$5:$V$1000,"Sub")),$Y89))))</f>
        <v/>
      </c>
      <c r="N89" s="56">
        <f>IF(OR($M89="",$V89="Sub"),"",IF($M89&gt;=1,"Completado",IF($M89&gt;0,"En curso","Pendiente")))</f>
        <v/>
      </c>
      <c r="O89" s="56">
        <f>IF(NOT((COUNTA($B89:$D89)+COUNTA($G89:$H89)+COUNTA($Q89))&gt;0),"",IF(AND(AND($D89&lt;&gt;"",$V89="Macro"),N($AM89)&gt;0),CHOOSE(MATCH($D89,ListaPuestos,0),INDEX('Cronograma R. Operacional'!$O$5:$O$1000,$AM89),INDEX('Cronograma R. Normativo'!$O$5:$O$1000,$AM89),INDEX('Cronograma R. Financiero'!$O$5:$O$1000,$AM89),INDEX('Cronograma Asistente Técnico'!$O$5:$O$1000,$AM89))&amp;"",IF(ISNUMBER($G89),IF(AND(ISNUMBER($AS89),$G89&gt;$AS89),"Cumplida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f>IF(NOT((COUNTA($B89:$D89)+COUNTA($G89:$H89)+COUNTA($Q89))&gt;0),"",IF($D89="","Propia",IF($V89&lt;&gt;"Macro","Solo se delegan macroactividades",IF(N($AM89)&gt;0,"✔ Recibida por "&amp;$D89,"⚠ "&amp;$D89&amp;" aún no la agrega"))))</f>
        <v/>
      </c>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IF($V89&lt;&gt;"Sub","",N($X89)*IF(AND(ISNUMBER($G89),$G89&lt;=IF($S89=MesCiclo,InicioCiclo,$S89+MOD(2-WEEKDAY($S89),7))+6),1,MIN(1,MAX(0,IF(ISNUMBER(OFFSET($A$1,ROW()-1,8)),OFFSET($A$1,ROW()-1,8),0)))))</f>
        <v/>
      </c>
      <c r="AE89" s="62">
        <f>IF($V89&lt;&gt;"Sub","",N($X89)*IF(AND(ISNUMBER($G89),$G89&lt;=IF($S89=MesCiclo,InicioCiclo,$S89+MOD(2-WEEKDAY($S89),7))+13),1,MIN(1,MAX(0,IF(ISNUMBER(OFFSET($A$1,ROW()-1,9)),OFFSET($A$1,ROW()-1,9),IF(ISNUMBER(OFFSET($A$1,ROW()-1,8)),OFFSET($A$1,ROW()-1,8),0))))))</f>
        <v/>
      </c>
      <c r="AF89" s="62">
        <f>IF($V89&lt;&gt;"Sub","",N($X89)*IF(AND(ISNUMBER($G89),$G89&lt;=IF($S89=MesCiclo,InicioCiclo,$S89+MOD(2-WEEKDAY($S89),7))+20),1,MIN(1,MAX(0,IF(ISNUMBER(OFFSET($A$1,ROW()-1,10)),OFFSET($A$1,ROW()-1,10),IF(ISNUMBER(OFFSET($A$1,ROW()-1,9)),OFFSET($A$1,ROW()-1,9),IF(ISNUMBER(OFFSET($A$1,ROW()-1,8)),OFFSET($A$1,ROW()-1,8),0)))))))</f>
        <v/>
      </c>
      <c r="AG89" s="62">
        <f>IF($V89&lt;&gt;"Sub","",N($X89)*IF(AND(ISNUMBER($G89),$G89&lt;=IF($S89=MesCiclo,InicioCiclo,$S89+MOD(2-WEEKDAY($S89),7))+27),1,MIN(1,MAX(0,IF(ISNUMBER(OFFSET($A$1,ROW()-1,11)),OFFSET($A$1,ROW()-1,11),IF(ISNUMBER(OFFSET($A$1,ROW()-1,10)),OFFSET($A$1,ROW()-1,10),IF(ISNUMBER(OFFSET($A$1,ROW()-1,9)),OFFSET($A$1,ROW()-1,9),IF(ISNUMBER(OFFSET($A$1,ROW()-1,8)),OFFSET($A$1,ROW()-1,8),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f>IF(NOT(AND($D89&lt;&gt;"",$V89="Macro")),"",IFERROR(CHOOSE(MATCH($D89,ListaPuestos,0),MATCH("[Jefatura] "&amp;$C89,'Cronograma R. Operacional'!$C$5:$C$1000,0),MATCH("[Jefatura] "&amp;$C89,'Cronograma R. Normativo'!$C$5:$C$1000,0),MATCH("[Jefatura] "&amp;$C89,'Cronograma R. Financiero'!$C$5:$C$1000,0),MATCH("[Jefatura] "&amp;$C89,'Cronograma Asistente Técnico'!$C$5:$C$1000,0)),0))</f>
        <v/>
      </c>
      <c r="AN89" s="62">
        <f>IF(AND(AND($D89&lt;&gt;"",$V89="Macro"),$S89=MesCiclo),COUNTIFS($D$5:$D89,$D89,$S$5:$S89,MesCiclo,$V$5:$V89,"Macro"),"")</f>
        <v/>
      </c>
      <c r="AO89" s="62">
        <f>IF($AN89="","",$D89&amp;"|"&amp;$AN89)</f>
        <v/>
      </c>
      <c r="AP89" s="62">
        <f>IF(AND($D89&lt;&gt;"",$V89="Macro"),$D89&amp;"|"&amp;$C89,"")</f>
        <v/>
      </c>
      <c r="AQ89" s="62">
        <f>""</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t="n"/>
      <c r="F90" s="59" t="n"/>
      <c r="G90" s="59" t="n"/>
      <c r="H90" s="60" t="n"/>
      <c r="I90" s="60">
        <f>IF(N($W90)=0,"",IF(AND($S90=MesCiclo,1&gt;SemanaActual),"",MIN(1,SUMIFS(OFFSET($A$1,ROW(),29,1000-ROW(),1),OFFSET($A$1,ROW(),20,1000-ROW(),1),ROW(),OFFSET($A$1,ROW(),21,1000-ROW(),1),"Sub"))))</f>
        <v/>
      </c>
      <c r="J90" s="60">
        <f>IF(N($W90)=0,"",IF(AND($S90=MesCiclo,2&gt;SemanaActual),"",MIN(1,SUMIFS(OFFSET($A$1,ROW(),30,1000-ROW(),1),OFFSET($A$1,ROW(),20,1000-ROW(),1),ROW(),OFFSET($A$1,ROW(),21,1000-ROW(),1),"Sub"))))</f>
        <v/>
      </c>
      <c r="K90" s="60">
        <f>IF(N($W90)=0,"",IF(AND($S90=MesCiclo,3&gt;SemanaActual),"",MIN(1,SUMIFS(OFFSET($A$1,ROW(),31,1000-ROW(),1),OFFSET($A$1,ROW(),20,1000-ROW(),1),ROW(),OFFSET($A$1,ROW(),21,1000-ROW(),1),"Sub"))))</f>
        <v/>
      </c>
      <c r="L90" s="60">
        <f>IF(N($W90)=0,"",IF(AND($S90=MesCiclo,4&gt;SemanaActual),"",MIN(1,SUMIFS(OFFSET($A$1,ROW(),32,1000-ROW(),1),OFFSET($A$1,ROW(),20,1000-ROW(),1),ROW(),OFFSET($A$1,ROW(),21,1000-ROW(),1),"Sub"))))</f>
        <v/>
      </c>
      <c r="M90" s="61">
        <f>IF(NOT((COUNTA($B90:$D90)+COUNTA($G90:$H90)+COUNTA($Q90))&gt;0),"",IF(AND($D90&lt;&gt;"",$V90="Macro"),IF(N($AM90)&gt;0,N(CHOOSE(MATCH($D90,ListaPuestos,0),INDEX('Cronograma R. Operacional'!$M$5:$M$1000,$AM90),INDEX('Cronograma R. Normativo'!$M$5:$M$1000,$AM90),INDEX('Cronograma R. Financiero'!$M$5:$M$1000,$AM90),INDEX('Cronograma Asistente Técnico'!$M$5:$M$1000,$AM90))),0),IF(ISNUMBER($G90),1,IF(N($W90)&gt;0,MIN(1,SUMIFS($Y$5:$Y$1000,$U$5:$U$1000,ROW(),$V$5:$V$1000,"Sub")),$Y90))))</f>
        <v/>
      </c>
      <c r="N90" s="56">
        <f>IF(OR($M90="",$V90="Sub"),"",IF($M90&gt;=1,"Completado",IF($M90&gt;0,"En curso","Pendiente")))</f>
        <v/>
      </c>
      <c r="O90" s="56">
        <f>IF(NOT((COUNTA($B90:$D90)+COUNTA($G90:$H90)+COUNTA($Q90))&gt;0),"",IF(AND(AND($D90&lt;&gt;"",$V90="Macro"),N($AM90)&gt;0),CHOOSE(MATCH($D90,ListaPuestos,0),INDEX('Cronograma R. Operacional'!$O$5:$O$1000,$AM90),INDEX('Cronograma R. Normativo'!$O$5:$O$1000,$AM90),INDEX('Cronograma R. Financiero'!$O$5:$O$1000,$AM90),INDEX('Cronograma Asistente Técnico'!$O$5:$O$1000,$AM90))&amp;"",IF(ISNUMBER($G90),IF(AND(ISNUMBER($AS90),$G90&gt;$AS90),"Cumplida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f>IF(NOT((COUNTA($B90:$D90)+COUNTA($G90:$H90)+COUNTA($Q90))&gt;0),"",IF($D90="","Propia",IF($V90&lt;&gt;"Macro","Solo se delegan macroactividades",IF(N($AM90)&gt;0,"✔ Recibida por "&amp;$D90,"⚠ "&amp;$D90&amp;" aún no la agrega"))))</f>
        <v/>
      </c>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IF($V90&lt;&gt;"Sub","",N($X90)*IF(AND(ISNUMBER($G90),$G90&lt;=IF($S90=MesCiclo,InicioCiclo,$S90+MOD(2-WEEKDAY($S90),7))+6),1,MIN(1,MAX(0,IF(ISNUMBER(OFFSET($A$1,ROW()-1,8)),OFFSET($A$1,ROW()-1,8),0)))))</f>
        <v/>
      </c>
      <c r="AE90" s="62">
        <f>IF($V90&lt;&gt;"Sub","",N($X90)*IF(AND(ISNUMBER($G90),$G90&lt;=IF($S90=MesCiclo,InicioCiclo,$S90+MOD(2-WEEKDAY($S90),7))+13),1,MIN(1,MAX(0,IF(ISNUMBER(OFFSET($A$1,ROW()-1,9)),OFFSET($A$1,ROW()-1,9),IF(ISNUMBER(OFFSET($A$1,ROW()-1,8)),OFFSET($A$1,ROW()-1,8),0))))))</f>
        <v/>
      </c>
      <c r="AF90" s="62">
        <f>IF($V90&lt;&gt;"Sub","",N($X90)*IF(AND(ISNUMBER($G90),$G90&lt;=IF($S90=MesCiclo,InicioCiclo,$S90+MOD(2-WEEKDAY($S90),7))+20),1,MIN(1,MAX(0,IF(ISNUMBER(OFFSET($A$1,ROW()-1,10)),OFFSET($A$1,ROW()-1,10),IF(ISNUMBER(OFFSET($A$1,ROW()-1,9)),OFFSET($A$1,ROW()-1,9),IF(ISNUMBER(OFFSET($A$1,ROW()-1,8)),OFFSET($A$1,ROW()-1,8),0)))))))</f>
        <v/>
      </c>
      <c r="AG90" s="62">
        <f>IF($V90&lt;&gt;"Sub","",N($X90)*IF(AND(ISNUMBER($G90),$G90&lt;=IF($S90=MesCiclo,InicioCiclo,$S90+MOD(2-WEEKDAY($S90),7))+27),1,MIN(1,MAX(0,IF(ISNUMBER(OFFSET($A$1,ROW()-1,11)),OFFSET($A$1,ROW()-1,11),IF(ISNUMBER(OFFSET($A$1,ROW()-1,10)),OFFSET($A$1,ROW()-1,10),IF(ISNUMBER(OFFSET($A$1,ROW()-1,9)),OFFSET($A$1,ROW()-1,9),IF(ISNUMBER(OFFSET($A$1,ROW()-1,8)),OFFSET($A$1,ROW()-1,8),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f>IF(NOT(AND($D90&lt;&gt;"",$V90="Macro")),"",IFERROR(CHOOSE(MATCH($D90,ListaPuestos,0),MATCH("[Jefatura] "&amp;$C90,'Cronograma R. Operacional'!$C$5:$C$1000,0),MATCH("[Jefatura] "&amp;$C90,'Cronograma R. Normativo'!$C$5:$C$1000,0),MATCH("[Jefatura] "&amp;$C90,'Cronograma R. Financiero'!$C$5:$C$1000,0),MATCH("[Jefatura] "&amp;$C90,'Cronograma Asistente Técnico'!$C$5:$C$1000,0)),0))</f>
        <v/>
      </c>
      <c r="AN90" s="62">
        <f>IF(AND(AND($D90&lt;&gt;"",$V90="Macro"),$S90=MesCiclo),COUNTIFS($D$5:$D90,$D90,$S$5:$S90,MesCiclo,$V$5:$V90,"Macro"),"")</f>
        <v/>
      </c>
      <c r="AO90" s="62">
        <f>IF($AN90="","",$D90&amp;"|"&amp;$AN90)</f>
        <v/>
      </c>
      <c r="AP90" s="62">
        <f>IF(AND($D90&lt;&gt;"",$V90="Macro"),$D90&amp;"|"&amp;$C90,"")</f>
        <v/>
      </c>
      <c r="AQ90" s="62">
        <f>""</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t="n"/>
      <c r="F91" s="59" t="n"/>
      <c r="G91" s="59" t="n"/>
      <c r="H91" s="60" t="n"/>
      <c r="I91" s="60">
        <f>IF(N($W91)=0,"",IF(AND($S91=MesCiclo,1&gt;SemanaActual),"",MIN(1,SUMIFS(OFFSET($A$1,ROW(),29,1000-ROW(),1),OFFSET($A$1,ROW(),20,1000-ROW(),1),ROW(),OFFSET($A$1,ROW(),21,1000-ROW(),1),"Sub"))))</f>
        <v/>
      </c>
      <c r="J91" s="60">
        <f>IF(N($W91)=0,"",IF(AND($S91=MesCiclo,2&gt;SemanaActual),"",MIN(1,SUMIFS(OFFSET($A$1,ROW(),30,1000-ROW(),1),OFFSET($A$1,ROW(),20,1000-ROW(),1),ROW(),OFFSET($A$1,ROW(),21,1000-ROW(),1),"Sub"))))</f>
        <v/>
      </c>
      <c r="K91" s="60">
        <f>IF(N($W91)=0,"",IF(AND($S91=MesCiclo,3&gt;SemanaActual),"",MIN(1,SUMIFS(OFFSET($A$1,ROW(),31,1000-ROW(),1),OFFSET($A$1,ROW(),20,1000-ROW(),1),ROW(),OFFSET($A$1,ROW(),21,1000-ROW(),1),"Sub"))))</f>
        <v/>
      </c>
      <c r="L91" s="60">
        <f>IF(N($W91)=0,"",IF(AND($S91=MesCiclo,4&gt;SemanaActual),"",MIN(1,SUMIFS(OFFSET($A$1,ROW(),32,1000-ROW(),1),OFFSET($A$1,ROW(),20,1000-ROW(),1),ROW(),OFFSET($A$1,ROW(),21,1000-ROW(),1),"Sub"))))</f>
        <v/>
      </c>
      <c r="M91" s="61">
        <f>IF(NOT((COUNTA($B91:$D91)+COUNTA($G91:$H91)+COUNTA($Q91))&gt;0),"",IF(AND($D91&lt;&gt;"",$V91="Macro"),IF(N($AM91)&gt;0,N(CHOOSE(MATCH($D91,ListaPuestos,0),INDEX('Cronograma R. Operacional'!$M$5:$M$1000,$AM91),INDEX('Cronograma R. Normativo'!$M$5:$M$1000,$AM91),INDEX('Cronograma R. Financiero'!$M$5:$M$1000,$AM91),INDEX('Cronograma Asistente Técnico'!$M$5:$M$1000,$AM91))),0),IF(ISNUMBER($G91),1,IF(N($W91)&gt;0,MIN(1,SUMIFS($Y$5:$Y$1000,$U$5:$U$1000,ROW(),$V$5:$V$1000,"Sub")),$Y91))))</f>
        <v/>
      </c>
      <c r="N91" s="56">
        <f>IF(OR($M91="",$V91="Sub"),"",IF($M91&gt;=1,"Completado",IF($M91&gt;0,"En curso","Pendiente")))</f>
        <v/>
      </c>
      <c r="O91" s="56">
        <f>IF(NOT((COUNTA($B91:$D91)+COUNTA($G91:$H91)+COUNTA($Q91))&gt;0),"",IF(AND(AND($D91&lt;&gt;"",$V91="Macro"),N($AM91)&gt;0),CHOOSE(MATCH($D91,ListaPuestos,0),INDEX('Cronograma R. Operacional'!$O$5:$O$1000,$AM91),INDEX('Cronograma R. Normativo'!$O$5:$O$1000,$AM91),INDEX('Cronograma R. Financiero'!$O$5:$O$1000,$AM91),INDEX('Cronograma Asistente Técnico'!$O$5:$O$1000,$AM91))&amp;"",IF(ISNUMBER($G91),IF(AND(ISNUMBER($AS91),$G91&gt;$AS91),"Cumplida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f>IF(NOT((COUNTA($B91:$D91)+COUNTA($G91:$H91)+COUNTA($Q91))&gt;0),"",IF($D91="","Propia",IF($V91&lt;&gt;"Macro","Solo se delegan macroactividades",IF(N($AM91)&gt;0,"✔ Recibida por "&amp;$D91,"⚠ "&amp;$D91&amp;" aún no la agrega"))))</f>
        <v/>
      </c>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IF($V91&lt;&gt;"Sub","",N($X91)*IF(AND(ISNUMBER($G91),$G91&lt;=IF($S91=MesCiclo,InicioCiclo,$S91+MOD(2-WEEKDAY($S91),7))+6),1,MIN(1,MAX(0,IF(ISNUMBER(OFFSET($A$1,ROW()-1,8)),OFFSET($A$1,ROW()-1,8),0)))))</f>
        <v/>
      </c>
      <c r="AE91" s="62">
        <f>IF($V91&lt;&gt;"Sub","",N($X91)*IF(AND(ISNUMBER($G91),$G91&lt;=IF($S91=MesCiclo,InicioCiclo,$S91+MOD(2-WEEKDAY($S91),7))+13),1,MIN(1,MAX(0,IF(ISNUMBER(OFFSET($A$1,ROW()-1,9)),OFFSET($A$1,ROW()-1,9),IF(ISNUMBER(OFFSET($A$1,ROW()-1,8)),OFFSET($A$1,ROW()-1,8),0))))))</f>
        <v/>
      </c>
      <c r="AF91" s="62">
        <f>IF($V91&lt;&gt;"Sub","",N($X91)*IF(AND(ISNUMBER($G91),$G91&lt;=IF($S91=MesCiclo,InicioCiclo,$S91+MOD(2-WEEKDAY($S91),7))+20),1,MIN(1,MAX(0,IF(ISNUMBER(OFFSET($A$1,ROW()-1,10)),OFFSET($A$1,ROW()-1,10),IF(ISNUMBER(OFFSET($A$1,ROW()-1,9)),OFFSET($A$1,ROW()-1,9),IF(ISNUMBER(OFFSET($A$1,ROW()-1,8)),OFFSET($A$1,ROW()-1,8),0)))))))</f>
        <v/>
      </c>
      <c r="AG91" s="62">
        <f>IF($V91&lt;&gt;"Sub","",N($X91)*IF(AND(ISNUMBER($G91),$G91&lt;=IF($S91=MesCiclo,InicioCiclo,$S91+MOD(2-WEEKDAY($S91),7))+27),1,MIN(1,MAX(0,IF(ISNUMBER(OFFSET($A$1,ROW()-1,11)),OFFSET($A$1,ROW()-1,11),IF(ISNUMBER(OFFSET($A$1,ROW()-1,10)),OFFSET($A$1,ROW()-1,10),IF(ISNUMBER(OFFSET($A$1,ROW()-1,9)),OFFSET($A$1,ROW()-1,9),IF(ISNUMBER(OFFSET($A$1,ROW()-1,8)),OFFSET($A$1,ROW()-1,8),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f>IF(NOT(AND($D91&lt;&gt;"",$V91="Macro")),"",IFERROR(CHOOSE(MATCH($D91,ListaPuestos,0),MATCH("[Jefatura] "&amp;$C91,'Cronograma R. Operacional'!$C$5:$C$1000,0),MATCH("[Jefatura] "&amp;$C91,'Cronograma R. Normativo'!$C$5:$C$1000,0),MATCH("[Jefatura] "&amp;$C91,'Cronograma R. Financiero'!$C$5:$C$1000,0),MATCH("[Jefatura] "&amp;$C91,'Cronograma Asistente Técnico'!$C$5:$C$1000,0)),0))</f>
        <v/>
      </c>
      <c r="AN91" s="62">
        <f>IF(AND(AND($D91&lt;&gt;"",$V91="Macro"),$S91=MesCiclo),COUNTIFS($D$5:$D91,$D91,$S$5:$S91,MesCiclo,$V$5:$V91,"Macro"),"")</f>
        <v/>
      </c>
      <c r="AO91" s="62">
        <f>IF($AN91="","",$D91&amp;"|"&amp;$AN91)</f>
        <v/>
      </c>
      <c r="AP91" s="62">
        <f>IF(AND($D91&lt;&gt;"",$V91="Macro"),$D91&amp;"|"&amp;$C91,"")</f>
        <v/>
      </c>
      <c r="AQ91" s="62">
        <f>""</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t="n"/>
      <c r="F92" s="59" t="n"/>
      <c r="G92" s="59" t="n"/>
      <c r="H92" s="60" t="n"/>
      <c r="I92" s="60">
        <f>IF(N($W92)=0,"",IF(AND($S92=MesCiclo,1&gt;SemanaActual),"",MIN(1,SUMIFS(OFFSET($A$1,ROW(),29,1000-ROW(),1),OFFSET($A$1,ROW(),20,1000-ROW(),1),ROW(),OFFSET($A$1,ROW(),21,1000-ROW(),1),"Sub"))))</f>
        <v/>
      </c>
      <c r="J92" s="60">
        <f>IF(N($W92)=0,"",IF(AND($S92=MesCiclo,2&gt;SemanaActual),"",MIN(1,SUMIFS(OFFSET($A$1,ROW(),30,1000-ROW(),1),OFFSET($A$1,ROW(),20,1000-ROW(),1),ROW(),OFFSET($A$1,ROW(),21,1000-ROW(),1),"Sub"))))</f>
        <v/>
      </c>
      <c r="K92" s="60">
        <f>IF(N($W92)=0,"",IF(AND($S92=MesCiclo,3&gt;SemanaActual),"",MIN(1,SUMIFS(OFFSET($A$1,ROW(),31,1000-ROW(),1),OFFSET($A$1,ROW(),20,1000-ROW(),1),ROW(),OFFSET($A$1,ROW(),21,1000-ROW(),1),"Sub"))))</f>
        <v/>
      </c>
      <c r="L92" s="60">
        <f>IF(N($W92)=0,"",IF(AND($S92=MesCiclo,4&gt;SemanaActual),"",MIN(1,SUMIFS(OFFSET($A$1,ROW(),32,1000-ROW(),1),OFFSET($A$1,ROW(),20,1000-ROW(),1),ROW(),OFFSET($A$1,ROW(),21,1000-ROW(),1),"Sub"))))</f>
        <v/>
      </c>
      <c r="M92" s="61">
        <f>IF(NOT((COUNTA($B92:$D92)+COUNTA($G92:$H92)+COUNTA($Q92))&gt;0),"",IF(AND($D92&lt;&gt;"",$V92="Macro"),IF(N($AM92)&gt;0,N(CHOOSE(MATCH($D92,ListaPuestos,0),INDEX('Cronograma R. Operacional'!$M$5:$M$1000,$AM92),INDEX('Cronograma R. Normativo'!$M$5:$M$1000,$AM92),INDEX('Cronograma R. Financiero'!$M$5:$M$1000,$AM92),INDEX('Cronograma Asistente Técnico'!$M$5:$M$1000,$AM92))),0),IF(ISNUMBER($G92),1,IF(N($W92)&gt;0,MIN(1,SUMIFS($Y$5:$Y$1000,$U$5:$U$1000,ROW(),$V$5:$V$1000,"Sub")),$Y92))))</f>
        <v/>
      </c>
      <c r="N92" s="56">
        <f>IF(OR($M92="",$V92="Sub"),"",IF($M92&gt;=1,"Completado",IF($M92&gt;0,"En curso","Pendiente")))</f>
        <v/>
      </c>
      <c r="O92" s="56">
        <f>IF(NOT((COUNTA($B92:$D92)+COUNTA($G92:$H92)+COUNTA($Q92))&gt;0),"",IF(AND(AND($D92&lt;&gt;"",$V92="Macro"),N($AM92)&gt;0),CHOOSE(MATCH($D92,ListaPuestos,0),INDEX('Cronograma R. Operacional'!$O$5:$O$1000,$AM92),INDEX('Cronograma R. Normativo'!$O$5:$O$1000,$AM92),INDEX('Cronograma R. Financiero'!$O$5:$O$1000,$AM92),INDEX('Cronograma Asistente Técnico'!$O$5:$O$1000,$AM92))&amp;"",IF(ISNUMBER($G92),IF(AND(ISNUMBER($AS92),$G92&gt;$AS92),"Cumplida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f>IF(NOT((COUNTA($B92:$D92)+COUNTA($G92:$H92)+COUNTA($Q92))&gt;0),"",IF($D92="","Propia",IF($V92&lt;&gt;"Macro","Solo se delegan macroactividades",IF(N($AM92)&gt;0,"✔ Recibida por "&amp;$D92,"⚠ "&amp;$D92&amp;" aún no la agrega"))))</f>
        <v/>
      </c>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IF($V92&lt;&gt;"Sub","",N($X92)*IF(AND(ISNUMBER($G92),$G92&lt;=IF($S92=MesCiclo,InicioCiclo,$S92+MOD(2-WEEKDAY($S92),7))+6),1,MIN(1,MAX(0,IF(ISNUMBER(OFFSET($A$1,ROW()-1,8)),OFFSET($A$1,ROW()-1,8),0)))))</f>
        <v/>
      </c>
      <c r="AE92" s="62">
        <f>IF($V92&lt;&gt;"Sub","",N($X92)*IF(AND(ISNUMBER($G92),$G92&lt;=IF($S92=MesCiclo,InicioCiclo,$S92+MOD(2-WEEKDAY($S92),7))+13),1,MIN(1,MAX(0,IF(ISNUMBER(OFFSET($A$1,ROW()-1,9)),OFFSET($A$1,ROW()-1,9),IF(ISNUMBER(OFFSET($A$1,ROW()-1,8)),OFFSET($A$1,ROW()-1,8),0))))))</f>
        <v/>
      </c>
      <c r="AF92" s="62">
        <f>IF($V92&lt;&gt;"Sub","",N($X92)*IF(AND(ISNUMBER($G92),$G92&lt;=IF($S92=MesCiclo,InicioCiclo,$S92+MOD(2-WEEKDAY($S92),7))+20),1,MIN(1,MAX(0,IF(ISNUMBER(OFFSET($A$1,ROW()-1,10)),OFFSET($A$1,ROW()-1,10),IF(ISNUMBER(OFFSET($A$1,ROW()-1,9)),OFFSET($A$1,ROW()-1,9),IF(ISNUMBER(OFFSET($A$1,ROW()-1,8)),OFFSET($A$1,ROW()-1,8),0)))))))</f>
        <v/>
      </c>
      <c r="AG92" s="62">
        <f>IF($V92&lt;&gt;"Sub","",N($X92)*IF(AND(ISNUMBER($G92),$G92&lt;=IF($S92=MesCiclo,InicioCiclo,$S92+MOD(2-WEEKDAY($S92),7))+27),1,MIN(1,MAX(0,IF(ISNUMBER(OFFSET($A$1,ROW()-1,11)),OFFSET($A$1,ROW()-1,11),IF(ISNUMBER(OFFSET($A$1,ROW()-1,10)),OFFSET($A$1,ROW()-1,10),IF(ISNUMBER(OFFSET($A$1,ROW()-1,9)),OFFSET($A$1,ROW()-1,9),IF(ISNUMBER(OFFSET($A$1,ROW()-1,8)),OFFSET($A$1,ROW()-1,8),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f>IF(NOT(AND($D92&lt;&gt;"",$V92="Macro")),"",IFERROR(CHOOSE(MATCH($D92,ListaPuestos,0),MATCH("[Jefatura] "&amp;$C92,'Cronograma R. Operacional'!$C$5:$C$1000,0),MATCH("[Jefatura] "&amp;$C92,'Cronograma R. Normativo'!$C$5:$C$1000,0),MATCH("[Jefatura] "&amp;$C92,'Cronograma R. Financiero'!$C$5:$C$1000,0),MATCH("[Jefatura] "&amp;$C92,'Cronograma Asistente Técnico'!$C$5:$C$1000,0)),0))</f>
        <v/>
      </c>
      <c r="AN92" s="62">
        <f>IF(AND(AND($D92&lt;&gt;"",$V92="Macro"),$S92=MesCiclo),COUNTIFS($D$5:$D92,$D92,$S$5:$S92,MesCiclo,$V$5:$V92,"Macro"),"")</f>
        <v/>
      </c>
      <c r="AO92" s="62">
        <f>IF($AN92="","",$D92&amp;"|"&amp;$AN92)</f>
        <v/>
      </c>
      <c r="AP92" s="62">
        <f>IF(AND($D92&lt;&gt;"",$V92="Macro"),$D92&amp;"|"&amp;$C92,"")</f>
        <v/>
      </c>
      <c r="AQ92" s="62">
        <f>""</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t="n"/>
      <c r="F93" s="59" t="n"/>
      <c r="G93" s="59" t="n"/>
      <c r="H93" s="60" t="n"/>
      <c r="I93" s="60">
        <f>IF(N($W93)=0,"",IF(AND($S93=MesCiclo,1&gt;SemanaActual),"",MIN(1,SUMIFS(OFFSET($A$1,ROW(),29,1000-ROW(),1),OFFSET($A$1,ROW(),20,1000-ROW(),1),ROW(),OFFSET($A$1,ROW(),21,1000-ROW(),1),"Sub"))))</f>
        <v/>
      </c>
      <c r="J93" s="60">
        <f>IF(N($W93)=0,"",IF(AND($S93=MesCiclo,2&gt;SemanaActual),"",MIN(1,SUMIFS(OFFSET($A$1,ROW(),30,1000-ROW(),1),OFFSET($A$1,ROW(),20,1000-ROW(),1),ROW(),OFFSET($A$1,ROW(),21,1000-ROW(),1),"Sub"))))</f>
        <v/>
      </c>
      <c r="K93" s="60">
        <f>IF(N($W93)=0,"",IF(AND($S93=MesCiclo,3&gt;SemanaActual),"",MIN(1,SUMIFS(OFFSET($A$1,ROW(),31,1000-ROW(),1),OFFSET($A$1,ROW(),20,1000-ROW(),1),ROW(),OFFSET($A$1,ROW(),21,1000-ROW(),1),"Sub"))))</f>
        <v/>
      </c>
      <c r="L93" s="60">
        <f>IF(N($W93)=0,"",IF(AND($S93=MesCiclo,4&gt;SemanaActual),"",MIN(1,SUMIFS(OFFSET($A$1,ROW(),32,1000-ROW(),1),OFFSET($A$1,ROW(),20,1000-ROW(),1),ROW(),OFFSET($A$1,ROW(),21,1000-ROW(),1),"Sub"))))</f>
        <v/>
      </c>
      <c r="M93" s="61">
        <f>IF(NOT((COUNTA($B93:$D93)+COUNTA($G93:$H93)+COUNTA($Q93))&gt;0),"",IF(AND($D93&lt;&gt;"",$V93="Macro"),IF(N($AM93)&gt;0,N(CHOOSE(MATCH($D93,ListaPuestos,0),INDEX('Cronograma R. Operacional'!$M$5:$M$1000,$AM93),INDEX('Cronograma R. Normativo'!$M$5:$M$1000,$AM93),INDEX('Cronograma R. Financiero'!$M$5:$M$1000,$AM93),INDEX('Cronograma Asistente Técnico'!$M$5:$M$1000,$AM93))),0),IF(ISNUMBER($G93),1,IF(N($W93)&gt;0,MIN(1,SUMIFS($Y$5:$Y$1000,$U$5:$U$1000,ROW(),$V$5:$V$1000,"Sub")),$Y93))))</f>
        <v/>
      </c>
      <c r="N93" s="56">
        <f>IF(OR($M93="",$V93="Sub"),"",IF($M93&gt;=1,"Completado",IF($M93&gt;0,"En curso","Pendiente")))</f>
        <v/>
      </c>
      <c r="O93" s="56">
        <f>IF(NOT((COUNTA($B93:$D93)+COUNTA($G93:$H93)+COUNTA($Q93))&gt;0),"",IF(AND(AND($D93&lt;&gt;"",$V93="Macro"),N($AM93)&gt;0),CHOOSE(MATCH($D93,ListaPuestos,0),INDEX('Cronograma R. Operacional'!$O$5:$O$1000,$AM93),INDEX('Cronograma R. Normativo'!$O$5:$O$1000,$AM93),INDEX('Cronograma R. Financiero'!$O$5:$O$1000,$AM93),INDEX('Cronograma Asistente Técnico'!$O$5:$O$1000,$AM93))&amp;"",IF(ISNUMBER($G93),IF(AND(ISNUMBER($AS93),$G93&gt;$AS93),"Cumplida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f>IF(NOT((COUNTA($B93:$D93)+COUNTA($G93:$H93)+COUNTA($Q93))&gt;0),"",IF($D93="","Propia",IF($V93&lt;&gt;"Macro","Solo se delegan macroactividades",IF(N($AM93)&gt;0,"✔ Recibida por "&amp;$D93,"⚠ "&amp;$D93&amp;" aún no la agrega"))))</f>
        <v/>
      </c>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IF($V93&lt;&gt;"Sub","",N($X93)*IF(AND(ISNUMBER($G93),$G93&lt;=IF($S93=MesCiclo,InicioCiclo,$S93+MOD(2-WEEKDAY($S93),7))+6),1,MIN(1,MAX(0,IF(ISNUMBER(OFFSET($A$1,ROW()-1,8)),OFFSET($A$1,ROW()-1,8),0)))))</f>
        <v/>
      </c>
      <c r="AE93" s="62">
        <f>IF($V93&lt;&gt;"Sub","",N($X93)*IF(AND(ISNUMBER($G93),$G93&lt;=IF($S93=MesCiclo,InicioCiclo,$S93+MOD(2-WEEKDAY($S93),7))+13),1,MIN(1,MAX(0,IF(ISNUMBER(OFFSET($A$1,ROW()-1,9)),OFFSET($A$1,ROW()-1,9),IF(ISNUMBER(OFFSET($A$1,ROW()-1,8)),OFFSET($A$1,ROW()-1,8),0))))))</f>
        <v/>
      </c>
      <c r="AF93" s="62">
        <f>IF($V93&lt;&gt;"Sub","",N($X93)*IF(AND(ISNUMBER($G93),$G93&lt;=IF($S93=MesCiclo,InicioCiclo,$S93+MOD(2-WEEKDAY($S93),7))+20),1,MIN(1,MAX(0,IF(ISNUMBER(OFFSET($A$1,ROW()-1,10)),OFFSET($A$1,ROW()-1,10),IF(ISNUMBER(OFFSET($A$1,ROW()-1,9)),OFFSET($A$1,ROW()-1,9),IF(ISNUMBER(OFFSET($A$1,ROW()-1,8)),OFFSET($A$1,ROW()-1,8),0)))))))</f>
        <v/>
      </c>
      <c r="AG93" s="62">
        <f>IF($V93&lt;&gt;"Sub","",N($X93)*IF(AND(ISNUMBER($G93),$G93&lt;=IF($S93=MesCiclo,InicioCiclo,$S93+MOD(2-WEEKDAY($S93),7))+27),1,MIN(1,MAX(0,IF(ISNUMBER(OFFSET($A$1,ROW()-1,11)),OFFSET($A$1,ROW()-1,11),IF(ISNUMBER(OFFSET($A$1,ROW()-1,10)),OFFSET($A$1,ROW()-1,10),IF(ISNUMBER(OFFSET($A$1,ROW()-1,9)),OFFSET($A$1,ROW()-1,9),IF(ISNUMBER(OFFSET($A$1,ROW()-1,8)),OFFSET($A$1,ROW()-1,8),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f>IF(NOT(AND($D93&lt;&gt;"",$V93="Macro")),"",IFERROR(CHOOSE(MATCH($D93,ListaPuestos,0),MATCH("[Jefatura] "&amp;$C93,'Cronograma R. Operacional'!$C$5:$C$1000,0),MATCH("[Jefatura] "&amp;$C93,'Cronograma R. Normativo'!$C$5:$C$1000,0),MATCH("[Jefatura] "&amp;$C93,'Cronograma R. Financiero'!$C$5:$C$1000,0),MATCH("[Jefatura] "&amp;$C93,'Cronograma Asistente Técnico'!$C$5:$C$1000,0)),0))</f>
        <v/>
      </c>
      <c r="AN93" s="62">
        <f>IF(AND(AND($D93&lt;&gt;"",$V93="Macro"),$S93=MesCiclo),COUNTIFS($D$5:$D93,$D93,$S$5:$S93,MesCiclo,$V$5:$V93,"Macro"),"")</f>
        <v/>
      </c>
      <c r="AO93" s="62">
        <f>IF($AN93="","",$D93&amp;"|"&amp;$AN93)</f>
        <v/>
      </c>
      <c r="AP93" s="62">
        <f>IF(AND($D93&lt;&gt;"",$V93="Macro"),$D93&amp;"|"&amp;$C93,"")</f>
        <v/>
      </c>
      <c r="AQ93" s="62">
        <f>""</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t="n"/>
      <c r="F94" s="59" t="n"/>
      <c r="G94" s="59" t="n"/>
      <c r="H94" s="60" t="n"/>
      <c r="I94" s="60">
        <f>IF(N($W94)=0,"",IF(AND($S94=MesCiclo,1&gt;SemanaActual),"",MIN(1,SUMIFS(OFFSET($A$1,ROW(),29,1000-ROW(),1),OFFSET($A$1,ROW(),20,1000-ROW(),1),ROW(),OFFSET($A$1,ROW(),21,1000-ROW(),1),"Sub"))))</f>
        <v/>
      </c>
      <c r="J94" s="60">
        <f>IF(N($W94)=0,"",IF(AND($S94=MesCiclo,2&gt;SemanaActual),"",MIN(1,SUMIFS(OFFSET($A$1,ROW(),30,1000-ROW(),1),OFFSET($A$1,ROW(),20,1000-ROW(),1),ROW(),OFFSET($A$1,ROW(),21,1000-ROW(),1),"Sub"))))</f>
        <v/>
      </c>
      <c r="K94" s="60">
        <f>IF(N($W94)=0,"",IF(AND($S94=MesCiclo,3&gt;SemanaActual),"",MIN(1,SUMIFS(OFFSET($A$1,ROW(),31,1000-ROW(),1),OFFSET($A$1,ROW(),20,1000-ROW(),1),ROW(),OFFSET($A$1,ROW(),21,1000-ROW(),1),"Sub"))))</f>
        <v/>
      </c>
      <c r="L94" s="60">
        <f>IF(N($W94)=0,"",IF(AND($S94=MesCiclo,4&gt;SemanaActual),"",MIN(1,SUMIFS(OFFSET($A$1,ROW(),32,1000-ROW(),1),OFFSET($A$1,ROW(),20,1000-ROW(),1),ROW(),OFFSET($A$1,ROW(),21,1000-ROW(),1),"Sub"))))</f>
        <v/>
      </c>
      <c r="M94" s="61">
        <f>IF(NOT((COUNTA($B94:$D94)+COUNTA($G94:$H94)+COUNTA($Q94))&gt;0),"",IF(AND($D94&lt;&gt;"",$V94="Macro"),IF(N($AM94)&gt;0,N(CHOOSE(MATCH($D94,ListaPuestos,0),INDEX('Cronograma R. Operacional'!$M$5:$M$1000,$AM94),INDEX('Cronograma R. Normativo'!$M$5:$M$1000,$AM94),INDEX('Cronograma R. Financiero'!$M$5:$M$1000,$AM94),INDEX('Cronograma Asistente Técnico'!$M$5:$M$1000,$AM94))),0),IF(ISNUMBER($G94),1,IF(N($W94)&gt;0,MIN(1,SUMIFS($Y$5:$Y$1000,$U$5:$U$1000,ROW(),$V$5:$V$1000,"Sub")),$Y94))))</f>
        <v/>
      </c>
      <c r="N94" s="56">
        <f>IF(OR($M94="",$V94="Sub"),"",IF($M94&gt;=1,"Completado",IF($M94&gt;0,"En curso","Pendiente")))</f>
        <v/>
      </c>
      <c r="O94" s="56">
        <f>IF(NOT((COUNTA($B94:$D94)+COUNTA($G94:$H94)+COUNTA($Q94))&gt;0),"",IF(AND(AND($D94&lt;&gt;"",$V94="Macro"),N($AM94)&gt;0),CHOOSE(MATCH($D94,ListaPuestos,0),INDEX('Cronograma R. Operacional'!$O$5:$O$1000,$AM94),INDEX('Cronograma R. Normativo'!$O$5:$O$1000,$AM94),INDEX('Cronograma R. Financiero'!$O$5:$O$1000,$AM94),INDEX('Cronograma Asistente Técnico'!$O$5:$O$1000,$AM94))&amp;"",IF(ISNUMBER($G94),IF(AND(ISNUMBER($AS94),$G94&gt;$AS94),"Cumplida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f>IF(NOT((COUNTA($B94:$D94)+COUNTA($G94:$H94)+COUNTA($Q94))&gt;0),"",IF($D94="","Propia",IF($V94&lt;&gt;"Macro","Solo se delegan macroactividades",IF(N($AM94)&gt;0,"✔ Recibida por "&amp;$D94,"⚠ "&amp;$D94&amp;" aún no la agrega"))))</f>
        <v/>
      </c>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IF($V94&lt;&gt;"Sub","",N($X94)*IF(AND(ISNUMBER($G94),$G94&lt;=IF($S94=MesCiclo,InicioCiclo,$S94+MOD(2-WEEKDAY($S94),7))+6),1,MIN(1,MAX(0,IF(ISNUMBER(OFFSET($A$1,ROW()-1,8)),OFFSET($A$1,ROW()-1,8),0)))))</f>
        <v/>
      </c>
      <c r="AE94" s="62">
        <f>IF($V94&lt;&gt;"Sub","",N($X94)*IF(AND(ISNUMBER($G94),$G94&lt;=IF($S94=MesCiclo,InicioCiclo,$S94+MOD(2-WEEKDAY($S94),7))+13),1,MIN(1,MAX(0,IF(ISNUMBER(OFFSET($A$1,ROW()-1,9)),OFFSET($A$1,ROW()-1,9),IF(ISNUMBER(OFFSET($A$1,ROW()-1,8)),OFFSET($A$1,ROW()-1,8),0))))))</f>
        <v/>
      </c>
      <c r="AF94" s="62">
        <f>IF($V94&lt;&gt;"Sub","",N($X94)*IF(AND(ISNUMBER($G94),$G94&lt;=IF($S94=MesCiclo,InicioCiclo,$S94+MOD(2-WEEKDAY($S94),7))+20),1,MIN(1,MAX(0,IF(ISNUMBER(OFFSET($A$1,ROW()-1,10)),OFFSET($A$1,ROW()-1,10),IF(ISNUMBER(OFFSET($A$1,ROW()-1,9)),OFFSET($A$1,ROW()-1,9),IF(ISNUMBER(OFFSET($A$1,ROW()-1,8)),OFFSET($A$1,ROW()-1,8),0)))))))</f>
        <v/>
      </c>
      <c r="AG94" s="62">
        <f>IF($V94&lt;&gt;"Sub","",N($X94)*IF(AND(ISNUMBER($G94),$G94&lt;=IF($S94=MesCiclo,InicioCiclo,$S94+MOD(2-WEEKDAY($S94),7))+27),1,MIN(1,MAX(0,IF(ISNUMBER(OFFSET($A$1,ROW()-1,11)),OFFSET($A$1,ROW()-1,11),IF(ISNUMBER(OFFSET($A$1,ROW()-1,10)),OFFSET($A$1,ROW()-1,10),IF(ISNUMBER(OFFSET($A$1,ROW()-1,9)),OFFSET($A$1,ROW()-1,9),IF(ISNUMBER(OFFSET($A$1,ROW()-1,8)),OFFSET($A$1,ROW()-1,8),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f>IF(NOT(AND($D94&lt;&gt;"",$V94="Macro")),"",IFERROR(CHOOSE(MATCH($D94,ListaPuestos,0),MATCH("[Jefatura] "&amp;$C94,'Cronograma R. Operacional'!$C$5:$C$1000,0),MATCH("[Jefatura] "&amp;$C94,'Cronograma R. Normativo'!$C$5:$C$1000,0),MATCH("[Jefatura] "&amp;$C94,'Cronograma R. Financiero'!$C$5:$C$1000,0),MATCH("[Jefatura] "&amp;$C94,'Cronograma Asistente Técnico'!$C$5:$C$1000,0)),0))</f>
        <v/>
      </c>
      <c r="AN94" s="62">
        <f>IF(AND(AND($D94&lt;&gt;"",$V94="Macro"),$S94=MesCiclo),COUNTIFS($D$5:$D94,$D94,$S$5:$S94,MesCiclo,$V$5:$V94,"Macro"),"")</f>
        <v/>
      </c>
      <c r="AO94" s="62">
        <f>IF($AN94="","",$D94&amp;"|"&amp;$AN94)</f>
        <v/>
      </c>
      <c r="AP94" s="62">
        <f>IF(AND($D94&lt;&gt;"",$V94="Macro"),$D94&amp;"|"&amp;$C94,"")</f>
        <v/>
      </c>
      <c r="AQ94" s="62">
        <f>""</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t="n"/>
      <c r="F95" s="59" t="n"/>
      <c r="G95" s="59" t="n"/>
      <c r="H95" s="60" t="n"/>
      <c r="I95" s="60">
        <f>IF(N($W95)=0,"",IF(AND($S95=MesCiclo,1&gt;SemanaActual),"",MIN(1,SUMIFS(OFFSET($A$1,ROW(),29,1000-ROW(),1),OFFSET($A$1,ROW(),20,1000-ROW(),1),ROW(),OFFSET($A$1,ROW(),21,1000-ROW(),1),"Sub"))))</f>
        <v/>
      </c>
      <c r="J95" s="60">
        <f>IF(N($W95)=0,"",IF(AND($S95=MesCiclo,2&gt;SemanaActual),"",MIN(1,SUMIFS(OFFSET($A$1,ROW(),30,1000-ROW(),1),OFFSET($A$1,ROW(),20,1000-ROW(),1),ROW(),OFFSET($A$1,ROW(),21,1000-ROW(),1),"Sub"))))</f>
        <v/>
      </c>
      <c r="K95" s="60">
        <f>IF(N($W95)=0,"",IF(AND($S95=MesCiclo,3&gt;SemanaActual),"",MIN(1,SUMIFS(OFFSET($A$1,ROW(),31,1000-ROW(),1),OFFSET($A$1,ROW(),20,1000-ROW(),1),ROW(),OFFSET($A$1,ROW(),21,1000-ROW(),1),"Sub"))))</f>
        <v/>
      </c>
      <c r="L95" s="60">
        <f>IF(N($W95)=0,"",IF(AND($S95=MesCiclo,4&gt;SemanaActual),"",MIN(1,SUMIFS(OFFSET($A$1,ROW(),32,1000-ROW(),1),OFFSET($A$1,ROW(),20,1000-ROW(),1),ROW(),OFFSET($A$1,ROW(),21,1000-ROW(),1),"Sub"))))</f>
        <v/>
      </c>
      <c r="M95" s="61">
        <f>IF(NOT((COUNTA($B95:$D95)+COUNTA($G95:$H95)+COUNTA($Q95))&gt;0),"",IF(AND($D95&lt;&gt;"",$V95="Macro"),IF(N($AM95)&gt;0,N(CHOOSE(MATCH($D95,ListaPuestos,0),INDEX('Cronograma R. Operacional'!$M$5:$M$1000,$AM95),INDEX('Cronograma R. Normativo'!$M$5:$M$1000,$AM95),INDEX('Cronograma R. Financiero'!$M$5:$M$1000,$AM95),INDEX('Cronograma Asistente Técnico'!$M$5:$M$1000,$AM95))),0),IF(ISNUMBER($G95),1,IF(N($W95)&gt;0,MIN(1,SUMIFS($Y$5:$Y$1000,$U$5:$U$1000,ROW(),$V$5:$V$1000,"Sub")),$Y95))))</f>
        <v/>
      </c>
      <c r="N95" s="56">
        <f>IF(OR($M95="",$V95="Sub"),"",IF($M95&gt;=1,"Completado",IF($M95&gt;0,"En curso","Pendiente")))</f>
        <v/>
      </c>
      <c r="O95" s="56">
        <f>IF(NOT((COUNTA($B95:$D95)+COUNTA($G95:$H95)+COUNTA($Q95))&gt;0),"",IF(AND(AND($D95&lt;&gt;"",$V95="Macro"),N($AM95)&gt;0),CHOOSE(MATCH($D95,ListaPuestos,0),INDEX('Cronograma R. Operacional'!$O$5:$O$1000,$AM95),INDEX('Cronograma R. Normativo'!$O$5:$O$1000,$AM95),INDEX('Cronograma R. Financiero'!$O$5:$O$1000,$AM95),INDEX('Cronograma Asistente Técnico'!$O$5:$O$1000,$AM95))&amp;"",IF(ISNUMBER($G95),IF(AND(ISNUMBER($AS95),$G95&gt;$AS95),"Cumplida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f>IF(NOT((COUNTA($B95:$D95)+COUNTA($G95:$H95)+COUNTA($Q95))&gt;0),"",IF($D95="","Propia",IF($V95&lt;&gt;"Macro","Solo se delegan macroactividades",IF(N($AM95)&gt;0,"✔ Recibida por "&amp;$D95,"⚠ "&amp;$D95&amp;" aún no la agrega"))))</f>
        <v/>
      </c>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IF($V95&lt;&gt;"Sub","",N($X95)*IF(AND(ISNUMBER($G95),$G95&lt;=IF($S95=MesCiclo,InicioCiclo,$S95+MOD(2-WEEKDAY($S95),7))+6),1,MIN(1,MAX(0,IF(ISNUMBER(OFFSET($A$1,ROW()-1,8)),OFFSET($A$1,ROW()-1,8),0)))))</f>
        <v/>
      </c>
      <c r="AE95" s="62">
        <f>IF($V95&lt;&gt;"Sub","",N($X95)*IF(AND(ISNUMBER($G95),$G95&lt;=IF($S95=MesCiclo,InicioCiclo,$S95+MOD(2-WEEKDAY($S95),7))+13),1,MIN(1,MAX(0,IF(ISNUMBER(OFFSET($A$1,ROW()-1,9)),OFFSET($A$1,ROW()-1,9),IF(ISNUMBER(OFFSET($A$1,ROW()-1,8)),OFFSET($A$1,ROW()-1,8),0))))))</f>
        <v/>
      </c>
      <c r="AF95" s="62">
        <f>IF($V95&lt;&gt;"Sub","",N($X95)*IF(AND(ISNUMBER($G95),$G95&lt;=IF($S95=MesCiclo,InicioCiclo,$S95+MOD(2-WEEKDAY($S95),7))+20),1,MIN(1,MAX(0,IF(ISNUMBER(OFFSET($A$1,ROW()-1,10)),OFFSET($A$1,ROW()-1,10),IF(ISNUMBER(OFFSET($A$1,ROW()-1,9)),OFFSET($A$1,ROW()-1,9),IF(ISNUMBER(OFFSET($A$1,ROW()-1,8)),OFFSET($A$1,ROW()-1,8),0)))))))</f>
        <v/>
      </c>
      <c r="AG95" s="62">
        <f>IF($V95&lt;&gt;"Sub","",N($X95)*IF(AND(ISNUMBER($G95),$G95&lt;=IF($S95=MesCiclo,InicioCiclo,$S95+MOD(2-WEEKDAY($S95),7))+27),1,MIN(1,MAX(0,IF(ISNUMBER(OFFSET($A$1,ROW()-1,11)),OFFSET($A$1,ROW()-1,11),IF(ISNUMBER(OFFSET($A$1,ROW()-1,10)),OFFSET($A$1,ROW()-1,10),IF(ISNUMBER(OFFSET($A$1,ROW()-1,9)),OFFSET($A$1,ROW()-1,9),IF(ISNUMBER(OFFSET($A$1,ROW()-1,8)),OFFSET($A$1,ROW()-1,8),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f>IF(NOT(AND($D95&lt;&gt;"",$V95="Macro")),"",IFERROR(CHOOSE(MATCH($D95,ListaPuestos,0),MATCH("[Jefatura] "&amp;$C95,'Cronograma R. Operacional'!$C$5:$C$1000,0),MATCH("[Jefatura] "&amp;$C95,'Cronograma R. Normativo'!$C$5:$C$1000,0),MATCH("[Jefatura] "&amp;$C95,'Cronograma R. Financiero'!$C$5:$C$1000,0),MATCH("[Jefatura] "&amp;$C95,'Cronograma Asistente Técnico'!$C$5:$C$1000,0)),0))</f>
        <v/>
      </c>
      <c r="AN95" s="62">
        <f>IF(AND(AND($D95&lt;&gt;"",$V95="Macro"),$S95=MesCiclo),COUNTIFS($D$5:$D95,$D95,$S$5:$S95,MesCiclo,$V$5:$V95,"Macro"),"")</f>
        <v/>
      </c>
      <c r="AO95" s="62">
        <f>IF($AN95="","",$D95&amp;"|"&amp;$AN95)</f>
        <v/>
      </c>
      <c r="AP95" s="62">
        <f>IF(AND($D95&lt;&gt;"",$V95="Macro"),$D95&amp;"|"&amp;$C95,"")</f>
        <v/>
      </c>
      <c r="AQ95" s="62">
        <f>""</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t="n"/>
      <c r="F96" s="59" t="n"/>
      <c r="G96" s="59" t="n"/>
      <c r="H96" s="60" t="n"/>
      <c r="I96" s="60">
        <f>IF(N($W96)=0,"",IF(AND($S96=MesCiclo,1&gt;SemanaActual),"",MIN(1,SUMIFS(OFFSET($A$1,ROW(),29,1000-ROW(),1),OFFSET($A$1,ROW(),20,1000-ROW(),1),ROW(),OFFSET($A$1,ROW(),21,1000-ROW(),1),"Sub"))))</f>
        <v/>
      </c>
      <c r="J96" s="60">
        <f>IF(N($W96)=0,"",IF(AND($S96=MesCiclo,2&gt;SemanaActual),"",MIN(1,SUMIFS(OFFSET($A$1,ROW(),30,1000-ROW(),1),OFFSET($A$1,ROW(),20,1000-ROW(),1),ROW(),OFFSET($A$1,ROW(),21,1000-ROW(),1),"Sub"))))</f>
        <v/>
      </c>
      <c r="K96" s="60">
        <f>IF(N($W96)=0,"",IF(AND($S96=MesCiclo,3&gt;SemanaActual),"",MIN(1,SUMIFS(OFFSET($A$1,ROW(),31,1000-ROW(),1),OFFSET($A$1,ROW(),20,1000-ROW(),1),ROW(),OFFSET($A$1,ROW(),21,1000-ROW(),1),"Sub"))))</f>
        <v/>
      </c>
      <c r="L96" s="60">
        <f>IF(N($W96)=0,"",IF(AND($S96=MesCiclo,4&gt;SemanaActual),"",MIN(1,SUMIFS(OFFSET($A$1,ROW(),32,1000-ROW(),1),OFFSET($A$1,ROW(),20,1000-ROW(),1),ROW(),OFFSET($A$1,ROW(),21,1000-ROW(),1),"Sub"))))</f>
        <v/>
      </c>
      <c r="M96" s="61">
        <f>IF(NOT((COUNTA($B96:$D96)+COUNTA($G96:$H96)+COUNTA($Q96))&gt;0),"",IF(AND($D96&lt;&gt;"",$V96="Macro"),IF(N($AM96)&gt;0,N(CHOOSE(MATCH($D96,ListaPuestos,0),INDEX('Cronograma R. Operacional'!$M$5:$M$1000,$AM96),INDEX('Cronograma R. Normativo'!$M$5:$M$1000,$AM96),INDEX('Cronograma R. Financiero'!$M$5:$M$1000,$AM96),INDEX('Cronograma Asistente Técnico'!$M$5:$M$1000,$AM96))),0),IF(ISNUMBER($G96),1,IF(N($W96)&gt;0,MIN(1,SUMIFS($Y$5:$Y$1000,$U$5:$U$1000,ROW(),$V$5:$V$1000,"Sub")),$Y96))))</f>
        <v/>
      </c>
      <c r="N96" s="56">
        <f>IF(OR($M96="",$V96="Sub"),"",IF($M96&gt;=1,"Completado",IF($M96&gt;0,"En curso","Pendiente")))</f>
        <v/>
      </c>
      <c r="O96" s="56">
        <f>IF(NOT((COUNTA($B96:$D96)+COUNTA($G96:$H96)+COUNTA($Q96))&gt;0),"",IF(AND(AND($D96&lt;&gt;"",$V96="Macro"),N($AM96)&gt;0),CHOOSE(MATCH($D96,ListaPuestos,0),INDEX('Cronograma R. Operacional'!$O$5:$O$1000,$AM96),INDEX('Cronograma R. Normativo'!$O$5:$O$1000,$AM96),INDEX('Cronograma R. Financiero'!$O$5:$O$1000,$AM96),INDEX('Cronograma Asistente Técnico'!$O$5:$O$1000,$AM96))&amp;"",IF(ISNUMBER($G96),IF(AND(ISNUMBER($AS96),$G96&gt;$AS96),"Cumplida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f>IF(NOT((COUNTA($B96:$D96)+COUNTA($G96:$H96)+COUNTA($Q96))&gt;0),"",IF($D96="","Propia",IF($V96&lt;&gt;"Macro","Solo se delegan macroactividades",IF(N($AM96)&gt;0,"✔ Recibida por "&amp;$D96,"⚠ "&amp;$D96&amp;" aún no la agrega"))))</f>
        <v/>
      </c>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IF($V96&lt;&gt;"Sub","",N($X96)*IF(AND(ISNUMBER($G96),$G96&lt;=IF($S96=MesCiclo,InicioCiclo,$S96+MOD(2-WEEKDAY($S96),7))+6),1,MIN(1,MAX(0,IF(ISNUMBER(OFFSET($A$1,ROW()-1,8)),OFFSET($A$1,ROW()-1,8),0)))))</f>
        <v/>
      </c>
      <c r="AE96" s="62">
        <f>IF($V96&lt;&gt;"Sub","",N($X96)*IF(AND(ISNUMBER($G96),$G96&lt;=IF($S96=MesCiclo,InicioCiclo,$S96+MOD(2-WEEKDAY($S96),7))+13),1,MIN(1,MAX(0,IF(ISNUMBER(OFFSET($A$1,ROW()-1,9)),OFFSET($A$1,ROW()-1,9),IF(ISNUMBER(OFFSET($A$1,ROW()-1,8)),OFFSET($A$1,ROW()-1,8),0))))))</f>
        <v/>
      </c>
      <c r="AF96" s="62">
        <f>IF($V96&lt;&gt;"Sub","",N($X96)*IF(AND(ISNUMBER($G96),$G96&lt;=IF($S96=MesCiclo,InicioCiclo,$S96+MOD(2-WEEKDAY($S96),7))+20),1,MIN(1,MAX(0,IF(ISNUMBER(OFFSET($A$1,ROW()-1,10)),OFFSET($A$1,ROW()-1,10),IF(ISNUMBER(OFFSET($A$1,ROW()-1,9)),OFFSET($A$1,ROW()-1,9),IF(ISNUMBER(OFFSET($A$1,ROW()-1,8)),OFFSET($A$1,ROW()-1,8),0)))))))</f>
        <v/>
      </c>
      <c r="AG96" s="62">
        <f>IF($V96&lt;&gt;"Sub","",N($X96)*IF(AND(ISNUMBER($G96),$G96&lt;=IF($S96=MesCiclo,InicioCiclo,$S96+MOD(2-WEEKDAY($S96),7))+27),1,MIN(1,MAX(0,IF(ISNUMBER(OFFSET($A$1,ROW()-1,11)),OFFSET($A$1,ROW()-1,11),IF(ISNUMBER(OFFSET($A$1,ROW()-1,10)),OFFSET($A$1,ROW()-1,10),IF(ISNUMBER(OFFSET($A$1,ROW()-1,9)),OFFSET($A$1,ROW()-1,9),IF(ISNUMBER(OFFSET($A$1,ROW()-1,8)),OFFSET($A$1,ROW()-1,8),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f>IF(NOT(AND($D96&lt;&gt;"",$V96="Macro")),"",IFERROR(CHOOSE(MATCH($D96,ListaPuestos,0),MATCH("[Jefatura] "&amp;$C96,'Cronograma R. Operacional'!$C$5:$C$1000,0),MATCH("[Jefatura] "&amp;$C96,'Cronograma R. Normativo'!$C$5:$C$1000,0),MATCH("[Jefatura] "&amp;$C96,'Cronograma R. Financiero'!$C$5:$C$1000,0),MATCH("[Jefatura] "&amp;$C96,'Cronograma Asistente Técnico'!$C$5:$C$1000,0)),0))</f>
        <v/>
      </c>
      <c r="AN96" s="62">
        <f>IF(AND(AND($D96&lt;&gt;"",$V96="Macro"),$S96=MesCiclo),COUNTIFS($D$5:$D96,$D96,$S$5:$S96,MesCiclo,$V$5:$V96,"Macro"),"")</f>
        <v/>
      </c>
      <c r="AO96" s="62">
        <f>IF($AN96="","",$D96&amp;"|"&amp;$AN96)</f>
        <v/>
      </c>
      <c r="AP96" s="62">
        <f>IF(AND($D96&lt;&gt;"",$V96="Macro"),$D96&amp;"|"&amp;$C96,"")</f>
        <v/>
      </c>
      <c r="AQ96" s="62">
        <f>""</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t="n"/>
      <c r="F97" s="59" t="n"/>
      <c r="G97" s="59" t="n"/>
      <c r="H97" s="60" t="n"/>
      <c r="I97" s="60">
        <f>IF(N($W97)=0,"",IF(AND($S97=MesCiclo,1&gt;SemanaActual),"",MIN(1,SUMIFS(OFFSET($A$1,ROW(),29,1000-ROW(),1),OFFSET($A$1,ROW(),20,1000-ROW(),1),ROW(),OFFSET($A$1,ROW(),21,1000-ROW(),1),"Sub"))))</f>
        <v/>
      </c>
      <c r="J97" s="60">
        <f>IF(N($W97)=0,"",IF(AND($S97=MesCiclo,2&gt;SemanaActual),"",MIN(1,SUMIFS(OFFSET($A$1,ROW(),30,1000-ROW(),1),OFFSET($A$1,ROW(),20,1000-ROW(),1),ROW(),OFFSET($A$1,ROW(),21,1000-ROW(),1),"Sub"))))</f>
        <v/>
      </c>
      <c r="K97" s="60">
        <f>IF(N($W97)=0,"",IF(AND($S97=MesCiclo,3&gt;SemanaActual),"",MIN(1,SUMIFS(OFFSET($A$1,ROW(),31,1000-ROW(),1),OFFSET($A$1,ROW(),20,1000-ROW(),1),ROW(),OFFSET($A$1,ROW(),21,1000-ROW(),1),"Sub"))))</f>
        <v/>
      </c>
      <c r="L97" s="60">
        <f>IF(N($W97)=0,"",IF(AND($S97=MesCiclo,4&gt;SemanaActual),"",MIN(1,SUMIFS(OFFSET($A$1,ROW(),32,1000-ROW(),1),OFFSET($A$1,ROW(),20,1000-ROW(),1),ROW(),OFFSET($A$1,ROW(),21,1000-ROW(),1),"Sub"))))</f>
        <v/>
      </c>
      <c r="M97" s="61">
        <f>IF(NOT((COUNTA($B97:$D97)+COUNTA($G97:$H97)+COUNTA($Q97))&gt;0),"",IF(AND($D97&lt;&gt;"",$V97="Macro"),IF(N($AM97)&gt;0,N(CHOOSE(MATCH($D97,ListaPuestos,0),INDEX('Cronograma R. Operacional'!$M$5:$M$1000,$AM97),INDEX('Cronograma R. Normativo'!$M$5:$M$1000,$AM97),INDEX('Cronograma R. Financiero'!$M$5:$M$1000,$AM97),INDEX('Cronograma Asistente Técnico'!$M$5:$M$1000,$AM97))),0),IF(ISNUMBER($G97),1,IF(N($W97)&gt;0,MIN(1,SUMIFS($Y$5:$Y$1000,$U$5:$U$1000,ROW(),$V$5:$V$1000,"Sub")),$Y97))))</f>
        <v/>
      </c>
      <c r="N97" s="56">
        <f>IF(OR($M97="",$V97="Sub"),"",IF($M97&gt;=1,"Completado",IF($M97&gt;0,"En curso","Pendiente")))</f>
        <v/>
      </c>
      <c r="O97" s="56">
        <f>IF(NOT((COUNTA($B97:$D97)+COUNTA($G97:$H97)+COUNTA($Q97))&gt;0),"",IF(AND(AND($D97&lt;&gt;"",$V97="Macro"),N($AM97)&gt;0),CHOOSE(MATCH($D97,ListaPuestos,0),INDEX('Cronograma R. Operacional'!$O$5:$O$1000,$AM97),INDEX('Cronograma R. Normativo'!$O$5:$O$1000,$AM97),INDEX('Cronograma R. Financiero'!$O$5:$O$1000,$AM97),INDEX('Cronograma Asistente Técnico'!$O$5:$O$1000,$AM97))&amp;"",IF(ISNUMBER($G97),IF(AND(ISNUMBER($AS97),$G97&gt;$AS97),"Cumplida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f>IF(NOT((COUNTA($B97:$D97)+COUNTA($G97:$H97)+COUNTA($Q97))&gt;0),"",IF($D97="","Propia",IF($V97&lt;&gt;"Macro","Solo se delegan macroactividades",IF(N($AM97)&gt;0,"✔ Recibida por "&amp;$D97,"⚠ "&amp;$D97&amp;" aún no la agrega"))))</f>
        <v/>
      </c>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IF($V97&lt;&gt;"Sub","",N($X97)*IF(AND(ISNUMBER($G97),$G97&lt;=IF($S97=MesCiclo,InicioCiclo,$S97+MOD(2-WEEKDAY($S97),7))+6),1,MIN(1,MAX(0,IF(ISNUMBER(OFFSET($A$1,ROW()-1,8)),OFFSET($A$1,ROW()-1,8),0)))))</f>
        <v/>
      </c>
      <c r="AE97" s="62">
        <f>IF($V97&lt;&gt;"Sub","",N($X97)*IF(AND(ISNUMBER($G97),$G97&lt;=IF($S97=MesCiclo,InicioCiclo,$S97+MOD(2-WEEKDAY($S97),7))+13),1,MIN(1,MAX(0,IF(ISNUMBER(OFFSET($A$1,ROW()-1,9)),OFFSET($A$1,ROW()-1,9),IF(ISNUMBER(OFFSET($A$1,ROW()-1,8)),OFFSET($A$1,ROW()-1,8),0))))))</f>
        <v/>
      </c>
      <c r="AF97" s="62">
        <f>IF($V97&lt;&gt;"Sub","",N($X97)*IF(AND(ISNUMBER($G97),$G97&lt;=IF($S97=MesCiclo,InicioCiclo,$S97+MOD(2-WEEKDAY($S97),7))+20),1,MIN(1,MAX(0,IF(ISNUMBER(OFFSET($A$1,ROW()-1,10)),OFFSET($A$1,ROW()-1,10),IF(ISNUMBER(OFFSET($A$1,ROW()-1,9)),OFFSET($A$1,ROW()-1,9),IF(ISNUMBER(OFFSET($A$1,ROW()-1,8)),OFFSET($A$1,ROW()-1,8),0)))))))</f>
        <v/>
      </c>
      <c r="AG97" s="62">
        <f>IF($V97&lt;&gt;"Sub","",N($X97)*IF(AND(ISNUMBER($G97),$G97&lt;=IF($S97=MesCiclo,InicioCiclo,$S97+MOD(2-WEEKDAY($S97),7))+27),1,MIN(1,MAX(0,IF(ISNUMBER(OFFSET($A$1,ROW()-1,11)),OFFSET($A$1,ROW()-1,11),IF(ISNUMBER(OFFSET($A$1,ROW()-1,10)),OFFSET($A$1,ROW()-1,10),IF(ISNUMBER(OFFSET($A$1,ROW()-1,9)),OFFSET($A$1,ROW()-1,9),IF(ISNUMBER(OFFSET($A$1,ROW()-1,8)),OFFSET($A$1,ROW()-1,8),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f>IF(NOT(AND($D97&lt;&gt;"",$V97="Macro")),"",IFERROR(CHOOSE(MATCH($D97,ListaPuestos,0),MATCH("[Jefatura] "&amp;$C97,'Cronograma R. Operacional'!$C$5:$C$1000,0),MATCH("[Jefatura] "&amp;$C97,'Cronograma R. Normativo'!$C$5:$C$1000,0),MATCH("[Jefatura] "&amp;$C97,'Cronograma R. Financiero'!$C$5:$C$1000,0),MATCH("[Jefatura] "&amp;$C97,'Cronograma Asistente Técnico'!$C$5:$C$1000,0)),0))</f>
        <v/>
      </c>
      <c r="AN97" s="62">
        <f>IF(AND(AND($D97&lt;&gt;"",$V97="Macro"),$S97=MesCiclo),COUNTIFS($D$5:$D97,$D97,$S$5:$S97,MesCiclo,$V$5:$V97,"Macro"),"")</f>
        <v/>
      </c>
      <c r="AO97" s="62">
        <f>IF($AN97="","",$D97&amp;"|"&amp;$AN97)</f>
        <v/>
      </c>
      <c r="AP97" s="62">
        <f>IF(AND($D97&lt;&gt;"",$V97="Macro"),$D97&amp;"|"&amp;$C97,"")</f>
        <v/>
      </c>
      <c r="AQ97" s="62">
        <f>""</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t="n"/>
      <c r="F98" s="59" t="n"/>
      <c r="G98" s="59" t="n"/>
      <c r="H98" s="60" t="n"/>
      <c r="I98" s="60">
        <f>IF(N($W98)=0,"",IF(AND($S98=MesCiclo,1&gt;SemanaActual),"",MIN(1,SUMIFS(OFFSET($A$1,ROW(),29,1000-ROW(),1),OFFSET($A$1,ROW(),20,1000-ROW(),1),ROW(),OFFSET($A$1,ROW(),21,1000-ROW(),1),"Sub"))))</f>
        <v/>
      </c>
      <c r="J98" s="60">
        <f>IF(N($W98)=0,"",IF(AND($S98=MesCiclo,2&gt;SemanaActual),"",MIN(1,SUMIFS(OFFSET($A$1,ROW(),30,1000-ROW(),1),OFFSET($A$1,ROW(),20,1000-ROW(),1),ROW(),OFFSET($A$1,ROW(),21,1000-ROW(),1),"Sub"))))</f>
        <v/>
      </c>
      <c r="K98" s="60">
        <f>IF(N($W98)=0,"",IF(AND($S98=MesCiclo,3&gt;SemanaActual),"",MIN(1,SUMIFS(OFFSET($A$1,ROW(),31,1000-ROW(),1),OFFSET($A$1,ROW(),20,1000-ROW(),1),ROW(),OFFSET($A$1,ROW(),21,1000-ROW(),1),"Sub"))))</f>
        <v/>
      </c>
      <c r="L98" s="60">
        <f>IF(N($W98)=0,"",IF(AND($S98=MesCiclo,4&gt;SemanaActual),"",MIN(1,SUMIFS(OFFSET($A$1,ROW(),32,1000-ROW(),1),OFFSET($A$1,ROW(),20,1000-ROW(),1),ROW(),OFFSET($A$1,ROW(),21,1000-ROW(),1),"Sub"))))</f>
        <v/>
      </c>
      <c r="M98" s="61">
        <f>IF(NOT((COUNTA($B98:$D98)+COUNTA($G98:$H98)+COUNTA($Q98))&gt;0),"",IF(AND($D98&lt;&gt;"",$V98="Macro"),IF(N($AM98)&gt;0,N(CHOOSE(MATCH($D98,ListaPuestos,0),INDEX('Cronograma R. Operacional'!$M$5:$M$1000,$AM98),INDEX('Cronograma R. Normativo'!$M$5:$M$1000,$AM98),INDEX('Cronograma R. Financiero'!$M$5:$M$1000,$AM98),INDEX('Cronograma Asistente Técnico'!$M$5:$M$1000,$AM98))),0),IF(ISNUMBER($G98),1,IF(N($W98)&gt;0,MIN(1,SUMIFS($Y$5:$Y$1000,$U$5:$U$1000,ROW(),$V$5:$V$1000,"Sub")),$Y98))))</f>
        <v/>
      </c>
      <c r="N98" s="56">
        <f>IF(OR($M98="",$V98="Sub"),"",IF($M98&gt;=1,"Completado",IF($M98&gt;0,"En curso","Pendiente")))</f>
        <v/>
      </c>
      <c r="O98" s="56">
        <f>IF(NOT((COUNTA($B98:$D98)+COUNTA($G98:$H98)+COUNTA($Q98))&gt;0),"",IF(AND(AND($D98&lt;&gt;"",$V98="Macro"),N($AM98)&gt;0),CHOOSE(MATCH($D98,ListaPuestos,0),INDEX('Cronograma R. Operacional'!$O$5:$O$1000,$AM98),INDEX('Cronograma R. Normativo'!$O$5:$O$1000,$AM98),INDEX('Cronograma R. Financiero'!$O$5:$O$1000,$AM98),INDEX('Cronograma Asistente Técnico'!$O$5:$O$1000,$AM98))&amp;"",IF(ISNUMBER($G98),IF(AND(ISNUMBER($AS98),$G98&gt;$AS98),"Cumplida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f>IF(NOT((COUNTA($B98:$D98)+COUNTA($G98:$H98)+COUNTA($Q98))&gt;0),"",IF($D98="","Propia",IF($V98&lt;&gt;"Macro","Solo se delegan macroactividades",IF(N($AM98)&gt;0,"✔ Recibida por "&amp;$D98,"⚠ "&amp;$D98&amp;" aún no la agrega"))))</f>
        <v/>
      </c>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IF($V98&lt;&gt;"Sub","",N($X98)*IF(AND(ISNUMBER($G98),$G98&lt;=IF($S98=MesCiclo,InicioCiclo,$S98+MOD(2-WEEKDAY($S98),7))+6),1,MIN(1,MAX(0,IF(ISNUMBER(OFFSET($A$1,ROW()-1,8)),OFFSET($A$1,ROW()-1,8),0)))))</f>
        <v/>
      </c>
      <c r="AE98" s="62">
        <f>IF($V98&lt;&gt;"Sub","",N($X98)*IF(AND(ISNUMBER($G98),$G98&lt;=IF($S98=MesCiclo,InicioCiclo,$S98+MOD(2-WEEKDAY($S98),7))+13),1,MIN(1,MAX(0,IF(ISNUMBER(OFFSET($A$1,ROW()-1,9)),OFFSET($A$1,ROW()-1,9),IF(ISNUMBER(OFFSET($A$1,ROW()-1,8)),OFFSET($A$1,ROW()-1,8),0))))))</f>
        <v/>
      </c>
      <c r="AF98" s="62">
        <f>IF($V98&lt;&gt;"Sub","",N($X98)*IF(AND(ISNUMBER($G98),$G98&lt;=IF($S98=MesCiclo,InicioCiclo,$S98+MOD(2-WEEKDAY($S98),7))+20),1,MIN(1,MAX(0,IF(ISNUMBER(OFFSET($A$1,ROW()-1,10)),OFFSET($A$1,ROW()-1,10),IF(ISNUMBER(OFFSET($A$1,ROW()-1,9)),OFFSET($A$1,ROW()-1,9),IF(ISNUMBER(OFFSET($A$1,ROW()-1,8)),OFFSET($A$1,ROW()-1,8),0)))))))</f>
        <v/>
      </c>
      <c r="AG98" s="62">
        <f>IF($V98&lt;&gt;"Sub","",N($X98)*IF(AND(ISNUMBER($G98),$G98&lt;=IF($S98=MesCiclo,InicioCiclo,$S98+MOD(2-WEEKDAY($S98),7))+27),1,MIN(1,MAX(0,IF(ISNUMBER(OFFSET($A$1,ROW()-1,11)),OFFSET($A$1,ROW()-1,11),IF(ISNUMBER(OFFSET($A$1,ROW()-1,10)),OFFSET($A$1,ROW()-1,10),IF(ISNUMBER(OFFSET($A$1,ROW()-1,9)),OFFSET($A$1,ROW()-1,9),IF(ISNUMBER(OFFSET($A$1,ROW()-1,8)),OFFSET($A$1,ROW()-1,8),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f>IF(NOT(AND($D98&lt;&gt;"",$V98="Macro")),"",IFERROR(CHOOSE(MATCH($D98,ListaPuestos,0),MATCH("[Jefatura] "&amp;$C98,'Cronograma R. Operacional'!$C$5:$C$1000,0),MATCH("[Jefatura] "&amp;$C98,'Cronograma R. Normativo'!$C$5:$C$1000,0),MATCH("[Jefatura] "&amp;$C98,'Cronograma R. Financiero'!$C$5:$C$1000,0),MATCH("[Jefatura] "&amp;$C98,'Cronograma Asistente Técnico'!$C$5:$C$1000,0)),0))</f>
        <v/>
      </c>
      <c r="AN98" s="62">
        <f>IF(AND(AND($D98&lt;&gt;"",$V98="Macro"),$S98=MesCiclo),COUNTIFS($D$5:$D98,$D98,$S$5:$S98,MesCiclo,$V$5:$V98,"Macro"),"")</f>
        <v/>
      </c>
      <c r="AO98" s="62">
        <f>IF($AN98="","",$D98&amp;"|"&amp;$AN98)</f>
        <v/>
      </c>
      <c r="AP98" s="62">
        <f>IF(AND($D98&lt;&gt;"",$V98="Macro"),$D98&amp;"|"&amp;$C98,"")</f>
        <v/>
      </c>
      <c r="AQ98" s="62">
        <f>""</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t="n"/>
      <c r="F99" s="59" t="n"/>
      <c r="G99" s="59" t="n"/>
      <c r="H99" s="60" t="n"/>
      <c r="I99" s="60">
        <f>IF(N($W99)=0,"",IF(AND($S99=MesCiclo,1&gt;SemanaActual),"",MIN(1,SUMIFS(OFFSET($A$1,ROW(),29,1000-ROW(),1),OFFSET($A$1,ROW(),20,1000-ROW(),1),ROW(),OFFSET($A$1,ROW(),21,1000-ROW(),1),"Sub"))))</f>
        <v/>
      </c>
      <c r="J99" s="60">
        <f>IF(N($W99)=0,"",IF(AND($S99=MesCiclo,2&gt;SemanaActual),"",MIN(1,SUMIFS(OFFSET($A$1,ROW(),30,1000-ROW(),1),OFFSET($A$1,ROW(),20,1000-ROW(),1),ROW(),OFFSET($A$1,ROW(),21,1000-ROW(),1),"Sub"))))</f>
        <v/>
      </c>
      <c r="K99" s="60">
        <f>IF(N($W99)=0,"",IF(AND($S99=MesCiclo,3&gt;SemanaActual),"",MIN(1,SUMIFS(OFFSET($A$1,ROW(),31,1000-ROW(),1),OFFSET($A$1,ROW(),20,1000-ROW(),1),ROW(),OFFSET($A$1,ROW(),21,1000-ROW(),1),"Sub"))))</f>
        <v/>
      </c>
      <c r="L99" s="60">
        <f>IF(N($W99)=0,"",IF(AND($S99=MesCiclo,4&gt;SemanaActual),"",MIN(1,SUMIFS(OFFSET($A$1,ROW(),32,1000-ROW(),1),OFFSET($A$1,ROW(),20,1000-ROW(),1),ROW(),OFFSET($A$1,ROW(),21,1000-ROW(),1),"Sub"))))</f>
        <v/>
      </c>
      <c r="M99" s="61">
        <f>IF(NOT((COUNTA($B99:$D99)+COUNTA($G99:$H99)+COUNTA($Q99))&gt;0),"",IF(AND($D99&lt;&gt;"",$V99="Macro"),IF(N($AM99)&gt;0,N(CHOOSE(MATCH($D99,ListaPuestos,0),INDEX('Cronograma R. Operacional'!$M$5:$M$1000,$AM99),INDEX('Cronograma R. Normativo'!$M$5:$M$1000,$AM99),INDEX('Cronograma R. Financiero'!$M$5:$M$1000,$AM99),INDEX('Cronograma Asistente Técnico'!$M$5:$M$1000,$AM99))),0),IF(ISNUMBER($G99),1,IF(N($W99)&gt;0,MIN(1,SUMIFS($Y$5:$Y$1000,$U$5:$U$1000,ROW(),$V$5:$V$1000,"Sub")),$Y99))))</f>
        <v/>
      </c>
      <c r="N99" s="56">
        <f>IF(OR($M99="",$V99="Sub"),"",IF($M99&gt;=1,"Completado",IF($M99&gt;0,"En curso","Pendiente")))</f>
        <v/>
      </c>
      <c r="O99" s="56">
        <f>IF(NOT((COUNTA($B99:$D99)+COUNTA($G99:$H99)+COUNTA($Q99))&gt;0),"",IF(AND(AND($D99&lt;&gt;"",$V99="Macro"),N($AM99)&gt;0),CHOOSE(MATCH($D99,ListaPuestos,0),INDEX('Cronograma R. Operacional'!$O$5:$O$1000,$AM99),INDEX('Cronograma R. Normativo'!$O$5:$O$1000,$AM99),INDEX('Cronograma R. Financiero'!$O$5:$O$1000,$AM99),INDEX('Cronograma Asistente Técnico'!$O$5:$O$1000,$AM99))&amp;"",IF(ISNUMBER($G99),IF(AND(ISNUMBER($AS99),$G99&gt;$AS99),"Cumplida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f>IF(NOT((COUNTA($B99:$D99)+COUNTA($G99:$H99)+COUNTA($Q99))&gt;0),"",IF($D99="","Propia",IF($V99&lt;&gt;"Macro","Solo se delegan macroactividades",IF(N($AM99)&gt;0,"✔ Recibida por "&amp;$D99,"⚠ "&amp;$D99&amp;" aún no la agrega"))))</f>
        <v/>
      </c>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IF($V99&lt;&gt;"Sub","",N($X99)*IF(AND(ISNUMBER($G99),$G99&lt;=IF($S99=MesCiclo,InicioCiclo,$S99+MOD(2-WEEKDAY($S99),7))+6),1,MIN(1,MAX(0,IF(ISNUMBER(OFFSET($A$1,ROW()-1,8)),OFFSET($A$1,ROW()-1,8),0)))))</f>
        <v/>
      </c>
      <c r="AE99" s="62">
        <f>IF($V99&lt;&gt;"Sub","",N($X99)*IF(AND(ISNUMBER($G99),$G99&lt;=IF($S99=MesCiclo,InicioCiclo,$S99+MOD(2-WEEKDAY($S99),7))+13),1,MIN(1,MAX(0,IF(ISNUMBER(OFFSET($A$1,ROW()-1,9)),OFFSET($A$1,ROW()-1,9),IF(ISNUMBER(OFFSET($A$1,ROW()-1,8)),OFFSET($A$1,ROW()-1,8),0))))))</f>
        <v/>
      </c>
      <c r="AF99" s="62">
        <f>IF($V99&lt;&gt;"Sub","",N($X99)*IF(AND(ISNUMBER($G99),$G99&lt;=IF($S99=MesCiclo,InicioCiclo,$S99+MOD(2-WEEKDAY($S99),7))+20),1,MIN(1,MAX(0,IF(ISNUMBER(OFFSET($A$1,ROW()-1,10)),OFFSET($A$1,ROW()-1,10),IF(ISNUMBER(OFFSET($A$1,ROW()-1,9)),OFFSET($A$1,ROW()-1,9),IF(ISNUMBER(OFFSET($A$1,ROW()-1,8)),OFFSET($A$1,ROW()-1,8),0)))))))</f>
        <v/>
      </c>
      <c r="AG99" s="62">
        <f>IF($V99&lt;&gt;"Sub","",N($X99)*IF(AND(ISNUMBER($G99),$G99&lt;=IF($S99=MesCiclo,InicioCiclo,$S99+MOD(2-WEEKDAY($S99),7))+27),1,MIN(1,MAX(0,IF(ISNUMBER(OFFSET($A$1,ROW()-1,11)),OFFSET($A$1,ROW()-1,11),IF(ISNUMBER(OFFSET($A$1,ROW()-1,10)),OFFSET($A$1,ROW()-1,10),IF(ISNUMBER(OFFSET($A$1,ROW()-1,9)),OFFSET($A$1,ROW()-1,9),IF(ISNUMBER(OFFSET($A$1,ROW()-1,8)),OFFSET($A$1,ROW()-1,8),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f>IF(NOT(AND($D99&lt;&gt;"",$V99="Macro")),"",IFERROR(CHOOSE(MATCH($D99,ListaPuestos,0),MATCH("[Jefatura] "&amp;$C99,'Cronograma R. Operacional'!$C$5:$C$1000,0),MATCH("[Jefatura] "&amp;$C99,'Cronograma R. Normativo'!$C$5:$C$1000,0),MATCH("[Jefatura] "&amp;$C99,'Cronograma R. Financiero'!$C$5:$C$1000,0),MATCH("[Jefatura] "&amp;$C99,'Cronograma Asistente Técnico'!$C$5:$C$1000,0)),0))</f>
        <v/>
      </c>
      <c r="AN99" s="62">
        <f>IF(AND(AND($D99&lt;&gt;"",$V99="Macro"),$S99=MesCiclo),COUNTIFS($D$5:$D99,$D99,$S$5:$S99,MesCiclo,$V$5:$V99,"Macro"),"")</f>
        <v/>
      </c>
      <c r="AO99" s="62">
        <f>IF($AN99="","",$D99&amp;"|"&amp;$AN99)</f>
        <v/>
      </c>
      <c r="AP99" s="62">
        <f>IF(AND($D99&lt;&gt;"",$V99="Macro"),$D99&amp;"|"&amp;$C99,"")</f>
        <v/>
      </c>
      <c r="AQ99" s="62">
        <f>""</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t="n"/>
      <c r="F100" s="59" t="n"/>
      <c r="G100" s="59" t="n"/>
      <c r="H100" s="60" t="n"/>
      <c r="I100" s="60">
        <f>IF(N($W100)=0,"",IF(AND($S100=MesCiclo,1&gt;SemanaActual),"",MIN(1,SUMIFS(OFFSET($A$1,ROW(),29,1000-ROW(),1),OFFSET($A$1,ROW(),20,1000-ROW(),1),ROW(),OFFSET($A$1,ROW(),21,1000-ROW(),1),"Sub"))))</f>
        <v/>
      </c>
      <c r="J100" s="60">
        <f>IF(N($W100)=0,"",IF(AND($S100=MesCiclo,2&gt;SemanaActual),"",MIN(1,SUMIFS(OFFSET($A$1,ROW(),30,1000-ROW(),1),OFFSET($A$1,ROW(),20,1000-ROW(),1),ROW(),OFFSET($A$1,ROW(),21,1000-ROW(),1),"Sub"))))</f>
        <v/>
      </c>
      <c r="K100" s="60">
        <f>IF(N($W100)=0,"",IF(AND($S100=MesCiclo,3&gt;SemanaActual),"",MIN(1,SUMIFS(OFFSET($A$1,ROW(),31,1000-ROW(),1),OFFSET($A$1,ROW(),20,1000-ROW(),1),ROW(),OFFSET($A$1,ROW(),21,1000-ROW(),1),"Sub"))))</f>
        <v/>
      </c>
      <c r="L100" s="60">
        <f>IF(N($W100)=0,"",IF(AND($S100=MesCiclo,4&gt;SemanaActual),"",MIN(1,SUMIFS(OFFSET($A$1,ROW(),32,1000-ROW(),1),OFFSET($A$1,ROW(),20,1000-ROW(),1),ROW(),OFFSET($A$1,ROW(),21,1000-ROW(),1),"Sub"))))</f>
        <v/>
      </c>
      <c r="M100" s="61">
        <f>IF(NOT((COUNTA($B100:$D100)+COUNTA($G100:$H100)+COUNTA($Q100))&gt;0),"",IF(AND($D100&lt;&gt;"",$V100="Macro"),IF(N($AM100)&gt;0,N(CHOOSE(MATCH($D100,ListaPuestos,0),INDEX('Cronograma R. Operacional'!$M$5:$M$1000,$AM100),INDEX('Cronograma R. Normativo'!$M$5:$M$1000,$AM100),INDEX('Cronograma R. Financiero'!$M$5:$M$1000,$AM100),INDEX('Cronograma Asistente Técnico'!$M$5:$M$1000,$AM100))),0),IF(ISNUMBER($G100),1,IF(N($W100)&gt;0,MIN(1,SUMIFS($Y$5:$Y$1000,$U$5:$U$1000,ROW(),$V$5:$V$1000,"Sub")),$Y100))))</f>
        <v/>
      </c>
      <c r="N100" s="56">
        <f>IF(OR($M100="",$V100="Sub"),"",IF($M100&gt;=1,"Completado",IF($M100&gt;0,"En curso","Pendiente")))</f>
        <v/>
      </c>
      <c r="O100" s="56">
        <f>IF(NOT((COUNTA($B100:$D100)+COUNTA($G100:$H100)+COUNTA($Q100))&gt;0),"",IF(AND(AND($D100&lt;&gt;"",$V100="Macro"),N($AM100)&gt;0),CHOOSE(MATCH($D100,ListaPuestos,0),INDEX('Cronograma R. Operacional'!$O$5:$O$1000,$AM100),INDEX('Cronograma R. Normativo'!$O$5:$O$1000,$AM100),INDEX('Cronograma R. Financiero'!$O$5:$O$1000,$AM100),INDEX('Cronograma Asistente Técnico'!$O$5:$O$1000,$AM100))&amp;"",IF(ISNUMBER($G100),IF(AND(ISNUMBER($AS100),$G100&gt;$AS100),"Cumplida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f>IF(NOT((COUNTA($B100:$D100)+COUNTA($G100:$H100)+COUNTA($Q100))&gt;0),"",IF($D100="","Propia",IF($V100&lt;&gt;"Macro","Solo se delegan macroactividades",IF(N($AM100)&gt;0,"✔ Recibida por "&amp;$D100,"⚠ "&amp;$D100&amp;" aún no la agrega"))))</f>
        <v/>
      </c>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IF($V100&lt;&gt;"Sub","",N($X100)*IF(AND(ISNUMBER($G100),$G100&lt;=IF($S100=MesCiclo,InicioCiclo,$S100+MOD(2-WEEKDAY($S100),7))+6),1,MIN(1,MAX(0,IF(ISNUMBER(OFFSET($A$1,ROW()-1,8)),OFFSET($A$1,ROW()-1,8),0)))))</f>
        <v/>
      </c>
      <c r="AE100" s="62">
        <f>IF($V100&lt;&gt;"Sub","",N($X100)*IF(AND(ISNUMBER($G100),$G100&lt;=IF($S100=MesCiclo,InicioCiclo,$S100+MOD(2-WEEKDAY($S100),7))+13),1,MIN(1,MAX(0,IF(ISNUMBER(OFFSET($A$1,ROW()-1,9)),OFFSET($A$1,ROW()-1,9),IF(ISNUMBER(OFFSET($A$1,ROW()-1,8)),OFFSET($A$1,ROW()-1,8),0))))))</f>
        <v/>
      </c>
      <c r="AF100" s="62">
        <f>IF($V100&lt;&gt;"Sub","",N($X100)*IF(AND(ISNUMBER($G100),$G100&lt;=IF($S100=MesCiclo,InicioCiclo,$S100+MOD(2-WEEKDAY($S100),7))+20),1,MIN(1,MAX(0,IF(ISNUMBER(OFFSET($A$1,ROW()-1,10)),OFFSET($A$1,ROW()-1,10),IF(ISNUMBER(OFFSET($A$1,ROW()-1,9)),OFFSET($A$1,ROW()-1,9),IF(ISNUMBER(OFFSET($A$1,ROW()-1,8)),OFFSET($A$1,ROW()-1,8),0)))))))</f>
        <v/>
      </c>
      <c r="AG100" s="62">
        <f>IF($V100&lt;&gt;"Sub","",N($X100)*IF(AND(ISNUMBER($G100),$G100&lt;=IF($S100=MesCiclo,InicioCiclo,$S100+MOD(2-WEEKDAY($S100),7))+27),1,MIN(1,MAX(0,IF(ISNUMBER(OFFSET($A$1,ROW()-1,11)),OFFSET($A$1,ROW()-1,11),IF(ISNUMBER(OFFSET($A$1,ROW()-1,10)),OFFSET($A$1,ROW()-1,10),IF(ISNUMBER(OFFSET($A$1,ROW()-1,9)),OFFSET($A$1,ROW()-1,9),IF(ISNUMBER(OFFSET($A$1,ROW()-1,8)),OFFSET($A$1,ROW()-1,8),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f>IF(NOT(AND($D100&lt;&gt;"",$V100="Macro")),"",IFERROR(CHOOSE(MATCH($D100,ListaPuestos,0),MATCH("[Jefatura] "&amp;$C100,'Cronograma R. Operacional'!$C$5:$C$1000,0),MATCH("[Jefatura] "&amp;$C100,'Cronograma R. Normativo'!$C$5:$C$1000,0),MATCH("[Jefatura] "&amp;$C100,'Cronograma R. Financiero'!$C$5:$C$1000,0),MATCH("[Jefatura] "&amp;$C100,'Cronograma Asistente Técnico'!$C$5:$C$1000,0)),0))</f>
        <v/>
      </c>
      <c r="AN100" s="62">
        <f>IF(AND(AND($D100&lt;&gt;"",$V100="Macro"),$S100=MesCiclo),COUNTIFS($D$5:$D100,$D100,$S$5:$S100,MesCiclo,$V$5:$V100,"Macro"),"")</f>
        <v/>
      </c>
      <c r="AO100" s="62">
        <f>IF($AN100="","",$D100&amp;"|"&amp;$AN100)</f>
        <v/>
      </c>
      <c r="AP100" s="62">
        <f>IF(AND($D100&lt;&gt;"",$V100="Macro"),$D100&amp;"|"&amp;$C100,"")</f>
        <v/>
      </c>
      <c r="AQ100" s="62">
        <f>""</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t="n"/>
      <c r="F101" s="59" t="n"/>
      <c r="G101" s="59" t="n"/>
      <c r="H101" s="60" t="n"/>
      <c r="I101" s="60">
        <f>IF(N($W101)=0,"",IF(AND($S101=MesCiclo,1&gt;SemanaActual),"",MIN(1,SUMIFS(OFFSET($A$1,ROW(),29,1000-ROW(),1),OFFSET($A$1,ROW(),20,1000-ROW(),1),ROW(),OFFSET($A$1,ROW(),21,1000-ROW(),1),"Sub"))))</f>
        <v/>
      </c>
      <c r="J101" s="60">
        <f>IF(N($W101)=0,"",IF(AND($S101=MesCiclo,2&gt;SemanaActual),"",MIN(1,SUMIFS(OFFSET($A$1,ROW(),30,1000-ROW(),1),OFFSET($A$1,ROW(),20,1000-ROW(),1),ROW(),OFFSET($A$1,ROW(),21,1000-ROW(),1),"Sub"))))</f>
        <v/>
      </c>
      <c r="K101" s="60">
        <f>IF(N($W101)=0,"",IF(AND($S101=MesCiclo,3&gt;SemanaActual),"",MIN(1,SUMIFS(OFFSET($A$1,ROW(),31,1000-ROW(),1),OFFSET($A$1,ROW(),20,1000-ROW(),1),ROW(),OFFSET($A$1,ROW(),21,1000-ROW(),1),"Sub"))))</f>
        <v/>
      </c>
      <c r="L101" s="60">
        <f>IF(N($W101)=0,"",IF(AND($S101=MesCiclo,4&gt;SemanaActual),"",MIN(1,SUMIFS(OFFSET($A$1,ROW(),32,1000-ROW(),1),OFFSET($A$1,ROW(),20,1000-ROW(),1),ROW(),OFFSET($A$1,ROW(),21,1000-ROW(),1),"Sub"))))</f>
        <v/>
      </c>
      <c r="M101" s="61">
        <f>IF(NOT((COUNTA($B101:$D101)+COUNTA($G101:$H101)+COUNTA($Q101))&gt;0),"",IF(AND($D101&lt;&gt;"",$V101="Macro"),IF(N($AM101)&gt;0,N(CHOOSE(MATCH($D101,ListaPuestos,0),INDEX('Cronograma R. Operacional'!$M$5:$M$1000,$AM101),INDEX('Cronograma R. Normativo'!$M$5:$M$1000,$AM101),INDEX('Cronograma R. Financiero'!$M$5:$M$1000,$AM101),INDEX('Cronograma Asistente Técnico'!$M$5:$M$1000,$AM101))),0),IF(ISNUMBER($G101),1,IF(N($W101)&gt;0,MIN(1,SUMIFS($Y$5:$Y$1000,$U$5:$U$1000,ROW(),$V$5:$V$1000,"Sub")),$Y101))))</f>
        <v/>
      </c>
      <c r="N101" s="56">
        <f>IF(OR($M101="",$V101="Sub"),"",IF($M101&gt;=1,"Completado",IF($M101&gt;0,"En curso","Pendiente")))</f>
        <v/>
      </c>
      <c r="O101" s="56">
        <f>IF(NOT((COUNTA($B101:$D101)+COUNTA($G101:$H101)+COUNTA($Q101))&gt;0),"",IF(AND(AND($D101&lt;&gt;"",$V101="Macro"),N($AM101)&gt;0),CHOOSE(MATCH($D101,ListaPuestos,0),INDEX('Cronograma R. Operacional'!$O$5:$O$1000,$AM101),INDEX('Cronograma R. Normativo'!$O$5:$O$1000,$AM101),INDEX('Cronograma R. Financiero'!$O$5:$O$1000,$AM101),INDEX('Cronograma Asistente Técnico'!$O$5:$O$1000,$AM101))&amp;"",IF(ISNUMBER($G101),IF(AND(ISNUMBER($AS101),$G101&gt;$AS101),"Cumplida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f>IF(NOT((COUNTA($B101:$D101)+COUNTA($G101:$H101)+COUNTA($Q101))&gt;0),"",IF($D101="","Propia",IF($V101&lt;&gt;"Macro","Solo se delegan macroactividades",IF(N($AM101)&gt;0,"✔ Recibida por "&amp;$D101,"⚠ "&amp;$D101&amp;" aún no la agrega"))))</f>
        <v/>
      </c>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IF($V101&lt;&gt;"Sub","",N($X101)*IF(AND(ISNUMBER($G101),$G101&lt;=IF($S101=MesCiclo,InicioCiclo,$S101+MOD(2-WEEKDAY($S101),7))+6),1,MIN(1,MAX(0,IF(ISNUMBER(OFFSET($A$1,ROW()-1,8)),OFFSET($A$1,ROW()-1,8),0)))))</f>
        <v/>
      </c>
      <c r="AE101" s="62">
        <f>IF($V101&lt;&gt;"Sub","",N($X101)*IF(AND(ISNUMBER($G101),$G101&lt;=IF($S101=MesCiclo,InicioCiclo,$S101+MOD(2-WEEKDAY($S101),7))+13),1,MIN(1,MAX(0,IF(ISNUMBER(OFFSET($A$1,ROW()-1,9)),OFFSET($A$1,ROW()-1,9),IF(ISNUMBER(OFFSET($A$1,ROW()-1,8)),OFFSET($A$1,ROW()-1,8),0))))))</f>
        <v/>
      </c>
      <c r="AF101" s="62">
        <f>IF($V101&lt;&gt;"Sub","",N($X101)*IF(AND(ISNUMBER($G101),$G101&lt;=IF($S101=MesCiclo,InicioCiclo,$S101+MOD(2-WEEKDAY($S101),7))+20),1,MIN(1,MAX(0,IF(ISNUMBER(OFFSET($A$1,ROW()-1,10)),OFFSET($A$1,ROW()-1,10),IF(ISNUMBER(OFFSET($A$1,ROW()-1,9)),OFFSET($A$1,ROW()-1,9),IF(ISNUMBER(OFFSET($A$1,ROW()-1,8)),OFFSET($A$1,ROW()-1,8),0)))))))</f>
        <v/>
      </c>
      <c r="AG101" s="62">
        <f>IF($V101&lt;&gt;"Sub","",N($X101)*IF(AND(ISNUMBER($G101),$G101&lt;=IF($S101=MesCiclo,InicioCiclo,$S101+MOD(2-WEEKDAY($S101),7))+27),1,MIN(1,MAX(0,IF(ISNUMBER(OFFSET($A$1,ROW()-1,11)),OFFSET($A$1,ROW()-1,11),IF(ISNUMBER(OFFSET($A$1,ROW()-1,10)),OFFSET($A$1,ROW()-1,10),IF(ISNUMBER(OFFSET($A$1,ROW()-1,9)),OFFSET($A$1,ROW()-1,9),IF(ISNUMBER(OFFSET($A$1,ROW()-1,8)),OFFSET($A$1,ROW()-1,8),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f>IF(NOT(AND($D101&lt;&gt;"",$V101="Macro")),"",IFERROR(CHOOSE(MATCH($D101,ListaPuestos,0),MATCH("[Jefatura] "&amp;$C101,'Cronograma R. Operacional'!$C$5:$C$1000,0),MATCH("[Jefatura] "&amp;$C101,'Cronograma R. Normativo'!$C$5:$C$1000,0),MATCH("[Jefatura] "&amp;$C101,'Cronograma R. Financiero'!$C$5:$C$1000,0),MATCH("[Jefatura] "&amp;$C101,'Cronograma Asistente Técnico'!$C$5:$C$1000,0)),0))</f>
        <v/>
      </c>
      <c r="AN101" s="62">
        <f>IF(AND(AND($D101&lt;&gt;"",$V101="Macro"),$S101=MesCiclo),COUNTIFS($D$5:$D101,$D101,$S$5:$S101,MesCiclo,$V$5:$V101,"Macro"),"")</f>
        <v/>
      </c>
      <c r="AO101" s="62">
        <f>IF($AN101="","",$D101&amp;"|"&amp;$AN101)</f>
        <v/>
      </c>
      <c r="AP101" s="62">
        <f>IF(AND($D101&lt;&gt;"",$V101="Macro"),$D101&amp;"|"&amp;$C101,"")</f>
        <v/>
      </c>
      <c r="AQ101" s="62">
        <f>""</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t="n"/>
      <c r="F102" s="59" t="n"/>
      <c r="G102" s="59" t="n"/>
      <c r="H102" s="60" t="n"/>
      <c r="I102" s="60">
        <f>IF(N($W102)=0,"",IF(AND($S102=MesCiclo,1&gt;SemanaActual),"",MIN(1,SUMIFS(OFFSET($A$1,ROW(),29,1000-ROW(),1),OFFSET($A$1,ROW(),20,1000-ROW(),1),ROW(),OFFSET($A$1,ROW(),21,1000-ROW(),1),"Sub"))))</f>
        <v/>
      </c>
      <c r="J102" s="60">
        <f>IF(N($W102)=0,"",IF(AND($S102=MesCiclo,2&gt;SemanaActual),"",MIN(1,SUMIFS(OFFSET($A$1,ROW(),30,1000-ROW(),1),OFFSET($A$1,ROW(),20,1000-ROW(),1),ROW(),OFFSET($A$1,ROW(),21,1000-ROW(),1),"Sub"))))</f>
        <v/>
      </c>
      <c r="K102" s="60">
        <f>IF(N($W102)=0,"",IF(AND($S102=MesCiclo,3&gt;SemanaActual),"",MIN(1,SUMIFS(OFFSET($A$1,ROW(),31,1000-ROW(),1),OFFSET($A$1,ROW(),20,1000-ROW(),1),ROW(),OFFSET($A$1,ROW(),21,1000-ROW(),1),"Sub"))))</f>
        <v/>
      </c>
      <c r="L102" s="60">
        <f>IF(N($W102)=0,"",IF(AND($S102=MesCiclo,4&gt;SemanaActual),"",MIN(1,SUMIFS(OFFSET($A$1,ROW(),32,1000-ROW(),1),OFFSET($A$1,ROW(),20,1000-ROW(),1),ROW(),OFFSET($A$1,ROW(),21,1000-ROW(),1),"Sub"))))</f>
        <v/>
      </c>
      <c r="M102" s="61">
        <f>IF(NOT((COUNTA($B102:$D102)+COUNTA($G102:$H102)+COUNTA($Q102))&gt;0),"",IF(AND($D102&lt;&gt;"",$V102="Macro"),IF(N($AM102)&gt;0,N(CHOOSE(MATCH($D102,ListaPuestos,0),INDEX('Cronograma R. Operacional'!$M$5:$M$1000,$AM102),INDEX('Cronograma R. Normativo'!$M$5:$M$1000,$AM102),INDEX('Cronograma R. Financiero'!$M$5:$M$1000,$AM102),INDEX('Cronograma Asistente Técnico'!$M$5:$M$1000,$AM102))),0),IF(ISNUMBER($G102),1,IF(N($W102)&gt;0,MIN(1,SUMIFS($Y$5:$Y$1000,$U$5:$U$1000,ROW(),$V$5:$V$1000,"Sub")),$Y102))))</f>
        <v/>
      </c>
      <c r="N102" s="56">
        <f>IF(OR($M102="",$V102="Sub"),"",IF($M102&gt;=1,"Completado",IF($M102&gt;0,"En curso","Pendiente")))</f>
        <v/>
      </c>
      <c r="O102" s="56">
        <f>IF(NOT((COUNTA($B102:$D102)+COUNTA($G102:$H102)+COUNTA($Q102))&gt;0),"",IF(AND(AND($D102&lt;&gt;"",$V102="Macro"),N($AM102)&gt;0),CHOOSE(MATCH($D102,ListaPuestos,0),INDEX('Cronograma R. Operacional'!$O$5:$O$1000,$AM102),INDEX('Cronograma R. Normativo'!$O$5:$O$1000,$AM102),INDEX('Cronograma R. Financiero'!$O$5:$O$1000,$AM102),INDEX('Cronograma Asistente Técnico'!$O$5:$O$1000,$AM102))&amp;"",IF(ISNUMBER($G102),IF(AND(ISNUMBER($AS102),$G102&gt;$AS102),"Cumplida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f>IF(NOT((COUNTA($B102:$D102)+COUNTA($G102:$H102)+COUNTA($Q102))&gt;0),"",IF($D102="","Propia",IF($V102&lt;&gt;"Macro","Solo se delegan macroactividades",IF(N($AM102)&gt;0,"✔ Recibida por "&amp;$D102,"⚠ "&amp;$D102&amp;" aún no la agrega"))))</f>
        <v/>
      </c>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IF($V102&lt;&gt;"Sub","",N($X102)*IF(AND(ISNUMBER($G102),$G102&lt;=IF($S102=MesCiclo,InicioCiclo,$S102+MOD(2-WEEKDAY($S102),7))+6),1,MIN(1,MAX(0,IF(ISNUMBER(OFFSET($A$1,ROW()-1,8)),OFFSET($A$1,ROW()-1,8),0)))))</f>
        <v/>
      </c>
      <c r="AE102" s="62">
        <f>IF($V102&lt;&gt;"Sub","",N($X102)*IF(AND(ISNUMBER($G102),$G102&lt;=IF($S102=MesCiclo,InicioCiclo,$S102+MOD(2-WEEKDAY($S102),7))+13),1,MIN(1,MAX(0,IF(ISNUMBER(OFFSET($A$1,ROW()-1,9)),OFFSET($A$1,ROW()-1,9),IF(ISNUMBER(OFFSET($A$1,ROW()-1,8)),OFFSET($A$1,ROW()-1,8),0))))))</f>
        <v/>
      </c>
      <c r="AF102" s="62">
        <f>IF($V102&lt;&gt;"Sub","",N($X102)*IF(AND(ISNUMBER($G102),$G102&lt;=IF($S102=MesCiclo,InicioCiclo,$S102+MOD(2-WEEKDAY($S102),7))+20),1,MIN(1,MAX(0,IF(ISNUMBER(OFFSET($A$1,ROW()-1,10)),OFFSET($A$1,ROW()-1,10),IF(ISNUMBER(OFFSET($A$1,ROW()-1,9)),OFFSET($A$1,ROW()-1,9),IF(ISNUMBER(OFFSET($A$1,ROW()-1,8)),OFFSET($A$1,ROW()-1,8),0)))))))</f>
        <v/>
      </c>
      <c r="AG102" s="62">
        <f>IF($V102&lt;&gt;"Sub","",N($X102)*IF(AND(ISNUMBER($G102),$G102&lt;=IF($S102=MesCiclo,InicioCiclo,$S102+MOD(2-WEEKDAY($S102),7))+27),1,MIN(1,MAX(0,IF(ISNUMBER(OFFSET($A$1,ROW()-1,11)),OFFSET($A$1,ROW()-1,11),IF(ISNUMBER(OFFSET($A$1,ROW()-1,10)),OFFSET($A$1,ROW()-1,10),IF(ISNUMBER(OFFSET($A$1,ROW()-1,9)),OFFSET($A$1,ROW()-1,9),IF(ISNUMBER(OFFSET($A$1,ROW()-1,8)),OFFSET($A$1,ROW()-1,8),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f>IF(NOT(AND($D102&lt;&gt;"",$V102="Macro")),"",IFERROR(CHOOSE(MATCH($D102,ListaPuestos,0),MATCH("[Jefatura] "&amp;$C102,'Cronograma R. Operacional'!$C$5:$C$1000,0),MATCH("[Jefatura] "&amp;$C102,'Cronograma R. Normativo'!$C$5:$C$1000,0),MATCH("[Jefatura] "&amp;$C102,'Cronograma R. Financiero'!$C$5:$C$1000,0),MATCH("[Jefatura] "&amp;$C102,'Cronograma Asistente Técnico'!$C$5:$C$1000,0)),0))</f>
        <v/>
      </c>
      <c r="AN102" s="62">
        <f>IF(AND(AND($D102&lt;&gt;"",$V102="Macro"),$S102=MesCiclo),COUNTIFS($D$5:$D102,$D102,$S$5:$S102,MesCiclo,$V$5:$V102,"Macro"),"")</f>
        <v/>
      </c>
      <c r="AO102" s="62">
        <f>IF($AN102="","",$D102&amp;"|"&amp;$AN102)</f>
        <v/>
      </c>
      <c r="AP102" s="62">
        <f>IF(AND($D102&lt;&gt;"",$V102="Macro"),$D102&amp;"|"&amp;$C102,"")</f>
        <v/>
      </c>
      <c r="AQ102" s="62">
        <f>""</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t="n"/>
      <c r="F103" s="59" t="n"/>
      <c r="G103" s="59" t="n"/>
      <c r="H103" s="60" t="n"/>
      <c r="I103" s="60">
        <f>IF(N($W103)=0,"",IF(AND($S103=MesCiclo,1&gt;SemanaActual),"",MIN(1,SUMIFS(OFFSET($A$1,ROW(),29,1000-ROW(),1),OFFSET($A$1,ROW(),20,1000-ROW(),1),ROW(),OFFSET($A$1,ROW(),21,1000-ROW(),1),"Sub"))))</f>
        <v/>
      </c>
      <c r="J103" s="60">
        <f>IF(N($W103)=0,"",IF(AND($S103=MesCiclo,2&gt;SemanaActual),"",MIN(1,SUMIFS(OFFSET($A$1,ROW(),30,1000-ROW(),1),OFFSET($A$1,ROW(),20,1000-ROW(),1),ROW(),OFFSET($A$1,ROW(),21,1000-ROW(),1),"Sub"))))</f>
        <v/>
      </c>
      <c r="K103" s="60">
        <f>IF(N($W103)=0,"",IF(AND($S103=MesCiclo,3&gt;SemanaActual),"",MIN(1,SUMIFS(OFFSET($A$1,ROW(),31,1000-ROW(),1),OFFSET($A$1,ROW(),20,1000-ROW(),1),ROW(),OFFSET($A$1,ROW(),21,1000-ROW(),1),"Sub"))))</f>
        <v/>
      </c>
      <c r="L103" s="60">
        <f>IF(N($W103)=0,"",IF(AND($S103=MesCiclo,4&gt;SemanaActual),"",MIN(1,SUMIFS(OFFSET($A$1,ROW(),32,1000-ROW(),1),OFFSET($A$1,ROW(),20,1000-ROW(),1),ROW(),OFFSET($A$1,ROW(),21,1000-ROW(),1),"Sub"))))</f>
        <v/>
      </c>
      <c r="M103" s="61">
        <f>IF(NOT((COUNTA($B103:$D103)+COUNTA($G103:$H103)+COUNTA($Q103))&gt;0),"",IF(AND($D103&lt;&gt;"",$V103="Macro"),IF(N($AM103)&gt;0,N(CHOOSE(MATCH($D103,ListaPuestos,0),INDEX('Cronograma R. Operacional'!$M$5:$M$1000,$AM103),INDEX('Cronograma R. Normativo'!$M$5:$M$1000,$AM103),INDEX('Cronograma R. Financiero'!$M$5:$M$1000,$AM103),INDEX('Cronograma Asistente Técnico'!$M$5:$M$1000,$AM103))),0),IF(ISNUMBER($G103),1,IF(N($W103)&gt;0,MIN(1,SUMIFS($Y$5:$Y$1000,$U$5:$U$1000,ROW(),$V$5:$V$1000,"Sub")),$Y103))))</f>
        <v/>
      </c>
      <c r="N103" s="56">
        <f>IF(OR($M103="",$V103="Sub"),"",IF($M103&gt;=1,"Completado",IF($M103&gt;0,"En curso","Pendiente")))</f>
        <v/>
      </c>
      <c r="O103" s="56">
        <f>IF(NOT((COUNTA($B103:$D103)+COUNTA($G103:$H103)+COUNTA($Q103))&gt;0),"",IF(AND(AND($D103&lt;&gt;"",$V103="Macro"),N($AM103)&gt;0),CHOOSE(MATCH($D103,ListaPuestos,0),INDEX('Cronograma R. Operacional'!$O$5:$O$1000,$AM103),INDEX('Cronograma R. Normativo'!$O$5:$O$1000,$AM103),INDEX('Cronograma R. Financiero'!$O$5:$O$1000,$AM103),INDEX('Cronograma Asistente Técnico'!$O$5:$O$1000,$AM103))&amp;"",IF(ISNUMBER($G103),IF(AND(ISNUMBER($AS103),$G103&gt;$AS103),"Cumplida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f>IF(NOT((COUNTA($B103:$D103)+COUNTA($G103:$H103)+COUNTA($Q103))&gt;0),"",IF($D103="","Propia",IF($V103&lt;&gt;"Macro","Solo se delegan macroactividades",IF(N($AM103)&gt;0,"✔ Recibida por "&amp;$D103,"⚠ "&amp;$D103&amp;" aún no la agrega"))))</f>
        <v/>
      </c>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IF($V103&lt;&gt;"Sub","",N($X103)*IF(AND(ISNUMBER($G103),$G103&lt;=IF($S103=MesCiclo,InicioCiclo,$S103+MOD(2-WEEKDAY($S103),7))+6),1,MIN(1,MAX(0,IF(ISNUMBER(OFFSET($A$1,ROW()-1,8)),OFFSET($A$1,ROW()-1,8),0)))))</f>
        <v/>
      </c>
      <c r="AE103" s="62">
        <f>IF($V103&lt;&gt;"Sub","",N($X103)*IF(AND(ISNUMBER($G103),$G103&lt;=IF($S103=MesCiclo,InicioCiclo,$S103+MOD(2-WEEKDAY($S103),7))+13),1,MIN(1,MAX(0,IF(ISNUMBER(OFFSET($A$1,ROW()-1,9)),OFFSET($A$1,ROW()-1,9),IF(ISNUMBER(OFFSET($A$1,ROW()-1,8)),OFFSET($A$1,ROW()-1,8),0))))))</f>
        <v/>
      </c>
      <c r="AF103" s="62">
        <f>IF($V103&lt;&gt;"Sub","",N($X103)*IF(AND(ISNUMBER($G103),$G103&lt;=IF($S103=MesCiclo,InicioCiclo,$S103+MOD(2-WEEKDAY($S103),7))+20),1,MIN(1,MAX(0,IF(ISNUMBER(OFFSET($A$1,ROW()-1,10)),OFFSET($A$1,ROW()-1,10),IF(ISNUMBER(OFFSET($A$1,ROW()-1,9)),OFFSET($A$1,ROW()-1,9),IF(ISNUMBER(OFFSET($A$1,ROW()-1,8)),OFFSET($A$1,ROW()-1,8),0)))))))</f>
        <v/>
      </c>
      <c r="AG103" s="62">
        <f>IF($V103&lt;&gt;"Sub","",N($X103)*IF(AND(ISNUMBER($G103),$G103&lt;=IF($S103=MesCiclo,InicioCiclo,$S103+MOD(2-WEEKDAY($S103),7))+27),1,MIN(1,MAX(0,IF(ISNUMBER(OFFSET($A$1,ROW()-1,11)),OFFSET($A$1,ROW()-1,11),IF(ISNUMBER(OFFSET($A$1,ROW()-1,10)),OFFSET($A$1,ROW()-1,10),IF(ISNUMBER(OFFSET($A$1,ROW()-1,9)),OFFSET($A$1,ROW()-1,9),IF(ISNUMBER(OFFSET($A$1,ROW()-1,8)),OFFSET($A$1,ROW()-1,8),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f>IF(NOT(AND($D103&lt;&gt;"",$V103="Macro")),"",IFERROR(CHOOSE(MATCH($D103,ListaPuestos,0),MATCH("[Jefatura] "&amp;$C103,'Cronograma R. Operacional'!$C$5:$C$1000,0),MATCH("[Jefatura] "&amp;$C103,'Cronograma R. Normativo'!$C$5:$C$1000,0),MATCH("[Jefatura] "&amp;$C103,'Cronograma R. Financiero'!$C$5:$C$1000,0),MATCH("[Jefatura] "&amp;$C103,'Cronograma Asistente Técnico'!$C$5:$C$1000,0)),0))</f>
        <v/>
      </c>
      <c r="AN103" s="62">
        <f>IF(AND(AND($D103&lt;&gt;"",$V103="Macro"),$S103=MesCiclo),COUNTIFS($D$5:$D103,$D103,$S$5:$S103,MesCiclo,$V$5:$V103,"Macro"),"")</f>
        <v/>
      </c>
      <c r="AO103" s="62">
        <f>IF($AN103="","",$D103&amp;"|"&amp;$AN103)</f>
        <v/>
      </c>
      <c r="AP103" s="62">
        <f>IF(AND($D103&lt;&gt;"",$V103="Macro"),$D103&amp;"|"&amp;$C103,"")</f>
        <v/>
      </c>
      <c r="AQ103" s="62">
        <f>""</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t="n"/>
      <c r="F104" s="59" t="n"/>
      <c r="G104" s="59" t="n"/>
      <c r="H104" s="60" t="n"/>
      <c r="I104" s="60">
        <f>IF(N($W104)=0,"",IF(AND($S104=MesCiclo,1&gt;SemanaActual),"",MIN(1,SUMIFS(OFFSET($A$1,ROW(),29,1000-ROW(),1),OFFSET($A$1,ROW(),20,1000-ROW(),1),ROW(),OFFSET($A$1,ROW(),21,1000-ROW(),1),"Sub"))))</f>
        <v/>
      </c>
      <c r="J104" s="60">
        <f>IF(N($W104)=0,"",IF(AND($S104=MesCiclo,2&gt;SemanaActual),"",MIN(1,SUMIFS(OFFSET($A$1,ROW(),30,1000-ROW(),1),OFFSET($A$1,ROW(),20,1000-ROW(),1),ROW(),OFFSET($A$1,ROW(),21,1000-ROW(),1),"Sub"))))</f>
        <v/>
      </c>
      <c r="K104" s="60">
        <f>IF(N($W104)=0,"",IF(AND($S104=MesCiclo,3&gt;SemanaActual),"",MIN(1,SUMIFS(OFFSET($A$1,ROW(),31,1000-ROW(),1),OFFSET($A$1,ROW(),20,1000-ROW(),1),ROW(),OFFSET($A$1,ROW(),21,1000-ROW(),1),"Sub"))))</f>
        <v/>
      </c>
      <c r="L104" s="60">
        <f>IF(N($W104)=0,"",IF(AND($S104=MesCiclo,4&gt;SemanaActual),"",MIN(1,SUMIFS(OFFSET($A$1,ROW(),32,1000-ROW(),1),OFFSET($A$1,ROW(),20,1000-ROW(),1),ROW(),OFFSET($A$1,ROW(),21,1000-ROW(),1),"Sub"))))</f>
        <v/>
      </c>
      <c r="M104" s="61">
        <f>IF(NOT((COUNTA($B104:$D104)+COUNTA($G104:$H104)+COUNTA($Q104))&gt;0),"",IF(AND($D104&lt;&gt;"",$V104="Macro"),IF(N($AM104)&gt;0,N(CHOOSE(MATCH($D104,ListaPuestos,0),INDEX('Cronograma R. Operacional'!$M$5:$M$1000,$AM104),INDEX('Cronograma R. Normativo'!$M$5:$M$1000,$AM104),INDEX('Cronograma R. Financiero'!$M$5:$M$1000,$AM104),INDEX('Cronograma Asistente Técnico'!$M$5:$M$1000,$AM104))),0),IF(ISNUMBER($G104),1,IF(N($W104)&gt;0,MIN(1,SUMIFS($Y$5:$Y$1000,$U$5:$U$1000,ROW(),$V$5:$V$1000,"Sub")),$Y104))))</f>
        <v/>
      </c>
      <c r="N104" s="56">
        <f>IF(OR($M104="",$V104="Sub"),"",IF($M104&gt;=1,"Completado",IF($M104&gt;0,"En curso","Pendiente")))</f>
        <v/>
      </c>
      <c r="O104" s="56">
        <f>IF(NOT((COUNTA($B104:$D104)+COUNTA($G104:$H104)+COUNTA($Q104))&gt;0),"",IF(AND(AND($D104&lt;&gt;"",$V104="Macro"),N($AM104)&gt;0),CHOOSE(MATCH($D104,ListaPuestos,0),INDEX('Cronograma R. Operacional'!$O$5:$O$1000,$AM104),INDEX('Cronograma R. Normativo'!$O$5:$O$1000,$AM104),INDEX('Cronograma R. Financiero'!$O$5:$O$1000,$AM104),INDEX('Cronograma Asistente Técnico'!$O$5:$O$1000,$AM104))&amp;"",IF(ISNUMBER($G104),IF(AND(ISNUMBER($AS104),$G104&gt;$AS104),"Cumplida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f>IF(NOT((COUNTA($B104:$D104)+COUNTA($G104:$H104)+COUNTA($Q104))&gt;0),"",IF($D104="","Propia",IF($V104&lt;&gt;"Macro","Solo se delegan macroactividades",IF(N($AM104)&gt;0,"✔ Recibida por "&amp;$D104,"⚠ "&amp;$D104&amp;" aún no la agrega"))))</f>
        <v/>
      </c>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IF($V104&lt;&gt;"Sub","",N($X104)*IF(AND(ISNUMBER($G104),$G104&lt;=IF($S104=MesCiclo,InicioCiclo,$S104+MOD(2-WEEKDAY($S104),7))+6),1,MIN(1,MAX(0,IF(ISNUMBER(OFFSET($A$1,ROW()-1,8)),OFFSET($A$1,ROW()-1,8),0)))))</f>
        <v/>
      </c>
      <c r="AE104" s="62">
        <f>IF($V104&lt;&gt;"Sub","",N($X104)*IF(AND(ISNUMBER($G104),$G104&lt;=IF($S104=MesCiclo,InicioCiclo,$S104+MOD(2-WEEKDAY($S104),7))+13),1,MIN(1,MAX(0,IF(ISNUMBER(OFFSET($A$1,ROW()-1,9)),OFFSET($A$1,ROW()-1,9),IF(ISNUMBER(OFFSET($A$1,ROW()-1,8)),OFFSET($A$1,ROW()-1,8),0))))))</f>
        <v/>
      </c>
      <c r="AF104" s="62">
        <f>IF($V104&lt;&gt;"Sub","",N($X104)*IF(AND(ISNUMBER($G104),$G104&lt;=IF($S104=MesCiclo,InicioCiclo,$S104+MOD(2-WEEKDAY($S104),7))+20),1,MIN(1,MAX(0,IF(ISNUMBER(OFFSET($A$1,ROW()-1,10)),OFFSET($A$1,ROW()-1,10),IF(ISNUMBER(OFFSET($A$1,ROW()-1,9)),OFFSET($A$1,ROW()-1,9),IF(ISNUMBER(OFFSET($A$1,ROW()-1,8)),OFFSET($A$1,ROW()-1,8),0)))))))</f>
        <v/>
      </c>
      <c r="AG104" s="62">
        <f>IF($V104&lt;&gt;"Sub","",N($X104)*IF(AND(ISNUMBER($G104),$G104&lt;=IF($S104=MesCiclo,InicioCiclo,$S104+MOD(2-WEEKDAY($S104),7))+27),1,MIN(1,MAX(0,IF(ISNUMBER(OFFSET($A$1,ROW()-1,11)),OFFSET($A$1,ROW()-1,11),IF(ISNUMBER(OFFSET($A$1,ROW()-1,10)),OFFSET($A$1,ROW()-1,10),IF(ISNUMBER(OFFSET($A$1,ROW()-1,9)),OFFSET($A$1,ROW()-1,9),IF(ISNUMBER(OFFSET($A$1,ROW()-1,8)),OFFSET($A$1,ROW()-1,8),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f>IF(NOT(AND($D104&lt;&gt;"",$V104="Macro")),"",IFERROR(CHOOSE(MATCH($D104,ListaPuestos,0),MATCH("[Jefatura] "&amp;$C104,'Cronograma R. Operacional'!$C$5:$C$1000,0),MATCH("[Jefatura] "&amp;$C104,'Cronograma R. Normativo'!$C$5:$C$1000,0),MATCH("[Jefatura] "&amp;$C104,'Cronograma R. Financiero'!$C$5:$C$1000,0),MATCH("[Jefatura] "&amp;$C104,'Cronograma Asistente Técnico'!$C$5:$C$1000,0)),0))</f>
        <v/>
      </c>
      <c r="AN104" s="62">
        <f>IF(AND(AND($D104&lt;&gt;"",$V104="Macro"),$S104=MesCiclo),COUNTIFS($D$5:$D104,$D104,$S$5:$S104,MesCiclo,$V$5:$V104,"Macro"),"")</f>
        <v/>
      </c>
      <c r="AO104" s="62">
        <f>IF($AN104="","",$D104&amp;"|"&amp;$AN104)</f>
        <v/>
      </c>
      <c r="AP104" s="62">
        <f>IF(AND($D104&lt;&gt;"",$V104="Macro"),$D104&amp;"|"&amp;$C104,"")</f>
        <v/>
      </c>
      <c r="AQ104" s="62">
        <f>""</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t="n"/>
      <c r="F105" s="59" t="n"/>
      <c r="G105" s="59" t="n"/>
      <c r="H105" s="60" t="n"/>
      <c r="I105" s="60">
        <f>IF(N($W105)=0,"",IF(AND($S105=MesCiclo,1&gt;SemanaActual),"",MIN(1,SUMIFS(OFFSET($A$1,ROW(),29,1000-ROW(),1),OFFSET($A$1,ROW(),20,1000-ROW(),1),ROW(),OFFSET($A$1,ROW(),21,1000-ROW(),1),"Sub"))))</f>
        <v/>
      </c>
      <c r="J105" s="60">
        <f>IF(N($W105)=0,"",IF(AND($S105=MesCiclo,2&gt;SemanaActual),"",MIN(1,SUMIFS(OFFSET($A$1,ROW(),30,1000-ROW(),1),OFFSET($A$1,ROW(),20,1000-ROW(),1),ROW(),OFFSET($A$1,ROW(),21,1000-ROW(),1),"Sub"))))</f>
        <v/>
      </c>
      <c r="K105" s="60">
        <f>IF(N($W105)=0,"",IF(AND($S105=MesCiclo,3&gt;SemanaActual),"",MIN(1,SUMIFS(OFFSET($A$1,ROW(),31,1000-ROW(),1),OFFSET($A$1,ROW(),20,1000-ROW(),1),ROW(),OFFSET($A$1,ROW(),21,1000-ROW(),1),"Sub"))))</f>
        <v/>
      </c>
      <c r="L105" s="60">
        <f>IF(N($W105)=0,"",IF(AND($S105=MesCiclo,4&gt;SemanaActual),"",MIN(1,SUMIFS(OFFSET($A$1,ROW(),32,1000-ROW(),1),OFFSET($A$1,ROW(),20,1000-ROW(),1),ROW(),OFFSET($A$1,ROW(),21,1000-ROW(),1),"Sub"))))</f>
        <v/>
      </c>
      <c r="M105" s="61">
        <f>IF(NOT((COUNTA($B105:$D105)+COUNTA($G105:$H105)+COUNTA($Q105))&gt;0),"",IF(AND($D105&lt;&gt;"",$V105="Macro"),IF(N($AM105)&gt;0,N(CHOOSE(MATCH($D105,ListaPuestos,0),INDEX('Cronograma R. Operacional'!$M$5:$M$1000,$AM105),INDEX('Cronograma R. Normativo'!$M$5:$M$1000,$AM105),INDEX('Cronograma R. Financiero'!$M$5:$M$1000,$AM105),INDEX('Cronograma Asistente Técnico'!$M$5:$M$1000,$AM105))),0),IF(ISNUMBER($G105),1,IF(N($W105)&gt;0,MIN(1,SUMIFS($Y$5:$Y$1000,$U$5:$U$1000,ROW(),$V$5:$V$1000,"Sub")),$Y105))))</f>
        <v/>
      </c>
      <c r="N105" s="56">
        <f>IF(OR($M105="",$V105="Sub"),"",IF($M105&gt;=1,"Completado",IF($M105&gt;0,"En curso","Pendiente")))</f>
        <v/>
      </c>
      <c r="O105" s="56">
        <f>IF(NOT((COUNTA($B105:$D105)+COUNTA($G105:$H105)+COUNTA($Q105))&gt;0),"",IF(AND(AND($D105&lt;&gt;"",$V105="Macro"),N($AM105)&gt;0),CHOOSE(MATCH($D105,ListaPuestos,0),INDEX('Cronograma R. Operacional'!$O$5:$O$1000,$AM105),INDEX('Cronograma R. Normativo'!$O$5:$O$1000,$AM105),INDEX('Cronograma R. Financiero'!$O$5:$O$1000,$AM105),INDEX('Cronograma Asistente Técnico'!$O$5:$O$1000,$AM105))&amp;"",IF(ISNUMBER($G105),IF(AND(ISNUMBER($AS105),$G105&gt;$AS105),"Cumplida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f>IF(NOT((COUNTA($B105:$D105)+COUNTA($G105:$H105)+COUNTA($Q105))&gt;0),"",IF($D105="","Propia",IF($V105&lt;&gt;"Macro","Solo se delegan macroactividades",IF(N($AM105)&gt;0,"✔ Recibida por "&amp;$D105,"⚠ "&amp;$D105&amp;" aún no la agrega"))))</f>
        <v/>
      </c>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IF($V105&lt;&gt;"Sub","",N($X105)*IF(AND(ISNUMBER($G105),$G105&lt;=IF($S105=MesCiclo,InicioCiclo,$S105+MOD(2-WEEKDAY($S105),7))+6),1,MIN(1,MAX(0,IF(ISNUMBER(OFFSET($A$1,ROW()-1,8)),OFFSET($A$1,ROW()-1,8),0)))))</f>
        <v/>
      </c>
      <c r="AE105" s="62">
        <f>IF($V105&lt;&gt;"Sub","",N($X105)*IF(AND(ISNUMBER($G105),$G105&lt;=IF($S105=MesCiclo,InicioCiclo,$S105+MOD(2-WEEKDAY($S105),7))+13),1,MIN(1,MAX(0,IF(ISNUMBER(OFFSET($A$1,ROW()-1,9)),OFFSET($A$1,ROW()-1,9),IF(ISNUMBER(OFFSET($A$1,ROW()-1,8)),OFFSET($A$1,ROW()-1,8),0))))))</f>
        <v/>
      </c>
      <c r="AF105" s="62">
        <f>IF($V105&lt;&gt;"Sub","",N($X105)*IF(AND(ISNUMBER($G105),$G105&lt;=IF($S105=MesCiclo,InicioCiclo,$S105+MOD(2-WEEKDAY($S105),7))+20),1,MIN(1,MAX(0,IF(ISNUMBER(OFFSET($A$1,ROW()-1,10)),OFFSET($A$1,ROW()-1,10),IF(ISNUMBER(OFFSET($A$1,ROW()-1,9)),OFFSET($A$1,ROW()-1,9),IF(ISNUMBER(OFFSET($A$1,ROW()-1,8)),OFFSET($A$1,ROW()-1,8),0)))))))</f>
        <v/>
      </c>
      <c r="AG105" s="62">
        <f>IF($V105&lt;&gt;"Sub","",N($X105)*IF(AND(ISNUMBER($G105),$G105&lt;=IF($S105=MesCiclo,InicioCiclo,$S105+MOD(2-WEEKDAY($S105),7))+27),1,MIN(1,MAX(0,IF(ISNUMBER(OFFSET($A$1,ROW()-1,11)),OFFSET($A$1,ROW()-1,11),IF(ISNUMBER(OFFSET($A$1,ROW()-1,10)),OFFSET($A$1,ROW()-1,10),IF(ISNUMBER(OFFSET($A$1,ROW()-1,9)),OFFSET($A$1,ROW()-1,9),IF(ISNUMBER(OFFSET($A$1,ROW()-1,8)),OFFSET($A$1,ROW()-1,8),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f>IF(NOT(AND($D105&lt;&gt;"",$V105="Macro")),"",IFERROR(CHOOSE(MATCH($D105,ListaPuestos,0),MATCH("[Jefatura] "&amp;$C105,'Cronograma R. Operacional'!$C$5:$C$1000,0),MATCH("[Jefatura] "&amp;$C105,'Cronograma R. Normativo'!$C$5:$C$1000,0),MATCH("[Jefatura] "&amp;$C105,'Cronograma R. Financiero'!$C$5:$C$1000,0),MATCH("[Jefatura] "&amp;$C105,'Cronograma Asistente Técnico'!$C$5:$C$1000,0)),0))</f>
        <v/>
      </c>
      <c r="AN105" s="62">
        <f>IF(AND(AND($D105&lt;&gt;"",$V105="Macro"),$S105=MesCiclo),COUNTIFS($D$5:$D105,$D105,$S$5:$S105,MesCiclo,$V$5:$V105,"Macro"),"")</f>
        <v/>
      </c>
      <c r="AO105" s="62">
        <f>IF($AN105="","",$D105&amp;"|"&amp;$AN105)</f>
        <v/>
      </c>
      <c r="AP105" s="62">
        <f>IF(AND($D105&lt;&gt;"",$V105="Macro"),$D105&amp;"|"&amp;$C105,"")</f>
        <v/>
      </c>
      <c r="AQ105" s="62">
        <f>""</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t="n"/>
      <c r="F106" s="59" t="n"/>
      <c r="G106" s="59" t="n"/>
      <c r="H106" s="60" t="n"/>
      <c r="I106" s="60">
        <f>IF(N($W106)=0,"",IF(AND($S106=MesCiclo,1&gt;SemanaActual),"",MIN(1,SUMIFS(OFFSET($A$1,ROW(),29,1000-ROW(),1),OFFSET($A$1,ROW(),20,1000-ROW(),1),ROW(),OFFSET($A$1,ROW(),21,1000-ROW(),1),"Sub"))))</f>
        <v/>
      </c>
      <c r="J106" s="60">
        <f>IF(N($W106)=0,"",IF(AND($S106=MesCiclo,2&gt;SemanaActual),"",MIN(1,SUMIFS(OFFSET($A$1,ROW(),30,1000-ROW(),1),OFFSET($A$1,ROW(),20,1000-ROW(),1),ROW(),OFFSET($A$1,ROW(),21,1000-ROW(),1),"Sub"))))</f>
        <v/>
      </c>
      <c r="K106" s="60">
        <f>IF(N($W106)=0,"",IF(AND($S106=MesCiclo,3&gt;SemanaActual),"",MIN(1,SUMIFS(OFFSET($A$1,ROW(),31,1000-ROW(),1),OFFSET($A$1,ROW(),20,1000-ROW(),1),ROW(),OFFSET($A$1,ROW(),21,1000-ROW(),1),"Sub"))))</f>
        <v/>
      </c>
      <c r="L106" s="60">
        <f>IF(N($W106)=0,"",IF(AND($S106=MesCiclo,4&gt;SemanaActual),"",MIN(1,SUMIFS(OFFSET($A$1,ROW(),32,1000-ROW(),1),OFFSET($A$1,ROW(),20,1000-ROW(),1),ROW(),OFFSET($A$1,ROW(),21,1000-ROW(),1),"Sub"))))</f>
        <v/>
      </c>
      <c r="M106" s="61">
        <f>IF(NOT((COUNTA($B106:$D106)+COUNTA($G106:$H106)+COUNTA($Q106))&gt;0),"",IF(AND($D106&lt;&gt;"",$V106="Macro"),IF(N($AM106)&gt;0,N(CHOOSE(MATCH($D106,ListaPuestos,0),INDEX('Cronograma R. Operacional'!$M$5:$M$1000,$AM106),INDEX('Cronograma R. Normativo'!$M$5:$M$1000,$AM106),INDEX('Cronograma R. Financiero'!$M$5:$M$1000,$AM106),INDEX('Cronograma Asistente Técnico'!$M$5:$M$1000,$AM106))),0),IF(ISNUMBER($G106),1,IF(N($W106)&gt;0,MIN(1,SUMIFS($Y$5:$Y$1000,$U$5:$U$1000,ROW(),$V$5:$V$1000,"Sub")),$Y106))))</f>
        <v/>
      </c>
      <c r="N106" s="56">
        <f>IF(OR($M106="",$V106="Sub"),"",IF($M106&gt;=1,"Completado",IF($M106&gt;0,"En curso","Pendiente")))</f>
        <v/>
      </c>
      <c r="O106" s="56">
        <f>IF(NOT((COUNTA($B106:$D106)+COUNTA($G106:$H106)+COUNTA($Q106))&gt;0),"",IF(AND(AND($D106&lt;&gt;"",$V106="Macro"),N($AM106)&gt;0),CHOOSE(MATCH($D106,ListaPuestos,0),INDEX('Cronograma R. Operacional'!$O$5:$O$1000,$AM106),INDEX('Cronograma R. Normativo'!$O$5:$O$1000,$AM106),INDEX('Cronograma R. Financiero'!$O$5:$O$1000,$AM106),INDEX('Cronograma Asistente Técnico'!$O$5:$O$1000,$AM106))&amp;"",IF(ISNUMBER($G106),IF(AND(ISNUMBER($AS106),$G106&gt;$AS106),"Cumplida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f>IF(NOT((COUNTA($B106:$D106)+COUNTA($G106:$H106)+COUNTA($Q106))&gt;0),"",IF($D106="","Propia",IF($V106&lt;&gt;"Macro","Solo se delegan macroactividades",IF(N($AM106)&gt;0,"✔ Recibida por "&amp;$D106,"⚠ "&amp;$D106&amp;" aún no la agrega"))))</f>
        <v/>
      </c>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IF($V106&lt;&gt;"Sub","",N($X106)*IF(AND(ISNUMBER($G106),$G106&lt;=IF($S106=MesCiclo,InicioCiclo,$S106+MOD(2-WEEKDAY($S106),7))+6),1,MIN(1,MAX(0,IF(ISNUMBER(OFFSET($A$1,ROW()-1,8)),OFFSET($A$1,ROW()-1,8),0)))))</f>
        <v/>
      </c>
      <c r="AE106" s="62">
        <f>IF($V106&lt;&gt;"Sub","",N($X106)*IF(AND(ISNUMBER($G106),$G106&lt;=IF($S106=MesCiclo,InicioCiclo,$S106+MOD(2-WEEKDAY($S106),7))+13),1,MIN(1,MAX(0,IF(ISNUMBER(OFFSET($A$1,ROW()-1,9)),OFFSET($A$1,ROW()-1,9),IF(ISNUMBER(OFFSET($A$1,ROW()-1,8)),OFFSET($A$1,ROW()-1,8),0))))))</f>
        <v/>
      </c>
      <c r="AF106" s="62">
        <f>IF($V106&lt;&gt;"Sub","",N($X106)*IF(AND(ISNUMBER($G106),$G106&lt;=IF($S106=MesCiclo,InicioCiclo,$S106+MOD(2-WEEKDAY($S106),7))+20),1,MIN(1,MAX(0,IF(ISNUMBER(OFFSET($A$1,ROW()-1,10)),OFFSET($A$1,ROW()-1,10),IF(ISNUMBER(OFFSET($A$1,ROW()-1,9)),OFFSET($A$1,ROW()-1,9),IF(ISNUMBER(OFFSET($A$1,ROW()-1,8)),OFFSET($A$1,ROW()-1,8),0)))))))</f>
        <v/>
      </c>
      <c r="AG106" s="62">
        <f>IF($V106&lt;&gt;"Sub","",N($X106)*IF(AND(ISNUMBER($G106),$G106&lt;=IF($S106=MesCiclo,InicioCiclo,$S106+MOD(2-WEEKDAY($S106),7))+27),1,MIN(1,MAX(0,IF(ISNUMBER(OFFSET($A$1,ROW()-1,11)),OFFSET($A$1,ROW()-1,11),IF(ISNUMBER(OFFSET($A$1,ROW()-1,10)),OFFSET($A$1,ROW()-1,10),IF(ISNUMBER(OFFSET($A$1,ROW()-1,9)),OFFSET($A$1,ROW()-1,9),IF(ISNUMBER(OFFSET($A$1,ROW()-1,8)),OFFSET($A$1,ROW()-1,8),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f>IF(NOT(AND($D106&lt;&gt;"",$V106="Macro")),"",IFERROR(CHOOSE(MATCH($D106,ListaPuestos,0),MATCH("[Jefatura] "&amp;$C106,'Cronograma R. Operacional'!$C$5:$C$1000,0),MATCH("[Jefatura] "&amp;$C106,'Cronograma R. Normativo'!$C$5:$C$1000,0),MATCH("[Jefatura] "&amp;$C106,'Cronograma R. Financiero'!$C$5:$C$1000,0),MATCH("[Jefatura] "&amp;$C106,'Cronograma Asistente Técnico'!$C$5:$C$1000,0)),0))</f>
        <v/>
      </c>
      <c r="AN106" s="62">
        <f>IF(AND(AND($D106&lt;&gt;"",$V106="Macro"),$S106=MesCiclo),COUNTIFS($D$5:$D106,$D106,$S$5:$S106,MesCiclo,$V$5:$V106,"Macro"),"")</f>
        <v/>
      </c>
      <c r="AO106" s="62">
        <f>IF($AN106="","",$D106&amp;"|"&amp;$AN106)</f>
        <v/>
      </c>
      <c r="AP106" s="62">
        <f>IF(AND($D106&lt;&gt;"",$V106="Macro"),$D106&amp;"|"&amp;$C106,"")</f>
        <v/>
      </c>
      <c r="AQ106" s="62">
        <f>""</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t="n"/>
      <c r="F107" s="59" t="n"/>
      <c r="G107" s="59" t="n"/>
      <c r="H107" s="60" t="n"/>
      <c r="I107" s="60">
        <f>IF(N($W107)=0,"",IF(AND($S107=MesCiclo,1&gt;SemanaActual),"",MIN(1,SUMIFS(OFFSET($A$1,ROW(),29,1000-ROW(),1),OFFSET($A$1,ROW(),20,1000-ROW(),1),ROW(),OFFSET($A$1,ROW(),21,1000-ROW(),1),"Sub"))))</f>
        <v/>
      </c>
      <c r="J107" s="60">
        <f>IF(N($W107)=0,"",IF(AND($S107=MesCiclo,2&gt;SemanaActual),"",MIN(1,SUMIFS(OFFSET($A$1,ROW(),30,1000-ROW(),1),OFFSET($A$1,ROW(),20,1000-ROW(),1),ROW(),OFFSET($A$1,ROW(),21,1000-ROW(),1),"Sub"))))</f>
        <v/>
      </c>
      <c r="K107" s="60">
        <f>IF(N($W107)=0,"",IF(AND($S107=MesCiclo,3&gt;SemanaActual),"",MIN(1,SUMIFS(OFFSET($A$1,ROW(),31,1000-ROW(),1),OFFSET($A$1,ROW(),20,1000-ROW(),1),ROW(),OFFSET($A$1,ROW(),21,1000-ROW(),1),"Sub"))))</f>
        <v/>
      </c>
      <c r="L107" s="60">
        <f>IF(N($W107)=0,"",IF(AND($S107=MesCiclo,4&gt;SemanaActual),"",MIN(1,SUMIFS(OFFSET($A$1,ROW(),32,1000-ROW(),1),OFFSET($A$1,ROW(),20,1000-ROW(),1),ROW(),OFFSET($A$1,ROW(),21,1000-ROW(),1),"Sub"))))</f>
        <v/>
      </c>
      <c r="M107" s="61">
        <f>IF(NOT((COUNTA($B107:$D107)+COUNTA($G107:$H107)+COUNTA($Q107))&gt;0),"",IF(AND($D107&lt;&gt;"",$V107="Macro"),IF(N($AM107)&gt;0,N(CHOOSE(MATCH($D107,ListaPuestos,0),INDEX('Cronograma R. Operacional'!$M$5:$M$1000,$AM107),INDEX('Cronograma R. Normativo'!$M$5:$M$1000,$AM107),INDEX('Cronograma R. Financiero'!$M$5:$M$1000,$AM107),INDEX('Cronograma Asistente Técnico'!$M$5:$M$1000,$AM107))),0),IF(ISNUMBER($G107),1,IF(N($W107)&gt;0,MIN(1,SUMIFS($Y$5:$Y$1000,$U$5:$U$1000,ROW(),$V$5:$V$1000,"Sub")),$Y107))))</f>
        <v/>
      </c>
      <c r="N107" s="56">
        <f>IF(OR($M107="",$V107="Sub"),"",IF($M107&gt;=1,"Completado",IF($M107&gt;0,"En curso","Pendiente")))</f>
        <v/>
      </c>
      <c r="O107" s="56">
        <f>IF(NOT((COUNTA($B107:$D107)+COUNTA($G107:$H107)+COUNTA($Q107))&gt;0),"",IF(AND(AND($D107&lt;&gt;"",$V107="Macro"),N($AM107)&gt;0),CHOOSE(MATCH($D107,ListaPuestos,0),INDEX('Cronograma R. Operacional'!$O$5:$O$1000,$AM107),INDEX('Cronograma R. Normativo'!$O$5:$O$1000,$AM107),INDEX('Cronograma R. Financiero'!$O$5:$O$1000,$AM107),INDEX('Cronograma Asistente Técnico'!$O$5:$O$1000,$AM107))&amp;"",IF(ISNUMBER($G107),IF(AND(ISNUMBER($AS107),$G107&gt;$AS107),"Cumplida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f>IF(NOT((COUNTA($B107:$D107)+COUNTA($G107:$H107)+COUNTA($Q107))&gt;0),"",IF($D107="","Propia",IF($V107&lt;&gt;"Macro","Solo se delegan macroactividades",IF(N($AM107)&gt;0,"✔ Recibida por "&amp;$D107,"⚠ "&amp;$D107&amp;" aún no la agrega"))))</f>
        <v/>
      </c>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IF($V107&lt;&gt;"Sub","",N($X107)*IF(AND(ISNUMBER($G107),$G107&lt;=IF($S107=MesCiclo,InicioCiclo,$S107+MOD(2-WEEKDAY($S107),7))+6),1,MIN(1,MAX(0,IF(ISNUMBER(OFFSET($A$1,ROW()-1,8)),OFFSET($A$1,ROW()-1,8),0)))))</f>
        <v/>
      </c>
      <c r="AE107" s="62">
        <f>IF($V107&lt;&gt;"Sub","",N($X107)*IF(AND(ISNUMBER($G107),$G107&lt;=IF($S107=MesCiclo,InicioCiclo,$S107+MOD(2-WEEKDAY($S107),7))+13),1,MIN(1,MAX(0,IF(ISNUMBER(OFFSET($A$1,ROW()-1,9)),OFFSET($A$1,ROW()-1,9),IF(ISNUMBER(OFFSET($A$1,ROW()-1,8)),OFFSET($A$1,ROW()-1,8),0))))))</f>
        <v/>
      </c>
      <c r="AF107" s="62">
        <f>IF($V107&lt;&gt;"Sub","",N($X107)*IF(AND(ISNUMBER($G107),$G107&lt;=IF($S107=MesCiclo,InicioCiclo,$S107+MOD(2-WEEKDAY($S107),7))+20),1,MIN(1,MAX(0,IF(ISNUMBER(OFFSET($A$1,ROW()-1,10)),OFFSET($A$1,ROW()-1,10),IF(ISNUMBER(OFFSET($A$1,ROW()-1,9)),OFFSET($A$1,ROW()-1,9),IF(ISNUMBER(OFFSET($A$1,ROW()-1,8)),OFFSET($A$1,ROW()-1,8),0)))))))</f>
        <v/>
      </c>
      <c r="AG107" s="62">
        <f>IF($V107&lt;&gt;"Sub","",N($X107)*IF(AND(ISNUMBER($G107),$G107&lt;=IF($S107=MesCiclo,InicioCiclo,$S107+MOD(2-WEEKDAY($S107),7))+27),1,MIN(1,MAX(0,IF(ISNUMBER(OFFSET($A$1,ROW()-1,11)),OFFSET($A$1,ROW()-1,11),IF(ISNUMBER(OFFSET($A$1,ROW()-1,10)),OFFSET($A$1,ROW()-1,10),IF(ISNUMBER(OFFSET($A$1,ROW()-1,9)),OFFSET($A$1,ROW()-1,9),IF(ISNUMBER(OFFSET($A$1,ROW()-1,8)),OFFSET($A$1,ROW()-1,8),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f>IF(NOT(AND($D107&lt;&gt;"",$V107="Macro")),"",IFERROR(CHOOSE(MATCH($D107,ListaPuestos,0),MATCH("[Jefatura] "&amp;$C107,'Cronograma R. Operacional'!$C$5:$C$1000,0),MATCH("[Jefatura] "&amp;$C107,'Cronograma R. Normativo'!$C$5:$C$1000,0),MATCH("[Jefatura] "&amp;$C107,'Cronograma R. Financiero'!$C$5:$C$1000,0),MATCH("[Jefatura] "&amp;$C107,'Cronograma Asistente Técnico'!$C$5:$C$1000,0)),0))</f>
        <v/>
      </c>
      <c r="AN107" s="62">
        <f>IF(AND(AND($D107&lt;&gt;"",$V107="Macro"),$S107=MesCiclo),COUNTIFS($D$5:$D107,$D107,$S$5:$S107,MesCiclo,$V$5:$V107,"Macro"),"")</f>
        <v/>
      </c>
      <c r="AO107" s="62">
        <f>IF($AN107="","",$D107&amp;"|"&amp;$AN107)</f>
        <v/>
      </c>
      <c r="AP107" s="62">
        <f>IF(AND($D107&lt;&gt;"",$V107="Macro"),$D107&amp;"|"&amp;$C107,"")</f>
        <v/>
      </c>
      <c r="AQ107" s="62">
        <f>""</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t="n"/>
      <c r="F108" s="59" t="n"/>
      <c r="G108" s="59" t="n"/>
      <c r="H108" s="60" t="n"/>
      <c r="I108" s="60">
        <f>IF(N($W108)=0,"",IF(AND($S108=MesCiclo,1&gt;SemanaActual),"",MIN(1,SUMIFS(OFFSET($A$1,ROW(),29,1000-ROW(),1),OFFSET($A$1,ROW(),20,1000-ROW(),1),ROW(),OFFSET($A$1,ROW(),21,1000-ROW(),1),"Sub"))))</f>
        <v/>
      </c>
      <c r="J108" s="60">
        <f>IF(N($W108)=0,"",IF(AND($S108=MesCiclo,2&gt;SemanaActual),"",MIN(1,SUMIFS(OFFSET($A$1,ROW(),30,1000-ROW(),1),OFFSET($A$1,ROW(),20,1000-ROW(),1),ROW(),OFFSET($A$1,ROW(),21,1000-ROW(),1),"Sub"))))</f>
        <v/>
      </c>
      <c r="K108" s="60">
        <f>IF(N($W108)=0,"",IF(AND($S108=MesCiclo,3&gt;SemanaActual),"",MIN(1,SUMIFS(OFFSET($A$1,ROW(),31,1000-ROW(),1),OFFSET($A$1,ROW(),20,1000-ROW(),1),ROW(),OFFSET($A$1,ROW(),21,1000-ROW(),1),"Sub"))))</f>
        <v/>
      </c>
      <c r="L108" s="60">
        <f>IF(N($W108)=0,"",IF(AND($S108=MesCiclo,4&gt;SemanaActual),"",MIN(1,SUMIFS(OFFSET($A$1,ROW(),32,1000-ROW(),1),OFFSET($A$1,ROW(),20,1000-ROW(),1),ROW(),OFFSET($A$1,ROW(),21,1000-ROW(),1),"Sub"))))</f>
        <v/>
      </c>
      <c r="M108" s="61">
        <f>IF(NOT((COUNTA($B108:$D108)+COUNTA($G108:$H108)+COUNTA($Q108))&gt;0),"",IF(AND($D108&lt;&gt;"",$V108="Macro"),IF(N($AM108)&gt;0,N(CHOOSE(MATCH($D108,ListaPuestos,0),INDEX('Cronograma R. Operacional'!$M$5:$M$1000,$AM108),INDEX('Cronograma R. Normativo'!$M$5:$M$1000,$AM108),INDEX('Cronograma R. Financiero'!$M$5:$M$1000,$AM108),INDEX('Cronograma Asistente Técnico'!$M$5:$M$1000,$AM108))),0),IF(ISNUMBER($G108),1,IF(N($W108)&gt;0,MIN(1,SUMIFS($Y$5:$Y$1000,$U$5:$U$1000,ROW(),$V$5:$V$1000,"Sub")),$Y108))))</f>
        <v/>
      </c>
      <c r="N108" s="56">
        <f>IF(OR($M108="",$V108="Sub"),"",IF($M108&gt;=1,"Completado",IF($M108&gt;0,"En curso","Pendiente")))</f>
        <v/>
      </c>
      <c r="O108" s="56">
        <f>IF(NOT((COUNTA($B108:$D108)+COUNTA($G108:$H108)+COUNTA($Q108))&gt;0),"",IF(AND(AND($D108&lt;&gt;"",$V108="Macro"),N($AM108)&gt;0),CHOOSE(MATCH($D108,ListaPuestos,0),INDEX('Cronograma R. Operacional'!$O$5:$O$1000,$AM108),INDEX('Cronograma R. Normativo'!$O$5:$O$1000,$AM108),INDEX('Cronograma R. Financiero'!$O$5:$O$1000,$AM108),INDEX('Cronograma Asistente Técnico'!$O$5:$O$1000,$AM108))&amp;"",IF(ISNUMBER($G108),IF(AND(ISNUMBER($AS108),$G108&gt;$AS108),"Cumplida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f>IF(NOT((COUNTA($B108:$D108)+COUNTA($G108:$H108)+COUNTA($Q108))&gt;0),"",IF($D108="","Propia",IF($V108&lt;&gt;"Macro","Solo se delegan macroactividades",IF(N($AM108)&gt;0,"✔ Recibida por "&amp;$D108,"⚠ "&amp;$D108&amp;" aún no la agrega"))))</f>
        <v/>
      </c>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IF($V108&lt;&gt;"Sub","",N($X108)*IF(AND(ISNUMBER($G108),$G108&lt;=IF($S108=MesCiclo,InicioCiclo,$S108+MOD(2-WEEKDAY($S108),7))+6),1,MIN(1,MAX(0,IF(ISNUMBER(OFFSET($A$1,ROW()-1,8)),OFFSET($A$1,ROW()-1,8),0)))))</f>
        <v/>
      </c>
      <c r="AE108" s="62">
        <f>IF($V108&lt;&gt;"Sub","",N($X108)*IF(AND(ISNUMBER($G108),$G108&lt;=IF($S108=MesCiclo,InicioCiclo,$S108+MOD(2-WEEKDAY($S108),7))+13),1,MIN(1,MAX(0,IF(ISNUMBER(OFFSET($A$1,ROW()-1,9)),OFFSET($A$1,ROW()-1,9),IF(ISNUMBER(OFFSET($A$1,ROW()-1,8)),OFFSET($A$1,ROW()-1,8),0))))))</f>
        <v/>
      </c>
      <c r="AF108" s="62">
        <f>IF($V108&lt;&gt;"Sub","",N($X108)*IF(AND(ISNUMBER($G108),$G108&lt;=IF($S108=MesCiclo,InicioCiclo,$S108+MOD(2-WEEKDAY($S108),7))+20),1,MIN(1,MAX(0,IF(ISNUMBER(OFFSET($A$1,ROW()-1,10)),OFFSET($A$1,ROW()-1,10),IF(ISNUMBER(OFFSET($A$1,ROW()-1,9)),OFFSET($A$1,ROW()-1,9),IF(ISNUMBER(OFFSET($A$1,ROW()-1,8)),OFFSET($A$1,ROW()-1,8),0)))))))</f>
        <v/>
      </c>
      <c r="AG108" s="62">
        <f>IF($V108&lt;&gt;"Sub","",N($X108)*IF(AND(ISNUMBER($G108),$G108&lt;=IF($S108=MesCiclo,InicioCiclo,$S108+MOD(2-WEEKDAY($S108),7))+27),1,MIN(1,MAX(0,IF(ISNUMBER(OFFSET($A$1,ROW()-1,11)),OFFSET($A$1,ROW()-1,11),IF(ISNUMBER(OFFSET($A$1,ROW()-1,10)),OFFSET($A$1,ROW()-1,10),IF(ISNUMBER(OFFSET($A$1,ROW()-1,9)),OFFSET($A$1,ROW()-1,9),IF(ISNUMBER(OFFSET($A$1,ROW()-1,8)),OFFSET($A$1,ROW()-1,8),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f>IF(NOT(AND($D108&lt;&gt;"",$V108="Macro")),"",IFERROR(CHOOSE(MATCH($D108,ListaPuestos,0),MATCH("[Jefatura] "&amp;$C108,'Cronograma R. Operacional'!$C$5:$C$1000,0),MATCH("[Jefatura] "&amp;$C108,'Cronograma R. Normativo'!$C$5:$C$1000,0),MATCH("[Jefatura] "&amp;$C108,'Cronograma R. Financiero'!$C$5:$C$1000,0),MATCH("[Jefatura] "&amp;$C108,'Cronograma Asistente Técnico'!$C$5:$C$1000,0)),0))</f>
        <v/>
      </c>
      <c r="AN108" s="62">
        <f>IF(AND(AND($D108&lt;&gt;"",$V108="Macro"),$S108=MesCiclo),COUNTIFS($D$5:$D108,$D108,$S$5:$S108,MesCiclo,$V$5:$V108,"Macro"),"")</f>
        <v/>
      </c>
      <c r="AO108" s="62">
        <f>IF($AN108="","",$D108&amp;"|"&amp;$AN108)</f>
        <v/>
      </c>
      <c r="AP108" s="62">
        <f>IF(AND($D108&lt;&gt;"",$V108="Macro"),$D108&amp;"|"&amp;$C108,"")</f>
        <v/>
      </c>
      <c r="AQ108" s="62">
        <f>""</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t="n"/>
      <c r="F109" s="59" t="n"/>
      <c r="G109" s="59" t="n"/>
      <c r="H109" s="60" t="n"/>
      <c r="I109" s="60">
        <f>IF(N($W109)=0,"",IF(AND($S109=MesCiclo,1&gt;SemanaActual),"",MIN(1,SUMIFS(OFFSET($A$1,ROW(),29,1000-ROW(),1),OFFSET($A$1,ROW(),20,1000-ROW(),1),ROW(),OFFSET($A$1,ROW(),21,1000-ROW(),1),"Sub"))))</f>
        <v/>
      </c>
      <c r="J109" s="60">
        <f>IF(N($W109)=0,"",IF(AND($S109=MesCiclo,2&gt;SemanaActual),"",MIN(1,SUMIFS(OFFSET($A$1,ROW(),30,1000-ROW(),1),OFFSET($A$1,ROW(),20,1000-ROW(),1),ROW(),OFFSET($A$1,ROW(),21,1000-ROW(),1),"Sub"))))</f>
        <v/>
      </c>
      <c r="K109" s="60">
        <f>IF(N($W109)=0,"",IF(AND($S109=MesCiclo,3&gt;SemanaActual),"",MIN(1,SUMIFS(OFFSET($A$1,ROW(),31,1000-ROW(),1),OFFSET($A$1,ROW(),20,1000-ROW(),1),ROW(),OFFSET($A$1,ROW(),21,1000-ROW(),1),"Sub"))))</f>
        <v/>
      </c>
      <c r="L109" s="60">
        <f>IF(N($W109)=0,"",IF(AND($S109=MesCiclo,4&gt;SemanaActual),"",MIN(1,SUMIFS(OFFSET($A$1,ROW(),32,1000-ROW(),1),OFFSET($A$1,ROW(),20,1000-ROW(),1),ROW(),OFFSET($A$1,ROW(),21,1000-ROW(),1),"Sub"))))</f>
        <v/>
      </c>
      <c r="M109" s="61">
        <f>IF(NOT((COUNTA($B109:$D109)+COUNTA($G109:$H109)+COUNTA($Q109))&gt;0),"",IF(AND($D109&lt;&gt;"",$V109="Macro"),IF(N($AM109)&gt;0,N(CHOOSE(MATCH($D109,ListaPuestos,0),INDEX('Cronograma R. Operacional'!$M$5:$M$1000,$AM109),INDEX('Cronograma R. Normativo'!$M$5:$M$1000,$AM109),INDEX('Cronograma R. Financiero'!$M$5:$M$1000,$AM109),INDEX('Cronograma Asistente Técnico'!$M$5:$M$1000,$AM109))),0),IF(ISNUMBER($G109),1,IF(N($W109)&gt;0,MIN(1,SUMIFS($Y$5:$Y$1000,$U$5:$U$1000,ROW(),$V$5:$V$1000,"Sub")),$Y109))))</f>
        <v/>
      </c>
      <c r="N109" s="56">
        <f>IF(OR($M109="",$V109="Sub"),"",IF($M109&gt;=1,"Completado",IF($M109&gt;0,"En curso","Pendiente")))</f>
        <v/>
      </c>
      <c r="O109" s="56">
        <f>IF(NOT((COUNTA($B109:$D109)+COUNTA($G109:$H109)+COUNTA($Q109))&gt;0),"",IF(AND(AND($D109&lt;&gt;"",$V109="Macro"),N($AM109)&gt;0),CHOOSE(MATCH($D109,ListaPuestos,0),INDEX('Cronograma R. Operacional'!$O$5:$O$1000,$AM109),INDEX('Cronograma R. Normativo'!$O$5:$O$1000,$AM109),INDEX('Cronograma R. Financiero'!$O$5:$O$1000,$AM109),INDEX('Cronograma Asistente Técnico'!$O$5:$O$1000,$AM109))&amp;"",IF(ISNUMBER($G109),IF(AND(ISNUMBER($AS109),$G109&gt;$AS109),"Cumplida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f>IF(NOT((COUNTA($B109:$D109)+COUNTA($G109:$H109)+COUNTA($Q109))&gt;0),"",IF($D109="","Propia",IF($V109&lt;&gt;"Macro","Solo se delegan macroactividades",IF(N($AM109)&gt;0,"✔ Recibida por "&amp;$D109,"⚠ "&amp;$D109&amp;" aún no la agrega"))))</f>
        <v/>
      </c>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IF($V109&lt;&gt;"Sub","",N($X109)*IF(AND(ISNUMBER($G109),$G109&lt;=IF($S109=MesCiclo,InicioCiclo,$S109+MOD(2-WEEKDAY($S109),7))+6),1,MIN(1,MAX(0,IF(ISNUMBER(OFFSET($A$1,ROW()-1,8)),OFFSET($A$1,ROW()-1,8),0)))))</f>
        <v/>
      </c>
      <c r="AE109" s="62">
        <f>IF($V109&lt;&gt;"Sub","",N($X109)*IF(AND(ISNUMBER($G109),$G109&lt;=IF($S109=MesCiclo,InicioCiclo,$S109+MOD(2-WEEKDAY($S109),7))+13),1,MIN(1,MAX(0,IF(ISNUMBER(OFFSET($A$1,ROW()-1,9)),OFFSET($A$1,ROW()-1,9),IF(ISNUMBER(OFFSET($A$1,ROW()-1,8)),OFFSET($A$1,ROW()-1,8),0))))))</f>
        <v/>
      </c>
      <c r="AF109" s="62">
        <f>IF($V109&lt;&gt;"Sub","",N($X109)*IF(AND(ISNUMBER($G109),$G109&lt;=IF($S109=MesCiclo,InicioCiclo,$S109+MOD(2-WEEKDAY($S109),7))+20),1,MIN(1,MAX(0,IF(ISNUMBER(OFFSET($A$1,ROW()-1,10)),OFFSET($A$1,ROW()-1,10),IF(ISNUMBER(OFFSET($A$1,ROW()-1,9)),OFFSET($A$1,ROW()-1,9),IF(ISNUMBER(OFFSET($A$1,ROW()-1,8)),OFFSET($A$1,ROW()-1,8),0)))))))</f>
        <v/>
      </c>
      <c r="AG109" s="62">
        <f>IF($V109&lt;&gt;"Sub","",N($X109)*IF(AND(ISNUMBER($G109),$G109&lt;=IF($S109=MesCiclo,InicioCiclo,$S109+MOD(2-WEEKDAY($S109),7))+27),1,MIN(1,MAX(0,IF(ISNUMBER(OFFSET($A$1,ROW()-1,11)),OFFSET($A$1,ROW()-1,11),IF(ISNUMBER(OFFSET($A$1,ROW()-1,10)),OFFSET($A$1,ROW()-1,10),IF(ISNUMBER(OFFSET($A$1,ROW()-1,9)),OFFSET($A$1,ROW()-1,9),IF(ISNUMBER(OFFSET($A$1,ROW()-1,8)),OFFSET($A$1,ROW()-1,8),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f>IF(NOT(AND($D109&lt;&gt;"",$V109="Macro")),"",IFERROR(CHOOSE(MATCH($D109,ListaPuestos,0),MATCH("[Jefatura] "&amp;$C109,'Cronograma R. Operacional'!$C$5:$C$1000,0),MATCH("[Jefatura] "&amp;$C109,'Cronograma R. Normativo'!$C$5:$C$1000,0),MATCH("[Jefatura] "&amp;$C109,'Cronograma R. Financiero'!$C$5:$C$1000,0),MATCH("[Jefatura] "&amp;$C109,'Cronograma Asistente Técnico'!$C$5:$C$1000,0)),0))</f>
        <v/>
      </c>
      <c r="AN109" s="62">
        <f>IF(AND(AND($D109&lt;&gt;"",$V109="Macro"),$S109=MesCiclo),COUNTIFS($D$5:$D109,$D109,$S$5:$S109,MesCiclo,$V$5:$V109,"Macro"),"")</f>
        <v/>
      </c>
      <c r="AO109" s="62">
        <f>IF($AN109="","",$D109&amp;"|"&amp;$AN109)</f>
        <v/>
      </c>
      <c r="AP109" s="62">
        <f>IF(AND($D109&lt;&gt;"",$V109="Macro"),$D109&amp;"|"&amp;$C109,"")</f>
        <v/>
      </c>
      <c r="AQ109" s="62">
        <f>""</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t="n"/>
      <c r="F110" s="59" t="n"/>
      <c r="G110" s="59" t="n"/>
      <c r="H110" s="60" t="n"/>
      <c r="I110" s="60">
        <f>IF(N($W110)=0,"",IF(AND($S110=MesCiclo,1&gt;SemanaActual),"",MIN(1,SUMIFS(OFFSET($A$1,ROW(),29,1000-ROW(),1),OFFSET($A$1,ROW(),20,1000-ROW(),1),ROW(),OFFSET($A$1,ROW(),21,1000-ROW(),1),"Sub"))))</f>
        <v/>
      </c>
      <c r="J110" s="60">
        <f>IF(N($W110)=0,"",IF(AND($S110=MesCiclo,2&gt;SemanaActual),"",MIN(1,SUMIFS(OFFSET($A$1,ROW(),30,1000-ROW(),1),OFFSET($A$1,ROW(),20,1000-ROW(),1),ROW(),OFFSET($A$1,ROW(),21,1000-ROW(),1),"Sub"))))</f>
        <v/>
      </c>
      <c r="K110" s="60">
        <f>IF(N($W110)=0,"",IF(AND($S110=MesCiclo,3&gt;SemanaActual),"",MIN(1,SUMIFS(OFFSET($A$1,ROW(),31,1000-ROW(),1),OFFSET($A$1,ROW(),20,1000-ROW(),1),ROW(),OFFSET($A$1,ROW(),21,1000-ROW(),1),"Sub"))))</f>
        <v/>
      </c>
      <c r="L110" s="60">
        <f>IF(N($W110)=0,"",IF(AND($S110=MesCiclo,4&gt;SemanaActual),"",MIN(1,SUMIFS(OFFSET($A$1,ROW(),32,1000-ROW(),1),OFFSET($A$1,ROW(),20,1000-ROW(),1),ROW(),OFFSET($A$1,ROW(),21,1000-ROW(),1),"Sub"))))</f>
        <v/>
      </c>
      <c r="M110" s="61">
        <f>IF(NOT((COUNTA($B110:$D110)+COUNTA($G110:$H110)+COUNTA($Q110))&gt;0),"",IF(AND($D110&lt;&gt;"",$V110="Macro"),IF(N($AM110)&gt;0,N(CHOOSE(MATCH($D110,ListaPuestos,0),INDEX('Cronograma R. Operacional'!$M$5:$M$1000,$AM110),INDEX('Cronograma R. Normativo'!$M$5:$M$1000,$AM110),INDEX('Cronograma R. Financiero'!$M$5:$M$1000,$AM110),INDEX('Cronograma Asistente Técnico'!$M$5:$M$1000,$AM110))),0),IF(ISNUMBER($G110),1,IF(N($W110)&gt;0,MIN(1,SUMIFS($Y$5:$Y$1000,$U$5:$U$1000,ROW(),$V$5:$V$1000,"Sub")),$Y110))))</f>
        <v/>
      </c>
      <c r="N110" s="56">
        <f>IF(OR($M110="",$V110="Sub"),"",IF($M110&gt;=1,"Completado",IF($M110&gt;0,"En curso","Pendiente")))</f>
        <v/>
      </c>
      <c r="O110" s="56">
        <f>IF(NOT((COUNTA($B110:$D110)+COUNTA($G110:$H110)+COUNTA($Q110))&gt;0),"",IF(AND(AND($D110&lt;&gt;"",$V110="Macro"),N($AM110)&gt;0),CHOOSE(MATCH($D110,ListaPuestos,0),INDEX('Cronograma R. Operacional'!$O$5:$O$1000,$AM110),INDEX('Cronograma R. Normativo'!$O$5:$O$1000,$AM110),INDEX('Cronograma R. Financiero'!$O$5:$O$1000,$AM110),INDEX('Cronograma Asistente Técnico'!$O$5:$O$1000,$AM110))&amp;"",IF(ISNUMBER($G110),IF(AND(ISNUMBER($AS110),$G110&gt;$AS110),"Cumplida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f>IF(NOT((COUNTA($B110:$D110)+COUNTA($G110:$H110)+COUNTA($Q110))&gt;0),"",IF($D110="","Propia",IF($V110&lt;&gt;"Macro","Solo se delegan macroactividades",IF(N($AM110)&gt;0,"✔ Recibida por "&amp;$D110,"⚠ "&amp;$D110&amp;" aún no la agrega"))))</f>
        <v/>
      </c>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IF($V110&lt;&gt;"Sub","",N($X110)*IF(AND(ISNUMBER($G110),$G110&lt;=IF($S110=MesCiclo,InicioCiclo,$S110+MOD(2-WEEKDAY($S110),7))+6),1,MIN(1,MAX(0,IF(ISNUMBER(OFFSET($A$1,ROW()-1,8)),OFFSET($A$1,ROW()-1,8),0)))))</f>
        <v/>
      </c>
      <c r="AE110" s="62">
        <f>IF($V110&lt;&gt;"Sub","",N($X110)*IF(AND(ISNUMBER($G110),$G110&lt;=IF($S110=MesCiclo,InicioCiclo,$S110+MOD(2-WEEKDAY($S110),7))+13),1,MIN(1,MAX(0,IF(ISNUMBER(OFFSET($A$1,ROW()-1,9)),OFFSET($A$1,ROW()-1,9),IF(ISNUMBER(OFFSET($A$1,ROW()-1,8)),OFFSET($A$1,ROW()-1,8),0))))))</f>
        <v/>
      </c>
      <c r="AF110" s="62">
        <f>IF($V110&lt;&gt;"Sub","",N($X110)*IF(AND(ISNUMBER($G110),$G110&lt;=IF($S110=MesCiclo,InicioCiclo,$S110+MOD(2-WEEKDAY($S110),7))+20),1,MIN(1,MAX(0,IF(ISNUMBER(OFFSET($A$1,ROW()-1,10)),OFFSET($A$1,ROW()-1,10),IF(ISNUMBER(OFFSET($A$1,ROW()-1,9)),OFFSET($A$1,ROW()-1,9),IF(ISNUMBER(OFFSET($A$1,ROW()-1,8)),OFFSET($A$1,ROW()-1,8),0)))))))</f>
        <v/>
      </c>
      <c r="AG110" s="62">
        <f>IF($V110&lt;&gt;"Sub","",N($X110)*IF(AND(ISNUMBER($G110),$G110&lt;=IF($S110=MesCiclo,InicioCiclo,$S110+MOD(2-WEEKDAY($S110),7))+27),1,MIN(1,MAX(0,IF(ISNUMBER(OFFSET($A$1,ROW()-1,11)),OFFSET($A$1,ROW()-1,11),IF(ISNUMBER(OFFSET($A$1,ROW()-1,10)),OFFSET($A$1,ROW()-1,10),IF(ISNUMBER(OFFSET($A$1,ROW()-1,9)),OFFSET($A$1,ROW()-1,9),IF(ISNUMBER(OFFSET($A$1,ROW()-1,8)),OFFSET($A$1,ROW()-1,8),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f>IF(NOT(AND($D110&lt;&gt;"",$V110="Macro")),"",IFERROR(CHOOSE(MATCH($D110,ListaPuestos,0),MATCH("[Jefatura] "&amp;$C110,'Cronograma R. Operacional'!$C$5:$C$1000,0),MATCH("[Jefatura] "&amp;$C110,'Cronograma R. Normativo'!$C$5:$C$1000,0),MATCH("[Jefatura] "&amp;$C110,'Cronograma R. Financiero'!$C$5:$C$1000,0),MATCH("[Jefatura] "&amp;$C110,'Cronograma Asistente Técnico'!$C$5:$C$1000,0)),0))</f>
        <v/>
      </c>
      <c r="AN110" s="62">
        <f>IF(AND(AND($D110&lt;&gt;"",$V110="Macro"),$S110=MesCiclo),COUNTIFS($D$5:$D110,$D110,$S$5:$S110,MesCiclo,$V$5:$V110,"Macro"),"")</f>
        <v/>
      </c>
      <c r="AO110" s="62">
        <f>IF($AN110="","",$D110&amp;"|"&amp;$AN110)</f>
        <v/>
      </c>
      <c r="AP110" s="62">
        <f>IF(AND($D110&lt;&gt;"",$V110="Macro"),$D110&amp;"|"&amp;$C110,"")</f>
        <v/>
      </c>
      <c r="AQ110" s="62">
        <f>""</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t="n"/>
      <c r="F111" s="59" t="n"/>
      <c r="G111" s="59" t="n"/>
      <c r="H111" s="60" t="n"/>
      <c r="I111" s="60">
        <f>IF(N($W111)=0,"",IF(AND($S111=MesCiclo,1&gt;SemanaActual),"",MIN(1,SUMIFS(OFFSET($A$1,ROW(),29,1000-ROW(),1),OFFSET($A$1,ROW(),20,1000-ROW(),1),ROW(),OFFSET($A$1,ROW(),21,1000-ROW(),1),"Sub"))))</f>
        <v/>
      </c>
      <c r="J111" s="60">
        <f>IF(N($W111)=0,"",IF(AND($S111=MesCiclo,2&gt;SemanaActual),"",MIN(1,SUMIFS(OFFSET($A$1,ROW(),30,1000-ROW(),1),OFFSET($A$1,ROW(),20,1000-ROW(),1),ROW(),OFFSET($A$1,ROW(),21,1000-ROW(),1),"Sub"))))</f>
        <v/>
      </c>
      <c r="K111" s="60">
        <f>IF(N($W111)=0,"",IF(AND($S111=MesCiclo,3&gt;SemanaActual),"",MIN(1,SUMIFS(OFFSET($A$1,ROW(),31,1000-ROW(),1),OFFSET($A$1,ROW(),20,1000-ROW(),1),ROW(),OFFSET($A$1,ROW(),21,1000-ROW(),1),"Sub"))))</f>
        <v/>
      </c>
      <c r="L111" s="60">
        <f>IF(N($W111)=0,"",IF(AND($S111=MesCiclo,4&gt;SemanaActual),"",MIN(1,SUMIFS(OFFSET($A$1,ROW(),32,1000-ROW(),1),OFFSET($A$1,ROW(),20,1000-ROW(),1),ROW(),OFFSET($A$1,ROW(),21,1000-ROW(),1),"Sub"))))</f>
        <v/>
      </c>
      <c r="M111" s="61">
        <f>IF(NOT((COUNTA($B111:$D111)+COUNTA($G111:$H111)+COUNTA($Q111))&gt;0),"",IF(AND($D111&lt;&gt;"",$V111="Macro"),IF(N($AM111)&gt;0,N(CHOOSE(MATCH($D111,ListaPuestos,0),INDEX('Cronograma R. Operacional'!$M$5:$M$1000,$AM111),INDEX('Cronograma R. Normativo'!$M$5:$M$1000,$AM111),INDEX('Cronograma R. Financiero'!$M$5:$M$1000,$AM111),INDEX('Cronograma Asistente Técnico'!$M$5:$M$1000,$AM111))),0),IF(ISNUMBER($G111),1,IF(N($W111)&gt;0,MIN(1,SUMIFS($Y$5:$Y$1000,$U$5:$U$1000,ROW(),$V$5:$V$1000,"Sub")),$Y111))))</f>
        <v/>
      </c>
      <c r="N111" s="56">
        <f>IF(OR($M111="",$V111="Sub"),"",IF($M111&gt;=1,"Completado",IF($M111&gt;0,"En curso","Pendiente")))</f>
        <v/>
      </c>
      <c r="O111" s="56">
        <f>IF(NOT((COUNTA($B111:$D111)+COUNTA($G111:$H111)+COUNTA($Q111))&gt;0),"",IF(AND(AND($D111&lt;&gt;"",$V111="Macro"),N($AM111)&gt;0),CHOOSE(MATCH($D111,ListaPuestos,0),INDEX('Cronograma R. Operacional'!$O$5:$O$1000,$AM111),INDEX('Cronograma R. Normativo'!$O$5:$O$1000,$AM111),INDEX('Cronograma R. Financiero'!$O$5:$O$1000,$AM111),INDEX('Cronograma Asistente Técnico'!$O$5:$O$1000,$AM111))&amp;"",IF(ISNUMBER($G111),IF(AND(ISNUMBER($AS111),$G111&gt;$AS111),"Cumplida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f>IF(NOT((COUNTA($B111:$D111)+COUNTA($G111:$H111)+COUNTA($Q111))&gt;0),"",IF($D111="","Propia",IF($V111&lt;&gt;"Macro","Solo se delegan macroactividades",IF(N($AM111)&gt;0,"✔ Recibida por "&amp;$D111,"⚠ "&amp;$D111&amp;" aún no la agrega"))))</f>
        <v/>
      </c>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IF($V111&lt;&gt;"Sub","",N($X111)*IF(AND(ISNUMBER($G111),$G111&lt;=IF($S111=MesCiclo,InicioCiclo,$S111+MOD(2-WEEKDAY($S111),7))+6),1,MIN(1,MAX(0,IF(ISNUMBER(OFFSET($A$1,ROW()-1,8)),OFFSET($A$1,ROW()-1,8),0)))))</f>
        <v/>
      </c>
      <c r="AE111" s="62">
        <f>IF($V111&lt;&gt;"Sub","",N($X111)*IF(AND(ISNUMBER($G111),$G111&lt;=IF($S111=MesCiclo,InicioCiclo,$S111+MOD(2-WEEKDAY($S111),7))+13),1,MIN(1,MAX(0,IF(ISNUMBER(OFFSET($A$1,ROW()-1,9)),OFFSET($A$1,ROW()-1,9),IF(ISNUMBER(OFFSET($A$1,ROW()-1,8)),OFFSET($A$1,ROW()-1,8),0))))))</f>
        <v/>
      </c>
      <c r="AF111" s="62">
        <f>IF($V111&lt;&gt;"Sub","",N($X111)*IF(AND(ISNUMBER($G111),$G111&lt;=IF($S111=MesCiclo,InicioCiclo,$S111+MOD(2-WEEKDAY($S111),7))+20),1,MIN(1,MAX(0,IF(ISNUMBER(OFFSET($A$1,ROW()-1,10)),OFFSET($A$1,ROW()-1,10),IF(ISNUMBER(OFFSET($A$1,ROW()-1,9)),OFFSET($A$1,ROW()-1,9),IF(ISNUMBER(OFFSET($A$1,ROW()-1,8)),OFFSET($A$1,ROW()-1,8),0)))))))</f>
        <v/>
      </c>
      <c r="AG111" s="62">
        <f>IF($V111&lt;&gt;"Sub","",N($X111)*IF(AND(ISNUMBER($G111),$G111&lt;=IF($S111=MesCiclo,InicioCiclo,$S111+MOD(2-WEEKDAY($S111),7))+27),1,MIN(1,MAX(0,IF(ISNUMBER(OFFSET($A$1,ROW()-1,11)),OFFSET($A$1,ROW()-1,11),IF(ISNUMBER(OFFSET($A$1,ROW()-1,10)),OFFSET($A$1,ROW()-1,10),IF(ISNUMBER(OFFSET($A$1,ROW()-1,9)),OFFSET($A$1,ROW()-1,9),IF(ISNUMBER(OFFSET($A$1,ROW()-1,8)),OFFSET($A$1,ROW()-1,8),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f>IF(NOT(AND($D111&lt;&gt;"",$V111="Macro")),"",IFERROR(CHOOSE(MATCH($D111,ListaPuestos,0),MATCH("[Jefatura] "&amp;$C111,'Cronograma R. Operacional'!$C$5:$C$1000,0),MATCH("[Jefatura] "&amp;$C111,'Cronograma R. Normativo'!$C$5:$C$1000,0),MATCH("[Jefatura] "&amp;$C111,'Cronograma R. Financiero'!$C$5:$C$1000,0),MATCH("[Jefatura] "&amp;$C111,'Cronograma Asistente Técnico'!$C$5:$C$1000,0)),0))</f>
        <v/>
      </c>
      <c r="AN111" s="62">
        <f>IF(AND(AND($D111&lt;&gt;"",$V111="Macro"),$S111=MesCiclo),COUNTIFS($D$5:$D111,$D111,$S$5:$S111,MesCiclo,$V$5:$V111,"Macro"),"")</f>
        <v/>
      </c>
      <c r="AO111" s="62">
        <f>IF($AN111="","",$D111&amp;"|"&amp;$AN111)</f>
        <v/>
      </c>
      <c r="AP111" s="62">
        <f>IF(AND($D111&lt;&gt;"",$V111="Macro"),$D111&amp;"|"&amp;$C111,"")</f>
        <v/>
      </c>
      <c r="AQ111" s="62">
        <f>""</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t="n"/>
      <c r="F112" s="59" t="n"/>
      <c r="G112" s="59" t="n"/>
      <c r="H112" s="60" t="n"/>
      <c r="I112" s="60">
        <f>IF(N($W112)=0,"",IF(AND($S112=MesCiclo,1&gt;SemanaActual),"",MIN(1,SUMIFS(OFFSET($A$1,ROW(),29,1000-ROW(),1),OFFSET($A$1,ROW(),20,1000-ROW(),1),ROW(),OFFSET($A$1,ROW(),21,1000-ROW(),1),"Sub"))))</f>
        <v/>
      </c>
      <c r="J112" s="60">
        <f>IF(N($W112)=0,"",IF(AND($S112=MesCiclo,2&gt;SemanaActual),"",MIN(1,SUMIFS(OFFSET($A$1,ROW(),30,1000-ROW(),1),OFFSET($A$1,ROW(),20,1000-ROW(),1),ROW(),OFFSET($A$1,ROW(),21,1000-ROW(),1),"Sub"))))</f>
        <v/>
      </c>
      <c r="K112" s="60">
        <f>IF(N($W112)=0,"",IF(AND($S112=MesCiclo,3&gt;SemanaActual),"",MIN(1,SUMIFS(OFFSET($A$1,ROW(),31,1000-ROW(),1),OFFSET($A$1,ROW(),20,1000-ROW(),1),ROW(),OFFSET($A$1,ROW(),21,1000-ROW(),1),"Sub"))))</f>
        <v/>
      </c>
      <c r="L112" s="60">
        <f>IF(N($W112)=0,"",IF(AND($S112=MesCiclo,4&gt;SemanaActual),"",MIN(1,SUMIFS(OFFSET($A$1,ROW(),32,1000-ROW(),1),OFFSET($A$1,ROW(),20,1000-ROW(),1),ROW(),OFFSET($A$1,ROW(),21,1000-ROW(),1),"Sub"))))</f>
        <v/>
      </c>
      <c r="M112" s="61">
        <f>IF(NOT((COUNTA($B112:$D112)+COUNTA($G112:$H112)+COUNTA($Q112))&gt;0),"",IF(AND($D112&lt;&gt;"",$V112="Macro"),IF(N($AM112)&gt;0,N(CHOOSE(MATCH($D112,ListaPuestos,0),INDEX('Cronograma R. Operacional'!$M$5:$M$1000,$AM112),INDEX('Cronograma R. Normativo'!$M$5:$M$1000,$AM112),INDEX('Cronograma R. Financiero'!$M$5:$M$1000,$AM112),INDEX('Cronograma Asistente Técnico'!$M$5:$M$1000,$AM112))),0),IF(ISNUMBER($G112),1,IF(N($W112)&gt;0,MIN(1,SUMIFS($Y$5:$Y$1000,$U$5:$U$1000,ROW(),$V$5:$V$1000,"Sub")),$Y112))))</f>
        <v/>
      </c>
      <c r="N112" s="56">
        <f>IF(OR($M112="",$V112="Sub"),"",IF($M112&gt;=1,"Completado",IF($M112&gt;0,"En curso","Pendiente")))</f>
        <v/>
      </c>
      <c r="O112" s="56">
        <f>IF(NOT((COUNTA($B112:$D112)+COUNTA($G112:$H112)+COUNTA($Q112))&gt;0),"",IF(AND(AND($D112&lt;&gt;"",$V112="Macro"),N($AM112)&gt;0),CHOOSE(MATCH($D112,ListaPuestos,0),INDEX('Cronograma R. Operacional'!$O$5:$O$1000,$AM112),INDEX('Cronograma R. Normativo'!$O$5:$O$1000,$AM112),INDEX('Cronograma R. Financiero'!$O$5:$O$1000,$AM112),INDEX('Cronograma Asistente Técnico'!$O$5:$O$1000,$AM112))&amp;"",IF(ISNUMBER($G112),IF(AND(ISNUMBER($AS112),$G112&gt;$AS112),"Cumplida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f>IF(NOT((COUNTA($B112:$D112)+COUNTA($G112:$H112)+COUNTA($Q112))&gt;0),"",IF($D112="","Propia",IF($V112&lt;&gt;"Macro","Solo se delegan macroactividades",IF(N($AM112)&gt;0,"✔ Recibida por "&amp;$D112,"⚠ "&amp;$D112&amp;" aún no la agrega"))))</f>
        <v/>
      </c>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IF($V112&lt;&gt;"Sub","",N($X112)*IF(AND(ISNUMBER($G112),$G112&lt;=IF($S112=MesCiclo,InicioCiclo,$S112+MOD(2-WEEKDAY($S112),7))+6),1,MIN(1,MAX(0,IF(ISNUMBER(OFFSET($A$1,ROW()-1,8)),OFFSET($A$1,ROW()-1,8),0)))))</f>
        <v/>
      </c>
      <c r="AE112" s="62">
        <f>IF($V112&lt;&gt;"Sub","",N($X112)*IF(AND(ISNUMBER($G112),$G112&lt;=IF($S112=MesCiclo,InicioCiclo,$S112+MOD(2-WEEKDAY($S112),7))+13),1,MIN(1,MAX(0,IF(ISNUMBER(OFFSET($A$1,ROW()-1,9)),OFFSET($A$1,ROW()-1,9),IF(ISNUMBER(OFFSET($A$1,ROW()-1,8)),OFFSET($A$1,ROW()-1,8),0))))))</f>
        <v/>
      </c>
      <c r="AF112" s="62">
        <f>IF($V112&lt;&gt;"Sub","",N($X112)*IF(AND(ISNUMBER($G112),$G112&lt;=IF($S112=MesCiclo,InicioCiclo,$S112+MOD(2-WEEKDAY($S112),7))+20),1,MIN(1,MAX(0,IF(ISNUMBER(OFFSET($A$1,ROW()-1,10)),OFFSET($A$1,ROW()-1,10),IF(ISNUMBER(OFFSET($A$1,ROW()-1,9)),OFFSET($A$1,ROW()-1,9),IF(ISNUMBER(OFFSET($A$1,ROW()-1,8)),OFFSET($A$1,ROW()-1,8),0)))))))</f>
        <v/>
      </c>
      <c r="AG112" s="62">
        <f>IF($V112&lt;&gt;"Sub","",N($X112)*IF(AND(ISNUMBER($G112),$G112&lt;=IF($S112=MesCiclo,InicioCiclo,$S112+MOD(2-WEEKDAY($S112),7))+27),1,MIN(1,MAX(0,IF(ISNUMBER(OFFSET($A$1,ROW()-1,11)),OFFSET($A$1,ROW()-1,11),IF(ISNUMBER(OFFSET($A$1,ROW()-1,10)),OFFSET($A$1,ROW()-1,10),IF(ISNUMBER(OFFSET($A$1,ROW()-1,9)),OFFSET($A$1,ROW()-1,9),IF(ISNUMBER(OFFSET($A$1,ROW()-1,8)),OFFSET($A$1,ROW()-1,8),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f>IF(NOT(AND($D112&lt;&gt;"",$V112="Macro")),"",IFERROR(CHOOSE(MATCH($D112,ListaPuestos,0),MATCH("[Jefatura] "&amp;$C112,'Cronograma R. Operacional'!$C$5:$C$1000,0),MATCH("[Jefatura] "&amp;$C112,'Cronograma R. Normativo'!$C$5:$C$1000,0),MATCH("[Jefatura] "&amp;$C112,'Cronograma R. Financiero'!$C$5:$C$1000,0),MATCH("[Jefatura] "&amp;$C112,'Cronograma Asistente Técnico'!$C$5:$C$1000,0)),0))</f>
        <v/>
      </c>
      <c r="AN112" s="62">
        <f>IF(AND(AND($D112&lt;&gt;"",$V112="Macro"),$S112=MesCiclo),COUNTIFS($D$5:$D112,$D112,$S$5:$S112,MesCiclo,$V$5:$V112,"Macro"),"")</f>
        <v/>
      </c>
      <c r="AO112" s="62">
        <f>IF($AN112="","",$D112&amp;"|"&amp;$AN112)</f>
        <v/>
      </c>
      <c r="AP112" s="62">
        <f>IF(AND($D112&lt;&gt;"",$V112="Macro"),$D112&amp;"|"&amp;$C112,"")</f>
        <v/>
      </c>
      <c r="AQ112" s="62">
        <f>""</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t="n"/>
      <c r="F113" s="59" t="n"/>
      <c r="G113" s="59" t="n"/>
      <c r="H113" s="60" t="n"/>
      <c r="I113" s="60">
        <f>IF(N($W113)=0,"",IF(AND($S113=MesCiclo,1&gt;SemanaActual),"",MIN(1,SUMIFS(OFFSET($A$1,ROW(),29,1000-ROW(),1),OFFSET($A$1,ROW(),20,1000-ROW(),1),ROW(),OFFSET($A$1,ROW(),21,1000-ROW(),1),"Sub"))))</f>
        <v/>
      </c>
      <c r="J113" s="60">
        <f>IF(N($W113)=0,"",IF(AND($S113=MesCiclo,2&gt;SemanaActual),"",MIN(1,SUMIFS(OFFSET($A$1,ROW(),30,1000-ROW(),1),OFFSET($A$1,ROW(),20,1000-ROW(),1),ROW(),OFFSET($A$1,ROW(),21,1000-ROW(),1),"Sub"))))</f>
        <v/>
      </c>
      <c r="K113" s="60">
        <f>IF(N($W113)=0,"",IF(AND($S113=MesCiclo,3&gt;SemanaActual),"",MIN(1,SUMIFS(OFFSET($A$1,ROW(),31,1000-ROW(),1),OFFSET($A$1,ROW(),20,1000-ROW(),1),ROW(),OFFSET($A$1,ROW(),21,1000-ROW(),1),"Sub"))))</f>
        <v/>
      </c>
      <c r="L113" s="60">
        <f>IF(N($W113)=0,"",IF(AND($S113=MesCiclo,4&gt;SemanaActual),"",MIN(1,SUMIFS(OFFSET($A$1,ROW(),32,1000-ROW(),1),OFFSET($A$1,ROW(),20,1000-ROW(),1),ROW(),OFFSET($A$1,ROW(),21,1000-ROW(),1),"Sub"))))</f>
        <v/>
      </c>
      <c r="M113" s="61">
        <f>IF(NOT((COUNTA($B113:$D113)+COUNTA($G113:$H113)+COUNTA($Q113))&gt;0),"",IF(AND($D113&lt;&gt;"",$V113="Macro"),IF(N($AM113)&gt;0,N(CHOOSE(MATCH($D113,ListaPuestos,0),INDEX('Cronograma R. Operacional'!$M$5:$M$1000,$AM113),INDEX('Cronograma R. Normativo'!$M$5:$M$1000,$AM113),INDEX('Cronograma R. Financiero'!$M$5:$M$1000,$AM113),INDEX('Cronograma Asistente Técnico'!$M$5:$M$1000,$AM113))),0),IF(ISNUMBER($G113),1,IF(N($W113)&gt;0,MIN(1,SUMIFS($Y$5:$Y$1000,$U$5:$U$1000,ROW(),$V$5:$V$1000,"Sub")),$Y113))))</f>
        <v/>
      </c>
      <c r="N113" s="56">
        <f>IF(OR($M113="",$V113="Sub"),"",IF($M113&gt;=1,"Completado",IF($M113&gt;0,"En curso","Pendiente")))</f>
        <v/>
      </c>
      <c r="O113" s="56">
        <f>IF(NOT((COUNTA($B113:$D113)+COUNTA($G113:$H113)+COUNTA($Q113))&gt;0),"",IF(AND(AND($D113&lt;&gt;"",$V113="Macro"),N($AM113)&gt;0),CHOOSE(MATCH($D113,ListaPuestos,0),INDEX('Cronograma R. Operacional'!$O$5:$O$1000,$AM113),INDEX('Cronograma R. Normativo'!$O$5:$O$1000,$AM113),INDEX('Cronograma R. Financiero'!$O$5:$O$1000,$AM113),INDEX('Cronograma Asistente Técnico'!$O$5:$O$1000,$AM113))&amp;"",IF(ISNUMBER($G113),IF(AND(ISNUMBER($AS113),$G113&gt;$AS113),"Cumplida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f>IF(NOT((COUNTA($B113:$D113)+COUNTA($G113:$H113)+COUNTA($Q113))&gt;0),"",IF($D113="","Propia",IF($V113&lt;&gt;"Macro","Solo se delegan macroactividades",IF(N($AM113)&gt;0,"✔ Recibida por "&amp;$D113,"⚠ "&amp;$D113&amp;" aún no la agrega"))))</f>
        <v/>
      </c>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IF($V113&lt;&gt;"Sub","",N($X113)*IF(AND(ISNUMBER($G113),$G113&lt;=IF($S113=MesCiclo,InicioCiclo,$S113+MOD(2-WEEKDAY($S113),7))+6),1,MIN(1,MAX(0,IF(ISNUMBER(OFFSET($A$1,ROW()-1,8)),OFFSET($A$1,ROW()-1,8),0)))))</f>
        <v/>
      </c>
      <c r="AE113" s="62">
        <f>IF($V113&lt;&gt;"Sub","",N($X113)*IF(AND(ISNUMBER($G113),$G113&lt;=IF($S113=MesCiclo,InicioCiclo,$S113+MOD(2-WEEKDAY($S113),7))+13),1,MIN(1,MAX(0,IF(ISNUMBER(OFFSET($A$1,ROW()-1,9)),OFFSET($A$1,ROW()-1,9),IF(ISNUMBER(OFFSET($A$1,ROW()-1,8)),OFFSET($A$1,ROW()-1,8),0))))))</f>
        <v/>
      </c>
      <c r="AF113" s="62">
        <f>IF($V113&lt;&gt;"Sub","",N($X113)*IF(AND(ISNUMBER($G113),$G113&lt;=IF($S113=MesCiclo,InicioCiclo,$S113+MOD(2-WEEKDAY($S113),7))+20),1,MIN(1,MAX(0,IF(ISNUMBER(OFFSET($A$1,ROW()-1,10)),OFFSET($A$1,ROW()-1,10),IF(ISNUMBER(OFFSET($A$1,ROW()-1,9)),OFFSET($A$1,ROW()-1,9),IF(ISNUMBER(OFFSET($A$1,ROW()-1,8)),OFFSET($A$1,ROW()-1,8),0)))))))</f>
        <v/>
      </c>
      <c r="AG113" s="62">
        <f>IF($V113&lt;&gt;"Sub","",N($X113)*IF(AND(ISNUMBER($G113),$G113&lt;=IF($S113=MesCiclo,InicioCiclo,$S113+MOD(2-WEEKDAY($S113),7))+27),1,MIN(1,MAX(0,IF(ISNUMBER(OFFSET($A$1,ROW()-1,11)),OFFSET($A$1,ROW()-1,11),IF(ISNUMBER(OFFSET($A$1,ROW()-1,10)),OFFSET($A$1,ROW()-1,10),IF(ISNUMBER(OFFSET($A$1,ROW()-1,9)),OFFSET($A$1,ROW()-1,9),IF(ISNUMBER(OFFSET($A$1,ROW()-1,8)),OFFSET($A$1,ROW()-1,8),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f>IF(NOT(AND($D113&lt;&gt;"",$V113="Macro")),"",IFERROR(CHOOSE(MATCH($D113,ListaPuestos,0),MATCH("[Jefatura] "&amp;$C113,'Cronograma R. Operacional'!$C$5:$C$1000,0),MATCH("[Jefatura] "&amp;$C113,'Cronograma R. Normativo'!$C$5:$C$1000,0),MATCH("[Jefatura] "&amp;$C113,'Cronograma R. Financiero'!$C$5:$C$1000,0),MATCH("[Jefatura] "&amp;$C113,'Cronograma Asistente Técnico'!$C$5:$C$1000,0)),0))</f>
        <v/>
      </c>
      <c r="AN113" s="62">
        <f>IF(AND(AND($D113&lt;&gt;"",$V113="Macro"),$S113=MesCiclo),COUNTIFS($D$5:$D113,$D113,$S$5:$S113,MesCiclo,$V$5:$V113,"Macro"),"")</f>
        <v/>
      </c>
      <c r="AO113" s="62">
        <f>IF($AN113="","",$D113&amp;"|"&amp;$AN113)</f>
        <v/>
      </c>
      <c r="AP113" s="62">
        <f>IF(AND($D113&lt;&gt;"",$V113="Macro"),$D113&amp;"|"&amp;$C113,"")</f>
        <v/>
      </c>
      <c r="AQ113" s="62">
        <f>""</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t="n"/>
      <c r="F114" s="59" t="n"/>
      <c r="G114" s="59" t="n"/>
      <c r="H114" s="60" t="n"/>
      <c r="I114" s="60">
        <f>IF(N($W114)=0,"",IF(AND($S114=MesCiclo,1&gt;SemanaActual),"",MIN(1,SUMIFS(OFFSET($A$1,ROW(),29,1000-ROW(),1),OFFSET($A$1,ROW(),20,1000-ROW(),1),ROW(),OFFSET($A$1,ROW(),21,1000-ROW(),1),"Sub"))))</f>
        <v/>
      </c>
      <c r="J114" s="60">
        <f>IF(N($W114)=0,"",IF(AND($S114=MesCiclo,2&gt;SemanaActual),"",MIN(1,SUMIFS(OFFSET($A$1,ROW(),30,1000-ROW(),1),OFFSET($A$1,ROW(),20,1000-ROW(),1),ROW(),OFFSET($A$1,ROW(),21,1000-ROW(),1),"Sub"))))</f>
        <v/>
      </c>
      <c r="K114" s="60">
        <f>IF(N($W114)=0,"",IF(AND($S114=MesCiclo,3&gt;SemanaActual),"",MIN(1,SUMIFS(OFFSET($A$1,ROW(),31,1000-ROW(),1),OFFSET($A$1,ROW(),20,1000-ROW(),1),ROW(),OFFSET($A$1,ROW(),21,1000-ROW(),1),"Sub"))))</f>
        <v/>
      </c>
      <c r="L114" s="60">
        <f>IF(N($W114)=0,"",IF(AND($S114=MesCiclo,4&gt;SemanaActual),"",MIN(1,SUMIFS(OFFSET($A$1,ROW(),32,1000-ROW(),1),OFFSET($A$1,ROW(),20,1000-ROW(),1),ROW(),OFFSET($A$1,ROW(),21,1000-ROW(),1),"Sub"))))</f>
        <v/>
      </c>
      <c r="M114" s="61">
        <f>IF(NOT((COUNTA($B114:$D114)+COUNTA($G114:$H114)+COUNTA($Q114))&gt;0),"",IF(AND($D114&lt;&gt;"",$V114="Macro"),IF(N($AM114)&gt;0,N(CHOOSE(MATCH($D114,ListaPuestos,0),INDEX('Cronograma R. Operacional'!$M$5:$M$1000,$AM114),INDEX('Cronograma R. Normativo'!$M$5:$M$1000,$AM114),INDEX('Cronograma R. Financiero'!$M$5:$M$1000,$AM114),INDEX('Cronograma Asistente Técnico'!$M$5:$M$1000,$AM114))),0),IF(ISNUMBER($G114),1,IF(N($W114)&gt;0,MIN(1,SUMIFS($Y$5:$Y$1000,$U$5:$U$1000,ROW(),$V$5:$V$1000,"Sub")),$Y114))))</f>
        <v/>
      </c>
      <c r="N114" s="56">
        <f>IF(OR($M114="",$V114="Sub"),"",IF($M114&gt;=1,"Completado",IF($M114&gt;0,"En curso","Pendiente")))</f>
        <v/>
      </c>
      <c r="O114" s="56">
        <f>IF(NOT((COUNTA($B114:$D114)+COUNTA($G114:$H114)+COUNTA($Q114))&gt;0),"",IF(AND(AND($D114&lt;&gt;"",$V114="Macro"),N($AM114)&gt;0),CHOOSE(MATCH($D114,ListaPuestos,0),INDEX('Cronograma R. Operacional'!$O$5:$O$1000,$AM114),INDEX('Cronograma R. Normativo'!$O$5:$O$1000,$AM114),INDEX('Cronograma R. Financiero'!$O$5:$O$1000,$AM114),INDEX('Cronograma Asistente Técnico'!$O$5:$O$1000,$AM114))&amp;"",IF(ISNUMBER($G114),IF(AND(ISNUMBER($AS114),$G114&gt;$AS114),"Cumplida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f>IF(NOT((COUNTA($B114:$D114)+COUNTA($G114:$H114)+COUNTA($Q114))&gt;0),"",IF($D114="","Propia",IF($V114&lt;&gt;"Macro","Solo se delegan macroactividades",IF(N($AM114)&gt;0,"✔ Recibida por "&amp;$D114,"⚠ "&amp;$D114&amp;" aún no la agrega"))))</f>
        <v/>
      </c>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IF($V114&lt;&gt;"Sub","",N($X114)*IF(AND(ISNUMBER($G114),$G114&lt;=IF($S114=MesCiclo,InicioCiclo,$S114+MOD(2-WEEKDAY($S114),7))+6),1,MIN(1,MAX(0,IF(ISNUMBER(OFFSET($A$1,ROW()-1,8)),OFFSET($A$1,ROW()-1,8),0)))))</f>
        <v/>
      </c>
      <c r="AE114" s="62">
        <f>IF($V114&lt;&gt;"Sub","",N($X114)*IF(AND(ISNUMBER($G114),$G114&lt;=IF($S114=MesCiclo,InicioCiclo,$S114+MOD(2-WEEKDAY($S114),7))+13),1,MIN(1,MAX(0,IF(ISNUMBER(OFFSET($A$1,ROW()-1,9)),OFFSET($A$1,ROW()-1,9),IF(ISNUMBER(OFFSET($A$1,ROW()-1,8)),OFFSET($A$1,ROW()-1,8),0))))))</f>
        <v/>
      </c>
      <c r="AF114" s="62">
        <f>IF($V114&lt;&gt;"Sub","",N($X114)*IF(AND(ISNUMBER($G114),$G114&lt;=IF($S114=MesCiclo,InicioCiclo,$S114+MOD(2-WEEKDAY($S114),7))+20),1,MIN(1,MAX(0,IF(ISNUMBER(OFFSET($A$1,ROW()-1,10)),OFFSET($A$1,ROW()-1,10),IF(ISNUMBER(OFFSET($A$1,ROW()-1,9)),OFFSET($A$1,ROW()-1,9),IF(ISNUMBER(OFFSET($A$1,ROW()-1,8)),OFFSET($A$1,ROW()-1,8),0)))))))</f>
        <v/>
      </c>
      <c r="AG114" s="62">
        <f>IF($V114&lt;&gt;"Sub","",N($X114)*IF(AND(ISNUMBER($G114),$G114&lt;=IF($S114=MesCiclo,InicioCiclo,$S114+MOD(2-WEEKDAY($S114),7))+27),1,MIN(1,MAX(0,IF(ISNUMBER(OFFSET($A$1,ROW()-1,11)),OFFSET($A$1,ROW()-1,11),IF(ISNUMBER(OFFSET($A$1,ROW()-1,10)),OFFSET($A$1,ROW()-1,10),IF(ISNUMBER(OFFSET($A$1,ROW()-1,9)),OFFSET($A$1,ROW()-1,9),IF(ISNUMBER(OFFSET($A$1,ROW()-1,8)),OFFSET($A$1,ROW()-1,8),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f>IF(NOT(AND($D114&lt;&gt;"",$V114="Macro")),"",IFERROR(CHOOSE(MATCH($D114,ListaPuestos,0),MATCH("[Jefatura] "&amp;$C114,'Cronograma R. Operacional'!$C$5:$C$1000,0),MATCH("[Jefatura] "&amp;$C114,'Cronograma R. Normativo'!$C$5:$C$1000,0),MATCH("[Jefatura] "&amp;$C114,'Cronograma R. Financiero'!$C$5:$C$1000,0),MATCH("[Jefatura] "&amp;$C114,'Cronograma Asistente Técnico'!$C$5:$C$1000,0)),0))</f>
        <v/>
      </c>
      <c r="AN114" s="62">
        <f>IF(AND(AND($D114&lt;&gt;"",$V114="Macro"),$S114=MesCiclo),COUNTIFS($D$5:$D114,$D114,$S$5:$S114,MesCiclo,$V$5:$V114,"Macro"),"")</f>
        <v/>
      </c>
      <c r="AO114" s="62">
        <f>IF($AN114="","",$D114&amp;"|"&amp;$AN114)</f>
        <v/>
      </c>
      <c r="AP114" s="62">
        <f>IF(AND($D114&lt;&gt;"",$V114="Macro"),$D114&amp;"|"&amp;$C114,"")</f>
        <v/>
      </c>
      <c r="AQ114" s="62">
        <f>""</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t="n"/>
      <c r="F115" s="59" t="n"/>
      <c r="G115" s="59" t="n"/>
      <c r="H115" s="60" t="n"/>
      <c r="I115" s="60">
        <f>IF(N($W115)=0,"",IF(AND($S115=MesCiclo,1&gt;SemanaActual),"",MIN(1,SUMIFS(OFFSET($A$1,ROW(),29,1000-ROW(),1),OFFSET($A$1,ROW(),20,1000-ROW(),1),ROW(),OFFSET($A$1,ROW(),21,1000-ROW(),1),"Sub"))))</f>
        <v/>
      </c>
      <c r="J115" s="60">
        <f>IF(N($W115)=0,"",IF(AND($S115=MesCiclo,2&gt;SemanaActual),"",MIN(1,SUMIFS(OFFSET($A$1,ROW(),30,1000-ROW(),1),OFFSET($A$1,ROW(),20,1000-ROW(),1),ROW(),OFFSET($A$1,ROW(),21,1000-ROW(),1),"Sub"))))</f>
        <v/>
      </c>
      <c r="K115" s="60">
        <f>IF(N($W115)=0,"",IF(AND($S115=MesCiclo,3&gt;SemanaActual),"",MIN(1,SUMIFS(OFFSET($A$1,ROW(),31,1000-ROW(),1),OFFSET($A$1,ROW(),20,1000-ROW(),1),ROW(),OFFSET($A$1,ROW(),21,1000-ROW(),1),"Sub"))))</f>
        <v/>
      </c>
      <c r="L115" s="60">
        <f>IF(N($W115)=0,"",IF(AND($S115=MesCiclo,4&gt;SemanaActual),"",MIN(1,SUMIFS(OFFSET($A$1,ROW(),32,1000-ROW(),1),OFFSET($A$1,ROW(),20,1000-ROW(),1),ROW(),OFFSET($A$1,ROW(),21,1000-ROW(),1),"Sub"))))</f>
        <v/>
      </c>
      <c r="M115" s="61">
        <f>IF(NOT((COUNTA($B115:$D115)+COUNTA($G115:$H115)+COUNTA($Q115))&gt;0),"",IF(AND($D115&lt;&gt;"",$V115="Macro"),IF(N($AM115)&gt;0,N(CHOOSE(MATCH($D115,ListaPuestos,0),INDEX('Cronograma R. Operacional'!$M$5:$M$1000,$AM115),INDEX('Cronograma R. Normativo'!$M$5:$M$1000,$AM115),INDEX('Cronograma R. Financiero'!$M$5:$M$1000,$AM115),INDEX('Cronograma Asistente Técnico'!$M$5:$M$1000,$AM115))),0),IF(ISNUMBER($G115),1,IF(N($W115)&gt;0,MIN(1,SUMIFS($Y$5:$Y$1000,$U$5:$U$1000,ROW(),$V$5:$V$1000,"Sub")),$Y115))))</f>
        <v/>
      </c>
      <c r="N115" s="56">
        <f>IF(OR($M115="",$V115="Sub"),"",IF($M115&gt;=1,"Completado",IF($M115&gt;0,"En curso","Pendiente")))</f>
        <v/>
      </c>
      <c r="O115" s="56">
        <f>IF(NOT((COUNTA($B115:$D115)+COUNTA($G115:$H115)+COUNTA($Q115))&gt;0),"",IF(AND(AND($D115&lt;&gt;"",$V115="Macro"),N($AM115)&gt;0),CHOOSE(MATCH($D115,ListaPuestos,0),INDEX('Cronograma R. Operacional'!$O$5:$O$1000,$AM115),INDEX('Cronograma R. Normativo'!$O$5:$O$1000,$AM115),INDEX('Cronograma R. Financiero'!$O$5:$O$1000,$AM115),INDEX('Cronograma Asistente Técnico'!$O$5:$O$1000,$AM115))&amp;"",IF(ISNUMBER($G115),IF(AND(ISNUMBER($AS115),$G115&gt;$AS115),"Cumplida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f>IF(NOT((COUNTA($B115:$D115)+COUNTA($G115:$H115)+COUNTA($Q115))&gt;0),"",IF($D115="","Propia",IF($V115&lt;&gt;"Macro","Solo se delegan macroactividades",IF(N($AM115)&gt;0,"✔ Recibida por "&amp;$D115,"⚠ "&amp;$D115&amp;" aún no la agrega"))))</f>
        <v/>
      </c>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IF($V115&lt;&gt;"Sub","",N($X115)*IF(AND(ISNUMBER($G115),$G115&lt;=IF($S115=MesCiclo,InicioCiclo,$S115+MOD(2-WEEKDAY($S115),7))+6),1,MIN(1,MAX(0,IF(ISNUMBER(OFFSET($A$1,ROW()-1,8)),OFFSET($A$1,ROW()-1,8),0)))))</f>
        <v/>
      </c>
      <c r="AE115" s="62">
        <f>IF($V115&lt;&gt;"Sub","",N($X115)*IF(AND(ISNUMBER($G115),$G115&lt;=IF($S115=MesCiclo,InicioCiclo,$S115+MOD(2-WEEKDAY($S115),7))+13),1,MIN(1,MAX(0,IF(ISNUMBER(OFFSET($A$1,ROW()-1,9)),OFFSET($A$1,ROW()-1,9),IF(ISNUMBER(OFFSET($A$1,ROW()-1,8)),OFFSET($A$1,ROW()-1,8),0))))))</f>
        <v/>
      </c>
      <c r="AF115" s="62">
        <f>IF($V115&lt;&gt;"Sub","",N($X115)*IF(AND(ISNUMBER($G115),$G115&lt;=IF($S115=MesCiclo,InicioCiclo,$S115+MOD(2-WEEKDAY($S115),7))+20),1,MIN(1,MAX(0,IF(ISNUMBER(OFFSET($A$1,ROW()-1,10)),OFFSET($A$1,ROW()-1,10),IF(ISNUMBER(OFFSET($A$1,ROW()-1,9)),OFFSET($A$1,ROW()-1,9),IF(ISNUMBER(OFFSET($A$1,ROW()-1,8)),OFFSET($A$1,ROW()-1,8),0)))))))</f>
        <v/>
      </c>
      <c r="AG115" s="62">
        <f>IF($V115&lt;&gt;"Sub","",N($X115)*IF(AND(ISNUMBER($G115),$G115&lt;=IF($S115=MesCiclo,InicioCiclo,$S115+MOD(2-WEEKDAY($S115),7))+27),1,MIN(1,MAX(0,IF(ISNUMBER(OFFSET($A$1,ROW()-1,11)),OFFSET($A$1,ROW()-1,11),IF(ISNUMBER(OFFSET($A$1,ROW()-1,10)),OFFSET($A$1,ROW()-1,10),IF(ISNUMBER(OFFSET($A$1,ROW()-1,9)),OFFSET($A$1,ROW()-1,9),IF(ISNUMBER(OFFSET($A$1,ROW()-1,8)),OFFSET($A$1,ROW()-1,8),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f>IF(NOT(AND($D115&lt;&gt;"",$V115="Macro")),"",IFERROR(CHOOSE(MATCH($D115,ListaPuestos,0),MATCH("[Jefatura] "&amp;$C115,'Cronograma R. Operacional'!$C$5:$C$1000,0),MATCH("[Jefatura] "&amp;$C115,'Cronograma R. Normativo'!$C$5:$C$1000,0),MATCH("[Jefatura] "&amp;$C115,'Cronograma R. Financiero'!$C$5:$C$1000,0),MATCH("[Jefatura] "&amp;$C115,'Cronograma Asistente Técnico'!$C$5:$C$1000,0)),0))</f>
        <v/>
      </c>
      <c r="AN115" s="62">
        <f>IF(AND(AND($D115&lt;&gt;"",$V115="Macro"),$S115=MesCiclo),COUNTIFS($D$5:$D115,$D115,$S$5:$S115,MesCiclo,$V$5:$V115,"Macro"),"")</f>
        <v/>
      </c>
      <c r="AO115" s="62">
        <f>IF($AN115="","",$D115&amp;"|"&amp;$AN115)</f>
        <v/>
      </c>
      <c r="AP115" s="62">
        <f>IF(AND($D115&lt;&gt;"",$V115="Macro"),$D115&amp;"|"&amp;$C115,"")</f>
        <v/>
      </c>
      <c r="AQ115" s="62">
        <f>""</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t="n"/>
      <c r="F116" s="59" t="n"/>
      <c r="G116" s="59" t="n"/>
      <c r="H116" s="60" t="n"/>
      <c r="I116" s="60">
        <f>IF(N($W116)=0,"",IF(AND($S116=MesCiclo,1&gt;SemanaActual),"",MIN(1,SUMIFS(OFFSET($A$1,ROW(),29,1000-ROW(),1),OFFSET($A$1,ROW(),20,1000-ROW(),1),ROW(),OFFSET($A$1,ROW(),21,1000-ROW(),1),"Sub"))))</f>
        <v/>
      </c>
      <c r="J116" s="60">
        <f>IF(N($W116)=0,"",IF(AND($S116=MesCiclo,2&gt;SemanaActual),"",MIN(1,SUMIFS(OFFSET($A$1,ROW(),30,1000-ROW(),1),OFFSET($A$1,ROW(),20,1000-ROW(),1),ROW(),OFFSET($A$1,ROW(),21,1000-ROW(),1),"Sub"))))</f>
        <v/>
      </c>
      <c r="K116" s="60">
        <f>IF(N($W116)=0,"",IF(AND($S116=MesCiclo,3&gt;SemanaActual),"",MIN(1,SUMIFS(OFFSET($A$1,ROW(),31,1000-ROW(),1),OFFSET($A$1,ROW(),20,1000-ROW(),1),ROW(),OFFSET($A$1,ROW(),21,1000-ROW(),1),"Sub"))))</f>
        <v/>
      </c>
      <c r="L116" s="60">
        <f>IF(N($W116)=0,"",IF(AND($S116=MesCiclo,4&gt;SemanaActual),"",MIN(1,SUMIFS(OFFSET($A$1,ROW(),32,1000-ROW(),1),OFFSET($A$1,ROW(),20,1000-ROW(),1),ROW(),OFFSET($A$1,ROW(),21,1000-ROW(),1),"Sub"))))</f>
        <v/>
      </c>
      <c r="M116" s="61">
        <f>IF(NOT((COUNTA($B116:$D116)+COUNTA($G116:$H116)+COUNTA($Q116))&gt;0),"",IF(AND($D116&lt;&gt;"",$V116="Macro"),IF(N($AM116)&gt;0,N(CHOOSE(MATCH($D116,ListaPuestos,0),INDEX('Cronograma R. Operacional'!$M$5:$M$1000,$AM116),INDEX('Cronograma R. Normativo'!$M$5:$M$1000,$AM116),INDEX('Cronograma R. Financiero'!$M$5:$M$1000,$AM116),INDEX('Cronograma Asistente Técnico'!$M$5:$M$1000,$AM116))),0),IF(ISNUMBER($G116),1,IF(N($W116)&gt;0,MIN(1,SUMIFS($Y$5:$Y$1000,$U$5:$U$1000,ROW(),$V$5:$V$1000,"Sub")),$Y116))))</f>
        <v/>
      </c>
      <c r="N116" s="56">
        <f>IF(OR($M116="",$V116="Sub"),"",IF($M116&gt;=1,"Completado",IF($M116&gt;0,"En curso","Pendiente")))</f>
        <v/>
      </c>
      <c r="O116" s="56">
        <f>IF(NOT((COUNTA($B116:$D116)+COUNTA($G116:$H116)+COUNTA($Q116))&gt;0),"",IF(AND(AND($D116&lt;&gt;"",$V116="Macro"),N($AM116)&gt;0),CHOOSE(MATCH($D116,ListaPuestos,0),INDEX('Cronograma R. Operacional'!$O$5:$O$1000,$AM116),INDEX('Cronograma R. Normativo'!$O$5:$O$1000,$AM116),INDEX('Cronograma R. Financiero'!$O$5:$O$1000,$AM116),INDEX('Cronograma Asistente Técnico'!$O$5:$O$1000,$AM116))&amp;"",IF(ISNUMBER($G116),IF(AND(ISNUMBER($AS116),$G116&gt;$AS116),"Cumplida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f>IF(NOT((COUNTA($B116:$D116)+COUNTA($G116:$H116)+COUNTA($Q116))&gt;0),"",IF($D116="","Propia",IF($V116&lt;&gt;"Macro","Solo se delegan macroactividades",IF(N($AM116)&gt;0,"✔ Recibida por "&amp;$D116,"⚠ "&amp;$D116&amp;" aún no la agrega"))))</f>
        <v/>
      </c>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IF($V116&lt;&gt;"Sub","",N($X116)*IF(AND(ISNUMBER($G116),$G116&lt;=IF($S116=MesCiclo,InicioCiclo,$S116+MOD(2-WEEKDAY($S116),7))+6),1,MIN(1,MAX(0,IF(ISNUMBER(OFFSET($A$1,ROW()-1,8)),OFFSET($A$1,ROW()-1,8),0)))))</f>
        <v/>
      </c>
      <c r="AE116" s="62">
        <f>IF($V116&lt;&gt;"Sub","",N($X116)*IF(AND(ISNUMBER($G116),$G116&lt;=IF($S116=MesCiclo,InicioCiclo,$S116+MOD(2-WEEKDAY($S116),7))+13),1,MIN(1,MAX(0,IF(ISNUMBER(OFFSET($A$1,ROW()-1,9)),OFFSET($A$1,ROW()-1,9),IF(ISNUMBER(OFFSET($A$1,ROW()-1,8)),OFFSET($A$1,ROW()-1,8),0))))))</f>
        <v/>
      </c>
      <c r="AF116" s="62">
        <f>IF($V116&lt;&gt;"Sub","",N($X116)*IF(AND(ISNUMBER($G116),$G116&lt;=IF($S116=MesCiclo,InicioCiclo,$S116+MOD(2-WEEKDAY($S116),7))+20),1,MIN(1,MAX(0,IF(ISNUMBER(OFFSET($A$1,ROW()-1,10)),OFFSET($A$1,ROW()-1,10),IF(ISNUMBER(OFFSET($A$1,ROW()-1,9)),OFFSET($A$1,ROW()-1,9),IF(ISNUMBER(OFFSET($A$1,ROW()-1,8)),OFFSET($A$1,ROW()-1,8),0)))))))</f>
        <v/>
      </c>
      <c r="AG116" s="62">
        <f>IF($V116&lt;&gt;"Sub","",N($X116)*IF(AND(ISNUMBER($G116),$G116&lt;=IF($S116=MesCiclo,InicioCiclo,$S116+MOD(2-WEEKDAY($S116),7))+27),1,MIN(1,MAX(0,IF(ISNUMBER(OFFSET($A$1,ROW()-1,11)),OFFSET($A$1,ROW()-1,11),IF(ISNUMBER(OFFSET($A$1,ROW()-1,10)),OFFSET($A$1,ROW()-1,10),IF(ISNUMBER(OFFSET($A$1,ROW()-1,9)),OFFSET($A$1,ROW()-1,9),IF(ISNUMBER(OFFSET($A$1,ROW()-1,8)),OFFSET($A$1,ROW()-1,8),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f>IF(NOT(AND($D116&lt;&gt;"",$V116="Macro")),"",IFERROR(CHOOSE(MATCH($D116,ListaPuestos,0),MATCH("[Jefatura] "&amp;$C116,'Cronograma R. Operacional'!$C$5:$C$1000,0),MATCH("[Jefatura] "&amp;$C116,'Cronograma R. Normativo'!$C$5:$C$1000,0),MATCH("[Jefatura] "&amp;$C116,'Cronograma R. Financiero'!$C$5:$C$1000,0),MATCH("[Jefatura] "&amp;$C116,'Cronograma Asistente Técnico'!$C$5:$C$1000,0)),0))</f>
        <v/>
      </c>
      <c r="AN116" s="62">
        <f>IF(AND(AND($D116&lt;&gt;"",$V116="Macro"),$S116=MesCiclo),COUNTIFS($D$5:$D116,$D116,$S$5:$S116,MesCiclo,$V$5:$V116,"Macro"),"")</f>
        <v/>
      </c>
      <c r="AO116" s="62">
        <f>IF($AN116="","",$D116&amp;"|"&amp;$AN116)</f>
        <v/>
      </c>
      <c r="AP116" s="62">
        <f>IF(AND($D116&lt;&gt;"",$V116="Macro"),$D116&amp;"|"&amp;$C116,"")</f>
        <v/>
      </c>
      <c r="AQ116" s="62">
        <f>""</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t="n"/>
      <c r="F117" s="59" t="n"/>
      <c r="G117" s="59" t="n"/>
      <c r="H117" s="60" t="n"/>
      <c r="I117" s="60">
        <f>IF(N($W117)=0,"",IF(AND($S117=MesCiclo,1&gt;SemanaActual),"",MIN(1,SUMIFS(OFFSET($A$1,ROW(),29,1000-ROW(),1),OFFSET($A$1,ROW(),20,1000-ROW(),1),ROW(),OFFSET($A$1,ROW(),21,1000-ROW(),1),"Sub"))))</f>
        <v/>
      </c>
      <c r="J117" s="60">
        <f>IF(N($W117)=0,"",IF(AND($S117=MesCiclo,2&gt;SemanaActual),"",MIN(1,SUMIFS(OFFSET($A$1,ROW(),30,1000-ROW(),1),OFFSET($A$1,ROW(),20,1000-ROW(),1),ROW(),OFFSET($A$1,ROW(),21,1000-ROW(),1),"Sub"))))</f>
        <v/>
      </c>
      <c r="K117" s="60">
        <f>IF(N($W117)=0,"",IF(AND($S117=MesCiclo,3&gt;SemanaActual),"",MIN(1,SUMIFS(OFFSET($A$1,ROW(),31,1000-ROW(),1),OFFSET($A$1,ROW(),20,1000-ROW(),1),ROW(),OFFSET($A$1,ROW(),21,1000-ROW(),1),"Sub"))))</f>
        <v/>
      </c>
      <c r="L117" s="60">
        <f>IF(N($W117)=0,"",IF(AND($S117=MesCiclo,4&gt;SemanaActual),"",MIN(1,SUMIFS(OFFSET($A$1,ROW(),32,1000-ROW(),1),OFFSET($A$1,ROW(),20,1000-ROW(),1),ROW(),OFFSET($A$1,ROW(),21,1000-ROW(),1),"Sub"))))</f>
        <v/>
      </c>
      <c r="M117" s="61">
        <f>IF(NOT((COUNTA($B117:$D117)+COUNTA($G117:$H117)+COUNTA($Q117))&gt;0),"",IF(AND($D117&lt;&gt;"",$V117="Macro"),IF(N($AM117)&gt;0,N(CHOOSE(MATCH($D117,ListaPuestos,0),INDEX('Cronograma R. Operacional'!$M$5:$M$1000,$AM117),INDEX('Cronograma R. Normativo'!$M$5:$M$1000,$AM117),INDEX('Cronograma R. Financiero'!$M$5:$M$1000,$AM117),INDEX('Cronograma Asistente Técnico'!$M$5:$M$1000,$AM117))),0),IF(ISNUMBER($G117),1,IF(N($W117)&gt;0,MIN(1,SUMIFS($Y$5:$Y$1000,$U$5:$U$1000,ROW(),$V$5:$V$1000,"Sub")),$Y117))))</f>
        <v/>
      </c>
      <c r="N117" s="56">
        <f>IF(OR($M117="",$V117="Sub"),"",IF($M117&gt;=1,"Completado",IF($M117&gt;0,"En curso","Pendiente")))</f>
        <v/>
      </c>
      <c r="O117" s="56">
        <f>IF(NOT((COUNTA($B117:$D117)+COUNTA($G117:$H117)+COUNTA($Q117))&gt;0),"",IF(AND(AND($D117&lt;&gt;"",$V117="Macro"),N($AM117)&gt;0),CHOOSE(MATCH($D117,ListaPuestos,0),INDEX('Cronograma R. Operacional'!$O$5:$O$1000,$AM117),INDEX('Cronograma R. Normativo'!$O$5:$O$1000,$AM117),INDEX('Cronograma R. Financiero'!$O$5:$O$1000,$AM117),INDEX('Cronograma Asistente Técnico'!$O$5:$O$1000,$AM117))&amp;"",IF(ISNUMBER($G117),IF(AND(ISNUMBER($AS117),$G117&gt;$AS117),"Cumplida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f>IF(NOT((COUNTA($B117:$D117)+COUNTA($G117:$H117)+COUNTA($Q117))&gt;0),"",IF($D117="","Propia",IF($V117&lt;&gt;"Macro","Solo se delegan macroactividades",IF(N($AM117)&gt;0,"✔ Recibida por "&amp;$D117,"⚠ "&amp;$D117&amp;" aún no la agrega"))))</f>
        <v/>
      </c>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IF($V117&lt;&gt;"Sub","",N($X117)*IF(AND(ISNUMBER($G117),$G117&lt;=IF($S117=MesCiclo,InicioCiclo,$S117+MOD(2-WEEKDAY($S117),7))+6),1,MIN(1,MAX(0,IF(ISNUMBER(OFFSET($A$1,ROW()-1,8)),OFFSET($A$1,ROW()-1,8),0)))))</f>
        <v/>
      </c>
      <c r="AE117" s="62">
        <f>IF($V117&lt;&gt;"Sub","",N($X117)*IF(AND(ISNUMBER($G117),$G117&lt;=IF($S117=MesCiclo,InicioCiclo,$S117+MOD(2-WEEKDAY($S117),7))+13),1,MIN(1,MAX(0,IF(ISNUMBER(OFFSET($A$1,ROW()-1,9)),OFFSET($A$1,ROW()-1,9),IF(ISNUMBER(OFFSET($A$1,ROW()-1,8)),OFFSET($A$1,ROW()-1,8),0))))))</f>
        <v/>
      </c>
      <c r="AF117" s="62">
        <f>IF($V117&lt;&gt;"Sub","",N($X117)*IF(AND(ISNUMBER($G117),$G117&lt;=IF($S117=MesCiclo,InicioCiclo,$S117+MOD(2-WEEKDAY($S117),7))+20),1,MIN(1,MAX(0,IF(ISNUMBER(OFFSET($A$1,ROW()-1,10)),OFFSET($A$1,ROW()-1,10),IF(ISNUMBER(OFFSET($A$1,ROW()-1,9)),OFFSET($A$1,ROW()-1,9),IF(ISNUMBER(OFFSET($A$1,ROW()-1,8)),OFFSET($A$1,ROW()-1,8),0)))))))</f>
        <v/>
      </c>
      <c r="AG117" s="62">
        <f>IF($V117&lt;&gt;"Sub","",N($X117)*IF(AND(ISNUMBER($G117),$G117&lt;=IF($S117=MesCiclo,InicioCiclo,$S117+MOD(2-WEEKDAY($S117),7))+27),1,MIN(1,MAX(0,IF(ISNUMBER(OFFSET($A$1,ROW()-1,11)),OFFSET($A$1,ROW()-1,11),IF(ISNUMBER(OFFSET($A$1,ROW()-1,10)),OFFSET($A$1,ROW()-1,10),IF(ISNUMBER(OFFSET($A$1,ROW()-1,9)),OFFSET($A$1,ROW()-1,9),IF(ISNUMBER(OFFSET($A$1,ROW()-1,8)),OFFSET($A$1,ROW()-1,8),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f>IF(NOT(AND($D117&lt;&gt;"",$V117="Macro")),"",IFERROR(CHOOSE(MATCH($D117,ListaPuestos,0),MATCH("[Jefatura] "&amp;$C117,'Cronograma R. Operacional'!$C$5:$C$1000,0),MATCH("[Jefatura] "&amp;$C117,'Cronograma R. Normativo'!$C$5:$C$1000,0),MATCH("[Jefatura] "&amp;$C117,'Cronograma R. Financiero'!$C$5:$C$1000,0),MATCH("[Jefatura] "&amp;$C117,'Cronograma Asistente Técnico'!$C$5:$C$1000,0)),0))</f>
        <v/>
      </c>
      <c r="AN117" s="62">
        <f>IF(AND(AND($D117&lt;&gt;"",$V117="Macro"),$S117=MesCiclo),COUNTIFS($D$5:$D117,$D117,$S$5:$S117,MesCiclo,$V$5:$V117,"Macro"),"")</f>
        <v/>
      </c>
      <c r="AO117" s="62">
        <f>IF($AN117="","",$D117&amp;"|"&amp;$AN117)</f>
        <v/>
      </c>
      <c r="AP117" s="62">
        <f>IF(AND($D117&lt;&gt;"",$V117="Macro"),$D117&amp;"|"&amp;$C117,"")</f>
        <v/>
      </c>
      <c r="AQ117" s="62">
        <f>""</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t="n"/>
      <c r="F118" s="59" t="n"/>
      <c r="G118" s="59" t="n"/>
      <c r="H118" s="60" t="n"/>
      <c r="I118" s="60">
        <f>IF(N($W118)=0,"",IF(AND($S118=MesCiclo,1&gt;SemanaActual),"",MIN(1,SUMIFS(OFFSET($A$1,ROW(),29,1000-ROW(),1),OFFSET($A$1,ROW(),20,1000-ROW(),1),ROW(),OFFSET($A$1,ROW(),21,1000-ROW(),1),"Sub"))))</f>
        <v/>
      </c>
      <c r="J118" s="60">
        <f>IF(N($W118)=0,"",IF(AND($S118=MesCiclo,2&gt;SemanaActual),"",MIN(1,SUMIFS(OFFSET($A$1,ROW(),30,1000-ROW(),1),OFFSET($A$1,ROW(),20,1000-ROW(),1),ROW(),OFFSET($A$1,ROW(),21,1000-ROW(),1),"Sub"))))</f>
        <v/>
      </c>
      <c r="K118" s="60">
        <f>IF(N($W118)=0,"",IF(AND($S118=MesCiclo,3&gt;SemanaActual),"",MIN(1,SUMIFS(OFFSET($A$1,ROW(),31,1000-ROW(),1),OFFSET($A$1,ROW(),20,1000-ROW(),1),ROW(),OFFSET($A$1,ROW(),21,1000-ROW(),1),"Sub"))))</f>
        <v/>
      </c>
      <c r="L118" s="60">
        <f>IF(N($W118)=0,"",IF(AND($S118=MesCiclo,4&gt;SemanaActual),"",MIN(1,SUMIFS(OFFSET($A$1,ROW(),32,1000-ROW(),1),OFFSET($A$1,ROW(),20,1000-ROW(),1),ROW(),OFFSET($A$1,ROW(),21,1000-ROW(),1),"Sub"))))</f>
        <v/>
      </c>
      <c r="M118" s="61">
        <f>IF(NOT((COUNTA($B118:$D118)+COUNTA($G118:$H118)+COUNTA($Q118))&gt;0),"",IF(AND($D118&lt;&gt;"",$V118="Macro"),IF(N($AM118)&gt;0,N(CHOOSE(MATCH($D118,ListaPuestos,0),INDEX('Cronograma R. Operacional'!$M$5:$M$1000,$AM118),INDEX('Cronograma R. Normativo'!$M$5:$M$1000,$AM118),INDEX('Cronograma R. Financiero'!$M$5:$M$1000,$AM118),INDEX('Cronograma Asistente Técnico'!$M$5:$M$1000,$AM118))),0),IF(ISNUMBER($G118),1,IF(N($W118)&gt;0,MIN(1,SUMIFS($Y$5:$Y$1000,$U$5:$U$1000,ROW(),$V$5:$V$1000,"Sub")),$Y118))))</f>
        <v/>
      </c>
      <c r="N118" s="56">
        <f>IF(OR($M118="",$V118="Sub"),"",IF($M118&gt;=1,"Completado",IF($M118&gt;0,"En curso","Pendiente")))</f>
        <v/>
      </c>
      <c r="O118" s="56">
        <f>IF(NOT((COUNTA($B118:$D118)+COUNTA($G118:$H118)+COUNTA($Q118))&gt;0),"",IF(AND(AND($D118&lt;&gt;"",$V118="Macro"),N($AM118)&gt;0),CHOOSE(MATCH($D118,ListaPuestos,0),INDEX('Cronograma R. Operacional'!$O$5:$O$1000,$AM118),INDEX('Cronograma R. Normativo'!$O$5:$O$1000,$AM118),INDEX('Cronograma R. Financiero'!$O$5:$O$1000,$AM118),INDEX('Cronograma Asistente Técnico'!$O$5:$O$1000,$AM118))&amp;"",IF(ISNUMBER($G118),IF(AND(ISNUMBER($AS118),$G118&gt;$AS118),"Cumplida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f>IF(NOT((COUNTA($B118:$D118)+COUNTA($G118:$H118)+COUNTA($Q118))&gt;0),"",IF($D118="","Propia",IF($V118&lt;&gt;"Macro","Solo se delegan macroactividades",IF(N($AM118)&gt;0,"✔ Recibida por "&amp;$D118,"⚠ "&amp;$D118&amp;" aún no la agrega"))))</f>
        <v/>
      </c>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IF($V118&lt;&gt;"Sub","",N($X118)*IF(AND(ISNUMBER($G118),$G118&lt;=IF($S118=MesCiclo,InicioCiclo,$S118+MOD(2-WEEKDAY($S118),7))+6),1,MIN(1,MAX(0,IF(ISNUMBER(OFFSET($A$1,ROW()-1,8)),OFFSET($A$1,ROW()-1,8),0)))))</f>
        <v/>
      </c>
      <c r="AE118" s="62">
        <f>IF($V118&lt;&gt;"Sub","",N($X118)*IF(AND(ISNUMBER($G118),$G118&lt;=IF($S118=MesCiclo,InicioCiclo,$S118+MOD(2-WEEKDAY($S118),7))+13),1,MIN(1,MAX(0,IF(ISNUMBER(OFFSET($A$1,ROW()-1,9)),OFFSET($A$1,ROW()-1,9),IF(ISNUMBER(OFFSET($A$1,ROW()-1,8)),OFFSET($A$1,ROW()-1,8),0))))))</f>
        <v/>
      </c>
      <c r="AF118" s="62">
        <f>IF($V118&lt;&gt;"Sub","",N($X118)*IF(AND(ISNUMBER($G118),$G118&lt;=IF($S118=MesCiclo,InicioCiclo,$S118+MOD(2-WEEKDAY($S118),7))+20),1,MIN(1,MAX(0,IF(ISNUMBER(OFFSET($A$1,ROW()-1,10)),OFFSET($A$1,ROW()-1,10),IF(ISNUMBER(OFFSET($A$1,ROW()-1,9)),OFFSET($A$1,ROW()-1,9),IF(ISNUMBER(OFFSET($A$1,ROW()-1,8)),OFFSET($A$1,ROW()-1,8),0)))))))</f>
        <v/>
      </c>
      <c r="AG118" s="62">
        <f>IF($V118&lt;&gt;"Sub","",N($X118)*IF(AND(ISNUMBER($G118),$G118&lt;=IF($S118=MesCiclo,InicioCiclo,$S118+MOD(2-WEEKDAY($S118),7))+27),1,MIN(1,MAX(0,IF(ISNUMBER(OFFSET($A$1,ROW()-1,11)),OFFSET($A$1,ROW()-1,11),IF(ISNUMBER(OFFSET($A$1,ROW()-1,10)),OFFSET($A$1,ROW()-1,10),IF(ISNUMBER(OFFSET($A$1,ROW()-1,9)),OFFSET($A$1,ROW()-1,9),IF(ISNUMBER(OFFSET($A$1,ROW()-1,8)),OFFSET($A$1,ROW()-1,8),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f>IF(NOT(AND($D118&lt;&gt;"",$V118="Macro")),"",IFERROR(CHOOSE(MATCH($D118,ListaPuestos,0),MATCH("[Jefatura] "&amp;$C118,'Cronograma R. Operacional'!$C$5:$C$1000,0),MATCH("[Jefatura] "&amp;$C118,'Cronograma R. Normativo'!$C$5:$C$1000,0),MATCH("[Jefatura] "&amp;$C118,'Cronograma R. Financiero'!$C$5:$C$1000,0),MATCH("[Jefatura] "&amp;$C118,'Cronograma Asistente Técnico'!$C$5:$C$1000,0)),0))</f>
        <v/>
      </c>
      <c r="AN118" s="62">
        <f>IF(AND(AND($D118&lt;&gt;"",$V118="Macro"),$S118=MesCiclo),COUNTIFS($D$5:$D118,$D118,$S$5:$S118,MesCiclo,$V$5:$V118,"Macro"),"")</f>
        <v/>
      </c>
      <c r="AO118" s="62">
        <f>IF($AN118="","",$D118&amp;"|"&amp;$AN118)</f>
        <v/>
      </c>
      <c r="AP118" s="62">
        <f>IF(AND($D118&lt;&gt;"",$V118="Macro"),$D118&amp;"|"&amp;$C118,"")</f>
        <v/>
      </c>
      <c r="AQ118" s="62">
        <f>""</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t="n"/>
      <c r="F119" s="59" t="n"/>
      <c r="G119" s="59" t="n"/>
      <c r="H119" s="60" t="n"/>
      <c r="I119" s="60">
        <f>IF(N($W119)=0,"",IF(AND($S119=MesCiclo,1&gt;SemanaActual),"",MIN(1,SUMIFS(OFFSET($A$1,ROW(),29,1000-ROW(),1),OFFSET($A$1,ROW(),20,1000-ROW(),1),ROW(),OFFSET($A$1,ROW(),21,1000-ROW(),1),"Sub"))))</f>
        <v/>
      </c>
      <c r="J119" s="60">
        <f>IF(N($W119)=0,"",IF(AND($S119=MesCiclo,2&gt;SemanaActual),"",MIN(1,SUMIFS(OFFSET($A$1,ROW(),30,1000-ROW(),1),OFFSET($A$1,ROW(),20,1000-ROW(),1),ROW(),OFFSET($A$1,ROW(),21,1000-ROW(),1),"Sub"))))</f>
        <v/>
      </c>
      <c r="K119" s="60">
        <f>IF(N($W119)=0,"",IF(AND($S119=MesCiclo,3&gt;SemanaActual),"",MIN(1,SUMIFS(OFFSET($A$1,ROW(),31,1000-ROW(),1),OFFSET($A$1,ROW(),20,1000-ROW(),1),ROW(),OFFSET($A$1,ROW(),21,1000-ROW(),1),"Sub"))))</f>
        <v/>
      </c>
      <c r="L119" s="60">
        <f>IF(N($W119)=0,"",IF(AND($S119=MesCiclo,4&gt;SemanaActual),"",MIN(1,SUMIFS(OFFSET($A$1,ROW(),32,1000-ROW(),1),OFFSET($A$1,ROW(),20,1000-ROW(),1),ROW(),OFFSET($A$1,ROW(),21,1000-ROW(),1),"Sub"))))</f>
        <v/>
      </c>
      <c r="M119" s="61">
        <f>IF(NOT((COUNTA($B119:$D119)+COUNTA($G119:$H119)+COUNTA($Q119))&gt;0),"",IF(AND($D119&lt;&gt;"",$V119="Macro"),IF(N($AM119)&gt;0,N(CHOOSE(MATCH($D119,ListaPuestos,0),INDEX('Cronograma R. Operacional'!$M$5:$M$1000,$AM119),INDEX('Cronograma R. Normativo'!$M$5:$M$1000,$AM119),INDEX('Cronograma R. Financiero'!$M$5:$M$1000,$AM119),INDEX('Cronograma Asistente Técnico'!$M$5:$M$1000,$AM119))),0),IF(ISNUMBER($G119),1,IF(N($W119)&gt;0,MIN(1,SUMIFS($Y$5:$Y$1000,$U$5:$U$1000,ROW(),$V$5:$V$1000,"Sub")),$Y119))))</f>
        <v/>
      </c>
      <c r="N119" s="56">
        <f>IF(OR($M119="",$V119="Sub"),"",IF($M119&gt;=1,"Completado",IF($M119&gt;0,"En curso","Pendiente")))</f>
        <v/>
      </c>
      <c r="O119" s="56">
        <f>IF(NOT((COUNTA($B119:$D119)+COUNTA($G119:$H119)+COUNTA($Q119))&gt;0),"",IF(AND(AND($D119&lt;&gt;"",$V119="Macro"),N($AM119)&gt;0),CHOOSE(MATCH($D119,ListaPuestos,0),INDEX('Cronograma R. Operacional'!$O$5:$O$1000,$AM119),INDEX('Cronograma R. Normativo'!$O$5:$O$1000,$AM119),INDEX('Cronograma R. Financiero'!$O$5:$O$1000,$AM119),INDEX('Cronograma Asistente Técnico'!$O$5:$O$1000,$AM119))&amp;"",IF(ISNUMBER($G119),IF(AND(ISNUMBER($AS119),$G119&gt;$AS119),"Cumplida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f>IF(NOT((COUNTA($B119:$D119)+COUNTA($G119:$H119)+COUNTA($Q119))&gt;0),"",IF($D119="","Propia",IF($V119&lt;&gt;"Macro","Solo se delegan macroactividades",IF(N($AM119)&gt;0,"✔ Recibida por "&amp;$D119,"⚠ "&amp;$D119&amp;" aún no la agrega"))))</f>
        <v/>
      </c>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IF($V119&lt;&gt;"Sub","",N($X119)*IF(AND(ISNUMBER($G119),$G119&lt;=IF($S119=MesCiclo,InicioCiclo,$S119+MOD(2-WEEKDAY($S119),7))+6),1,MIN(1,MAX(0,IF(ISNUMBER(OFFSET($A$1,ROW()-1,8)),OFFSET($A$1,ROW()-1,8),0)))))</f>
        <v/>
      </c>
      <c r="AE119" s="62">
        <f>IF($V119&lt;&gt;"Sub","",N($X119)*IF(AND(ISNUMBER($G119),$G119&lt;=IF($S119=MesCiclo,InicioCiclo,$S119+MOD(2-WEEKDAY($S119),7))+13),1,MIN(1,MAX(0,IF(ISNUMBER(OFFSET($A$1,ROW()-1,9)),OFFSET($A$1,ROW()-1,9),IF(ISNUMBER(OFFSET($A$1,ROW()-1,8)),OFFSET($A$1,ROW()-1,8),0))))))</f>
        <v/>
      </c>
      <c r="AF119" s="62">
        <f>IF($V119&lt;&gt;"Sub","",N($X119)*IF(AND(ISNUMBER($G119),$G119&lt;=IF($S119=MesCiclo,InicioCiclo,$S119+MOD(2-WEEKDAY($S119),7))+20),1,MIN(1,MAX(0,IF(ISNUMBER(OFFSET($A$1,ROW()-1,10)),OFFSET($A$1,ROW()-1,10),IF(ISNUMBER(OFFSET($A$1,ROW()-1,9)),OFFSET($A$1,ROW()-1,9),IF(ISNUMBER(OFFSET($A$1,ROW()-1,8)),OFFSET($A$1,ROW()-1,8),0)))))))</f>
        <v/>
      </c>
      <c r="AG119" s="62">
        <f>IF($V119&lt;&gt;"Sub","",N($X119)*IF(AND(ISNUMBER($G119),$G119&lt;=IF($S119=MesCiclo,InicioCiclo,$S119+MOD(2-WEEKDAY($S119),7))+27),1,MIN(1,MAX(0,IF(ISNUMBER(OFFSET($A$1,ROW()-1,11)),OFFSET($A$1,ROW()-1,11),IF(ISNUMBER(OFFSET($A$1,ROW()-1,10)),OFFSET($A$1,ROW()-1,10),IF(ISNUMBER(OFFSET($A$1,ROW()-1,9)),OFFSET($A$1,ROW()-1,9),IF(ISNUMBER(OFFSET($A$1,ROW()-1,8)),OFFSET($A$1,ROW()-1,8),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f>IF(NOT(AND($D119&lt;&gt;"",$V119="Macro")),"",IFERROR(CHOOSE(MATCH($D119,ListaPuestos,0),MATCH("[Jefatura] "&amp;$C119,'Cronograma R. Operacional'!$C$5:$C$1000,0),MATCH("[Jefatura] "&amp;$C119,'Cronograma R. Normativo'!$C$5:$C$1000,0),MATCH("[Jefatura] "&amp;$C119,'Cronograma R. Financiero'!$C$5:$C$1000,0),MATCH("[Jefatura] "&amp;$C119,'Cronograma Asistente Técnico'!$C$5:$C$1000,0)),0))</f>
        <v/>
      </c>
      <c r="AN119" s="62">
        <f>IF(AND(AND($D119&lt;&gt;"",$V119="Macro"),$S119=MesCiclo),COUNTIFS($D$5:$D119,$D119,$S$5:$S119,MesCiclo,$V$5:$V119,"Macro"),"")</f>
        <v/>
      </c>
      <c r="AO119" s="62">
        <f>IF($AN119="","",$D119&amp;"|"&amp;$AN119)</f>
        <v/>
      </c>
      <c r="AP119" s="62">
        <f>IF(AND($D119&lt;&gt;"",$V119="Macro"),$D119&amp;"|"&amp;$C119,"")</f>
        <v/>
      </c>
      <c r="AQ119" s="62">
        <f>""</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t="n"/>
      <c r="F120" s="59" t="n"/>
      <c r="G120" s="59" t="n"/>
      <c r="H120" s="60" t="n"/>
      <c r="I120" s="60">
        <f>IF(N($W120)=0,"",IF(AND($S120=MesCiclo,1&gt;SemanaActual),"",MIN(1,SUMIFS(OFFSET($A$1,ROW(),29,1000-ROW(),1),OFFSET($A$1,ROW(),20,1000-ROW(),1),ROW(),OFFSET($A$1,ROW(),21,1000-ROW(),1),"Sub"))))</f>
        <v/>
      </c>
      <c r="J120" s="60">
        <f>IF(N($W120)=0,"",IF(AND($S120=MesCiclo,2&gt;SemanaActual),"",MIN(1,SUMIFS(OFFSET($A$1,ROW(),30,1000-ROW(),1),OFFSET($A$1,ROW(),20,1000-ROW(),1),ROW(),OFFSET($A$1,ROW(),21,1000-ROW(),1),"Sub"))))</f>
        <v/>
      </c>
      <c r="K120" s="60">
        <f>IF(N($W120)=0,"",IF(AND($S120=MesCiclo,3&gt;SemanaActual),"",MIN(1,SUMIFS(OFFSET($A$1,ROW(),31,1000-ROW(),1),OFFSET($A$1,ROW(),20,1000-ROW(),1),ROW(),OFFSET($A$1,ROW(),21,1000-ROW(),1),"Sub"))))</f>
        <v/>
      </c>
      <c r="L120" s="60">
        <f>IF(N($W120)=0,"",IF(AND($S120=MesCiclo,4&gt;SemanaActual),"",MIN(1,SUMIFS(OFFSET($A$1,ROW(),32,1000-ROW(),1),OFFSET($A$1,ROW(),20,1000-ROW(),1),ROW(),OFFSET($A$1,ROW(),21,1000-ROW(),1),"Sub"))))</f>
        <v/>
      </c>
      <c r="M120" s="61">
        <f>IF(NOT((COUNTA($B120:$D120)+COUNTA($G120:$H120)+COUNTA($Q120))&gt;0),"",IF(AND($D120&lt;&gt;"",$V120="Macro"),IF(N($AM120)&gt;0,N(CHOOSE(MATCH($D120,ListaPuestos,0),INDEX('Cronograma R. Operacional'!$M$5:$M$1000,$AM120),INDEX('Cronograma R. Normativo'!$M$5:$M$1000,$AM120),INDEX('Cronograma R. Financiero'!$M$5:$M$1000,$AM120),INDEX('Cronograma Asistente Técnico'!$M$5:$M$1000,$AM120))),0),IF(ISNUMBER($G120),1,IF(N($W120)&gt;0,MIN(1,SUMIFS($Y$5:$Y$1000,$U$5:$U$1000,ROW(),$V$5:$V$1000,"Sub")),$Y120))))</f>
        <v/>
      </c>
      <c r="N120" s="56">
        <f>IF(OR($M120="",$V120="Sub"),"",IF($M120&gt;=1,"Completado",IF($M120&gt;0,"En curso","Pendiente")))</f>
        <v/>
      </c>
      <c r="O120" s="56">
        <f>IF(NOT((COUNTA($B120:$D120)+COUNTA($G120:$H120)+COUNTA($Q120))&gt;0),"",IF(AND(AND($D120&lt;&gt;"",$V120="Macro"),N($AM120)&gt;0),CHOOSE(MATCH($D120,ListaPuestos,0),INDEX('Cronograma R. Operacional'!$O$5:$O$1000,$AM120),INDEX('Cronograma R. Normativo'!$O$5:$O$1000,$AM120),INDEX('Cronograma R. Financiero'!$O$5:$O$1000,$AM120),INDEX('Cronograma Asistente Técnico'!$O$5:$O$1000,$AM120))&amp;"",IF(ISNUMBER($G120),IF(AND(ISNUMBER($AS120),$G120&gt;$AS120),"Cumplida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f>IF(NOT((COUNTA($B120:$D120)+COUNTA($G120:$H120)+COUNTA($Q120))&gt;0),"",IF($D120="","Propia",IF($V120&lt;&gt;"Macro","Solo se delegan macroactividades",IF(N($AM120)&gt;0,"✔ Recibida por "&amp;$D120,"⚠ "&amp;$D120&amp;" aún no la agrega"))))</f>
        <v/>
      </c>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IF($V120&lt;&gt;"Sub","",N($X120)*IF(AND(ISNUMBER($G120),$G120&lt;=IF($S120=MesCiclo,InicioCiclo,$S120+MOD(2-WEEKDAY($S120),7))+6),1,MIN(1,MAX(0,IF(ISNUMBER(OFFSET($A$1,ROW()-1,8)),OFFSET($A$1,ROW()-1,8),0)))))</f>
        <v/>
      </c>
      <c r="AE120" s="62">
        <f>IF($V120&lt;&gt;"Sub","",N($X120)*IF(AND(ISNUMBER($G120),$G120&lt;=IF($S120=MesCiclo,InicioCiclo,$S120+MOD(2-WEEKDAY($S120),7))+13),1,MIN(1,MAX(0,IF(ISNUMBER(OFFSET($A$1,ROW()-1,9)),OFFSET($A$1,ROW()-1,9),IF(ISNUMBER(OFFSET($A$1,ROW()-1,8)),OFFSET($A$1,ROW()-1,8),0))))))</f>
        <v/>
      </c>
      <c r="AF120" s="62">
        <f>IF($V120&lt;&gt;"Sub","",N($X120)*IF(AND(ISNUMBER($G120),$G120&lt;=IF($S120=MesCiclo,InicioCiclo,$S120+MOD(2-WEEKDAY($S120),7))+20),1,MIN(1,MAX(0,IF(ISNUMBER(OFFSET($A$1,ROW()-1,10)),OFFSET($A$1,ROW()-1,10),IF(ISNUMBER(OFFSET($A$1,ROW()-1,9)),OFFSET($A$1,ROW()-1,9),IF(ISNUMBER(OFFSET($A$1,ROW()-1,8)),OFFSET($A$1,ROW()-1,8),0)))))))</f>
        <v/>
      </c>
      <c r="AG120" s="62">
        <f>IF($V120&lt;&gt;"Sub","",N($X120)*IF(AND(ISNUMBER($G120),$G120&lt;=IF($S120=MesCiclo,InicioCiclo,$S120+MOD(2-WEEKDAY($S120),7))+27),1,MIN(1,MAX(0,IF(ISNUMBER(OFFSET($A$1,ROW()-1,11)),OFFSET($A$1,ROW()-1,11),IF(ISNUMBER(OFFSET($A$1,ROW()-1,10)),OFFSET($A$1,ROW()-1,10),IF(ISNUMBER(OFFSET($A$1,ROW()-1,9)),OFFSET($A$1,ROW()-1,9),IF(ISNUMBER(OFFSET($A$1,ROW()-1,8)),OFFSET($A$1,ROW()-1,8),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f>IF(NOT(AND($D120&lt;&gt;"",$V120="Macro")),"",IFERROR(CHOOSE(MATCH($D120,ListaPuestos,0),MATCH("[Jefatura] "&amp;$C120,'Cronograma R. Operacional'!$C$5:$C$1000,0),MATCH("[Jefatura] "&amp;$C120,'Cronograma R. Normativo'!$C$5:$C$1000,0),MATCH("[Jefatura] "&amp;$C120,'Cronograma R. Financiero'!$C$5:$C$1000,0),MATCH("[Jefatura] "&amp;$C120,'Cronograma Asistente Técnico'!$C$5:$C$1000,0)),0))</f>
        <v/>
      </c>
      <c r="AN120" s="62">
        <f>IF(AND(AND($D120&lt;&gt;"",$V120="Macro"),$S120=MesCiclo),COUNTIFS($D$5:$D120,$D120,$S$5:$S120,MesCiclo,$V$5:$V120,"Macro"),"")</f>
        <v/>
      </c>
      <c r="AO120" s="62">
        <f>IF($AN120="","",$D120&amp;"|"&amp;$AN120)</f>
        <v/>
      </c>
      <c r="AP120" s="62">
        <f>IF(AND($D120&lt;&gt;"",$V120="Macro"),$D120&amp;"|"&amp;$C120,"")</f>
        <v/>
      </c>
      <c r="AQ120" s="62">
        <f>""</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t="n"/>
      <c r="F121" s="59" t="n"/>
      <c r="G121" s="59" t="n"/>
      <c r="H121" s="60" t="n"/>
      <c r="I121" s="60">
        <f>IF(N($W121)=0,"",IF(AND($S121=MesCiclo,1&gt;SemanaActual),"",MIN(1,SUMIFS(OFFSET($A$1,ROW(),29,1000-ROW(),1),OFFSET($A$1,ROW(),20,1000-ROW(),1),ROW(),OFFSET($A$1,ROW(),21,1000-ROW(),1),"Sub"))))</f>
        <v/>
      </c>
      <c r="J121" s="60">
        <f>IF(N($W121)=0,"",IF(AND($S121=MesCiclo,2&gt;SemanaActual),"",MIN(1,SUMIFS(OFFSET($A$1,ROW(),30,1000-ROW(),1),OFFSET($A$1,ROW(),20,1000-ROW(),1),ROW(),OFFSET($A$1,ROW(),21,1000-ROW(),1),"Sub"))))</f>
        <v/>
      </c>
      <c r="K121" s="60">
        <f>IF(N($W121)=0,"",IF(AND($S121=MesCiclo,3&gt;SemanaActual),"",MIN(1,SUMIFS(OFFSET($A$1,ROW(),31,1000-ROW(),1),OFFSET($A$1,ROW(),20,1000-ROW(),1),ROW(),OFFSET($A$1,ROW(),21,1000-ROW(),1),"Sub"))))</f>
        <v/>
      </c>
      <c r="L121" s="60">
        <f>IF(N($W121)=0,"",IF(AND($S121=MesCiclo,4&gt;SemanaActual),"",MIN(1,SUMIFS(OFFSET($A$1,ROW(),32,1000-ROW(),1),OFFSET($A$1,ROW(),20,1000-ROW(),1),ROW(),OFFSET($A$1,ROW(),21,1000-ROW(),1),"Sub"))))</f>
        <v/>
      </c>
      <c r="M121" s="61">
        <f>IF(NOT((COUNTA($B121:$D121)+COUNTA($G121:$H121)+COUNTA($Q121))&gt;0),"",IF(AND($D121&lt;&gt;"",$V121="Macro"),IF(N($AM121)&gt;0,N(CHOOSE(MATCH($D121,ListaPuestos,0),INDEX('Cronograma R. Operacional'!$M$5:$M$1000,$AM121),INDEX('Cronograma R. Normativo'!$M$5:$M$1000,$AM121),INDEX('Cronograma R. Financiero'!$M$5:$M$1000,$AM121),INDEX('Cronograma Asistente Técnico'!$M$5:$M$1000,$AM121))),0),IF(ISNUMBER($G121),1,IF(N($W121)&gt;0,MIN(1,SUMIFS($Y$5:$Y$1000,$U$5:$U$1000,ROW(),$V$5:$V$1000,"Sub")),$Y121))))</f>
        <v/>
      </c>
      <c r="N121" s="56">
        <f>IF(OR($M121="",$V121="Sub"),"",IF($M121&gt;=1,"Completado",IF($M121&gt;0,"En curso","Pendiente")))</f>
        <v/>
      </c>
      <c r="O121" s="56">
        <f>IF(NOT((COUNTA($B121:$D121)+COUNTA($G121:$H121)+COUNTA($Q121))&gt;0),"",IF(AND(AND($D121&lt;&gt;"",$V121="Macro"),N($AM121)&gt;0),CHOOSE(MATCH($D121,ListaPuestos,0),INDEX('Cronograma R. Operacional'!$O$5:$O$1000,$AM121),INDEX('Cronograma R. Normativo'!$O$5:$O$1000,$AM121),INDEX('Cronograma R. Financiero'!$O$5:$O$1000,$AM121),INDEX('Cronograma Asistente Técnico'!$O$5:$O$1000,$AM121))&amp;"",IF(ISNUMBER($G121),IF(AND(ISNUMBER($AS121),$G121&gt;$AS121),"Cumplida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f>IF(NOT((COUNTA($B121:$D121)+COUNTA($G121:$H121)+COUNTA($Q121))&gt;0),"",IF($D121="","Propia",IF($V121&lt;&gt;"Macro","Solo se delegan macroactividades",IF(N($AM121)&gt;0,"✔ Recibida por "&amp;$D121,"⚠ "&amp;$D121&amp;" aún no la agrega"))))</f>
        <v/>
      </c>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IF($V121&lt;&gt;"Sub","",N($X121)*IF(AND(ISNUMBER($G121),$G121&lt;=IF($S121=MesCiclo,InicioCiclo,$S121+MOD(2-WEEKDAY($S121),7))+6),1,MIN(1,MAX(0,IF(ISNUMBER(OFFSET($A$1,ROW()-1,8)),OFFSET($A$1,ROW()-1,8),0)))))</f>
        <v/>
      </c>
      <c r="AE121" s="62">
        <f>IF($V121&lt;&gt;"Sub","",N($X121)*IF(AND(ISNUMBER($G121),$G121&lt;=IF($S121=MesCiclo,InicioCiclo,$S121+MOD(2-WEEKDAY($S121),7))+13),1,MIN(1,MAX(0,IF(ISNUMBER(OFFSET($A$1,ROW()-1,9)),OFFSET($A$1,ROW()-1,9),IF(ISNUMBER(OFFSET($A$1,ROW()-1,8)),OFFSET($A$1,ROW()-1,8),0))))))</f>
        <v/>
      </c>
      <c r="AF121" s="62">
        <f>IF($V121&lt;&gt;"Sub","",N($X121)*IF(AND(ISNUMBER($G121),$G121&lt;=IF($S121=MesCiclo,InicioCiclo,$S121+MOD(2-WEEKDAY($S121),7))+20),1,MIN(1,MAX(0,IF(ISNUMBER(OFFSET($A$1,ROW()-1,10)),OFFSET($A$1,ROW()-1,10),IF(ISNUMBER(OFFSET($A$1,ROW()-1,9)),OFFSET($A$1,ROW()-1,9),IF(ISNUMBER(OFFSET($A$1,ROW()-1,8)),OFFSET($A$1,ROW()-1,8),0)))))))</f>
        <v/>
      </c>
      <c r="AG121" s="62">
        <f>IF($V121&lt;&gt;"Sub","",N($X121)*IF(AND(ISNUMBER($G121),$G121&lt;=IF($S121=MesCiclo,InicioCiclo,$S121+MOD(2-WEEKDAY($S121),7))+27),1,MIN(1,MAX(0,IF(ISNUMBER(OFFSET($A$1,ROW()-1,11)),OFFSET($A$1,ROW()-1,11),IF(ISNUMBER(OFFSET($A$1,ROW()-1,10)),OFFSET($A$1,ROW()-1,10),IF(ISNUMBER(OFFSET($A$1,ROW()-1,9)),OFFSET($A$1,ROW()-1,9),IF(ISNUMBER(OFFSET($A$1,ROW()-1,8)),OFFSET($A$1,ROW()-1,8),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f>IF(NOT(AND($D121&lt;&gt;"",$V121="Macro")),"",IFERROR(CHOOSE(MATCH($D121,ListaPuestos,0),MATCH("[Jefatura] "&amp;$C121,'Cronograma R. Operacional'!$C$5:$C$1000,0),MATCH("[Jefatura] "&amp;$C121,'Cronograma R. Normativo'!$C$5:$C$1000,0),MATCH("[Jefatura] "&amp;$C121,'Cronograma R. Financiero'!$C$5:$C$1000,0),MATCH("[Jefatura] "&amp;$C121,'Cronograma Asistente Técnico'!$C$5:$C$1000,0)),0))</f>
        <v/>
      </c>
      <c r="AN121" s="62">
        <f>IF(AND(AND($D121&lt;&gt;"",$V121="Macro"),$S121=MesCiclo),COUNTIFS($D$5:$D121,$D121,$S$5:$S121,MesCiclo,$V$5:$V121,"Macro"),"")</f>
        <v/>
      </c>
      <c r="AO121" s="62">
        <f>IF($AN121="","",$D121&amp;"|"&amp;$AN121)</f>
        <v/>
      </c>
      <c r="AP121" s="62">
        <f>IF(AND($D121&lt;&gt;"",$V121="Macro"),$D121&amp;"|"&amp;$C121,"")</f>
        <v/>
      </c>
      <c r="AQ121" s="62">
        <f>""</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t="n"/>
      <c r="F122" s="59" t="n"/>
      <c r="G122" s="59" t="n"/>
      <c r="H122" s="60" t="n"/>
      <c r="I122" s="60">
        <f>IF(N($W122)=0,"",IF(AND($S122=MesCiclo,1&gt;SemanaActual),"",MIN(1,SUMIFS(OFFSET($A$1,ROW(),29,1000-ROW(),1),OFFSET($A$1,ROW(),20,1000-ROW(),1),ROW(),OFFSET($A$1,ROW(),21,1000-ROW(),1),"Sub"))))</f>
        <v/>
      </c>
      <c r="J122" s="60">
        <f>IF(N($W122)=0,"",IF(AND($S122=MesCiclo,2&gt;SemanaActual),"",MIN(1,SUMIFS(OFFSET($A$1,ROW(),30,1000-ROW(),1),OFFSET($A$1,ROW(),20,1000-ROW(),1),ROW(),OFFSET($A$1,ROW(),21,1000-ROW(),1),"Sub"))))</f>
        <v/>
      </c>
      <c r="K122" s="60">
        <f>IF(N($W122)=0,"",IF(AND($S122=MesCiclo,3&gt;SemanaActual),"",MIN(1,SUMIFS(OFFSET($A$1,ROW(),31,1000-ROW(),1),OFFSET($A$1,ROW(),20,1000-ROW(),1),ROW(),OFFSET($A$1,ROW(),21,1000-ROW(),1),"Sub"))))</f>
        <v/>
      </c>
      <c r="L122" s="60">
        <f>IF(N($W122)=0,"",IF(AND($S122=MesCiclo,4&gt;SemanaActual),"",MIN(1,SUMIFS(OFFSET($A$1,ROW(),32,1000-ROW(),1),OFFSET($A$1,ROW(),20,1000-ROW(),1),ROW(),OFFSET($A$1,ROW(),21,1000-ROW(),1),"Sub"))))</f>
        <v/>
      </c>
      <c r="M122" s="61">
        <f>IF(NOT((COUNTA($B122:$D122)+COUNTA($G122:$H122)+COUNTA($Q122))&gt;0),"",IF(AND($D122&lt;&gt;"",$V122="Macro"),IF(N($AM122)&gt;0,N(CHOOSE(MATCH($D122,ListaPuestos,0),INDEX('Cronograma R. Operacional'!$M$5:$M$1000,$AM122),INDEX('Cronograma R. Normativo'!$M$5:$M$1000,$AM122),INDEX('Cronograma R. Financiero'!$M$5:$M$1000,$AM122),INDEX('Cronograma Asistente Técnico'!$M$5:$M$1000,$AM122))),0),IF(ISNUMBER($G122),1,IF(N($W122)&gt;0,MIN(1,SUMIFS($Y$5:$Y$1000,$U$5:$U$1000,ROW(),$V$5:$V$1000,"Sub")),$Y122))))</f>
        <v/>
      </c>
      <c r="N122" s="56">
        <f>IF(OR($M122="",$V122="Sub"),"",IF($M122&gt;=1,"Completado",IF($M122&gt;0,"En curso","Pendiente")))</f>
        <v/>
      </c>
      <c r="O122" s="56">
        <f>IF(NOT((COUNTA($B122:$D122)+COUNTA($G122:$H122)+COUNTA($Q122))&gt;0),"",IF(AND(AND($D122&lt;&gt;"",$V122="Macro"),N($AM122)&gt;0),CHOOSE(MATCH($D122,ListaPuestos,0),INDEX('Cronograma R. Operacional'!$O$5:$O$1000,$AM122),INDEX('Cronograma R. Normativo'!$O$5:$O$1000,$AM122),INDEX('Cronograma R. Financiero'!$O$5:$O$1000,$AM122),INDEX('Cronograma Asistente Técnico'!$O$5:$O$1000,$AM122))&amp;"",IF(ISNUMBER($G122),IF(AND(ISNUMBER($AS122),$G122&gt;$AS122),"Cumplida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f>IF(NOT((COUNTA($B122:$D122)+COUNTA($G122:$H122)+COUNTA($Q122))&gt;0),"",IF($D122="","Propia",IF($V122&lt;&gt;"Macro","Solo se delegan macroactividades",IF(N($AM122)&gt;0,"✔ Recibida por "&amp;$D122,"⚠ "&amp;$D122&amp;" aún no la agrega"))))</f>
        <v/>
      </c>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IF($V122&lt;&gt;"Sub","",N($X122)*IF(AND(ISNUMBER($G122),$G122&lt;=IF($S122=MesCiclo,InicioCiclo,$S122+MOD(2-WEEKDAY($S122),7))+6),1,MIN(1,MAX(0,IF(ISNUMBER(OFFSET($A$1,ROW()-1,8)),OFFSET($A$1,ROW()-1,8),0)))))</f>
        <v/>
      </c>
      <c r="AE122" s="62">
        <f>IF($V122&lt;&gt;"Sub","",N($X122)*IF(AND(ISNUMBER($G122),$G122&lt;=IF($S122=MesCiclo,InicioCiclo,$S122+MOD(2-WEEKDAY($S122),7))+13),1,MIN(1,MAX(0,IF(ISNUMBER(OFFSET($A$1,ROW()-1,9)),OFFSET($A$1,ROW()-1,9),IF(ISNUMBER(OFFSET($A$1,ROW()-1,8)),OFFSET($A$1,ROW()-1,8),0))))))</f>
        <v/>
      </c>
      <c r="AF122" s="62">
        <f>IF($V122&lt;&gt;"Sub","",N($X122)*IF(AND(ISNUMBER($G122),$G122&lt;=IF($S122=MesCiclo,InicioCiclo,$S122+MOD(2-WEEKDAY($S122),7))+20),1,MIN(1,MAX(0,IF(ISNUMBER(OFFSET($A$1,ROW()-1,10)),OFFSET($A$1,ROW()-1,10),IF(ISNUMBER(OFFSET($A$1,ROW()-1,9)),OFFSET($A$1,ROW()-1,9),IF(ISNUMBER(OFFSET($A$1,ROW()-1,8)),OFFSET($A$1,ROW()-1,8),0)))))))</f>
        <v/>
      </c>
      <c r="AG122" s="62">
        <f>IF($V122&lt;&gt;"Sub","",N($X122)*IF(AND(ISNUMBER($G122),$G122&lt;=IF($S122=MesCiclo,InicioCiclo,$S122+MOD(2-WEEKDAY($S122),7))+27),1,MIN(1,MAX(0,IF(ISNUMBER(OFFSET($A$1,ROW()-1,11)),OFFSET($A$1,ROW()-1,11),IF(ISNUMBER(OFFSET($A$1,ROW()-1,10)),OFFSET($A$1,ROW()-1,10),IF(ISNUMBER(OFFSET($A$1,ROW()-1,9)),OFFSET($A$1,ROW()-1,9),IF(ISNUMBER(OFFSET($A$1,ROW()-1,8)),OFFSET($A$1,ROW()-1,8),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f>IF(NOT(AND($D122&lt;&gt;"",$V122="Macro")),"",IFERROR(CHOOSE(MATCH($D122,ListaPuestos,0),MATCH("[Jefatura] "&amp;$C122,'Cronograma R. Operacional'!$C$5:$C$1000,0),MATCH("[Jefatura] "&amp;$C122,'Cronograma R. Normativo'!$C$5:$C$1000,0),MATCH("[Jefatura] "&amp;$C122,'Cronograma R. Financiero'!$C$5:$C$1000,0),MATCH("[Jefatura] "&amp;$C122,'Cronograma Asistente Técnico'!$C$5:$C$1000,0)),0))</f>
        <v/>
      </c>
      <c r="AN122" s="62">
        <f>IF(AND(AND($D122&lt;&gt;"",$V122="Macro"),$S122=MesCiclo),COUNTIFS($D$5:$D122,$D122,$S$5:$S122,MesCiclo,$V$5:$V122,"Macro"),"")</f>
        <v/>
      </c>
      <c r="AO122" s="62">
        <f>IF($AN122="","",$D122&amp;"|"&amp;$AN122)</f>
        <v/>
      </c>
      <c r="AP122" s="62">
        <f>IF(AND($D122&lt;&gt;"",$V122="Macro"),$D122&amp;"|"&amp;$C122,"")</f>
        <v/>
      </c>
      <c r="AQ122" s="62">
        <f>""</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t="n"/>
      <c r="F123" s="59" t="n"/>
      <c r="G123" s="59" t="n"/>
      <c r="H123" s="60" t="n"/>
      <c r="I123" s="60">
        <f>IF(N($W123)=0,"",IF(AND($S123=MesCiclo,1&gt;SemanaActual),"",MIN(1,SUMIFS(OFFSET($A$1,ROW(),29,1000-ROW(),1),OFFSET($A$1,ROW(),20,1000-ROW(),1),ROW(),OFFSET($A$1,ROW(),21,1000-ROW(),1),"Sub"))))</f>
        <v/>
      </c>
      <c r="J123" s="60">
        <f>IF(N($W123)=0,"",IF(AND($S123=MesCiclo,2&gt;SemanaActual),"",MIN(1,SUMIFS(OFFSET($A$1,ROW(),30,1000-ROW(),1),OFFSET($A$1,ROW(),20,1000-ROW(),1),ROW(),OFFSET($A$1,ROW(),21,1000-ROW(),1),"Sub"))))</f>
        <v/>
      </c>
      <c r="K123" s="60">
        <f>IF(N($W123)=0,"",IF(AND($S123=MesCiclo,3&gt;SemanaActual),"",MIN(1,SUMIFS(OFFSET($A$1,ROW(),31,1000-ROW(),1),OFFSET($A$1,ROW(),20,1000-ROW(),1),ROW(),OFFSET($A$1,ROW(),21,1000-ROW(),1),"Sub"))))</f>
        <v/>
      </c>
      <c r="L123" s="60">
        <f>IF(N($W123)=0,"",IF(AND($S123=MesCiclo,4&gt;SemanaActual),"",MIN(1,SUMIFS(OFFSET($A$1,ROW(),32,1000-ROW(),1),OFFSET($A$1,ROW(),20,1000-ROW(),1),ROW(),OFFSET($A$1,ROW(),21,1000-ROW(),1),"Sub"))))</f>
        <v/>
      </c>
      <c r="M123" s="61">
        <f>IF(NOT((COUNTA($B123:$D123)+COUNTA($G123:$H123)+COUNTA($Q123))&gt;0),"",IF(AND($D123&lt;&gt;"",$V123="Macro"),IF(N($AM123)&gt;0,N(CHOOSE(MATCH($D123,ListaPuestos,0),INDEX('Cronograma R. Operacional'!$M$5:$M$1000,$AM123),INDEX('Cronograma R. Normativo'!$M$5:$M$1000,$AM123),INDEX('Cronograma R. Financiero'!$M$5:$M$1000,$AM123),INDEX('Cronograma Asistente Técnico'!$M$5:$M$1000,$AM123))),0),IF(ISNUMBER($G123),1,IF(N($W123)&gt;0,MIN(1,SUMIFS($Y$5:$Y$1000,$U$5:$U$1000,ROW(),$V$5:$V$1000,"Sub")),$Y123))))</f>
        <v/>
      </c>
      <c r="N123" s="56">
        <f>IF(OR($M123="",$V123="Sub"),"",IF($M123&gt;=1,"Completado",IF($M123&gt;0,"En curso","Pendiente")))</f>
        <v/>
      </c>
      <c r="O123" s="56">
        <f>IF(NOT((COUNTA($B123:$D123)+COUNTA($G123:$H123)+COUNTA($Q123))&gt;0),"",IF(AND(AND($D123&lt;&gt;"",$V123="Macro"),N($AM123)&gt;0),CHOOSE(MATCH($D123,ListaPuestos,0),INDEX('Cronograma R. Operacional'!$O$5:$O$1000,$AM123),INDEX('Cronograma R. Normativo'!$O$5:$O$1000,$AM123),INDEX('Cronograma R. Financiero'!$O$5:$O$1000,$AM123),INDEX('Cronograma Asistente Técnico'!$O$5:$O$1000,$AM123))&amp;"",IF(ISNUMBER($G123),IF(AND(ISNUMBER($AS123),$G123&gt;$AS123),"Cumplida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f>IF(NOT((COUNTA($B123:$D123)+COUNTA($G123:$H123)+COUNTA($Q123))&gt;0),"",IF($D123="","Propia",IF($V123&lt;&gt;"Macro","Solo se delegan macroactividades",IF(N($AM123)&gt;0,"✔ Recibida por "&amp;$D123,"⚠ "&amp;$D123&amp;" aún no la agrega"))))</f>
        <v/>
      </c>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IF($V123&lt;&gt;"Sub","",N($X123)*IF(AND(ISNUMBER($G123),$G123&lt;=IF($S123=MesCiclo,InicioCiclo,$S123+MOD(2-WEEKDAY($S123),7))+6),1,MIN(1,MAX(0,IF(ISNUMBER(OFFSET($A$1,ROW()-1,8)),OFFSET($A$1,ROW()-1,8),0)))))</f>
        <v/>
      </c>
      <c r="AE123" s="62">
        <f>IF($V123&lt;&gt;"Sub","",N($X123)*IF(AND(ISNUMBER($G123),$G123&lt;=IF($S123=MesCiclo,InicioCiclo,$S123+MOD(2-WEEKDAY($S123),7))+13),1,MIN(1,MAX(0,IF(ISNUMBER(OFFSET($A$1,ROW()-1,9)),OFFSET($A$1,ROW()-1,9),IF(ISNUMBER(OFFSET($A$1,ROW()-1,8)),OFFSET($A$1,ROW()-1,8),0))))))</f>
        <v/>
      </c>
      <c r="AF123" s="62">
        <f>IF($V123&lt;&gt;"Sub","",N($X123)*IF(AND(ISNUMBER($G123),$G123&lt;=IF($S123=MesCiclo,InicioCiclo,$S123+MOD(2-WEEKDAY($S123),7))+20),1,MIN(1,MAX(0,IF(ISNUMBER(OFFSET($A$1,ROW()-1,10)),OFFSET($A$1,ROW()-1,10),IF(ISNUMBER(OFFSET($A$1,ROW()-1,9)),OFFSET($A$1,ROW()-1,9),IF(ISNUMBER(OFFSET($A$1,ROW()-1,8)),OFFSET($A$1,ROW()-1,8),0)))))))</f>
        <v/>
      </c>
      <c r="AG123" s="62">
        <f>IF($V123&lt;&gt;"Sub","",N($X123)*IF(AND(ISNUMBER($G123),$G123&lt;=IF($S123=MesCiclo,InicioCiclo,$S123+MOD(2-WEEKDAY($S123),7))+27),1,MIN(1,MAX(0,IF(ISNUMBER(OFFSET($A$1,ROW()-1,11)),OFFSET($A$1,ROW()-1,11),IF(ISNUMBER(OFFSET($A$1,ROW()-1,10)),OFFSET($A$1,ROW()-1,10),IF(ISNUMBER(OFFSET($A$1,ROW()-1,9)),OFFSET($A$1,ROW()-1,9),IF(ISNUMBER(OFFSET($A$1,ROW()-1,8)),OFFSET($A$1,ROW()-1,8),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f>IF(NOT(AND($D123&lt;&gt;"",$V123="Macro")),"",IFERROR(CHOOSE(MATCH($D123,ListaPuestos,0),MATCH("[Jefatura] "&amp;$C123,'Cronograma R. Operacional'!$C$5:$C$1000,0),MATCH("[Jefatura] "&amp;$C123,'Cronograma R. Normativo'!$C$5:$C$1000,0),MATCH("[Jefatura] "&amp;$C123,'Cronograma R. Financiero'!$C$5:$C$1000,0),MATCH("[Jefatura] "&amp;$C123,'Cronograma Asistente Técnico'!$C$5:$C$1000,0)),0))</f>
        <v/>
      </c>
      <c r="AN123" s="62">
        <f>IF(AND(AND($D123&lt;&gt;"",$V123="Macro"),$S123=MesCiclo),COUNTIFS($D$5:$D123,$D123,$S$5:$S123,MesCiclo,$V$5:$V123,"Macro"),"")</f>
        <v/>
      </c>
      <c r="AO123" s="62">
        <f>IF($AN123="","",$D123&amp;"|"&amp;$AN123)</f>
        <v/>
      </c>
      <c r="AP123" s="62">
        <f>IF(AND($D123&lt;&gt;"",$V123="Macro"),$D123&amp;"|"&amp;$C123,"")</f>
        <v/>
      </c>
      <c r="AQ123" s="62">
        <f>""</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t="n"/>
      <c r="F124" s="59" t="n"/>
      <c r="G124" s="59" t="n"/>
      <c r="H124" s="60" t="n"/>
      <c r="I124" s="60">
        <f>IF(N($W124)=0,"",IF(AND($S124=MesCiclo,1&gt;SemanaActual),"",MIN(1,SUMIFS(OFFSET($A$1,ROW(),29,1000-ROW(),1),OFFSET($A$1,ROW(),20,1000-ROW(),1),ROW(),OFFSET($A$1,ROW(),21,1000-ROW(),1),"Sub"))))</f>
        <v/>
      </c>
      <c r="J124" s="60">
        <f>IF(N($W124)=0,"",IF(AND($S124=MesCiclo,2&gt;SemanaActual),"",MIN(1,SUMIFS(OFFSET($A$1,ROW(),30,1000-ROW(),1),OFFSET($A$1,ROW(),20,1000-ROW(),1),ROW(),OFFSET($A$1,ROW(),21,1000-ROW(),1),"Sub"))))</f>
        <v/>
      </c>
      <c r="K124" s="60">
        <f>IF(N($W124)=0,"",IF(AND($S124=MesCiclo,3&gt;SemanaActual),"",MIN(1,SUMIFS(OFFSET($A$1,ROW(),31,1000-ROW(),1),OFFSET($A$1,ROW(),20,1000-ROW(),1),ROW(),OFFSET($A$1,ROW(),21,1000-ROW(),1),"Sub"))))</f>
        <v/>
      </c>
      <c r="L124" s="60">
        <f>IF(N($W124)=0,"",IF(AND($S124=MesCiclo,4&gt;SemanaActual),"",MIN(1,SUMIFS(OFFSET($A$1,ROW(),32,1000-ROW(),1),OFFSET($A$1,ROW(),20,1000-ROW(),1),ROW(),OFFSET($A$1,ROW(),21,1000-ROW(),1),"Sub"))))</f>
        <v/>
      </c>
      <c r="M124" s="61">
        <f>IF(NOT((COUNTA($B124:$D124)+COUNTA($G124:$H124)+COUNTA($Q124))&gt;0),"",IF(AND($D124&lt;&gt;"",$V124="Macro"),IF(N($AM124)&gt;0,N(CHOOSE(MATCH($D124,ListaPuestos,0),INDEX('Cronograma R. Operacional'!$M$5:$M$1000,$AM124),INDEX('Cronograma R. Normativo'!$M$5:$M$1000,$AM124),INDEX('Cronograma R. Financiero'!$M$5:$M$1000,$AM124),INDEX('Cronograma Asistente Técnico'!$M$5:$M$1000,$AM124))),0),IF(ISNUMBER($G124),1,IF(N($W124)&gt;0,MIN(1,SUMIFS($Y$5:$Y$1000,$U$5:$U$1000,ROW(),$V$5:$V$1000,"Sub")),$Y124))))</f>
        <v/>
      </c>
      <c r="N124" s="56">
        <f>IF(OR($M124="",$V124="Sub"),"",IF($M124&gt;=1,"Completado",IF($M124&gt;0,"En curso","Pendiente")))</f>
        <v/>
      </c>
      <c r="O124" s="56">
        <f>IF(NOT((COUNTA($B124:$D124)+COUNTA($G124:$H124)+COUNTA($Q124))&gt;0),"",IF(AND(AND($D124&lt;&gt;"",$V124="Macro"),N($AM124)&gt;0),CHOOSE(MATCH($D124,ListaPuestos,0),INDEX('Cronograma R. Operacional'!$O$5:$O$1000,$AM124),INDEX('Cronograma R. Normativo'!$O$5:$O$1000,$AM124),INDEX('Cronograma R. Financiero'!$O$5:$O$1000,$AM124),INDEX('Cronograma Asistente Técnico'!$O$5:$O$1000,$AM124))&amp;"",IF(ISNUMBER($G124),IF(AND(ISNUMBER($AS124),$G124&gt;$AS124),"Cumplida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f>IF(NOT((COUNTA($B124:$D124)+COUNTA($G124:$H124)+COUNTA($Q124))&gt;0),"",IF($D124="","Propia",IF($V124&lt;&gt;"Macro","Solo se delegan macroactividades",IF(N($AM124)&gt;0,"✔ Recibida por "&amp;$D124,"⚠ "&amp;$D124&amp;" aún no la agrega"))))</f>
        <v/>
      </c>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IF($V124&lt;&gt;"Sub","",N($X124)*IF(AND(ISNUMBER($G124),$G124&lt;=IF($S124=MesCiclo,InicioCiclo,$S124+MOD(2-WEEKDAY($S124),7))+6),1,MIN(1,MAX(0,IF(ISNUMBER(OFFSET($A$1,ROW()-1,8)),OFFSET($A$1,ROW()-1,8),0)))))</f>
        <v/>
      </c>
      <c r="AE124" s="62">
        <f>IF($V124&lt;&gt;"Sub","",N($X124)*IF(AND(ISNUMBER($G124),$G124&lt;=IF($S124=MesCiclo,InicioCiclo,$S124+MOD(2-WEEKDAY($S124),7))+13),1,MIN(1,MAX(0,IF(ISNUMBER(OFFSET($A$1,ROW()-1,9)),OFFSET($A$1,ROW()-1,9),IF(ISNUMBER(OFFSET($A$1,ROW()-1,8)),OFFSET($A$1,ROW()-1,8),0))))))</f>
        <v/>
      </c>
      <c r="AF124" s="62">
        <f>IF($V124&lt;&gt;"Sub","",N($X124)*IF(AND(ISNUMBER($G124),$G124&lt;=IF($S124=MesCiclo,InicioCiclo,$S124+MOD(2-WEEKDAY($S124),7))+20),1,MIN(1,MAX(0,IF(ISNUMBER(OFFSET($A$1,ROW()-1,10)),OFFSET($A$1,ROW()-1,10),IF(ISNUMBER(OFFSET($A$1,ROW()-1,9)),OFFSET($A$1,ROW()-1,9),IF(ISNUMBER(OFFSET($A$1,ROW()-1,8)),OFFSET($A$1,ROW()-1,8),0)))))))</f>
        <v/>
      </c>
      <c r="AG124" s="62">
        <f>IF($V124&lt;&gt;"Sub","",N($X124)*IF(AND(ISNUMBER($G124),$G124&lt;=IF($S124=MesCiclo,InicioCiclo,$S124+MOD(2-WEEKDAY($S124),7))+27),1,MIN(1,MAX(0,IF(ISNUMBER(OFFSET($A$1,ROW()-1,11)),OFFSET($A$1,ROW()-1,11),IF(ISNUMBER(OFFSET($A$1,ROW()-1,10)),OFFSET($A$1,ROW()-1,10),IF(ISNUMBER(OFFSET($A$1,ROW()-1,9)),OFFSET($A$1,ROW()-1,9),IF(ISNUMBER(OFFSET($A$1,ROW()-1,8)),OFFSET($A$1,ROW()-1,8),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f>IF(NOT(AND($D124&lt;&gt;"",$V124="Macro")),"",IFERROR(CHOOSE(MATCH($D124,ListaPuestos,0),MATCH("[Jefatura] "&amp;$C124,'Cronograma R. Operacional'!$C$5:$C$1000,0),MATCH("[Jefatura] "&amp;$C124,'Cronograma R. Normativo'!$C$5:$C$1000,0),MATCH("[Jefatura] "&amp;$C124,'Cronograma R. Financiero'!$C$5:$C$1000,0),MATCH("[Jefatura] "&amp;$C124,'Cronograma Asistente Técnico'!$C$5:$C$1000,0)),0))</f>
        <v/>
      </c>
      <c r="AN124" s="62">
        <f>IF(AND(AND($D124&lt;&gt;"",$V124="Macro"),$S124=MesCiclo),COUNTIFS($D$5:$D124,$D124,$S$5:$S124,MesCiclo,$V$5:$V124,"Macro"),"")</f>
        <v/>
      </c>
      <c r="AO124" s="62">
        <f>IF($AN124="","",$D124&amp;"|"&amp;$AN124)</f>
        <v/>
      </c>
      <c r="AP124" s="62">
        <f>IF(AND($D124&lt;&gt;"",$V124="Macro"),$D124&amp;"|"&amp;$C124,"")</f>
        <v/>
      </c>
      <c r="AQ124" s="62">
        <f>""</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t="n"/>
      <c r="F125" s="59" t="n"/>
      <c r="G125" s="59" t="n"/>
      <c r="H125" s="60" t="n"/>
      <c r="I125" s="60">
        <f>IF(N($W125)=0,"",IF(AND($S125=MesCiclo,1&gt;SemanaActual),"",MIN(1,SUMIFS(OFFSET($A$1,ROW(),29,1000-ROW(),1),OFFSET($A$1,ROW(),20,1000-ROW(),1),ROW(),OFFSET($A$1,ROW(),21,1000-ROW(),1),"Sub"))))</f>
        <v/>
      </c>
      <c r="J125" s="60">
        <f>IF(N($W125)=0,"",IF(AND($S125=MesCiclo,2&gt;SemanaActual),"",MIN(1,SUMIFS(OFFSET($A$1,ROW(),30,1000-ROW(),1),OFFSET($A$1,ROW(),20,1000-ROW(),1),ROW(),OFFSET($A$1,ROW(),21,1000-ROW(),1),"Sub"))))</f>
        <v/>
      </c>
      <c r="K125" s="60">
        <f>IF(N($W125)=0,"",IF(AND($S125=MesCiclo,3&gt;SemanaActual),"",MIN(1,SUMIFS(OFFSET($A$1,ROW(),31,1000-ROW(),1),OFFSET($A$1,ROW(),20,1000-ROW(),1),ROW(),OFFSET($A$1,ROW(),21,1000-ROW(),1),"Sub"))))</f>
        <v/>
      </c>
      <c r="L125" s="60">
        <f>IF(N($W125)=0,"",IF(AND($S125=MesCiclo,4&gt;SemanaActual),"",MIN(1,SUMIFS(OFFSET($A$1,ROW(),32,1000-ROW(),1),OFFSET($A$1,ROW(),20,1000-ROW(),1),ROW(),OFFSET($A$1,ROW(),21,1000-ROW(),1),"Sub"))))</f>
        <v/>
      </c>
      <c r="M125" s="61">
        <f>IF(NOT((COUNTA($B125:$D125)+COUNTA($G125:$H125)+COUNTA($Q125))&gt;0),"",IF(AND($D125&lt;&gt;"",$V125="Macro"),IF(N($AM125)&gt;0,N(CHOOSE(MATCH($D125,ListaPuestos,0),INDEX('Cronograma R. Operacional'!$M$5:$M$1000,$AM125),INDEX('Cronograma R. Normativo'!$M$5:$M$1000,$AM125),INDEX('Cronograma R. Financiero'!$M$5:$M$1000,$AM125),INDEX('Cronograma Asistente Técnico'!$M$5:$M$1000,$AM125))),0),IF(ISNUMBER($G125),1,IF(N($W125)&gt;0,MIN(1,SUMIFS($Y$5:$Y$1000,$U$5:$U$1000,ROW(),$V$5:$V$1000,"Sub")),$Y125))))</f>
        <v/>
      </c>
      <c r="N125" s="56">
        <f>IF(OR($M125="",$V125="Sub"),"",IF($M125&gt;=1,"Completado",IF($M125&gt;0,"En curso","Pendiente")))</f>
        <v/>
      </c>
      <c r="O125" s="56">
        <f>IF(NOT((COUNTA($B125:$D125)+COUNTA($G125:$H125)+COUNTA($Q125))&gt;0),"",IF(AND(AND($D125&lt;&gt;"",$V125="Macro"),N($AM125)&gt;0),CHOOSE(MATCH($D125,ListaPuestos,0),INDEX('Cronograma R. Operacional'!$O$5:$O$1000,$AM125),INDEX('Cronograma R. Normativo'!$O$5:$O$1000,$AM125),INDEX('Cronograma R. Financiero'!$O$5:$O$1000,$AM125),INDEX('Cronograma Asistente Técnico'!$O$5:$O$1000,$AM125))&amp;"",IF(ISNUMBER($G125),IF(AND(ISNUMBER($AS125),$G125&gt;$AS125),"Cumplida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f>IF(NOT((COUNTA($B125:$D125)+COUNTA($G125:$H125)+COUNTA($Q125))&gt;0),"",IF($D125="","Propia",IF($V125&lt;&gt;"Macro","Solo se delegan macroactividades",IF(N($AM125)&gt;0,"✔ Recibida por "&amp;$D125,"⚠ "&amp;$D125&amp;" aún no la agrega"))))</f>
        <v/>
      </c>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IF($V125&lt;&gt;"Sub","",N($X125)*IF(AND(ISNUMBER($G125),$G125&lt;=IF($S125=MesCiclo,InicioCiclo,$S125+MOD(2-WEEKDAY($S125),7))+6),1,MIN(1,MAX(0,IF(ISNUMBER(OFFSET($A$1,ROW()-1,8)),OFFSET($A$1,ROW()-1,8),0)))))</f>
        <v/>
      </c>
      <c r="AE125" s="62">
        <f>IF($V125&lt;&gt;"Sub","",N($X125)*IF(AND(ISNUMBER($G125),$G125&lt;=IF($S125=MesCiclo,InicioCiclo,$S125+MOD(2-WEEKDAY($S125),7))+13),1,MIN(1,MAX(0,IF(ISNUMBER(OFFSET($A$1,ROW()-1,9)),OFFSET($A$1,ROW()-1,9),IF(ISNUMBER(OFFSET($A$1,ROW()-1,8)),OFFSET($A$1,ROW()-1,8),0))))))</f>
        <v/>
      </c>
      <c r="AF125" s="62">
        <f>IF($V125&lt;&gt;"Sub","",N($X125)*IF(AND(ISNUMBER($G125),$G125&lt;=IF($S125=MesCiclo,InicioCiclo,$S125+MOD(2-WEEKDAY($S125),7))+20),1,MIN(1,MAX(0,IF(ISNUMBER(OFFSET($A$1,ROW()-1,10)),OFFSET($A$1,ROW()-1,10),IF(ISNUMBER(OFFSET($A$1,ROW()-1,9)),OFFSET($A$1,ROW()-1,9),IF(ISNUMBER(OFFSET($A$1,ROW()-1,8)),OFFSET($A$1,ROW()-1,8),0)))))))</f>
        <v/>
      </c>
      <c r="AG125" s="62">
        <f>IF($V125&lt;&gt;"Sub","",N($X125)*IF(AND(ISNUMBER($G125),$G125&lt;=IF($S125=MesCiclo,InicioCiclo,$S125+MOD(2-WEEKDAY($S125),7))+27),1,MIN(1,MAX(0,IF(ISNUMBER(OFFSET($A$1,ROW()-1,11)),OFFSET($A$1,ROW()-1,11),IF(ISNUMBER(OFFSET($A$1,ROW()-1,10)),OFFSET($A$1,ROW()-1,10),IF(ISNUMBER(OFFSET($A$1,ROW()-1,9)),OFFSET($A$1,ROW()-1,9),IF(ISNUMBER(OFFSET($A$1,ROW()-1,8)),OFFSET($A$1,ROW()-1,8),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f>IF(NOT(AND($D125&lt;&gt;"",$V125="Macro")),"",IFERROR(CHOOSE(MATCH($D125,ListaPuestos,0),MATCH("[Jefatura] "&amp;$C125,'Cronograma R. Operacional'!$C$5:$C$1000,0),MATCH("[Jefatura] "&amp;$C125,'Cronograma R. Normativo'!$C$5:$C$1000,0),MATCH("[Jefatura] "&amp;$C125,'Cronograma R. Financiero'!$C$5:$C$1000,0),MATCH("[Jefatura] "&amp;$C125,'Cronograma Asistente Técnico'!$C$5:$C$1000,0)),0))</f>
        <v/>
      </c>
      <c r="AN125" s="62">
        <f>IF(AND(AND($D125&lt;&gt;"",$V125="Macro"),$S125=MesCiclo),COUNTIFS($D$5:$D125,$D125,$S$5:$S125,MesCiclo,$V$5:$V125,"Macro"),"")</f>
        <v/>
      </c>
      <c r="AO125" s="62">
        <f>IF($AN125="","",$D125&amp;"|"&amp;$AN125)</f>
        <v/>
      </c>
      <c r="AP125" s="62">
        <f>IF(AND($D125&lt;&gt;"",$V125="Macro"),$D125&amp;"|"&amp;$C125,"")</f>
        <v/>
      </c>
      <c r="AQ125" s="62">
        <f>""</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t="n"/>
      <c r="F126" s="59" t="n"/>
      <c r="G126" s="59" t="n"/>
      <c r="H126" s="60" t="n"/>
      <c r="I126" s="60">
        <f>IF(N($W126)=0,"",IF(AND($S126=MesCiclo,1&gt;SemanaActual),"",MIN(1,SUMIFS(OFFSET($A$1,ROW(),29,1000-ROW(),1),OFFSET($A$1,ROW(),20,1000-ROW(),1),ROW(),OFFSET($A$1,ROW(),21,1000-ROW(),1),"Sub"))))</f>
        <v/>
      </c>
      <c r="J126" s="60">
        <f>IF(N($W126)=0,"",IF(AND($S126=MesCiclo,2&gt;SemanaActual),"",MIN(1,SUMIFS(OFFSET($A$1,ROW(),30,1000-ROW(),1),OFFSET($A$1,ROW(),20,1000-ROW(),1),ROW(),OFFSET($A$1,ROW(),21,1000-ROW(),1),"Sub"))))</f>
        <v/>
      </c>
      <c r="K126" s="60">
        <f>IF(N($W126)=0,"",IF(AND($S126=MesCiclo,3&gt;SemanaActual),"",MIN(1,SUMIFS(OFFSET($A$1,ROW(),31,1000-ROW(),1),OFFSET($A$1,ROW(),20,1000-ROW(),1),ROW(),OFFSET($A$1,ROW(),21,1000-ROW(),1),"Sub"))))</f>
        <v/>
      </c>
      <c r="L126" s="60">
        <f>IF(N($W126)=0,"",IF(AND($S126=MesCiclo,4&gt;SemanaActual),"",MIN(1,SUMIFS(OFFSET($A$1,ROW(),32,1000-ROW(),1),OFFSET($A$1,ROW(),20,1000-ROW(),1),ROW(),OFFSET($A$1,ROW(),21,1000-ROW(),1),"Sub"))))</f>
        <v/>
      </c>
      <c r="M126" s="61">
        <f>IF(NOT((COUNTA($B126:$D126)+COUNTA($G126:$H126)+COUNTA($Q126))&gt;0),"",IF(AND($D126&lt;&gt;"",$V126="Macro"),IF(N($AM126)&gt;0,N(CHOOSE(MATCH($D126,ListaPuestos,0),INDEX('Cronograma R. Operacional'!$M$5:$M$1000,$AM126),INDEX('Cronograma R. Normativo'!$M$5:$M$1000,$AM126),INDEX('Cronograma R. Financiero'!$M$5:$M$1000,$AM126),INDEX('Cronograma Asistente Técnico'!$M$5:$M$1000,$AM126))),0),IF(ISNUMBER($G126),1,IF(N($W126)&gt;0,MIN(1,SUMIFS($Y$5:$Y$1000,$U$5:$U$1000,ROW(),$V$5:$V$1000,"Sub")),$Y126))))</f>
        <v/>
      </c>
      <c r="N126" s="56">
        <f>IF(OR($M126="",$V126="Sub"),"",IF($M126&gt;=1,"Completado",IF($M126&gt;0,"En curso","Pendiente")))</f>
        <v/>
      </c>
      <c r="O126" s="56">
        <f>IF(NOT((COUNTA($B126:$D126)+COUNTA($G126:$H126)+COUNTA($Q126))&gt;0),"",IF(AND(AND($D126&lt;&gt;"",$V126="Macro"),N($AM126)&gt;0),CHOOSE(MATCH($D126,ListaPuestos,0),INDEX('Cronograma R. Operacional'!$O$5:$O$1000,$AM126),INDEX('Cronograma R. Normativo'!$O$5:$O$1000,$AM126),INDEX('Cronograma R. Financiero'!$O$5:$O$1000,$AM126),INDEX('Cronograma Asistente Técnico'!$O$5:$O$1000,$AM126))&amp;"",IF(ISNUMBER($G126),IF(AND(ISNUMBER($AS126),$G126&gt;$AS126),"Cumplida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f>IF(NOT((COUNTA($B126:$D126)+COUNTA($G126:$H126)+COUNTA($Q126))&gt;0),"",IF($D126="","Propia",IF($V126&lt;&gt;"Macro","Solo se delegan macroactividades",IF(N($AM126)&gt;0,"✔ Recibida por "&amp;$D126,"⚠ "&amp;$D126&amp;" aún no la agrega"))))</f>
        <v/>
      </c>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IF($V126&lt;&gt;"Sub","",N($X126)*IF(AND(ISNUMBER($G126),$G126&lt;=IF($S126=MesCiclo,InicioCiclo,$S126+MOD(2-WEEKDAY($S126),7))+6),1,MIN(1,MAX(0,IF(ISNUMBER(OFFSET($A$1,ROW()-1,8)),OFFSET($A$1,ROW()-1,8),0)))))</f>
        <v/>
      </c>
      <c r="AE126" s="62">
        <f>IF($V126&lt;&gt;"Sub","",N($X126)*IF(AND(ISNUMBER($G126),$G126&lt;=IF($S126=MesCiclo,InicioCiclo,$S126+MOD(2-WEEKDAY($S126),7))+13),1,MIN(1,MAX(0,IF(ISNUMBER(OFFSET($A$1,ROW()-1,9)),OFFSET($A$1,ROW()-1,9),IF(ISNUMBER(OFFSET($A$1,ROW()-1,8)),OFFSET($A$1,ROW()-1,8),0))))))</f>
        <v/>
      </c>
      <c r="AF126" s="62">
        <f>IF($V126&lt;&gt;"Sub","",N($X126)*IF(AND(ISNUMBER($G126),$G126&lt;=IF($S126=MesCiclo,InicioCiclo,$S126+MOD(2-WEEKDAY($S126),7))+20),1,MIN(1,MAX(0,IF(ISNUMBER(OFFSET($A$1,ROW()-1,10)),OFFSET($A$1,ROW()-1,10),IF(ISNUMBER(OFFSET($A$1,ROW()-1,9)),OFFSET($A$1,ROW()-1,9),IF(ISNUMBER(OFFSET($A$1,ROW()-1,8)),OFFSET($A$1,ROW()-1,8),0)))))))</f>
        <v/>
      </c>
      <c r="AG126" s="62">
        <f>IF($V126&lt;&gt;"Sub","",N($X126)*IF(AND(ISNUMBER($G126),$G126&lt;=IF($S126=MesCiclo,InicioCiclo,$S126+MOD(2-WEEKDAY($S126),7))+27),1,MIN(1,MAX(0,IF(ISNUMBER(OFFSET($A$1,ROW()-1,11)),OFFSET($A$1,ROW()-1,11),IF(ISNUMBER(OFFSET($A$1,ROW()-1,10)),OFFSET($A$1,ROW()-1,10),IF(ISNUMBER(OFFSET($A$1,ROW()-1,9)),OFFSET($A$1,ROW()-1,9),IF(ISNUMBER(OFFSET($A$1,ROW()-1,8)),OFFSET($A$1,ROW()-1,8),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f>IF(NOT(AND($D126&lt;&gt;"",$V126="Macro")),"",IFERROR(CHOOSE(MATCH($D126,ListaPuestos,0),MATCH("[Jefatura] "&amp;$C126,'Cronograma R. Operacional'!$C$5:$C$1000,0),MATCH("[Jefatura] "&amp;$C126,'Cronograma R. Normativo'!$C$5:$C$1000,0),MATCH("[Jefatura] "&amp;$C126,'Cronograma R. Financiero'!$C$5:$C$1000,0),MATCH("[Jefatura] "&amp;$C126,'Cronograma Asistente Técnico'!$C$5:$C$1000,0)),0))</f>
        <v/>
      </c>
      <c r="AN126" s="62">
        <f>IF(AND(AND($D126&lt;&gt;"",$V126="Macro"),$S126=MesCiclo),COUNTIFS($D$5:$D126,$D126,$S$5:$S126,MesCiclo,$V$5:$V126,"Macro"),"")</f>
        <v/>
      </c>
      <c r="AO126" s="62">
        <f>IF($AN126="","",$D126&amp;"|"&amp;$AN126)</f>
        <v/>
      </c>
      <c r="AP126" s="62">
        <f>IF(AND($D126&lt;&gt;"",$V126="Macro"),$D126&amp;"|"&amp;$C126,"")</f>
        <v/>
      </c>
      <c r="AQ126" s="62">
        <f>""</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t="n"/>
      <c r="F127" s="59" t="n"/>
      <c r="G127" s="59" t="n"/>
      <c r="H127" s="60" t="n"/>
      <c r="I127" s="60">
        <f>IF(N($W127)=0,"",IF(AND($S127=MesCiclo,1&gt;SemanaActual),"",MIN(1,SUMIFS(OFFSET($A$1,ROW(),29,1000-ROW(),1),OFFSET($A$1,ROW(),20,1000-ROW(),1),ROW(),OFFSET($A$1,ROW(),21,1000-ROW(),1),"Sub"))))</f>
        <v/>
      </c>
      <c r="J127" s="60">
        <f>IF(N($W127)=0,"",IF(AND($S127=MesCiclo,2&gt;SemanaActual),"",MIN(1,SUMIFS(OFFSET($A$1,ROW(),30,1000-ROW(),1),OFFSET($A$1,ROW(),20,1000-ROW(),1),ROW(),OFFSET($A$1,ROW(),21,1000-ROW(),1),"Sub"))))</f>
        <v/>
      </c>
      <c r="K127" s="60">
        <f>IF(N($W127)=0,"",IF(AND($S127=MesCiclo,3&gt;SemanaActual),"",MIN(1,SUMIFS(OFFSET($A$1,ROW(),31,1000-ROW(),1),OFFSET($A$1,ROW(),20,1000-ROW(),1),ROW(),OFFSET($A$1,ROW(),21,1000-ROW(),1),"Sub"))))</f>
        <v/>
      </c>
      <c r="L127" s="60">
        <f>IF(N($W127)=0,"",IF(AND($S127=MesCiclo,4&gt;SemanaActual),"",MIN(1,SUMIFS(OFFSET($A$1,ROW(),32,1000-ROW(),1),OFFSET($A$1,ROW(),20,1000-ROW(),1),ROW(),OFFSET($A$1,ROW(),21,1000-ROW(),1),"Sub"))))</f>
        <v/>
      </c>
      <c r="M127" s="61">
        <f>IF(NOT((COUNTA($B127:$D127)+COUNTA($G127:$H127)+COUNTA($Q127))&gt;0),"",IF(AND($D127&lt;&gt;"",$V127="Macro"),IF(N($AM127)&gt;0,N(CHOOSE(MATCH($D127,ListaPuestos,0),INDEX('Cronograma R. Operacional'!$M$5:$M$1000,$AM127),INDEX('Cronograma R. Normativo'!$M$5:$M$1000,$AM127),INDEX('Cronograma R. Financiero'!$M$5:$M$1000,$AM127),INDEX('Cronograma Asistente Técnico'!$M$5:$M$1000,$AM127))),0),IF(ISNUMBER($G127),1,IF(N($W127)&gt;0,MIN(1,SUMIFS($Y$5:$Y$1000,$U$5:$U$1000,ROW(),$V$5:$V$1000,"Sub")),$Y127))))</f>
        <v/>
      </c>
      <c r="N127" s="56">
        <f>IF(OR($M127="",$V127="Sub"),"",IF($M127&gt;=1,"Completado",IF($M127&gt;0,"En curso","Pendiente")))</f>
        <v/>
      </c>
      <c r="O127" s="56">
        <f>IF(NOT((COUNTA($B127:$D127)+COUNTA($G127:$H127)+COUNTA($Q127))&gt;0),"",IF(AND(AND($D127&lt;&gt;"",$V127="Macro"),N($AM127)&gt;0),CHOOSE(MATCH($D127,ListaPuestos,0),INDEX('Cronograma R. Operacional'!$O$5:$O$1000,$AM127),INDEX('Cronograma R. Normativo'!$O$5:$O$1000,$AM127),INDEX('Cronograma R. Financiero'!$O$5:$O$1000,$AM127),INDEX('Cronograma Asistente Técnico'!$O$5:$O$1000,$AM127))&amp;"",IF(ISNUMBER($G127),IF(AND(ISNUMBER($AS127),$G127&gt;$AS127),"Cumplida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f>IF(NOT((COUNTA($B127:$D127)+COUNTA($G127:$H127)+COUNTA($Q127))&gt;0),"",IF($D127="","Propia",IF($V127&lt;&gt;"Macro","Solo se delegan macroactividades",IF(N($AM127)&gt;0,"✔ Recibida por "&amp;$D127,"⚠ "&amp;$D127&amp;" aún no la agrega"))))</f>
        <v/>
      </c>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IF($V127&lt;&gt;"Sub","",N($X127)*IF(AND(ISNUMBER($G127),$G127&lt;=IF($S127=MesCiclo,InicioCiclo,$S127+MOD(2-WEEKDAY($S127),7))+6),1,MIN(1,MAX(0,IF(ISNUMBER(OFFSET($A$1,ROW()-1,8)),OFFSET($A$1,ROW()-1,8),0)))))</f>
        <v/>
      </c>
      <c r="AE127" s="62">
        <f>IF($V127&lt;&gt;"Sub","",N($X127)*IF(AND(ISNUMBER($G127),$G127&lt;=IF($S127=MesCiclo,InicioCiclo,$S127+MOD(2-WEEKDAY($S127),7))+13),1,MIN(1,MAX(0,IF(ISNUMBER(OFFSET($A$1,ROW()-1,9)),OFFSET($A$1,ROW()-1,9),IF(ISNUMBER(OFFSET($A$1,ROW()-1,8)),OFFSET($A$1,ROW()-1,8),0))))))</f>
        <v/>
      </c>
      <c r="AF127" s="62">
        <f>IF($V127&lt;&gt;"Sub","",N($X127)*IF(AND(ISNUMBER($G127),$G127&lt;=IF($S127=MesCiclo,InicioCiclo,$S127+MOD(2-WEEKDAY($S127),7))+20),1,MIN(1,MAX(0,IF(ISNUMBER(OFFSET($A$1,ROW()-1,10)),OFFSET($A$1,ROW()-1,10),IF(ISNUMBER(OFFSET($A$1,ROW()-1,9)),OFFSET($A$1,ROW()-1,9),IF(ISNUMBER(OFFSET($A$1,ROW()-1,8)),OFFSET($A$1,ROW()-1,8),0)))))))</f>
        <v/>
      </c>
      <c r="AG127" s="62">
        <f>IF($V127&lt;&gt;"Sub","",N($X127)*IF(AND(ISNUMBER($G127),$G127&lt;=IF($S127=MesCiclo,InicioCiclo,$S127+MOD(2-WEEKDAY($S127),7))+27),1,MIN(1,MAX(0,IF(ISNUMBER(OFFSET($A$1,ROW()-1,11)),OFFSET($A$1,ROW()-1,11),IF(ISNUMBER(OFFSET($A$1,ROW()-1,10)),OFFSET($A$1,ROW()-1,10),IF(ISNUMBER(OFFSET($A$1,ROW()-1,9)),OFFSET($A$1,ROW()-1,9),IF(ISNUMBER(OFFSET($A$1,ROW()-1,8)),OFFSET($A$1,ROW()-1,8),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f>IF(NOT(AND($D127&lt;&gt;"",$V127="Macro")),"",IFERROR(CHOOSE(MATCH($D127,ListaPuestos,0),MATCH("[Jefatura] "&amp;$C127,'Cronograma R. Operacional'!$C$5:$C$1000,0),MATCH("[Jefatura] "&amp;$C127,'Cronograma R. Normativo'!$C$5:$C$1000,0),MATCH("[Jefatura] "&amp;$C127,'Cronograma R. Financiero'!$C$5:$C$1000,0),MATCH("[Jefatura] "&amp;$C127,'Cronograma Asistente Técnico'!$C$5:$C$1000,0)),0))</f>
        <v/>
      </c>
      <c r="AN127" s="62">
        <f>IF(AND(AND($D127&lt;&gt;"",$V127="Macro"),$S127=MesCiclo),COUNTIFS($D$5:$D127,$D127,$S$5:$S127,MesCiclo,$V$5:$V127,"Macro"),"")</f>
        <v/>
      </c>
      <c r="AO127" s="62">
        <f>IF($AN127="","",$D127&amp;"|"&amp;$AN127)</f>
        <v/>
      </c>
      <c r="AP127" s="62">
        <f>IF(AND($D127&lt;&gt;"",$V127="Macro"),$D127&amp;"|"&amp;$C127,"")</f>
        <v/>
      </c>
      <c r="AQ127" s="62">
        <f>""</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t="n"/>
      <c r="F128" s="59" t="n"/>
      <c r="G128" s="59" t="n"/>
      <c r="H128" s="60" t="n"/>
      <c r="I128" s="60">
        <f>IF(N($W128)=0,"",IF(AND($S128=MesCiclo,1&gt;SemanaActual),"",MIN(1,SUMIFS(OFFSET($A$1,ROW(),29,1000-ROW(),1),OFFSET($A$1,ROW(),20,1000-ROW(),1),ROW(),OFFSET($A$1,ROW(),21,1000-ROW(),1),"Sub"))))</f>
        <v/>
      </c>
      <c r="J128" s="60">
        <f>IF(N($W128)=0,"",IF(AND($S128=MesCiclo,2&gt;SemanaActual),"",MIN(1,SUMIFS(OFFSET($A$1,ROW(),30,1000-ROW(),1),OFFSET($A$1,ROW(),20,1000-ROW(),1),ROW(),OFFSET($A$1,ROW(),21,1000-ROW(),1),"Sub"))))</f>
        <v/>
      </c>
      <c r="K128" s="60">
        <f>IF(N($W128)=0,"",IF(AND($S128=MesCiclo,3&gt;SemanaActual),"",MIN(1,SUMIFS(OFFSET($A$1,ROW(),31,1000-ROW(),1),OFFSET($A$1,ROW(),20,1000-ROW(),1),ROW(),OFFSET($A$1,ROW(),21,1000-ROW(),1),"Sub"))))</f>
        <v/>
      </c>
      <c r="L128" s="60">
        <f>IF(N($W128)=0,"",IF(AND($S128=MesCiclo,4&gt;SemanaActual),"",MIN(1,SUMIFS(OFFSET($A$1,ROW(),32,1000-ROW(),1),OFFSET($A$1,ROW(),20,1000-ROW(),1),ROW(),OFFSET($A$1,ROW(),21,1000-ROW(),1),"Sub"))))</f>
        <v/>
      </c>
      <c r="M128" s="61">
        <f>IF(NOT((COUNTA($B128:$D128)+COUNTA($G128:$H128)+COUNTA($Q128))&gt;0),"",IF(AND($D128&lt;&gt;"",$V128="Macro"),IF(N($AM128)&gt;0,N(CHOOSE(MATCH($D128,ListaPuestos,0),INDEX('Cronograma R. Operacional'!$M$5:$M$1000,$AM128),INDEX('Cronograma R. Normativo'!$M$5:$M$1000,$AM128),INDEX('Cronograma R. Financiero'!$M$5:$M$1000,$AM128),INDEX('Cronograma Asistente Técnico'!$M$5:$M$1000,$AM128))),0),IF(ISNUMBER($G128),1,IF(N($W128)&gt;0,MIN(1,SUMIFS($Y$5:$Y$1000,$U$5:$U$1000,ROW(),$V$5:$V$1000,"Sub")),$Y128))))</f>
        <v/>
      </c>
      <c r="N128" s="56">
        <f>IF(OR($M128="",$V128="Sub"),"",IF($M128&gt;=1,"Completado",IF($M128&gt;0,"En curso","Pendiente")))</f>
        <v/>
      </c>
      <c r="O128" s="56">
        <f>IF(NOT((COUNTA($B128:$D128)+COUNTA($G128:$H128)+COUNTA($Q128))&gt;0),"",IF(AND(AND($D128&lt;&gt;"",$V128="Macro"),N($AM128)&gt;0),CHOOSE(MATCH($D128,ListaPuestos,0),INDEX('Cronograma R. Operacional'!$O$5:$O$1000,$AM128),INDEX('Cronograma R. Normativo'!$O$5:$O$1000,$AM128),INDEX('Cronograma R. Financiero'!$O$5:$O$1000,$AM128),INDEX('Cronograma Asistente Técnico'!$O$5:$O$1000,$AM128))&amp;"",IF(ISNUMBER($G128),IF(AND(ISNUMBER($AS128),$G128&gt;$AS128),"Cumplida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f>IF(NOT((COUNTA($B128:$D128)+COUNTA($G128:$H128)+COUNTA($Q128))&gt;0),"",IF($D128="","Propia",IF($V128&lt;&gt;"Macro","Solo se delegan macroactividades",IF(N($AM128)&gt;0,"✔ Recibida por "&amp;$D128,"⚠ "&amp;$D128&amp;" aún no la agrega"))))</f>
        <v/>
      </c>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IF($V128&lt;&gt;"Sub","",N($X128)*IF(AND(ISNUMBER($G128),$G128&lt;=IF($S128=MesCiclo,InicioCiclo,$S128+MOD(2-WEEKDAY($S128),7))+6),1,MIN(1,MAX(0,IF(ISNUMBER(OFFSET($A$1,ROW()-1,8)),OFFSET($A$1,ROW()-1,8),0)))))</f>
        <v/>
      </c>
      <c r="AE128" s="62">
        <f>IF($V128&lt;&gt;"Sub","",N($X128)*IF(AND(ISNUMBER($G128),$G128&lt;=IF($S128=MesCiclo,InicioCiclo,$S128+MOD(2-WEEKDAY($S128),7))+13),1,MIN(1,MAX(0,IF(ISNUMBER(OFFSET($A$1,ROW()-1,9)),OFFSET($A$1,ROW()-1,9),IF(ISNUMBER(OFFSET($A$1,ROW()-1,8)),OFFSET($A$1,ROW()-1,8),0))))))</f>
        <v/>
      </c>
      <c r="AF128" s="62">
        <f>IF($V128&lt;&gt;"Sub","",N($X128)*IF(AND(ISNUMBER($G128),$G128&lt;=IF($S128=MesCiclo,InicioCiclo,$S128+MOD(2-WEEKDAY($S128),7))+20),1,MIN(1,MAX(0,IF(ISNUMBER(OFFSET($A$1,ROW()-1,10)),OFFSET($A$1,ROW()-1,10),IF(ISNUMBER(OFFSET($A$1,ROW()-1,9)),OFFSET($A$1,ROW()-1,9),IF(ISNUMBER(OFFSET($A$1,ROW()-1,8)),OFFSET($A$1,ROW()-1,8),0)))))))</f>
        <v/>
      </c>
      <c r="AG128" s="62">
        <f>IF($V128&lt;&gt;"Sub","",N($X128)*IF(AND(ISNUMBER($G128),$G128&lt;=IF($S128=MesCiclo,InicioCiclo,$S128+MOD(2-WEEKDAY($S128),7))+27),1,MIN(1,MAX(0,IF(ISNUMBER(OFFSET($A$1,ROW()-1,11)),OFFSET($A$1,ROW()-1,11),IF(ISNUMBER(OFFSET($A$1,ROW()-1,10)),OFFSET($A$1,ROW()-1,10),IF(ISNUMBER(OFFSET($A$1,ROW()-1,9)),OFFSET($A$1,ROW()-1,9),IF(ISNUMBER(OFFSET($A$1,ROW()-1,8)),OFFSET($A$1,ROW()-1,8),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f>IF(NOT(AND($D128&lt;&gt;"",$V128="Macro")),"",IFERROR(CHOOSE(MATCH($D128,ListaPuestos,0),MATCH("[Jefatura] "&amp;$C128,'Cronograma R. Operacional'!$C$5:$C$1000,0),MATCH("[Jefatura] "&amp;$C128,'Cronograma R. Normativo'!$C$5:$C$1000,0),MATCH("[Jefatura] "&amp;$C128,'Cronograma R. Financiero'!$C$5:$C$1000,0),MATCH("[Jefatura] "&amp;$C128,'Cronograma Asistente Técnico'!$C$5:$C$1000,0)),0))</f>
        <v/>
      </c>
      <c r="AN128" s="62">
        <f>IF(AND(AND($D128&lt;&gt;"",$V128="Macro"),$S128=MesCiclo),COUNTIFS($D$5:$D128,$D128,$S$5:$S128,MesCiclo,$V$5:$V128,"Macro"),"")</f>
        <v/>
      </c>
      <c r="AO128" s="62">
        <f>IF($AN128="","",$D128&amp;"|"&amp;$AN128)</f>
        <v/>
      </c>
      <c r="AP128" s="62">
        <f>IF(AND($D128&lt;&gt;"",$V128="Macro"),$D128&amp;"|"&amp;$C128,"")</f>
        <v/>
      </c>
      <c r="AQ128" s="62">
        <f>""</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t="n"/>
      <c r="F129" s="59" t="n"/>
      <c r="G129" s="59" t="n"/>
      <c r="H129" s="60" t="n"/>
      <c r="I129" s="60">
        <f>IF(N($W129)=0,"",IF(AND($S129=MesCiclo,1&gt;SemanaActual),"",MIN(1,SUMIFS(OFFSET($A$1,ROW(),29,1000-ROW(),1),OFFSET($A$1,ROW(),20,1000-ROW(),1),ROW(),OFFSET($A$1,ROW(),21,1000-ROW(),1),"Sub"))))</f>
        <v/>
      </c>
      <c r="J129" s="60">
        <f>IF(N($W129)=0,"",IF(AND($S129=MesCiclo,2&gt;SemanaActual),"",MIN(1,SUMIFS(OFFSET($A$1,ROW(),30,1000-ROW(),1),OFFSET($A$1,ROW(),20,1000-ROW(),1),ROW(),OFFSET($A$1,ROW(),21,1000-ROW(),1),"Sub"))))</f>
        <v/>
      </c>
      <c r="K129" s="60">
        <f>IF(N($W129)=0,"",IF(AND($S129=MesCiclo,3&gt;SemanaActual),"",MIN(1,SUMIFS(OFFSET($A$1,ROW(),31,1000-ROW(),1),OFFSET($A$1,ROW(),20,1000-ROW(),1),ROW(),OFFSET($A$1,ROW(),21,1000-ROW(),1),"Sub"))))</f>
        <v/>
      </c>
      <c r="L129" s="60">
        <f>IF(N($W129)=0,"",IF(AND($S129=MesCiclo,4&gt;SemanaActual),"",MIN(1,SUMIFS(OFFSET($A$1,ROW(),32,1000-ROW(),1),OFFSET($A$1,ROW(),20,1000-ROW(),1),ROW(),OFFSET($A$1,ROW(),21,1000-ROW(),1),"Sub"))))</f>
        <v/>
      </c>
      <c r="M129" s="61">
        <f>IF(NOT((COUNTA($B129:$D129)+COUNTA($G129:$H129)+COUNTA($Q129))&gt;0),"",IF(AND($D129&lt;&gt;"",$V129="Macro"),IF(N($AM129)&gt;0,N(CHOOSE(MATCH($D129,ListaPuestos,0),INDEX('Cronograma R. Operacional'!$M$5:$M$1000,$AM129),INDEX('Cronograma R. Normativo'!$M$5:$M$1000,$AM129),INDEX('Cronograma R. Financiero'!$M$5:$M$1000,$AM129),INDEX('Cronograma Asistente Técnico'!$M$5:$M$1000,$AM129))),0),IF(ISNUMBER($G129),1,IF(N($W129)&gt;0,MIN(1,SUMIFS($Y$5:$Y$1000,$U$5:$U$1000,ROW(),$V$5:$V$1000,"Sub")),$Y129))))</f>
        <v/>
      </c>
      <c r="N129" s="56">
        <f>IF(OR($M129="",$V129="Sub"),"",IF($M129&gt;=1,"Completado",IF($M129&gt;0,"En curso","Pendiente")))</f>
        <v/>
      </c>
      <c r="O129" s="56">
        <f>IF(NOT((COUNTA($B129:$D129)+COUNTA($G129:$H129)+COUNTA($Q129))&gt;0),"",IF(AND(AND($D129&lt;&gt;"",$V129="Macro"),N($AM129)&gt;0),CHOOSE(MATCH($D129,ListaPuestos,0),INDEX('Cronograma R. Operacional'!$O$5:$O$1000,$AM129),INDEX('Cronograma R. Normativo'!$O$5:$O$1000,$AM129),INDEX('Cronograma R. Financiero'!$O$5:$O$1000,$AM129),INDEX('Cronograma Asistente Técnico'!$O$5:$O$1000,$AM129))&amp;"",IF(ISNUMBER($G129),IF(AND(ISNUMBER($AS129),$G129&gt;$AS129),"Cumplida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f>IF(NOT((COUNTA($B129:$D129)+COUNTA($G129:$H129)+COUNTA($Q129))&gt;0),"",IF($D129="","Propia",IF($V129&lt;&gt;"Macro","Solo se delegan macroactividades",IF(N($AM129)&gt;0,"✔ Recibida por "&amp;$D129,"⚠ "&amp;$D129&amp;" aún no la agrega"))))</f>
        <v/>
      </c>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IF($V129&lt;&gt;"Sub","",N($X129)*IF(AND(ISNUMBER($G129),$G129&lt;=IF($S129=MesCiclo,InicioCiclo,$S129+MOD(2-WEEKDAY($S129),7))+6),1,MIN(1,MAX(0,IF(ISNUMBER(OFFSET($A$1,ROW()-1,8)),OFFSET($A$1,ROW()-1,8),0)))))</f>
        <v/>
      </c>
      <c r="AE129" s="62">
        <f>IF($V129&lt;&gt;"Sub","",N($X129)*IF(AND(ISNUMBER($G129),$G129&lt;=IF($S129=MesCiclo,InicioCiclo,$S129+MOD(2-WEEKDAY($S129),7))+13),1,MIN(1,MAX(0,IF(ISNUMBER(OFFSET($A$1,ROW()-1,9)),OFFSET($A$1,ROW()-1,9),IF(ISNUMBER(OFFSET($A$1,ROW()-1,8)),OFFSET($A$1,ROW()-1,8),0))))))</f>
        <v/>
      </c>
      <c r="AF129" s="62">
        <f>IF($V129&lt;&gt;"Sub","",N($X129)*IF(AND(ISNUMBER($G129),$G129&lt;=IF($S129=MesCiclo,InicioCiclo,$S129+MOD(2-WEEKDAY($S129),7))+20),1,MIN(1,MAX(0,IF(ISNUMBER(OFFSET($A$1,ROW()-1,10)),OFFSET($A$1,ROW()-1,10),IF(ISNUMBER(OFFSET($A$1,ROW()-1,9)),OFFSET($A$1,ROW()-1,9),IF(ISNUMBER(OFFSET($A$1,ROW()-1,8)),OFFSET($A$1,ROW()-1,8),0)))))))</f>
        <v/>
      </c>
      <c r="AG129" s="62">
        <f>IF($V129&lt;&gt;"Sub","",N($X129)*IF(AND(ISNUMBER($G129),$G129&lt;=IF($S129=MesCiclo,InicioCiclo,$S129+MOD(2-WEEKDAY($S129),7))+27),1,MIN(1,MAX(0,IF(ISNUMBER(OFFSET($A$1,ROW()-1,11)),OFFSET($A$1,ROW()-1,11),IF(ISNUMBER(OFFSET($A$1,ROW()-1,10)),OFFSET($A$1,ROW()-1,10),IF(ISNUMBER(OFFSET($A$1,ROW()-1,9)),OFFSET($A$1,ROW()-1,9),IF(ISNUMBER(OFFSET($A$1,ROW()-1,8)),OFFSET($A$1,ROW()-1,8),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f>IF(NOT(AND($D129&lt;&gt;"",$V129="Macro")),"",IFERROR(CHOOSE(MATCH($D129,ListaPuestos,0),MATCH("[Jefatura] "&amp;$C129,'Cronograma R. Operacional'!$C$5:$C$1000,0),MATCH("[Jefatura] "&amp;$C129,'Cronograma R. Normativo'!$C$5:$C$1000,0),MATCH("[Jefatura] "&amp;$C129,'Cronograma R. Financiero'!$C$5:$C$1000,0),MATCH("[Jefatura] "&amp;$C129,'Cronograma Asistente Técnico'!$C$5:$C$1000,0)),0))</f>
        <v/>
      </c>
      <c r="AN129" s="62">
        <f>IF(AND(AND($D129&lt;&gt;"",$V129="Macro"),$S129=MesCiclo),COUNTIFS($D$5:$D129,$D129,$S$5:$S129,MesCiclo,$V$5:$V129,"Macro"),"")</f>
        <v/>
      </c>
      <c r="AO129" s="62">
        <f>IF($AN129="","",$D129&amp;"|"&amp;$AN129)</f>
        <v/>
      </c>
      <c r="AP129" s="62">
        <f>IF(AND($D129&lt;&gt;"",$V129="Macro"),$D129&amp;"|"&amp;$C129,"")</f>
        <v/>
      </c>
      <c r="AQ129" s="62">
        <f>""</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t="n"/>
      <c r="F130" s="59" t="n"/>
      <c r="G130" s="59" t="n"/>
      <c r="H130" s="60" t="n"/>
      <c r="I130" s="60">
        <f>IF(N($W130)=0,"",IF(AND($S130=MesCiclo,1&gt;SemanaActual),"",MIN(1,SUMIFS(OFFSET($A$1,ROW(),29,1000-ROW(),1),OFFSET($A$1,ROW(),20,1000-ROW(),1),ROW(),OFFSET($A$1,ROW(),21,1000-ROW(),1),"Sub"))))</f>
        <v/>
      </c>
      <c r="J130" s="60">
        <f>IF(N($W130)=0,"",IF(AND($S130=MesCiclo,2&gt;SemanaActual),"",MIN(1,SUMIFS(OFFSET($A$1,ROW(),30,1000-ROW(),1),OFFSET($A$1,ROW(),20,1000-ROW(),1),ROW(),OFFSET($A$1,ROW(),21,1000-ROW(),1),"Sub"))))</f>
        <v/>
      </c>
      <c r="K130" s="60">
        <f>IF(N($W130)=0,"",IF(AND($S130=MesCiclo,3&gt;SemanaActual),"",MIN(1,SUMIFS(OFFSET($A$1,ROW(),31,1000-ROW(),1),OFFSET($A$1,ROW(),20,1000-ROW(),1),ROW(),OFFSET($A$1,ROW(),21,1000-ROW(),1),"Sub"))))</f>
        <v/>
      </c>
      <c r="L130" s="60">
        <f>IF(N($W130)=0,"",IF(AND($S130=MesCiclo,4&gt;SemanaActual),"",MIN(1,SUMIFS(OFFSET($A$1,ROW(),32,1000-ROW(),1),OFFSET($A$1,ROW(),20,1000-ROW(),1),ROW(),OFFSET($A$1,ROW(),21,1000-ROW(),1),"Sub"))))</f>
        <v/>
      </c>
      <c r="M130" s="61">
        <f>IF(NOT((COUNTA($B130:$D130)+COUNTA($G130:$H130)+COUNTA($Q130))&gt;0),"",IF(AND($D130&lt;&gt;"",$V130="Macro"),IF(N($AM130)&gt;0,N(CHOOSE(MATCH($D130,ListaPuestos,0),INDEX('Cronograma R. Operacional'!$M$5:$M$1000,$AM130),INDEX('Cronograma R. Normativo'!$M$5:$M$1000,$AM130),INDEX('Cronograma R. Financiero'!$M$5:$M$1000,$AM130),INDEX('Cronograma Asistente Técnico'!$M$5:$M$1000,$AM130))),0),IF(ISNUMBER($G130),1,IF(N($W130)&gt;0,MIN(1,SUMIFS($Y$5:$Y$1000,$U$5:$U$1000,ROW(),$V$5:$V$1000,"Sub")),$Y130))))</f>
        <v/>
      </c>
      <c r="N130" s="56">
        <f>IF(OR($M130="",$V130="Sub"),"",IF($M130&gt;=1,"Completado",IF($M130&gt;0,"En curso","Pendiente")))</f>
        <v/>
      </c>
      <c r="O130" s="56">
        <f>IF(NOT((COUNTA($B130:$D130)+COUNTA($G130:$H130)+COUNTA($Q130))&gt;0),"",IF(AND(AND($D130&lt;&gt;"",$V130="Macro"),N($AM130)&gt;0),CHOOSE(MATCH($D130,ListaPuestos,0),INDEX('Cronograma R. Operacional'!$O$5:$O$1000,$AM130),INDEX('Cronograma R. Normativo'!$O$5:$O$1000,$AM130),INDEX('Cronograma R. Financiero'!$O$5:$O$1000,$AM130),INDEX('Cronograma Asistente Técnico'!$O$5:$O$1000,$AM130))&amp;"",IF(ISNUMBER($G130),IF(AND(ISNUMBER($AS130),$G130&gt;$AS130),"Cumplida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f>IF(NOT((COUNTA($B130:$D130)+COUNTA($G130:$H130)+COUNTA($Q130))&gt;0),"",IF($D130="","Propia",IF($V130&lt;&gt;"Macro","Solo se delegan macroactividades",IF(N($AM130)&gt;0,"✔ Recibida por "&amp;$D130,"⚠ "&amp;$D130&amp;" aún no la agrega"))))</f>
        <v/>
      </c>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IF($V130&lt;&gt;"Sub","",N($X130)*IF(AND(ISNUMBER($G130),$G130&lt;=IF($S130=MesCiclo,InicioCiclo,$S130+MOD(2-WEEKDAY($S130),7))+6),1,MIN(1,MAX(0,IF(ISNUMBER(OFFSET($A$1,ROW()-1,8)),OFFSET($A$1,ROW()-1,8),0)))))</f>
        <v/>
      </c>
      <c r="AE130" s="62">
        <f>IF($V130&lt;&gt;"Sub","",N($X130)*IF(AND(ISNUMBER($G130),$G130&lt;=IF($S130=MesCiclo,InicioCiclo,$S130+MOD(2-WEEKDAY($S130),7))+13),1,MIN(1,MAX(0,IF(ISNUMBER(OFFSET($A$1,ROW()-1,9)),OFFSET($A$1,ROW()-1,9),IF(ISNUMBER(OFFSET($A$1,ROW()-1,8)),OFFSET($A$1,ROW()-1,8),0))))))</f>
        <v/>
      </c>
      <c r="AF130" s="62">
        <f>IF($V130&lt;&gt;"Sub","",N($X130)*IF(AND(ISNUMBER($G130),$G130&lt;=IF($S130=MesCiclo,InicioCiclo,$S130+MOD(2-WEEKDAY($S130),7))+20),1,MIN(1,MAX(0,IF(ISNUMBER(OFFSET($A$1,ROW()-1,10)),OFFSET($A$1,ROW()-1,10),IF(ISNUMBER(OFFSET($A$1,ROW()-1,9)),OFFSET($A$1,ROW()-1,9),IF(ISNUMBER(OFFSET($A$1,ROW()-1,8)),OFFSET($A$1,ROW()-1,8),0)))))))</f>
        <v/>
      </c>
      <c r="AG130" s="62">
        <f>IF($V130&lt;&gt;"Sub","",N($X130)*IF(AND(ISNUMBER($G130),$G130&lt;=IF($S130=MesCiclo,InicioCiclo,$S130+MOD(2-WEEKDAY($S130),7))+27),1,MIN(1,MAX(0,IF(ISNUMBER(OFFSET($A$1,ROW()-1,11)),OFFSET($A$1,ROW()-1,11),IF(ISNUMBER(OFFSET($A$1,ROW()-1,10)),OFFSET($A$1,ROW()-1,10),IF(ISNUMBER(OFFSET($A$1,ROW()-1,9)),OFFSET($A$1,ROW()-1,9),IF(ISNUMBER(OFFSET($A$1,ROW()-1,8)),OFFSET($A$1,ROW()-1,8),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f>IF(NOT(AND($D130&lt;&gt;"",$V130="Macro")),"",IFERROR(CHOOSE(MATCH($D130,ListaPuestos,0),MATCH("[Jefatura] "&amp;$C130,'Cronograma R. Operacional'!$C$5:$C$1000,0),MATCH("[Jefatura] "&amp;$C130,'Cronograma R. Normativo'!$C$5:$C$1000,0),MATCH("[Jefatura] "&amp;$C130,'Cronograma R. Financiero'!$C$5:$C$1000,0),MATCH("[Jefatura] "&amp;$C130,'Cronograma Asistente Técnico'!$C$5:$C$1000,0)),0))</f>
        <v/>
      </c>
      <c r="AN130" s="62">
        <f>IF(AND(AND($D130&lt;&gt;"",$V130="Macro"),$S130=MesCiclo),COUNTIFS($D$5:$D130,$D130,$S$5:$S130,MesCiclo,$V$5:$V130,"Macro"),"")</f>
        <v/>
      </c>
      <c r="AO130" s="62">
        <f>IF($AN130="","",$D130&amp;"|"&amp;$AN130)</f>
        <v/>
      </c>
      <c r="AP130" s="62">
        <f>IF(AND($D130&lt;&gt;"",$V130="Macro"),$D130&amp;"|"&amp;$C130,"")</f>
        <v/>
      </c>
      <c r="AQ130" s="62">
        <f>""</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t="n"/>
      <c r="F131" s="59" t="n"/>
      <c r="G131" s="59" t="n"/>
      <c r="H131" s="60" t="n"/>
      <c r="I131" s="60">
        <f>IF(N($W131)=0,"",IF(AND($S131=MesCiclo,1&gt;SemanaActual),"",MIN(1,SUMIFS(OFFSET($A$1,ROW(),29,1000-ROW(),1),OFFSET($A$1,ROW(),20,1000-ROW(),1),ROW(),OFFSET($A$1,ROW(),21,1000-ROW(),1),"Sub"))))</f>
        <v/>
      </c>
      <c r="J131" s="60">
        <f>IF(N($W131)=0,"",IF(AND($S131=MesCiclo,2&gt;SemanaActual),"",MIN(1,SUMIFS(OFFSET($A$1,ROW(),30,1000-ROW(),1),OFFSET($A$1,ROW(),20,1000-ROW(),1),ROW(),OFFSET($A$1,ROW(),21,1000-ROW(),1),"Sub"))))</f>
        <v/>
      </c>
      <c r="K131" s="60">
        <f>IF(N($W131)=0,"",IF(AND($S131=MesCiclo,3&gt;SemanaActual),"",MIN(1,SUMIFS(OFFSET($A$1,ROW(),31,1000-ROW(),1),OFFSET($A$1,ROW(),20,1000-ROW(),1),ROW(),OFFSET($A$1,ROW(),21,1000-ROW(),1),"Sub"))))</f>
        <v/>
      </c>
      <c r="L131" s="60">
        <f>IF(N($W131)=0,"",IF(AND($S131=MesCiclo,4&gt;SemanaActual),"",MIN(1,SUMIFS(OFFSET($A$1,ROW(),32,1000-ROW(),1),OFFSET($A$1,ROW(),20,1000-ROW(),1),ROW(),OFFSET($A$1,ROW(),21,1000-ROW(),1),"Sub"))))</f>
        <v/>
      </c>
      <c r="M131" s="61">
        <f>IF(NOT((COUNTA($B131:$D131)+COUNTA($G131:$H131)+COUNTA($Q131))&gt;0),"",IF(AND($D131&lt;&gt;"",$V131="Macro"),IF(N($AM131)&gt;0,N(CHOOSE(MATCH($D131,ListaPuestos,0),INDEX('Cronograma R. Operacional'!$M$5:$M$1000,$AM131),INDEX('Cronograma R. Normativo'!$M$5:$M$1000,$AM131),INDEX('Cronograma R. Financiero'!$M$5:$M$1000,$AM131),INDEX('Cronograma Asistente Técnico'!$M$5:$M$1000,$AM131))),0),IF(ISNUMBER($G131),1,IF(N($W131)&gt;0,MIN(1,SUMIFS($Y$5:$Y$1000,$U$5:$U$1000,ROW(),$V$5:$V$1000,"Sub")),$Y131))))</f>
        <v/>
      </c>
      <c r="N131" s="56">
        <f>IF(OR($M131="",$V131="Sub"),"",IF($M131&gt;=1,"Completado",IF($M131&gt;0,"En curso","Pendiente")))</f>
        <v/>
      </c>
      <c r="O131" s="56">
        <f>IF(NOT((COUNTA($B131:$D131)+COUNTA($G131:$H131)+COUNTA($Q131))&gt;0),"",IF(AND(AND($D131&lt;&gt;"",$V131="Macro"),N($AM131)&gt;0),CHOOSE(MATCH($D131,ListaPuestos,0),INDEX('Cronograma R. Operacional'!$O$5:$O$1000,$AM131),INDEX('Cronograma R. Normativo'!$O$5:$O$1000,$AM131),INDEX('Cronograma R. Financiero'!$O$5:$O$1000,$AM131),INDEX('Cronograma Asistente Técnico'!$O$5:$O$1000,$AM131))&amp;"",IF(ISNUMBER($G131),IF(AND(ISNUMBER($AS131),$G131&gt;$AS131),"Cumplida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f>IF(NOT((COUNTA($B131:$D131)+COUNTA($G131:$H131)+COUNTA($Q131))&gt;0),"",IF($D131="","Propia",IF($V131&lt;&gt;"Macro","Solo se delegan macroactividades",IF(N($AM131)&gt;0,"✔ Recibida por "&amp;$D131,"⚠ "&amp;$D131&amp;" aún no la agrega"))))</f>
        <v/>
      </c>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IF($V131&lt;&gt;"Sub","",N($X131)*IF(AND(ISNUMBER($G131),$G131&lt;=IF($S131=MesCiclo,InicioCiclo,$S131+MOD(2-WEEKDAY($S131),7))+6),1,MIN(1,MAX(0,IF(ISNUMBER(OFFSET($A$1,ROW()-1,8)),OFFSET($A$1,ROW()-1,8),0)))))</f>
        <v/>
      </c>
      <c r="AE131" s="62">
        <f>IF($V131&lt;&gt;"Sub","",N($X131)*IF(AND(ISNUMBER($G131),$G131&lt;=IF($S131=MesCiclo,InicioCiclo,$S131+MOD(2-WEEKDAY($S131),7))+13),1,MIN(1,MAX(0,IF(ISNUMBER(OFFSET($A$1,ROW()-1,9)),OFFSET($A$1,ROW()-1,9),IF(ISNUMBER(OFFSET($A$1,ROW()-1,8)),OFFSET($A$1,ROW()-1,8),0))))))</f>
        <v/>
      </c>
      <c r="AF131" s="62">
        <f>IF($V131&lt;&gt;"Sub","",N($X131)*IF(AND(ISNUMBER($G131),$G131&lt;=IF($S131=MesCiclo,InicioCiclo,$S131+MOD(2-WEEKDAY($S131),7))+20),1,MIN(1,MAX(0,IF(ISNUMBER(OFFSET($A$1,ROW()-1,10)),OFFSET($A$1,ROW()-1,10),IF(ISNUMBER(OFFSET($A$1,ROW()-1,9)),OFFSET($A$1,ROW()-1,9),IF(ISNUMBER(OFFSET($A$1,ROW()-1,8)),OFFSET($A$1,ROW()-1,8),0)))))))</f>
        <v/>
      </c>
      <c r="AG131" s="62">
        <f>IF($V131&lt;&gt;"Sub","",N($X131)*IF(AND(ISNUMBER($G131),$G131&lt;=IF($S131=MesCiclo,InicioCiclo,$S131+MOD(2-WEEKDAY($S131),7))+27),1,MIN(1,MAX(0,IF(ISNUMBER(OFFSET($A$1,ROW()-1,11)),OFFSET($A$1,ROW()-1,11),IF(ISNUMBER(OFFSET($A$1,ROW()-1,10)),OFFSET($A$1,ROW()-1,10),IF(ISNUMBER(OFFSET($A$1,ROW()-1,9)),OFFSET($A$1,ROW()-1,9),IF(ISNUMBER(OFFSET($A$1,ROW()-1,8)),OFFSET($A$1,ROW()-1,8),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f>IF(NOT(AND($D131&lt;&gt;"",$V131="Macro")),"",IFERROR(CHOOSE(MATCH($D131,ListaPuestos,0),MATCH("[Jefatura] "&amp;$C131,'Cronograma R. Operacional'!$C$5:$C$1000,0),MATCH("[Jefatura] "&amp;$C131,'Cronograma R. Normativo'!$C$5:$C$1000,0),MATCH("[Jefatura] "&amp;$C131,'Cronograma R. Financiero'!$C$5:$C$1000,0),MATCH("[Jefatura] "&amp;$C131,'Cronograma Asistente Técnico'!$C$5:$C$1000,0)),0))</f>
        <v/>
      </c>
      <c r="AN131" s="62">
        <f>IF(AND(AND($D131&lt;&gt;"",$V131="Macro"),$S131=MesCiclo),COUNTIFS($D$5:$D131,$D131,$S$5:$S131,MesCiclo,$V$5:$V131,"Macro"),"")</f>
        <v/>
      </c>
      <c r="AO131" s="62">
        <f>IF($AN131="","",$D131&amp;"|"&amp;$AN131)</f>
        <v/>
      </c>
      <c r="AP131" s="62">
        <f>IF(AND($D131&lt;&gt;"",$V131="Macro"),$D131&amp;"|"&amp;$C131,"")</f>
        <v/>
      </c>
      <c r="AQ131" s="62">
        <f>""</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t="n"/>
      <c r="F132" s="59" t="n"/>
      <c r="G132" s="59" t="n"/>
      <c r="H132" s="60" t="n"/>
      <c r="I132" s="60">
        <f>IF(N($W132)=0,"",IF(AND($S132=MesCiclo,1&gt;SemanaActual),"",MIN(1,SUMIFS(OFFSET($A$1,ROW(),29,1000-ROW(),1),OFFSET($A$1,ROW(),20,1000-ROW(),1),ROW(),OFFSET($A$1,ROW(),21,1000-ROW(),1),"Sub"))))</f>
        <v/>
      </c>
      <c r="J132" s="60">
        <f>IF(N($W132)=0,"",IF(AND($S132=MesCiclo,2&gt;SemanaActual),"",MIN(1,SUMIFS(OFFSET($A$1,ROW(),30,1000-ROW(),1),OFFSET($A$1,ROW(),20,1000-ROW(),1),ROW(),OFFSET($A$1,ROW(),21,1000-ROW(),1),"Sub"))))</f>
        <v/>
      </c>
      <c r="K132" s="60">
        <f>IF(N($W132)=0,"",IF(AND($S132=MesCiclo,3&gt;SemanaActual),"",MIN(1,SUMIFS(OFFSET($A$1,ROW(),31,1000-ROW(),1),OFFSET($A$1,ROW(),20,1000-ROW(),1),ROW(),OFFSET($A$1,ROW(),21,1000-ROW(),1),"Sub"))))</f>
        <v/>
      </c>
      <c r="L132" s="60">
        <f>IF(N($W132)=0,"",IF(AND($S132=MesCiclo,4&gt;SemanaActual),"",MIN(1,SUMIFS(OFFSET($A$1,ROW(),32,1000-ROW(),1),OFFSET($A$1,ROW(),20,1000-ROW(),1),ROW(),OFFSET($A$1,ROW(),21,1000-ROW(),1),"Sub"))))</f>
        <v/>
      </c>
      <c r="M132" s="61">
        <f>IF(NOT((COUNTA($B132:$D132)+COUNTA($G132:$H132)+COUNTA($Q132))&gt;0),"",IF(AND($D132&lt;&gt;"",$V132="Macro"),IF(N($AM132)&gt;0,N(CHOOSE(MATCH($D132,ListaPuestos,0),INDEX('Cronograma R. Operacional'!$M$5:$M$1000,$AM132),INDEX('Cronograma R. Normativo'!$M$5:$M$1000,$AM132),INDEX('Cronograma R. Financiero'!$M$5:$M$1000,$AM132),INDEX('Cronograma Asistente Técnico'!$M$5:$M$1000,$AM132))),0),IF(ISNUMBER($G132),1,IF(N($W132)&gt;0,MIN(1,SUMIFS($Y$5:$Y$1000,$U$5:$U$1000,ROW(),$V$5:$V$1000,"Sub")),$Y132))))</f>
        <v/>
      </c>
      <c r="N132" s="56">
        <f>IF(OR($M132="",$V132="Sub"),"",IF($M132&gt;=1,"Completado",IF($M132&gt;0,"En curso","Pendiente")))</f>
        <v/>
      </c>
      <c r="O132" s="56">
        <f>IF(NOT((COUNTA($B132:$D132)+COUNTA($G132:$H132)+COUNTA($Q132))&gt;0),"",IF(AND(AND($D132&lt;&gt;"",$V132="Macro"),N($AM132)&gt;0),CHOOSE(MATCH($D132,ListaPuestos,0),INDEX('Cronograma R. Operacional'!$O$5:$O$1000,$AM132),INDEX('Cronograma R. Normativo'!$O$5:$O$1000,$AM132),INDEX('Cronograma R. Financiero'!$O$5:$O$1000,$AM132),INDEX('Cronograma Asistente Técnico'!$O$5:$O$1000,$AM132))&amp;"",IF(ISNUMBER($G132),IF(AND(ISNUMBER($AS132),$G132&gt;$AS132),"Cumplida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f>IF(NOT((COUNTA($B132:$D132)+COUNTA($G132:$H132)+COUNTA($Q132))&gt;0),"",IF($D132="","Propia",IF($V132&lt;&gt;"Macro","Solo se delegan macroactividades",IF(N($AM132)&gt;0,"✔ Recibida por "&amp;$D132,"⚠ "&amp;$D132&amp;" aún no la agrega"))))</f>
        <v/>
      </c>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IF($V132&lt;&gt;"Sub","",N($X132)*IF(AND(ISNUMBER($G132),$G132&lt;=IF($S132=MesCiclo,InicioCiclo,$S132+MOD(2-WEEKDAY($S132),7))+6),1,MIN(1,MAX(0,IF(ISNUMBER(OFFSET($A$1,ROW()-1,8)),OFFSET($A$1,ROW()-1,8),0)))))</f>
        <v/>
      </c>
      <c r="AE132" s="62">
        <f>IF($V132&lt;&gt;"Sub","",N($X132)*IF(AND(ISNUMBER($G132),$G132&lt;=IF($S132=MesCiclo,InicioCiclo,$S132+MOD(2-WEEKDAY($S132),7))+13),1,MIN(1,MAX(0,IF(ISNUMBER(OFFSET($A$1,ROW()-1,9)),OFFSET($A$1,ROW()-1,9),IF(ISNUMBER(OFFSET($A$1,ROW()-1,8)),OFFSET($A$1,ROW()-1,8),0))))))</f>
        <v/>
      </c>
      <c r="AF132" s="62">
        <f>IF($V132&lt;&gt;"Sub","",N($X132)*IF(AND(ISNUMBER($G132),$G132&lt;=IF($S132=MesCiclo,InicioCiclo,$S132+MOD(2-WEEKDAY($S132),7))+20),1,MIN(1,MAX(0,IF(ISNUMBER(OFFSET($A$1,ROW()-1,10)),OFFSET($A$1,ROW()-1,10),IF(ISNUMBER(OFFSET($A$1,ROW()-1,9)),OFFSET($A$1,ROW()-1,9),IF(ISNUMBER(OFFSET($A$1,ROW()-1,8)),OFFSET($A$1,ROW()-1,8),0)))))))</f>
        <v/>
      </c>
      <c r="AG132" s="62">
        <f>IF($V132&lt;&gt;"Sub","",N($X132)*IF(AND(ISNUMBER($G132),$G132&lt;=IF($S132=MesCiclo,InicioCiclo,$S132+MOD(2-WEEKDAY($S132),7))+27),1,MIN(1,MAX(0,IF(ISNUMBER(OFFSET($A$1,ROW()-1,11)),OFFSET($A$1,ROW()-1,11),IF(ISNUMBER(OFFSET($A$1,ROW()-1,10)),OFFSET($A$1,ROW()-1,10),IF(ISNUMBER(OFFSET($A$1,ROW()-1,9)),OFFSET($A$1,ROW()-1,9),IF(ISNUMBER(OFFSET($A$1,ROW()-1,8)),OFFSET($A$1,ROW()-1,8),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f>IF(NOT(AND($D132&lt;&gt;"",$V132="Macro")),"",IFERROR(CHOOSE(MATCH($D132,ListaPuestos,0),MATCH("[Jefatura] "&amp;$C132,'Cronograma R. Operacional'!$C$5:$C$1000,0),MATCH("[Jefatura] "&amp;$C132,'Cronograma R. Normativo'!$C$5:$C$1000,0),MATCH("[Jefatura] "&amp;$C132,'Cronograma R. Financiero'!$C$5:$C$1000,0),MATCH("[Jefatura] "&amp;$C132,'Cronograma Asistente Técnico'!$C$5:$C$1000,0)),0))</f>
        <v/>
      </c>
      <c r="AN132" s="62">
        <f>IF(AND(AND($D132&lt;&gt;"",$V132="Macro"),$S132=MesCiclo),COUNTIFS($D$5:$D132,$D132,$S$5:$S132,MesCiclo,$V$5:$V132,"Macro"),"")</f>
        <v/>
      </c>
      <c r="AO132" s="62">
        <f>IF($AN132="","",$D132&amp;"|"&amp;$AN132)</f>
        <v/>
      </c>
      <c r="AP132" s="62">
        <f>IF(AND($D132&lt;&gt;"",$V132="Macro"),$D132&amp;"|"&amp;$C132,"")</f>
        <v/>
      </c>
      <c r="AQ132" s="62">
        <f>""</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t="n"/>
      <c r="F133" s="59" t="n"/>
      <c r="G133" s="59" t="n"/>
      <c r="H133" s="60" t="n"/>
      <c r="I133" s="60">
        <f>IF(N($W133)=0,"",IF(AND($S133=MesCiclo,1&gt;SemanaActual),"",MIN(1,SUMIFS(OFFSET($A$1,ROW(),29,1000-ROW(),1),OFFSET($A$1,ROW(),20,1000-ROW(),1),ROW(),OFFSET($A$1,ROW(),21,1000-ROW(),1),"Sub"))))</f>
        <v/>
      </c>
      <c r="J133" s="60">
        <f>IF(N($W133)=0,"",IF(AND($S133=MesCiclo,2&gt;SemanaActual),"",MIN(1,SUMIFS(OFFSET($A$1,ROW(),30,1000-ROW(),1),OFFSET($A$1,ROW(),20,1000-ROW(),1),ROW(),OFFSET($A$1,ROW(),21,1000-ROW(),1),"Sub"))))</f>
        <v/>
      </c>
      <c r="K133" s="60">
        <f>IF(N($W133)=0,"",IF(AND($S133=MesCiclo,3&gt;SemanaActual),"",MIN(1,SUMIFS(OFFSET($A$1,ROW(),31,1000-ROW(),1),OFFSET($A$1,ROW(),20,1000-ROW(),1),ROW(),OFFSET($A$1,ROW(),21,1000-ROW(),1),"Sub"))))</f>
        <v/>
      </c>
      <c r="L133" s="60">
        <f>IF(N($W133)=0,"",IF(AND($S133=MesCiclo,4&gt;SemanaActual),"",MIN(1,SUMIFS(OFFSET($A$1,ROW(),32,1000-ROW(),1),OFFSET($A$1,ROW(),20,1000-ROW(),1),ROW(),OFFSET($A$1,ROW(),21,1000-ROW(),1),"Sub"))))</f>
        <v/>
      </c>
      <c r="M133" s="61">
        <f>IF(NOT((COUNTA($B133:$D133)+COUNTA($G133:$H133)+COUNTA($Q133))&gt;0),"",IF(AND($D133&lt;&gt;"",$V133="Macro"),IF(N($AM133)&gt;0,N(CHOOSE(MATCH($D133,ListaPuestos,0),INDEX('Cronograma R. Operacional'!$M$5:$M$1000,$AM133),INDEX('Cronograma R. Normativo'!$M$5:$M$1000,$AM133),INDEX('Cronograma R. Financiero'!$M$5:$M$1000,$AM133),INDEX('Cronograma Asistente Técnico'!$M$5:$M$1000,$AM133))),0),IF(ISNUMBER($G133),1,IF(N($W133)&gt;0,MIN(1,SUMIFS($Y$5:$Y$1000,$U$5:$U$1000,ROW(),$V$5:$V$1000,"Sub")),$Y133))))</f>
        <v/>
      </c>
      <c r="N133" s="56">
        <f>IF(OR($M133="",$V133="Sub"),"",IF($M133&gt;=1,"Completado",IF($M133&gt;0,"En curso","Pendiente")))</f>
        <v/>
      </c>
      <c r="O133" s="56">
        <f>IF(NOT((COUNTA($B133:$D133)+COUNTA($G133:$H133)+COUNTA($Q133))&gt;0),"",IF(AND(AND($D133&lt;&gt;"",$V133="Macro"),N($AM133)&gt;0),CHOOSE(MATCH($D133,ListaPuestos,0),INDEX('Cronograma R. Operacional'!$O$5:$O$1000,$AM133),INDEX('Cronograma R. Normativo'!$O$5:$O$1000,$AM133),INDEX('Cronograma R. Financiero'!$O$5:$O$1000,$AM133),INDEX('Cronograma Asistente Técnico'!$O$5:$O$1000,$AM133))&amp;"",IF(ISNUMBER($G133),IF(AND(ISNUMBER($AS133),$G133&gt;$AS133),"Cumplida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f>IF(NOT((COUNTA($B133:$D133)+COUNTA($G133:$H133)+COUNTA($Q133))&gt;0),"",IF($D133="","Propia",IF($V133&lt;&gt;"Macro","Solo se delegan macroactividades",IF(N($AM133)&gt;0,"✔ Recibida por "&amp;$D133,"⚠ "&amp;$D133&amp;" aún no la agrega"))))</f>
        <v/>
      </c>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IF($V133&lt;&gt;"Sub","",N($X133)*IF(AND(ISNUMBER($G133),$G133&lt;=IF($S133=MesCiclo,InicioCiclo,$S133+MOD(2-WEEKDAY($S133),7))+6),1,MIN(1,MAX(0,IF(ISNUMBER(OFFSET($A$1,ROW()-1,8)),OFFSET($A$1,ROW()-1,8),0)))))</f>
        <v/>
      </c>
      <c r="AE133" s="62">
        <f>IF($V133&lt;&gt;"Sub","",N($X133)*IF(AND(ISNUMBER($G133),$G133&lt;=IF($S133=MesCiclo,InicioCiclo,$S133+MOD(2-WEEKDAY($S133),7))+13),1,MIN(1,MAX(0,IF(ISNUMBER(OFFSET($A$1,ROW()-1,9)),OFFSET($A$1,ROW()-1,9),IF(ISNUMBER(OFFSET($A$1,ROW()-1,8)),OFFSET($A$1,ROW()-1,8),0))))))</f>
        <v/>
      </c>
      <c r="AF133" s="62">
        <f>IF($V133&lt;&gt;"Sub","",N($X133)*IF(AND(ISNUMBER($G133),$G133&lt;=IF($S133=MesCiclo,InicioCiclo,$S133+MOD(2-WEEKDAY($S133),7))+20),1,MIN(1,MAX(0,IF(ISNUMBER(OFFSET($A$1,ROW()-1,10)),OFFSET($A$1,ROW()-1,10),IF(ISNUMBER(OFFSET($A$1,ROW()-1,9)),OFFSET($A$1,ROW()-1,9),IF(ISNUMBER(OFFSET($A$1,ROW()-1,8)),OFFSET($A$1,ROW()-1,8),0)))))))</f>
        <v/>
      </c>
      <c r="AG133" s="62">
        <f>IF($V133&lt;&gt;"Sub","",N($X133)*IF(AND(ISNUMBER($G133),$G133&lt;=IF($S133=MesCiclo,InicioCiclo,$S133+MOD(2-WEEKDAY($S133),7))+27),1,MIN(1,MAX(0,IF(ISNUMBER(OFFSET($A$1,ROW()-1,11)),OFFSET($A$1,ROW()-1,11),IF(ISNUMBER(OFFSET($A$1,ROW()-1,10)),OFFSET($A$1,ROW()-1,10),IF(ISNUMBER(OFFSET($A$1,ROW()-1,9)),OFFSET($A$1,ROW()-1,9),IF(ISNUMBER(OFFSET($A$1,ROW()-1,8)),OFFSET($A$1,ROW()-1,8),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f>IF(NOT(AND($D133&lt;&gt;"",$V133="Macro")),"",IFERROR(CHOOSE(MATCH($D133,ListaPuestos,0),MATCH("[Jefatura] "&amp;$C133,'Cronograma R. Operacional'!$C$5:$C$1000,0),MATCH("[Jefatura] "&amp;$C133,'Cronograma R. Normativo'!$C$5:$C$1000,0),MATCH("[Jefatura] "&amp;$C133,'Cronograma R. Financiero'!$C$5:$C$1000,0),MATCH("[Jefatura] "&amp;$C133,'Cronograma Asistente Técnico'!$C$5:$C$1000,0)),0))</f>
        <v/>
      </c>
      <c r="AN133" s="62">
        <f>IF(AND(AND($D133&lt;&gt;"",$V133="Macro"),$S133=MesCiclo),COUNTIFS($D$5:$D133,$D133,$S$5:$S133,MesCiclo,$V$5:$V133,"Macro"),"")</f>
        <v/>
      </c>
      <c r="AO133" s="62">
        <f>IF($AN133="","",$D133&amp;"|"&amp;$AN133)</f>
        <v/>
      </c>
      <c r="AP133" s="62">
        <f>IF(AND($D133&lt;&gt;"",$V133="Macro"),$D133&amp;"|"&amp;$C133,"")</f>
        <v/>
      </c>
      <c r="AQ133" s="62">
        <f>""</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t="n"/>
      <c r="F134" s="59" t="n"/>
      <c r="G134" s="59" t="n"/>
      <c r="H134" s="60" t="n"/>
      <c r="I134" s="60">
        <f>IF(N($W134)=0,"",IF(AND($S134=MesCiclo,1&gt;SemanaActual),"",MIN(1,SUMIFS(OFFSET($A$1,ROW(),29,1000-ROW(),1),OFFSET($A$1,ROW(),20,1000-ROW(),1),ROW(),OFFSET($A$1,ROW(),21,1000-ROW(),1),"Sub"))))</f>
        <v/>
      </c>
      <c r="J134" s="60">
        <f>IF(N($W134)=0,"",IF(AND($S134=MesCiclo,2&gt;SemanaActual),"",MIN(1,SUMIFS(OFFSET($A$1,ROW(),30,1000-ROW(),1),OFFSET($A$1,ROW(),20,1000-ROW(),1),ROW(),OFFSET($A$1,ROW(),21,1000-ROW(),1),"Sub"))))</f>
        <v/>
      </c>
      <c r="K134" s="60">
        <f>IF(N($W134)=0,"",IF(AND($S134=MesCiclo,3&gt;SemanaActual),"",MIN(1,SUMIFS(OFFSET($A$1,ROW(),31,1000-ROW(),1),OFFSET($A$1,ROW(),20,1000-ROW(),1),ROW(),OFFSET($A$1,ROW(),21,1000-ROW(),1),"Sub"))))</f>
        <v/>
      </c>
      <c r="L134" s="60">
        <f>IF(N($W134)=0,"",IF(AND($S134=MesCiclo,4&gt;SemanaActual),"",MIN(1,SUMIFS(OFFSET($A$1,ROW(),32,1000-ROW(),1),OFFSET($A$1,ROW(),20,1000-ROW(),1),ROW(),OFFSET($A$1,ROW(),21,1000-ROW(),1),"Sub"))))</f>
        <v/>
      </c>
      <c r="M134" s="61">
        <f>IF(NOT((COUNTA($B134:$D134)+COUNTA($G134:$H134)+COUNTA($Q134))&gt;0),"",IF(AND($D134&lt;&gt;"",$V134="Macro"),IF(N($AM134)&gt;0,N(CHOOSE(MATCH($D134,ListaPuestos,0),INDEX('Cronograma R. Operacional'!$M$5:$M$1000,$AM134),INDEX('Cronograma R. Normativo'!$M$5:$M$1000,$AM134),INDEX('Cronograma R. Financiero'!$M$5:$M$1000,$AM134),INDEX('Cronograma Asistente Técnico'!$M$5:$M$1000,$AM134))),0),IF(ISNUMBER($G134),1,IF(N($W134)&gt;0,MIN(1,SUMIFS($Y$5:$Y$1000,$U$5:$U$1000,ROW(),$V$5:$V$1000,"Sub")),$Y134))))</f>
        <v/>
      </c>
      <c r="N134" s="56">
        <f>IF(OR($M134="",$V134="Sub"),"",IF($M134&gt;=1,"Completado",IF($M134&gt;0,"En curso","Pendiente")))</f>
        <v/>
      </c>
      <c r="O134" s="56">
        <f>IF(NOT((COUNTA($B134:$D134)+COUNTA($G134:$H134)+COUNTA($Q134))&gt;0),"",IF(AND(AND($D134&lt;&gt;"",$V134="Macro"),N($AM134)&gt;0),CHOOSE(MATCH($D134,ListaPuestos,0),INDEX('Cronograma R. Operacional'!$O$5:$O$1000,$AM134),INDEX('Cronograma R. Normativo'!$O$5:$O$1000,$AM134),INDEX('Cronograma R. Financiero'!$O$5:$O$1000,$AM134),INDEX('Cronograma Asistente Técnico'!$O$5:$O$1000,$AM134))&amp;"",IF(ISNUMBER($G134),IF(AND(ISNUMBER($AS134),$G134&gt;$AS134),"Cumplida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f>IF(NOT((COUNTA($B134:$D134)+COUNTA($G134:$H134)+COUNTA($Q134))&gt;0),"",IF($D134="","Propia",IF($V134&lt;&gt;"Macro","Solo se delegan macroactividades",IF(N($AM134)&gt;0,"✔ Recibida por "&amp;$D134,"⚠ "&amp;$D134&amp;" aún no la agrega"))))</f>
        <v/>
      </c>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IF($V134&lt;&gt;"Sub","",N($X134)*IF(AND(ISNUMBER($G134),$G134&lt;=IF($S134=MesCiclo,InicioCiclo,$S134+MOD(2-WEEKDAY($S134),7))+6),1,MIN(1,MAX(0,IF(ISNUMBER(OFFSET($A$1,ROW()-1,8)),OFFSET($A$1,ROW()-1,8),0)))))</f>
        <v/>
      </c>
      <c r="AE134" s="62">
        <f>IF($V134&lt;&gt;"Sub","",N($X134)*IF(AND(ISNUMBER($G134),$G134&lt;=IF($S134=MesCiclo,InicioCiclo,$S134+MOD(2-WEEKDAY($S134),7))+13),1,MIN(1,MAX(0,IF(ISNUMBER(OFFSET($A$1,ROW()-1,9)),OFFSET($A$1,ROW()-1,9),IF(ISNUMBER(OFFSET($A$1,ROW()-1,8)),OFFSET($A$1,ROW()-1,8),0))))))</f>
        <v/>
      </c>
      <c r="AF134" s="62">
        <f>IF($V134&lt;&gt;"Sub","",N($X134)*IF(AND(ISNUMBER($G134),$G134&lt;=IF($S134=MesCiclo,InicioCiclo,$S134+MOD(2-WEEKDAY($S134),7))+20),1,MIN(1,MAX(0,IF(ISNUMBER(OFFSET($A$1,ROW()-1,10)),OFFSET($A$1,ROW()-1,10),IF(ISNUMBER(OFFSET($A$1,ROW()-1,9)),OFFSET($A$1,ROW()-1,9),IF(ISNUMBER(OFFSET($A$1,ROW()-1,8)),OFFSET($A$1,ROW()-1,8),0)))))))</f>
        <v/>
      </c>
      <c r="AG134" s="62">
        <f>IF($V134&lt;&gt;"Sub","",N($X134)*IF(AND(ISNUMBER($G134),$G134&lt;=IF($S134=MesCiclo,InicioCiclo,$S134+MOD(2-WEEKDAY($S134),7))+27),1,MIN(1,MAX(0,IF(ISNUMBER(OFFSET($A$1,ROW()-1,11)),OFFSET($A$1,ROW()-1,11),IF(ISNUMBER(OFFSET($A$1,ROW()-1,10)),OFFSET($A$1,ROW()-1,10),IF(ISNUMBER(OFFSET($A$1,ROW()-1,9)),OFFSET($A$1,ROW()-1,9),IF(ISNUMBER(OFFSET($A$1,ROW()-1,8)),OFFSET($A$1,ROW()-1,8),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f>IF(NOT(AND($D134&lt;&gt;"",$V134="Macro")),"",IFERROR(CHOOSE(MATCH($D134,ListaPuestos,0),MATCH("[Jefatura] "&amp;$C134,'Cronograma R. Operacional'!$C$5:$C$1000,0),MATCH("[Jefatura] "&amp;$C134,'Cronograma R. Normativo'!$C$5:$C$1000,0),MATCH("[Jefatura] "&amp;$C134,'Cronograma R. Financiero'!$C$5:$C$1000,0),MATCH("[Jefatura] "&amp;$C134,'Cronograma Asistente Técnico'!$C$5:$C$1000,0)),0))</f>
        <v/>
      </c>
      <c r="AN134" s="62">
        <f>IF(AND(AND($D134&lt;&gt;"",$V134="Macro"),$S134=MesCiclo),COUNTIFS($D$5:$D134,$D134,$S$5:$S134,MesCiclo,$V$5:$V134,"Macro"),"")</f>
        <v/>
      </c>
      <c r="AO134" s="62">
        <f>IF($AN134="","",$D134&amp;"|"&amp;$AN134)</f>
        <v/>
      </c>
      <c r="AP134" s="62">
        <f>IF(AND($D134&lt;&gt;"",$V134="Macro"),$D134&amp;"|"&amp;$C134,"")</f>
        <v/>
      </c>
      <c r="AQ134" s="62">
        <f>""</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t="n"/>
      <c r="F135" s="59" t="n"/>
      <c r="G135" s="59" t="n"/>
      <c r="H135" s="60" t="n"/>
      <c r="I135" s="60">
        <f>IF(N($W135)=0,"",IF(AND($S135=MesCiclo,1&gt;SemanaActual),"",MIN(1,SUMIFS(OFFSET($A$1,ROW(),29,1000-ROW(),1),OFFSET($A$1,ROW(),20,1000-ROW(),1),ROW(),OFFSET($A$1,ROW(),21,1000-ROW(),1),"Sub"))))</f>
        <v/>
      </c>
      <c r="J135" s="60">
        <f>IF(N($W135)=0,"",IF(AND($S135=MesCiclo,2&gt;SemanaActual),"",MIN(1,SUMIFS(OFFSET($A$1,ROW(),30,1000-ROW(),1),OFFSET($A$1,ROW(),20,1000-ROW(),1),ROW(),OFFSET($A$1,ROW(),21,1000-ROW(),1),"Sub"))))</f>
        <v/>
      </c>
      <c r="K135" s="60">
        <f>IF(N($W135)=0,"",IF(AND($S135=MesCiclo,3&gt;SemanaActual),"",MIN(1,SUMIFS(OFFSET($A$1,ROW(),31,1000-ROW(),1),OFFSET($A$1,ROW(),20,1000-ROW(),1),ROW(),OFFSET($A$1,ROW(),21,1000-ROW(),1),"Sub"))))</f>
        <v/>
      </c>
      <c r="L135" s="60">
        <f>IF(N($W135)=0,"",IF(AND($S135=MesCiclo,4&gt;SemanaActual),"",MIN(1,SUMIFS(OFFSET($A$1,ROW(),32,1000-ROW(),1),OFFSET($A$1,ROW(),20,1000-ROW(),1),ROW(),OFFSET($A$1,ROW(),21,1000-ROW(),1),"Sub"))))</f>
        <v/>
      </c>
      <c r="M135" s="61">
        <f>IF(NOT((COUNTA($B135:$D135)+COUNTA($G135:$H135)+COUNTA($Q135))&gt;0),"",IF(AND($D135&lt;&gt;"",$V135="Macro"),IF(N($AM135)&gt;0,N(CHOOSE(MATCH($D135,ListaPuestos,0),INDEX('Cronograma R. Operacional'!$M$5:$M$1000,$AM135),INDEX('Cronograma R. Normativo'!$M$5:$M$1000,$AM135),INDEX('Cronograma R. Financiero'!$M$5:$M$1000,$AM135),INDEX('Cronograma Asistente Técnico'!$M$5:$M$1000,$AM135))),0),IF(ISNUMBER($G135),1,IF(N($W135)&gt;0,MIN(1,SUMIFS($Y$5:$Y$1000,$U$5:$U$1000,ROW(),$V$5:$V$1000,"Sub")),$Y135))))</f>
        <v/>
      </c>
      <c r="N135" s="56">
        <f>IF(OR($M135="",$V135="Sub"),"",IF($M135&gt;=1,"Completado",IF($M135&gt;0,"En curso","Pendiente")))</f>
        <v/>
      </c>
      <c r="O135" s="56">
        <f>IF(NOT((COUNTA($B135:$D135)+COUNTA($G135:$H135)+COUNTA($Q135))&gt;0),"",IF(AND(AND($D135&lt;&gt;"",$V135="Macro"),N($AM135)&gt;0),CHOOSE(MATCH($D135,ListaPuestos,0),INDEX('Cronograma R. Operacional'!$O$5:$O$1000,$AM135),INDEX('Cronograma R. Normativo'!$O$5:$O$1000,$AM135),INDEX('Cronograma R. Financiero'!$O$5:$O$1000,$AM135),INDEX('Cronograma Asistente Técnico'!$O$5:$O$1000,$AM135))&amp;"",IF(ISNUMBER($G135),IF(AND(ISNUMBER($AS135),$G135&gt;$AS135),"Cumplida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f>IF(NOT((COUNTA($B135:$D135)+COUNTA($G135:$H135)+COUNTA($Q135))&gt;0),"",IF($D135="","Propia",IF($V135&lt;&gt;"Macro","Solo se delegan macroactividades",IF(N($AM135)&gt;0,"✔ Recibida por "&amp;$D135,"⚠ "&amp;$D135&amp;" aún no la agrega"))))</f>
        <v/>
      </c>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IF($V135&lt;&gt;"Sub","",N($X135)*IF(AND(ISNUMBER($G135),$G135&lt;=IF($S135=MesCiclo,InicioCiclo,$S135+MOD(2-WEEKDAY($S135),7))+6),1,MIN(1,MAX(0,IF(ISNUMBER(OFFSET($A$1,ROW()-1,8)),OFFSET($A$1,ROW()-1,8),0)))))</f>
        <v/>
      </c>
      <c r="AE135" s="62">
        <f>IF($V135&lt;&gt;"Sub","",N($X135)*IF(AND(ISNUMBER($G135),$G135&lt;=IF($S135=MesCiclo,InicioCiclo,$S135+MOD(2-WEEKDAY($S135),7))+13),1,MIN(1,MAX(0,IF(ISNUMBER(OFFSET($A$1,ROW()-1,9)),OFFSET($A$1,ROW()-1,9),IF(ISNUMBER(OFFSET($A$1,ROW()-1,8)),OFFSET($A$1,ROW()-1,8),0))))))</f>
        <v/>
      </c>
      <c r="AF135" s="62">
        <f>IF($V135&lt;&gt;"Sub","",N($X135)*IF(AND(ISNUMBER($G135),$G135&lt;=IF($S135=MesCiclo,InicioCiclo,$S135+MOD(2-WEEKDAY($S135),7))+20),1,MIN(1,MAX(0,IF(ISNUMBER(OFFSET($A$1,ROW()-1,10)),OFFSET($A$1,ROW()-1,10),IF(ISNUMBER(OFFSET($A$1,ROW()-1,9)),OFFSET($A$1,ROW()-1,9),IF(ISNUMBER(OFFSET($A$1,ROW()-1,8)),OFFSET($A$1,ROW()-1,8),0)))))))</f>
        <v/>
      </c>
      <c r="AG135" s="62">
        <f>IF($V135&lt;&gt;"Sub","",N($X135)*IF(AND(ISNUMBER($G135),$G135&lt;=IF($S135=MesCiclo,InicioCiclo,$S135+MOD(2-WEEKDAY($S135),7))+27),1,MIN(1,MAX(0,IF(ISNUMBER(OFFSET($A$1,ROW()-1,11)),OFFSET($A$1,ROW()-1,11),IF(ISNUMBER(OFFSET($A$1,ROW()-1,10)),OFFSET($A$1,ROW()-1,10),IF(ISNUMBER(OFFSET($A$1,ROW()-1,9)),OFFSET($A$1,ROW()-1,9),IF(ISNUMBER(OFFSET($A$1,ROW()-1,8)),OFFSET($A$1,ROW()-1,8),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f>IF(NOT(AND($D135&lt;&gt;"",$V135="Macro")),"",IFERROR(CHOOSE(MATCH($D135,ListaPuestos,0),MATCH("[Jefatura] "&amp;$C135,'Cronograma R. Operacional'!$C$5:$C$1000,0),MATCH("[Jefatura] "&amp;$C135,'Cronograma R. Normativo'!$C$5:$C$1000,0),MATCH("[Jefatura] "&amp;$C135,'Cronograma R. Financiero'!$C$5:$C$1000,0),MATCH("[Jefatura] "&amp;$C135,'Cronograma Asistente Técnico'!$C$5:$C$1000,0)),0))</f>
        <v/>
      </c>
      <c r="AN135" s="62">
        <f>IF(AND(AND($D135&lt;&gt;"",$V135="Macro"),$S135=MesCiclo),COUNTIFS($D$5:$D135,$D135,$S$5:$S135,MesCiclo,$V$5:$V135,"Macro"),"")</f>
        <v/>
      </c>
      <c r="AO135" s="62">
        <f>IF($AN135="","",$D135&amp;"|"&amp;$AN135)</f>
        <v/>
      </c>
      <c r="AP135" s="62">
        <f>IF(AND($D135&lt;&gt;"",$V135="Macro"),$D135&amp;"|"&amp;$C135,"")</f>
        <v/>
      </c>
      <c r="AQ135" s="62">
        <f>""</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t="n"/>
      <c r="F136" s="59" t="n"/>
      <c r="G136" s="59" t="n"/>
      <c r="H136" s="60" t="n"/>
      <c r="I136" s="60">
        <f>IF(N($W136)=0,"",IF(AND($S136=MesCiclo,1&gt;SemanaActual),"",MIN(1,SUMIFS(OFFSET($A$1,ROW(),29,1000-ROW(),1),OFFSET($A$1,ROW(),20,1000-ROW(),1),ROW(),OFFSET($A$1,ROW(),21,1000-ROW(),1),"Sub"))))</f>
        <v/>
      </c>
      <c r="J136" s="60">
        <f>IF(N($W136)=0,"",IF(AND($S136=MesCiclo,2&gt;SemanaActual),"",MIN(1,SUMIFS(OFFSET($A$1,ROW(),30,1000-ROW(),1),OFFSET($A$1,ROW(),20,1000-ROW(),1),ROW(),OFFSET($A$1,ROW(),21,1000-ROW(),1),"Sub"))))</f>
        <v/>
      </c>
      <c r="K136" s="60">
        <f>IF(N($W136)=0,"",IF(AND($S136=MesCiclo,3&gt;SemanaActual),"",MIN(1,SUMIFS(OFFSET($A$1,ROW(),31,1000-ROW(),1),OFFSET($A$1,ROW(),20,1000-ROW(),1),ROW(),OFFSET($A$1,ROW(),21,1000-ROW(),1),"Sub"))))</f>
        <v/>
      </c>
      <c r="L136" s="60">
        <f>IF(N($W136)=0,"",IF(AND($S136=MesCiclo,4&gt;SemanaActual),"",MIN(1,SUMIFS(OFFSET($A$1,ROW(),32,1000-ROW(),1),OFFSET($A$1,ROW(),20,1000-ROW(),1),ROW(),OFFSET($A$1,ROW(),21,1000-ROW(),1),"Sub"))))</f>
        <v/>
      </c>
      <c r="M136" s="61">
        <f>IF(NOT((COUNTA($B136:$D136)+COUNTA($G136:$H136)+COUNTA($Q136))&gt;0),"",IF(AND($D136&lt;&gt;"",$V136="Macro"),IF(N($AM136)&gt;0,N(CHOOSE(MATCH($D136,ListaPuestos,0),INDEX('Cronograma R. Operacional'!$M$5:$M$1000,$AM136),INDEX('Cronograma R. Normativo'!$M$5:$M$1000,$AM136),INDEX('Cronograma R. Financiero'!$M$5:$M$1000,$AM136),INDEX('Cronograma Asistente Técnico'!$M$5:$M$1000,$AM136))),0),IF(ISNUMBER($G136),1,IF(N($W136)&gt;0,MIN(1,SUMIFS($Y$5:$Y$1000,$U$5:$U$1000,ROW(),$V$5:$V$1000,"Sub")),$Y136))))</f>
        <v/>
      </c>
      <c r="N136" s="56">
        <f>IF(OR($M136="",$V136="Sub"),"",IF($M136&gt;=1,"Completado",IF($M136&gt;0,"En curso","Pendiente")))</f>
        <v/>
      </c>
      <c r="O136" s="56">
        <f>IF(NOT((COUNTA($B136:$D136)+COUNTA($G136:$H136)+COUNTA($Q136))&gt;0),"",IF(AND(AND($D136&lt;&gt;"",$V136="Macro"),N($AM136)&gt;0),CHOOSE(MATCH($D136,ListaPuestos,0),INDEX('Cronograma R. Operacional'!$O$5:$O$1000,$AM136),INDEX('Cronograma R. Normativo'!$O$5:$O$1000,$AM136),INDEX('Cronograma R. Financiero'!$O$5:$O$1000,$AM136),INDEX('Cronograma Asistente Técnico'!$O$5:$O$1000,$AM136))&amp;"",IF(ISNUMBER($G136),IF(AND(ISNUMBER($AS136),$G136&gt;$AS136),"Cumplida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f>IF(NOT((COUNTA($B136:$D136)+COUNTA($G136:$H136)+COUNTA($Q136))&gt;0),"",IF($D136="","Propia",IF($V136&lt;&gt;"Macro","Solo se delegan macroactividades",IF(N($AM136)&gt;0,"✔ Recibida por "&amp;$D136,"⚠ "&amp;$D136&amp;" aún no la agrega"))))</f>
        <v/>
      </c>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IF($V136&lt;&gt;"Sub","",N($X136)*IF(AND(ISNUMBER($G136),$G136&lt;=IF($S136=MesCiclo,InicioCiclo,$S136+MOD(2-WEEKDAY($S136),7))+6),1,MIN(1,MAX(0,IF(ISNUMBER(OFFSET($A$1,ROW()-1,8)),OFFSET($A$1,ROW()-1,8),0)))))</f>
        <v/>
      </c>
      <c r="AE136" s="62">
        <f>IF($V136&lt;&gt;"Sub","",N($X136)*IF(AND(ISNUMBER($G136),$G136&lt;=IF($S136=MesCiclo,InicioCiclo,$S136+MOD(2-WEEKDAY($S136),7))+13),1,MIN(1,MAX(0,IF(ISNUMBER(OFFSET($A$1,ROW()-1,9)),OFFSET($A$1,ROW()-1,9),IF(ISNUMBER(OFFSET($A$1,ROW()-1,8)),OFFSET($A$1,ROW()-1,8),0))))))</f>
        <v/>
      </c>
      <c r="AF136" s="62">
        <f>IF($V136&lt;&gt;"Sub","",N($X136)*IF(AND(ISNUMBER($G136),$G136&lt;=IF($S136=MesCiclo,InicioCiclo,$S136+MOD(2-WEEKDAY($S136),7))+20),1,MIN(1,MAX(0,IF(ISNUMBER(OFFSET($A$1,ROW()-1,10)),OFFSET($A$1,ROW()-1,10),IF(ISNUMBER(OFFSET($A$1,ROW()-1,9)),OFFSET($A$1,ROW()-1,9),IF(ISNUMBER(OFFSET($A$1,ROW()-1,8)),OFFSET($A$1,ROW()-1,8),0)))))))</f>
        <v/>
      </c>
      <c r="AG136" s="62">
        <f>IF($V136&lt;&gt;"Sub","",N($X136)*IF(AND(ISNUMBER($G136),$G136&lt;=IF($S136=MesCiclo,InicioCiclo,$S136+MOD(2-WEEKDAY($S136),7))+27),1,MIN(1,MAX(0,IF(ISNUMBER(OFFSET($A$1,ROW()-1,11)),OFFSET($A$1,ROW()-1,11),IF(ISNUMBER(OFFSET($A$1,ROW()-1,10)),OFFSET($A$1,ROW()-1,10),IF(ISNUMBER(OFFSET($A$1,ROW()-1,9)),OFFSET($A$1,ROW()-1,9),IF(ISNUMBER(OFFSET($A$1,ROW()-1,8)),OFFSET($A$1,ROW()-1,8),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f>IF(NOT(AND($D136&lt;&gt;"",$V136="Macro")),"",IFERROR(CHOOSE(MATCH($D136,ListaPuestos,0),MATCH("[Jefatura] "&amp;$C136,'Cronograma R. Operacional'!$C$5:$C$1000,0),MATCH("[Jefatura] "&amp;$C136,'Cronograma R. Normativo'!$C$5:$C$1000,0),MATCH("[Jefatura] "&amp;$C136,'Cronograma R. Financiero'!$C$5:$C$1000,0),MATCH("[Jefatura] "&amp;$C136,'Cronograma Asistente Técnico'!$C$5:$C$1000,0)),0))</f>
        <v/>
      </c>
      <c r="AN136" s="62">
        <f>IF(AND(AND($D136&lt;&gt;"",$V136="Macro"),$S136=MesCiclo),COUNTIFS($D$5:$D136,$D136,$S$5:$S136,MesCiclo,$V$5:$V136,"Macro"),"")</f>
        <v/>
      </c>
      <c r="AO136" s="62">
        <f>IF($AN136="","",$D136&amp;"|"&amp;$AN136)</f>
        <v/>
      </c>
      <c r="AP136" s="62">
        <f>IF(AND($D136&lt;&gt;"",$V136="Macro"),$D136&amp;"|"&amp;$C136,"")</f>
        <v/>
      </c>
      <c r="AQ136" s="62">
        <f>""</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t="n"/>
      <c r="F137" s="59" t="n"/>
      <c r="G137" s="59" t="n"/>
      <c r="H137" s="60" t="n"/>
      <c r="I137" s="60">
        <f>IF(N($W137)=0,"",IF(AND($S137=MesCiclo,1&gt;SemanaActual),"",MIN(1,SUMIFS(OFFSET($A$1,ROW(),29,1000-ROW(),1),OFFSET($A$1,ROW(),20,1000-ROW(),1),ROW(),OFFSET($A$1,ROW(),21,1000-ROW(),1),"Sub"))))</f>
        <v/>
      </c>
      <c r="J137" s="60">
        <f>IF(N($W137)=0,"",IF(AND($S137=MesCiclo,2&gt;SemanaActual),"",MIN(1,SUMIFS(OFFSET($A$1,ROW(),30,1000-ROW(),1),OFFSET($A$1,ROW(),20,1000-ROW(),1),ROW(),OFFSET($A$1,ROW(),21,1000-ROW(),1),"Sub"))))</f>
        <v/>
      </c>
      <c r="K137" s="60">
        <f>IF(N($W137)=0,"",IF(AND($S137=MesCiclo,3&gt;SemanaActual),"",MIN(1,SUMIFS(OFFSET($A$1,ROW(),31,1000-ROW(),1),OFFSET($A$1,ROW(),20,1000-ROW(),1),ROW(),OFFSET($A$1,ROW(),21,1000-ROW(),1),"Sub"))))</f>
        <v/>
      </c>
      <c r="L137" s="60">
        <f>IF(N($W137)=0,"",IF(AND($S137=MesCiclo,4&gt;SemanaActual),"",MIN(1,SUMIFS(OFFSET($A$1,ROW(),32,1000-ROW(),1),OFFSET($A$1,ROW(),20,1000-ROW(),1),ROW(),OFFSET($A$1,ROW(),21,1000-ROW(),1),"Sub"))))</f>
        <v/>
      </c>
      <c r="M137" s="61">
        <f>IF(NOT((COUNTA($B137:$D137)+COUNTA($G137:$H137)+COUNTA($Q137))&gt;0),"",IF(AND($D137&lt;&gt;"",$V137="Macro"),IF(N($AM137)&gt;0,N(CHOOSE(MATCH($D137,ListaPuestos,0),INDEX('Cronograma R. Operacional'!$M$5:$M$1000,$AM137),INDEX('Cronograma R. Normativo'!$M$5:$M$1000,$AM137),INDEX('Cronograma R. Financiero'!$M$5:$M$1000,$AM137),INDEX('Cronograma Asistente Técnico'!$M$5:$M$1000,$AM137))),0),IF(ISNUMBER($G137),1,IF(N($W137)&gt;0,MIN(1,SUMIFS($Y$5:$Y$1000,$U$5:$U$1000,ROW(),$V$5:$V$1000,"Sub")),$Y137))))</f>
        <v/>
      </c>
      <c r="N137" s="56">
        <f>IF(OR($M137="",$V137="Sub"),"",IF($M137&gt;=1,"Completado",IF($M137&gt;0,"En curso","Pendiente")))</f>
        <v/>
      </c>
      <c r="O137" s="56">
        <f>IF(NOT((COUNTA($B137:$D137)+COUNTA($G137:$H137)+COUNTA($Q137))&gt;0),"",IF(AND(AND($D137&lt;&gt;"",$V137="Macro"),N($AM137)&gt;0),CHOOSE(MATCH($D137,ListaPuestos,0),INDEX('Cronograma R. Operacional'!$O$5:$O$1000,$AM137),INDEX('Cronograma R. Normativo'!$O$5:$O$1000,$AM137),INDEX('Cronograma R. Financiero'!$O$5:$O$1000,$AM137),INDEX('Cronograma Asistente Técnico'!$O$5:$O$1000,$AM137))&amp;"",IF(ISNUMBER($G137),IF(AND(ISNUMBER($AS137),$G137&gt;$AS137),"Cumplida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f>IF(NOT((COUNTA($B137:$D137)+COUNTA($G137:$H137)+COUNTA($Q137))&gt;0),"",IF($D137="","Propia",IF($V137&lt;&gt;"Macro","Solo se delegan macroactividades",IF(N($AM137)&gt;0,"✔ Recibida por "&amp;$D137,"⚠ "&amp;$D137&amp;" aún no la agrega"))))</f>
        <v/>
      </c>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IF($V137&lt;&gt;"Sub","",N($X137)*IF(AND(ISNUMBER($G137),$G137&lt;=IF($S137=MesCiclo,InicioCiclo,$S137+MOD(2-WEEKDAY($S137),7))+6),1,MIN(1,MAX(0,IF(ISNUMBER(OFFSET($A$1,ROW()-1,8)),OFFSET($A$1,ROW()-1,8),0)))))</f>
        <v/>
      </c>
      <c r="AE137" s="62">
        <f>IF($V137&lt;&gt;"Sub","",N($X137)*IF(AND(ISNUMBER($G137),$G137&lt;=IF($S137=MesCiclo,InicioCiclo,$S137+MOD(2-WEEKDAY($S137),7))+13),1,MIN(1,MAX(0,IF(ISNUMBER(OFFSET($A$1,ROW()-1,9)),OFFSET($A$1,ROW()-1,9),IF(ISNUMBER(OFFSET($A$1,ROW()-1,8)),OFFSET($A$1,ROW()-1,8),0))))))</f>
        <v/>
      </c>
      <c r="AF137" s="62">
        <f>IF($V137&lt;&gt;"Sub","",N($X137)*IF(AND(ISNUMBER($G137),$G137&lt;=IF($S137=MesCiclo,InicioCiclo,$S137+MOD(2-WEEKDAY($S137),7))+20),1,MIN(1,MAX(0,IF(ISNUMBER(OFFSET($A$1,ROW()-1,10)),OFFSET($A$1,ROW()-1,10),IF(ISNUMBER(OFFSET($A$1,ROW()-1,9)),OFFSET($A$1,ROW()-1,9),IF(ISNUMBER(OFFSET($A$1,ROW()-1,8)),OFFSET($A$1,ROW()-1,8),0)))))))</f>
        <v/>
      </c>
      <c r="AG137" s="62">
        <f>IF($V137&lt;&gt;"Sub","",N($X137)*IF(AND(ISNUMBER($G137),$G137&lt;=IF($S137=MesCiclo,InicioCiclo,$S137+MOD(2-WEEKDAY($S137),7))+27),1,MIN(1,MAX(0,IF(ISNUMBER(OFFSET($A$1,ROW()-1,11)),OFFSET($A$1,ROW()-1,11),IF(ISNUMBER(OFFSET($A$1,ROW()-1,10)),OFFSET($A$1,ROW()-1,10),IF(ISNUMBER(OFFSET($A$1,ROW()-1,9)),OFFSET($A$1,ROW()-1,9),IF(ISNUMBER(OFFSET($A$1,ROW()-1,8)),OFFSET($A$1,ROW()-1,8),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f>IF(NOT(AND($D137&lt;&gt;"",$V137="Macro")),"",IFERROR(CHOOSE(MATCH($D137,ListaPuestos,0),MATCH("[Jefatura] "&amp;$C137,'Cronograma R. Operacional'!$C$5:$C$1000,0),MATCH("[Jefatura] "&amp;$C137,'Cronograma R. Normativo'!$C$5:$C$1000,0),MATCH("[Jefatura] "&amp;$C137,'Cronograma R. Financiero'!$C$5:$C$1000,0),MATCH("[Jefatura] "&amp;$C137,'Cronograma Asistente Técnico'!$C$5:$C$1000,0)),0))</f>
        <v/>
      </c>
      <c r="AN137" s="62">
        <f>IF(AND(AND($D137&lt;&gt;"",$V137="Macro"),$S137=MesCiclo),COUNTIFS($D$5:$D137,$D137,$S$5:$S137,MesCiclo,$V$5:$V137,"Macro"),"")</f>
        <v/>
      </c>
      <c r="AO137" s="62">
        <f>IF($AN137="","",$D137&amp;"|"&amp;$AN137)</f>
        <v/>
      </c>
      <c r="AP137" s="62">
        <f>IF(AND($D137&lt;&gt;"",$V137="Macro"),$D137&amp;"|"&amp;$C137,"")</f>
        <v/>
      </c>
      <c r="AQ137" s="62">
        <f>""</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t="n"/>
      <c r="F138" s="59" t="n"/>
      <c r="G138" s="59" t="n"/>
      <c r="H138" s="60" t="n"/>
      <c r="I138" s="60">
        <f>IF(N($W138)=0,"",IF(AND($S138=MesCiclo,1&gt;SemanaActual),"",MIN(1,SUMIFS(OFFSET($A$1,ROW(),29,1000-ROW(),1),OFFSET($A$1,ROW(),20,1000-ROW(),1),ROW(),OFFSET($A$1,ROW(),21,1000-ROW(),1),"Sub"))))</f>
        <v/>
      </c>
      <c r="J138" s="60">
        <f>IF(N($W138)=0,"",IF(AND($S138=MesCiclo,2&gt;SemanaActual),"",MIN(1,SUMIFS(OFFSET($A$1,ROW(),30,1000-ROW(),1),OFFSET($A$1,ROW(),20,1000-ROW(),1),ROW(),OFFSET($A$1,ROW(),21,1000-ROW(),1),"Sub"))))</f>
        <v/>
      </c>
      <c r="K138" s="60">
        <f>IF(N($W138)=0,"",IF(AND($S138=MesCiclo,3&gt;SemanaActual),"",MIN(1,SUMIFS(OFFSET($A$1,ROW(),31,1000-ROW(),1),OFFSET($A$1,ROW(),20,1000-ROW(),1),ROW(),OFFSET($A$1,ROW(),21,1000-ROW(),1),"Sub"))))</f>
        <v/>
      </c>
      <c r="L138" s="60">
        <f>IF(N($W138)=0,"",IF(AND($S138=MesCiclo,4&gt;SemanaActual),"",MIN(1,SUMIFS(OFFSET($A$1,ROW(),32,1000-ROW(),1),OFFSET($A$1,ROW(),20,1000-ROW(),1),ROW(),OFFSET($A$1,ROW(),21,1000-ROW(),1),"Sub"))))</f>
        <v/>
      </c>
      <c r="M138" s="61">
        <f>IF(NOT((COUNTA($B138:$D138)+COUNTA($G138:$H138)+COUNTA($Q138))&gt;0),"",IF(AND($D138&lt;&gt;"",$V138="Macro"),IF(N($AM138)&gt;0,N(CHOOSE(MATCH($D138,ListaPuestos,0),INDEX('Cronograma R. Operacional'!$M$5:$M$1000,$AM138),INDEX('Cronograma R. Normativo'!$M$5:$M$1000,$AM138),INDEX('Cronograma R. Financiero'!$M$5:$M$1000,$AM138),INDEX('Cronograma Asistente Técnico'!$M$5:$M$1000,$AM138))),0),IF(ISNUMBER($G138),1,IF(N($W138)&gt;0,MIN(1,SUMIFS($Y$5:$Y$1000,$U$5:$U$1000,ROW(),$V$5:$V$1000,"Sub")),$Y138))))</f>
        <v/>
      </c>
      <c r="N138" s="56">
        <f>IF(OR($M138="",$V138="Sub"),"",IF($M138&gt;=1,"Completado",IF($M138&gt;0,"En curso","Pendiente")))</f>
        <v/>
      </c>
      <c r="O138" s="56">
        <f>IF(NOT((COUNTA($B138:$D138)+COUNTA($G138:$H138)+COUNTA($Q138))&gt;0),"",IF(AND(AND($D138&lt;&gt;"",$V138="Macro"),N($AM138)&gt;0),CHOOSE(MATCH($D138,ListaPuestos,0),INDEX('Cronograma R. Operacional'!$O$5:$O$1000,$AM138),INDEX('Cronograma R. Normativo'!$O$5:$O$1000,$AM138),INDEX('Cronograma R. Financiero'!$O$5:$O$1000,$AM138),INDEX('Cronograma Asistente Técnico'!$O$5:$O$1000,$AM138))&amp;"",IF(ISNUMBER($G138),IF(AND(ISNUMBER($AS138),$G138&gt;$AS138),"Cumplida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f>IF(NOT((COUNTA($B138:$D138)+COUNTA($G138:$H138)+COUNTA($Q138))&gt;0),"",IF($D138="","Propia",IF($V138&lt;&gt;"Macro","Solo se delegan macroactividades",IF(N($AM138)&gt;0,"✔ Recibida por "&amp;$D138,"⚠ "&amp;$D138&amp;" aún no la agrega"))))</f>
        <v/>
      </c>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IF($V138&lt;&gt;"Sub","",N($X138)*IF(AND(ISNUMBER($G138),$G138&lt;=IF($S138=MesCiclo,InicioCiclo,$S138+MOD(2-WEEKDAY($S138),7))+6),1,MIN(1,MAX(0,IF(ISNUMBER(OFFSET($A$1,ROW()-1,8)),OFFSET($A$1,ROW()-1,8),0)))))</f>
        <v/>
      </c>
      <c r="AE138" s="62">
        <f>IF($V138&lt;&gt;"Sub","",N($X138)*IF(AND(ISNUMBER($G138),$G138&lt;=IF($S138=MesCiclo,InicioCiclo,$S138+MOD(2-WEEKDAY($S138),7))+13),1,MIN(1,MAX(0,IF(ISNUMBER(OFFSET($A$1,ROW()-1,9)),OFFSET($A$1,ROW()-1,9),IF(ISNUMBER(OFFSET($A$1,ROW()-1,8)),OFFSET($A$1,ROW()-1,8),0))))))</f>
        <v/>
      </c>
      <c r="AF138" s="62">
        <f>IF($V138&lt;&gt;"Sub","",N($X138)*IF(AND(ISNUMBER($G138),$G138&lt;=IF($S138=MesCiclo,InicioCiclo,$S138+MOD(2-WEEKDAY($S138),7))+20),1,MIN(1,MAX(0,IF(ISNUMBER(OFFSET($A$1,ROW()-1,10)),OFFSET($A$1,ROW()-1,10),IF(ISNUMBER(OFFSET($A$1,ROW()-1,9)),OFFSET($A$1,ROW()-1,9),IF(ISNUMBER(OFFSET($A$1,ROW()-1,8)),OFFSET($A$1,ROW()-1,8),0)))))))</f>
        <v/>
      </c>
      <c r="AG138" s="62">
        <f>IF($V138&lt;&gt;"Sub","",N($X138)*IF(AND(ISNUMBER($G138),$G138&lt;=IF($S138=MesCiclo,InicioCiclo,$S138+MOD(2-WEEKDAY($S138),7))+27),1,MIN(1,MAX(0,IF(ISNUMBER(OFFSET($A$1,ROW()-1,11)),OFFSET($A$1,ROW()-1,11),IF(ISNUMBER(OFFSET($A$1,ROW()-1,10)),OFFSET($A$1,ROW()-1,10),IF(ISNUMBER(OFFSET($A$1,ROW()-1,9)),OFFSET($A$1,ROW()-1,9),IF(ISNUMBER(OFFSET($A$1,ROW()-1,8)),OFFSET($A$1,ROW()-1,8),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f>IF(NOT(AND($D138&lt;&gt;"",$V138="Macro")),"",IFERROR(CHOOSE(MATCH($D138,ListaPuestos,0),MATCH("[Jefatura] "&amp;$C138,'Cronograma R. Operacional'!$C$5:$C$1000,0),MATCH("[Jefatura] "&amp;$C138,'Cronograma R. Normativo'!$C$5:$C$1000,0),MATCH("[Jefatura] "&amp;$C138,'Cronograma R. Financiero'!$C$5:$C$1000,0),MATCH("[Jefatura] "&amp;$C138,'Cronograma Asistente Técnico'!$C$5:$C$1000,0)),0))</f>
        <v/>
      </c>
      <c r="AN138" s="62">
        <f>IF(AND(AND($D138&lt;&gt;"",$V138="Macro"),$S138=MesCiclo),COUNTIFS($D$5:$D138,$D138,$S$5:$S138,MesCiclo,$V$5:$V138,"Macro"),"")</f>
        <v/>
      </c>
      <c r="AO138" s="62">
        <f>IF($AN138="","",$D138&amp;"|"&amp;$AN138)</f>
        <v/>
      </c>
      <c r="AP138" s="62">
        <f>IF(AND($D138&lt;&gt;"",$V138="Macro"),$D138&amp;"|"&amp;$C138,"")</f>
        <v/>
      </c>
      <c r="AQ138" s="62">
        <f>""</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t="n"/>
      <c r="F139" s="59" t="n"/>
      <c r="G139" s="59" t="n"/>
      <c r="H139" s="60" t="n"/>
      <c r="I139" s="60">
        <f>IF(N($W139)=0,"",IF(AND($S139=MesCiclo,1&gt;SemanaActual),"",MIN(1,SUMIFS(OFFSET($A$1,ROW(),29,1000-ROW(),1),OFFSET($A$1,ROW(),20,1000-ROW(),1),ROW(),OFFSET($A$1,ROW(),21,1000-ROW(),1),"Sub"))))</f>
        <v/>
      </c>
      <c r="J139" s="60">
        <f>IF(N($W139)=0,"",IF(AND($S139=MesCiclo,2&gt;SemanaActual),"",MIN(1,SUMIFS(OFFSET($A$1,ROW(),30,1000-ROW(),1),OFFSET($A$1,ROW(),20,1000-ROW(),1),ROW(),OFFSET($A$1,ROW(),21,1000-ROW(),1),"Sub"))))</f>
        <v/>
      </c>
      <c r="K139" s="60">
        <f>IF(N($W139)=0,"",IF(AND($S139=MesCiclo,3&gt;SemanaActual),"",MIN(1,SUMIFS(OFFSET($A$1,ROW(),31,1000-ROW(),1),OFFSET($A$1,ROW(),20,1000-ROW(),1),ROW(),OFFSET($A$1,ROW(),21,1000-ROW(),1),"Sub"))))</f>
        <v/>
      </c>
      <c r="L139" s="60">
        <f>IF(N($W139)=0,"",IF(AND($S139=MesCiclo,4&gt;SemanaActual),"",MIN(1,SUMIFS(OFFSET($A$1,ROW(),32,1000-ROW(),1),OFFSET($A$1,ROW(),20,1000-ROW(),1),ROW(),OFFSET($A$1,ROW(),21,1000-ROW(),1),"Sub"))))</f>
        <v/>
      </c>
      <c r="M139" s="61">
        <f>IF(NOT((COUNTA($B139:$D139)+COUNTA($G139:$H139)+COUNTA($Q139))&gt;0),"",IF(AND($D139&lt;&gt;"",$V139="Macro"),IF(N($AM139)&gt;0,N(CHOOSE(MATCH($D139,ListaPuestos,0),INDEX('Cronograma R. Operacional'!$M$5:$M$1000,$AM139),INDEX('Cronograma R. Normativo'!$M$5:$M$1000,$AM139),INDEX('Cronograma R. Financiero'!$M$5:$M$1000,$AM139),INDEX('Cronograma Asistente Técnico'!$M$5:$M$1000,$AM139))),0),IF(ISNUMBER($G139),1,IF(N($W139)&gt;0,MIN(1,SUMIFS($Y$5:$Y$1000,$U$5:$U$1000,ROW(),$V$5:$V$1000,"Sub")),$Y139))))</f>
        <v/>
      </c>
      <c r="N139" s="56">
        <f>IF(OR($M139="",$V139="Sub"),"",IF($M139&gt;=1,"Completado",IF($M139&gt;0,"En curso","Pendiente")))</f>
        <v/>
      </c>
      <c r="O139" s="56">
        <f>IF(NOT((COUNTA($B139:$D139)+COUNTA($G139:$H139)+COUNTA($Q139))&gt;0),"",IF(AND(AND($D139&lt;&gt;"",$V139="Macro"),N($AM139)&gt;0),CHOOSE(MATCH($D139,ListaPuestos,0),INDEX('Cronograma R. Operacional'!$O$5:$O$1000,$AM139),INDEX('Cronograma R. Normativo'!$O$5:$O$1000,$AM139),INDEX('Cronograma R. Financiero'!$O$5:$O$1000,$AM139),INDEX('Cronograma Asistente Técnico'!$O$5:$O$1000,$AM139))&amp;"",IF(ISNUMBER($G139),IF(AND(ISNUMBER($AS139),$G139&gt;$AS139),"Cumplida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f>IF(NOT((COUNTA($B139:$D139)+COUNTA($G139:$H139)+COUNTA($Q139))&gt;0),"",IF($D139="","Propia",IF($V139&lt;&gt;"Macro","Solo se delegan macroactividades",IF(N($AM139)&gt;0,"✔ Recibida por "&amp;$D139,"⚠ "&amp;$D139&amp;" aún no la agrega"))))</f>
        <v/>
      </c>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IF($V139&lt;&gt;"Sub","",N($X139)*IF(AND(ISNUMBER($G139),$G139&lt;=IF($S139=MesCiclo,InicioCiclo,$S139+MOD(2-WEEKDAY($S139),7))+6),1,MIN(1,MAX(0,IF(ISNUMBER(OFFSET($A$1,ROW()-1,8)),OFFSET($A$1,ROW()-1,8),0)))))</f>
        <v/>
      </c>
      <c r="AE139" s="62">
        <f>IF($V139&lt;&gt;"Sub","",N($X139)*IF(AND(ISNUMBER($G139),$G139&lt;=IF($S139=MesCiclo,InicioCiclo,$S139+MOD(2-WEEKDAY($S139),7))+13),1,MIN(1,MAX(0,IF(ISNUMBER(OFFSET($A$1,ROW()-1,9)),OFFSET($A$1,ROW()-1,9),IF(ISNUMBER(OFFSET($A$1,ROW()-1,8)),OFFSET($A$1,ROW()-1,8),0))))))</f>
        <v/>
      </c>
      <c r="AF139" s="62">
        <f>IF($V139&lt;&gt;"Sub","",N($X139)*IF(AND(ISNUMBER($G139),$G139&lt;=IF($S139=MesCiclo,InicioCiclo,$S139+MOD(2-WEEKDAY($S139),7))+20),1,MIN(1,MAX(0,IF(ISNUMBER(OFFSET($A$1,ROW()-1,10)),OFFSET($A$1,ROW()-1,10),IF(ISNUMBER(OFFSET($A$1,ROW()-1,9)),OFFSET($A$1,ROW()-1,9),IF(ISNUMBER(OFFSET($A$1,ROW()-1,8)),OFFSET($A$1,ROW()-1,8),0)))))))</f>
        <v/>
      </c>
      <c r="AG139" s="62">
        <f>IF($V139&lt;&gt;"Sub","",N($X139)*IF(AND(ISNUMBER($G139),$G139&lt;=IF($S139=MesCiclo,InicioCiclo,$S139+MOD(2-WEEKDAY($S139),7))+27),1,MIN(1,MAX(0,IF(ISNUMBER(OFFSET($A$1,ROW()-1,11)),OFFSET($A$1,ROW()-1,11),IF(ISNUMBER(OFFSET($A$1,ROW()-1,10)),OFFSET($A$1,ROW()-1,10),IF(ISNUMBER(OFFSET($A$1,ROW()-1,9)),OFFSET($A$1,ROW()-1,9),IF(ISNUMBER(OFFSET($A$1,ROW()-1,8)),OFFSET($A$1,ROW()-1,8),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f>IF(NOT(AND($D139&lt;&gt;"",$V139="Macro")),"",IFERROR(CHOOSE(MATCH($D139,ListaPuestos,0),MATCH("[Jefatura] "&amp;$C139,'Cronograma R. Operacional'!$C$5:$C$1000,0),MATCH("[Jefatura] "&amp;$C139,'Cronograma R. Normativo'!$C$5:$C$1000,0),MATCH("[Jefatura] "&amp;$C139,'Cronograma R. Financiero'!$C$5:$C$1000,0),MATCH("[Jefatura] "&amp;$C139,'Cronograma Asistente Técnico'!$C$5:$C$1000,0)),0))</f>
        <v/>
      </c>
      <c r="AN139" s="62">
        <f>IF(AND(AND($D139&lt;&gt;"",$V139="Macro"),$S139=MesCiclo),COUNTIFS($D$5:$D139,$D139,$S$5:$S139,MesCiclo,$V$5:$V139,"Macro"),"")</f>
        <v/>
      </c>
      <c r="AO139" s="62">
        <f>IF($AN139="","",$D139&amp;"|"&amp;$AN139)</f>
        <v/>
      </c>
      <c r="AP139" s="62">
        <f>IF(AND($D139&lt;&gt;"",$V139="Macro"),$D139&amp;"|"&amp;$C139,"")</f>
        <v/>
      </c>
      <c r="AQ139" s="62">
        <f>""</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t="n"/>
      <c r="F140" s="59" t="n"/>
      <c r="G140" s="59" t="n"/>
      <c r="H140" s="60" t="n"/>
      <c r="I140" s="60">
        <f>IF(N($W140)=0,"",IF(AND($S140=MesCiclo,1&gt;SemanaActual),"",MIN(1,SUMIFS(OFFSET($A$1,ROW(),29,1000-ROW(),1),OFFSET($A$1,ROW(),20,1000-ROW(),1),ROW(),OFFSET($A$1,ROW(),21,1000-ROW(),1),"Sub"))))</f>
        <v/>
      </c>
      <c r="J140" s="60">
        <f>IF(N($W140)=0,"",IF(AND($S140=MesCiclo,2&gt;SemanaActual),"",MIN(1,SUMIFS(OFFSET($A$1,ROW(),30,1000-ROW(),1),OFFSET($A$1,ROW(),20,1000-ROW(),1),ROW(),OFFSET($A$1,ROW(),21,1000-ROW(),1),"Sub"))))</f>
        <v/>
      </c>
      <c r="K140" s="60">
        <f>IF(N($W140)=0,"",IF(AND($S140=MesCiclo,3&gt;SemanaActual),"",MIN(1,SUMIFS(OFFSET($A$1,ROW(),31,1000-ROW(),1),OFFSET($A$1,ROW(),20,1000-ROW(),1),ROW(),OFFSET($A$1,ROW(),21,1000-ROW(),1),"Sub"))))</f>
        <v/>
      </c>
      <c r="L140" s="60">
        <f>IF(N($W140)=0,"",IF(AND($S140=MesCiclo,4&gt;SemanaActual),"",MIN(1,SUMIFS(OFFSET($A$1,ROW(),32,1000-ROW(),1),OFFSET($A$1,ROW(),20,1000-ROW(),1),ROW(),OFFSET($A$1,ROW(),21,1000-ROW(),1),"Sub"))))</f>
        <v/>
      </c>
      <c r="M140" s="61">
        <f>IF(NOT((COUNTA($B140:$D140)+COUNTA($G140:$H140)+COUNTA($Q140))&gt;0),"",IF(AND($D140&lt;&gt;"",$V140="Macro"),IF(N($AM140)&gt;0,N(CHOOSE(MATCH($D140,ListaPuestos,0),INDEX('Cronograma R. Operacional'!$M$5:$M$1000,$AM140),INDEX('Cronograma R. Normativo'!$M$5:$M$1000,$AM140),INDEX('Cronograma R. Financiero'!$M$5:$M$1000,$AM140),INDEX('Cronograma Asistente Técnico'!$M$5:$M$1000,$AM140))),0),IF(ISNUMBER($G140),1,IF(N($W140)&gt;0,MIN(1,SUMIFS($Y$5:$Y$1000,$U$5:$U$1000,ROW(),$V$5:$V$1000,"Sub")),$Y140))))</f>
        <v/>
      </c>
      <c r="N140" s="56">
        <f>IF(OR($M140="",$V140="Sub"),"",IF($M140&gt;=1,"Completado",IF($M140&gt;0,"En curso","Pendiente")))</f>
        <v/>
      </c>
      <c r="O140" s="56">
        <f>IF(NOT((COUNTA($B140:$D140)+COUNTA($G140:$H140)+COUNTA($Q140))&gt;0),"",IF(AND(AND($D140&lt;&gt;"",$V140="Macro"),N($AM140)&gt;0),CHOOSE(MATCH($D140,ListaPuestos,0),INDEX('Cronograma R. Operacional'!$O$5:$O$1000,$AM140),INDEX('Cronograma R. Normativo'!$O$5:$O$1000,$AM140),INDEX('Cronograma R. Financiero'!$O$5:$O$1000,$AM140),INDEX('Cronograma Asistente Técnico'!$O$5:$O$1000,$AM140))&amp;"",IF(ISNUMBER($G140),IF(AND(ISNUMBER($AS140),$G140&gt;$AS140),"Cumplida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f>IF(NOT((COUNTA($B140:$D140)+COUNTA($G140:$H140)+COUNTA($Q140))&gt;0),"",IF($D140="","Propia",IF($V140&lt;&gt;"Macro","Solo se delegan macroactividades",IF(N($AM140)&gt;0,"✔ Recibida por "&amp;$D140,"⚠ "&amp;$D140&amp;" aún no la agrega"))))</f>
        <v/>
      </c>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IF($V140&lt;&gt;"Sub","",N($X140)*IF(AND(ISNUMBER($G140),$G140&lt;=IF($S140=MesCiclo,InicioCiclo,$S140+MOD(2-WEEKDAY($S140),7))+6),1,MIN(1,MAX(0,IF(ISNUMBER(OFFSET($A$1,ROW()-1,8)),OFFSET($A$1,ROW()-1,8),0)))))</f>
        <v/>
      </c>
      <c r="AE140" s="62">
        <f>IF($V140&lt;&gt;"Sub","",N($X140)*IF(AND(ISNUMBER($G140),$G140&lt;=IF($S140=MesCiclo,InicioCiclo,$S140+MOD(2-WEEKDAY($S140),7))+13),1,MIN(1,MAX(0,IF(ISNUMBER(OFFSET($A$1,ROW()-1,9)),OFFSET($A$1,ROW()-1,9),IF(ISNUMBER(OFFSET($A$1,ROW()-1,8)),OFFSET($A$1,ROW()-1,8),0))))))</f>
        <v/>
      </c>
      <c r="AF140" s="62">
        <f>IF($V140&lt;&gt;"Sub","",N($X140)*IF(AND(ISNUMBER($G140),$G140&lt;=IF($S140=MesCiclo,InicioCiclo,$S140+MOD(2-WEEKDAY($S140),7))+20),1,MIN(1,MAX(0,IF(ISNUMBER(OFFSET($A$1,ROW()-1,10)),OFFSET($A$1,ROW()-1,10),IF(ISNUMBER(OFFSET($A$1,ROW()-1,9)),OFFSET($A$1,ROW()-1,9),IF(ISNUMBER(OFFSET($A$1,ROW()-1,8)),OFFSET($A$1,ROW()-1,8),0)))))))</f>
        <v/>
      </c>
      <c r="AG140" s="62">
        <f>IF($V140&lt;&gt;"Sub","",N($X140)*IF(AND(ISNUMBER($G140),$G140&lt;=IF($S140=MesCiclo,InicioCiclo,$S140+MOD(2-WEEKDAY($S140),7))+27),1,MIN(1,MAX(0,IF(ISNUMBER(OFFSET($A$1,ROW()-1,11)),OFFSET($A$1,ROW()-1,11),IF(ISNUMBER(OFFSET($A$1,ROW()-1,10)),OFFSET($A$1,ROW()-1,10),IF(ISNUMBER(OFFSET($A$1,ROW()-1,9)),OFFSET($A$1,ROW()-1,9),IF(ISNUMBER(OFFSET($A$1,ROW()-1,8)),OFFSET($A$1,ROW()-1,8),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f>IF(NOT(AND($D140&lt;&gt;"",$V140="Macro")),"",IFERROR(CHOOSE(MATCH($D140,ListaPuestos,0),MATCH("[Jefatura] "&amp;$C140,'Cronograma R. Operacional'!$C$5:$C$1000,0),MATCH("[Jefatura] "&amp;$C140,'Cronograma R. Normativo'!$C$5:$C$1000,0),MATCH("[Jefatura] "&amp;$C140,'Cronograma R. Financiero'!$C$5:$C$1000,0),MATCH("[Jefatura] "&amp;$C140,'Cronograma Asistente Técnico'!$C$5:$C$1000,0)),0))</f>
        <v/>
      </c>
      <c r="AN140" s="62">
        <f>IF(AND(AND($D140&lt;&gt;"",$V140="Macro"),$S140=MesCiclo),COUNTIFS($D$5:$D140,$D140,$S$5:$S140,MesCiclo,$V$5:$V140,"Macro"),"")</f>
        <v/>
      </c>
      <c r="AO140" s="62">
        <f>IF($AN140="","",$D140&amp;"|"&amp;$AN140)</f>
        <v/>
      </c>
      <c r="AP140" s="62">
        <f>IF(AND($D140&lt;&gt;"",$V140="Macro"),$D140&amp;"|"&amp;$C140,"")</f>
        <v/>
      </c>
      <c r="AQ140" s="62">
        <f>""</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t="n"/>
      <c r="F141" s="59" t="n"/>
      <c r="G141" s="59" t="n"/>
      <c r="H141" s="60" t="n"/>
      <c r="I141" s="60">
        <f>IF(N($W141)=0,"",IF(AND($S141=MesCiclo,1&gt;SemanaActual),"",MIN(1,SUMIFS(OFFSET($A$1,ROW(),29,1000-ROW(),1),OFFSET($A$1,ROW(),20,1000-ROW(),1),ROW(),OFFSET($A$1,ROW(),21,1000-ROW(),1),"Sub"))))</f>
        <v/>
      </c>
      <c r="J141" s="60">
        <f>IF(N($W141)=0,"",IF(AND($S141=MesCiclo,2&gt;SemanaActual),"",MIN(1,SUMIFS(OFFSET($A$1,ROW(),30,1000-ROW(),1),OFFSET($A$1,ROW(),20,1000-ROW(),1),ROW(),OFFSET($A$1,ROW(),21,1000-ROW(),1),"Sub"))))</f>
        <v/>
      </c>
      <c r="K141" s="60">
        <f>IF(N($W141)=0,"",IF(AND($S141=MesCiclo,3&gt;SemanaActual),"",MIN(1,SUMIFS(OFFSET($A$1,ROW(),31,1000-ROW(),1),OFFSET($A$1,ROW(),20,1000-ROW(),1),ROW(),OFFSET($A$1,ROW(),21,1000-ROW(),1),"Sub"))))</f>
        <v/>
      </c>
      <c r="L141" s="60">
        <f>IF(N($W141)=0,"",IF(AND($S141=MesCiclo,4&gt;SemanaActual),"",MIN(1,SUMIFS(OFFSET($A$1,ROW(),32,1000-ROW(),1),OFFSET($A$1,ROW(),20,1000-ROW(),1),ROW(),OFFSET($A$1,ROW(),21,1000-ROW(),1),"Sub"))))</f>
        <v/>
      </c>
      <c r="M141" s="61">
        <f>IF(NOT((COUNTA($B141:$D141)+COUNTA($G141:$H141)+COUNTA($Q141))&gt;0),"",IF(AND($D141&lt;&gt;"",$V141="Macro"),IF(N($AM141)&gt;0,N(CHOOSE(MATCH($D141,ListaPuestos,0),INDEX('Cronograma R. Operacional'!$M$5:$M$1000,$AM141),INDEX('Cronograma R. Normativo'!$M$5:$M$1000,$AM141),INDEX('Cronograma R. Financiero'!$M$5:$M$1000,$AM141),INDEX('Cronograma Asistente Técnico'!$M$5:$M$1000,$AM141))),0),IF(ISNUMBER($G141),1,IF(N($W141)&gt;0,MIN(1,SUMIFS($Y$5:$Y$1000,$U$5:$U$1000,ROW(),$V$5:$V$1000,"Sub")),$Y141))))</f>
        <v/>
      </c>
      <c r="N141" s="56">
        <f>IF(OR($M141="",$V141="Sub"),"",IF($M141&gt;=1,"Completado",IF($M141&gt;0,"En curso","Pendiente")))</f>
        <v/>
      </c>
      <c r="O141" s="56">
        <f>IF(NOT((COUNTA($B141:$D141)+COUNTA($G141:$H141)+COUNTA($Q141))&gt;0),"",IF(AND(AND($D141&lt;&gt;"",$V141="Macro"),N($AM141)&gt;0),CHOOSE(MATCH($D141,ListaPuestos,0),INDEX('Cronograma R. Operacional'!$O$5:$O$1000,$AM141),INDEX('Cronograma R. Normativo'!$O$5:$O$1000,$AM141),INDEX('Cronograma R. Financiero'!$O$5:$O$1000,$AM141),INDEX('Cronograma Asistente Técnico'!$O$5:$O$1000,$AM141))&amp;"",IF(ISNUMBER($G141),IF(AND(ISNUMBER($AS141),$G141&gt;$AS141),"Cumplida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f>IF(NOT((COUNTA($B141:$D141)+COUNTA($G141:$H141)+COUNTA($Q141))&gt;0),"",IF($D141="","Propia",IF($V141&lt;&gt;"Macro","Solo se delegan macroactividades",IF(N($AM141)&gt;0,"✔ Recibida por "&amp;$D141,"⚠ "&amp;$D141&amp;" aún no la agrega"))))</f>
        <v/>
      </c>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IF($V141&lt;&gt;"Sub","",N($X141)*IF(AND(ISNUMBER($G141),$G141&lt;=IF($S141=MesCiclo,InicioCiclo,$S141+MOD(2-WEEKDAY($S141),7))+6),1,MIN(1,MAX(0,IF(ISNUMBER(OFFSET($A$1,ROW()-1,8)),OFFSET($A$1,ROW()-1,8),0)))))</f>
        <v/>
      </c>
      <c r="AE141" s="62">
        <f>IF($V141&lt;&gt;"Sub","",N($X141)*IF(AND(ISNUMBER($G141),$G141&lt;=IF($S141=MesCiclo,InicioCiclo,$S141+MOD(2-WEEKDAY($S141),7))+13),1,MIN(1,MAX(0,IF(ISNUMBER(OFFSET($A$1,ROW()-1,9)),OFFSET($A$1,ROW()-1,9),IF(ISNUMBER(OFFSET($A$1,ROW()-1,8)),OFFSET($A$1,ROW()-1,8),0))))))</f>
        <v/>
      </c>
      <c r="AF141" s="62">
        <f>IF($V141&lt;&gt;"Sub","",N($X141)*IF(AND(ISNUMBER($G141),$G141&lt;=IF($S141=MesCiclo,InicioCiclo,$S141+MOD(2-WEEKDAY($S141),7))+20),1,MIN(1,MAX(0,IF(ISNUMBER(OFFSET($A$1,ROW()-1,10)),OFFSET($A$1,ROW()-1,10),IF(ISNUMBER(OFFSET($A$1,ROW()-1,9)),OFFSET($A$1,ROW()-1,9),IF(ISNUMBER(OFFSET($A$1,ROW()-1,8)),OFFSET($A$1,ROW()-1,8),0)))))))</f>
        <v/>
      </c>
      <c r="AG141" s="62">
        <f>IF($V141&lt;&gt;"Sub","",N($X141)*IF(AND(ISNUMBER($G141),$G141&lt;=IF($S141=MesCiclo,InicioCiclo,$S141+MOD(2-WEEKDAY($S141),7))+27),1,MIN(1,MAX(0,IF(ISNUMBER(OFFSET($A$1,ROW()-1,11)),OFFSET($A$1,ROW()-1,11),IF(ISNUMBER(OFFSET($A$1,ROW()-1,10)),OFFSET($A$1,ROW()-1,10),IF(ISNUMBER(OFFSET($A$1,ROW()-1,9)),OFFSET($A$1,ROW()-1,9),IF(ISNUMBER(OFFSET($A$1,ROW()-1,8)),OFFSET($A$1,ROW()-1,8),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f>IF(NOT(AND($D141&lt;&gt;"",$V141="Macro")),"",IFERROR(CHOOSE(MATCH($D141,ListaPuestos,0),MATCH("[Jefatura] "&amp;$C141,'Cronograma R. Operacional'!$C$5:$C$1000,0),MATCH("[Jefatura] "&amp;$C141,'Cronograma R. Normativo'!$C$5:$C$1000,0),MATCH("[Jefatura] "&amp;$C141,'Cronograma R. Financiero'!$C$5:$C$1000,0),MATCH("[Jefatura] "&amp;$C141,'Cronograma Asistente Técnico'!$C$5:$C$1000,0)),0))</f>
        <v/>
      </c>
      <c r="AN141" s="62">
        <f>IF(AND(AND($D141&lt;&gt;"",$V141="Macro"),$S141=MesCiclo),COUNTIFS($D$5:$D141,$D141,$S$5:$S141,MesCiclo,$V$5:$V141,"Macro"),"")</f>
        <v/>
      </c>
      <c r="AO141" s="62">
        <f>IF($AN141="","",$D141&amp;"|"&amp;$AN141)</f>
        <v/>
      </c>
      <c r="AP141" s="62">
        <f>IF(AND($D141&lt;&gt;"",$V141="Macro"),$D141&amp;"|"&amp;$C141,"")</f>
        <v/>
      </c>
      <c r="AQ141" s="62">
        <f>""</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t="n"/>
      <c r="F142" s="59" t="n"/>
      <c r="G142" s="59" t="n"/>
      <c r="H142" s="60" t="n"/>
      <c r="I142" s="60">
        <f>IF(N($W142)=0,"",IF(AND($S142=MesCiclo,1&gt;SemanaActual),"",MIN(1,SUMIFS(OFFSET($A$1,ROW(),29,1000-ROW(),1),OFFSET($A$1,ROW(),20,1000-ROW(),1),ROW(),OFFSET($A$1,ROW(),21,1000-ROW(),1),"Sub"))))</f>
        <v/>
      </c>
      <c r="J142" s="60">
        <f>IF(N($W142)=0,"",IF(AND($S142=MesCiclo,2&gt;SemanaActual),"",MIN(1,SUMIFS(OFFSET($A$1,ROW(),30,1000-ROW(),1),OFFSET($A$1,ROW(),20,1000-ROW(),1),ROW(),OFFSET($A$1,ROW(),21,1000-ROW(),1),"Sub"))))</f>
        <v/>
      </c>
      <c r="K142" s="60">
        <f>IF(N($W142)=0,"",IF(AND($S142=MesCiclo,3&gt;SemanaActual),"",MIN(1,SUMIFS(OFFSET($A$1,ROW(),31,1000-ROW(),1),OFFSET($A$1,ROW(),20,1000-ROW(),1),ROW(),OFFSET($A$1,ROW(),21,1000-ROW(),1),"Sub"))))</f>
        <v/>
      </c>
      <c r="L142" s="60">
        <f>IF(N($W142)=0,"",IF(AND($S142=MesCiclo,4&gt;SemanaActual),"",MIN(1,SUMIFS(OFFSET($A$1,ROW(),32,1000-ROW(),1),OFFSET($A$1,ROW(),20,1000-ROW(),1),ROW(),OFFSET($A$1,ROW(),21,1000-ROW(),1),"Sub"))))</f>
        <v/>
      </c>
      <c r="M142" s="61">
        <f>IF(NOT((COUNTA($B142:$D142)+COUNTA($G142:$H142)+COUNTA($Q142))&gt;0),"",IF(AND($D142&lt;&gt;"",$V142="Macro"),IF(N($AM142)&gt;0,N(CHOOSE(MATCH($D142,ListaPuestos,0),INDEX('Cronograma R. Operacional'!$M$5:$M$1000,$AM142),INDEX('Cronograma R. Normativo'!$M$5:$M$1000,$AM142),INDEX('Cronograma R. Financiero'!$M$5:$M$1000,$AM142),INDEX('Cronograma Asistente Técnico'!$M$5:$M$1000,$AM142))),0),IF(ISNUMBER($G142),1,IF(N($W142)&gt;0,MIN(1,SUMIFS($Y$5:$Y$1000,$U$5:$U$1000,ROW(),$V$5:$V$1000,"Sub")),$Y142))))</f>
        <v/>
      </c>
      <c r="N142" s="56">
        <f>IF(OR($M142="",$V142="Sub"),"",IF($M142&gt;=1,"Completado",IF($M142&gt;0,"En curso","Pendiente")))</f>
        <v/>
      </c>
      <c r="O142" s="56">
        <f>IF(NOT((COUNTA($B142:$D142)+COUNTA($G142:$H142)+COUNTA($Q142))&gt;0),"",IF(AND(AND($D142&lt;&gt;"",$V142="Macro"),N($AM142)&gt;0),CHOOSE(MATCH($D142,ListaPuestos,0),INDEX('Cronograma R. Operacional'!$O$5:$O$1000,$AM142),INDEX('Cronograma R. Normativo'!$O$5:$O$1000,$AM142),INDEX('Cronograma R. Financiero'!$O$5:$O$1000,$AM142),INDEX('Cronograma Asistente Técnico'!$O$5:$O$1000,$AM142))&amp;"",IF(ISNUMBER($G142),IF(AND(ISNUMBER($AS142),$G142&gt;$AS142),"Cumplida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f>IF(NOT((COUNTA($B142:$D142)+COUNTA($G142:$H142)+COUNTA($Q142))&gt;0),"",IF($D142="","Propia",IF($V142&lt;&gt;"Macro","Solo se delegan macroactividades",IF(N($AM142)&gt;0,"✔ Recibida por "&amp;$D142,"⚠ "&amp;$D142&amp;" aún no la agrega"))))</f>
        <v/>
      </c>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IF($V142&lt;&gt;"Sub","",N($X142)*IF(AND(ISNUMBER($G142),$G142&lt;=IF($S142=MesCiclo,InicioCiclo,$S142+MOD(2-WEEKDAY($S142),7))+6),1,MIN(1,MAX(0,IF(ISNUMBER(OFFSET($A$1,ROW()-1,8)),OFFSET($A$1,ROW()-1,8),0)))))</f>
        <v/>
      </c>
      <c r="AE142" s="62">
        <f>IF($V142&lt;&gt;"Sub","",N($X142)*IF(AND(ISNUMBER($G142),$G142&lt;=IF($S142=MesCiclo,InicioCiclo,$S142+MOD(2-WEEKDAY($S142),7))+13),1,MIN(1,MAX(0,IF(ISNUMBER(OFFSET($A$1,ROW()-1,9)),OFFSET($A$1,ROW()-1,9),IF(ISNUMBER(OFFSET($A$1,ROW()-1,8)),OFFSET($A$1,ROW()-1,8),0))))))</f>
        <v/>
      </c>
      <c r="AF142" s="62">
        <f>IF($V142&lt;&gt;"Sub","",N($X142)*IF(AND(ISNUMBER($G142),$G142&lt;=IF($S142=MesCiclo,InicioCiclo,$S142+MOD(2-WEEKDAY($S142),7))+20),1,MIN(1,MAX(0,IF(ISNUMBER(OFFSET($A$1,ROW()-1,10)),OFFSET($A$1,ROW()-1,10),IF(ISNUMBER(OFFSET($A$1,ROW()-1,9)),OFFSET($A$1,ROW()-1,9),IF(ISNUMBER(OFFSET($A$1,ROW()-1,8)),OFFSET($A$1,ROW()-1,8),0)))))))</f>
        <v/>
      </c>
      <c r="AG142" s="62">
        <f>IF($V142&lt;&gt;"Sub","",N($X142)*IF(AND(ISNUMBER($G142),$G142&lt;=IF($S142=MesCiclo,InicioCiclo,$S142+MOD(2-WEEKDAY($S142),7))+27),1,MIN(1,MAX(0,IF(ISNUMBER(OFFSET($A$1,ROW()-1,11)),OFFSET($A$1,ROW()-1,11),IF(ISNUMBER(OFFSET($A$1,ROW()-1,10)),OFFSET($A$1,ROW()-1,10),IF(ISNUMBER(OFFSET($A$1,ROW()-1,9)),OFFSET($A$1,ROW()-1,9),IF(ISNUMBER(OFFSET($A$1,ROW()-1,8)),OFFSET($A$1,ROW()-1,8),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f>IF(NOT(AND($D142&lt;&gt;"",$V142="Macro")),"",IFERROR(CHOOSE(MATCH($D142,ListaPuestos,0),MATCH("[Jefatura] "&amp;$C142,'Cronograma R. Operacional'!$C$5:$C$1000,0),MATCH("[Jefatura] "&amp;$C142,'Cronograma R. Normativo'!$C$5:$C$1000,0),MATCH("[Jefatura] "&amp;$C142,'Cronograma R. Financiero'!$C$5:$C$1000,0),MATCH("[Jefatura] "&amp;$C142,'Cronograma Asistente Técnico'!$C$5:$C$1000,0)),0))</f>
        <v/>
      </c>
      <c r="AN142" s="62">
        <f>IF(AND(AND($D142&lt;&gt;"",$V142="Macro"),$S142=MesCiclo),COUNTIFS($D$5:$D142,$D142,$S$5:$S142,MesCiclo,$V$5:$V142,"Macro"),"")</f>
        <v/>
      </c>
      <c r="AO142" s="62">
        <f>IF($AN142="","",$D142&amp;"|"&amp;$AN142)</f>
        <v/>
      </c>
      <c r="AP142" s="62">
        <f>IF(AND($D142&lt;&gt;"",$V142="Macro"),$D142&amp;"|"&amp;$C142,"")</f>
        <v/>
      </c>
      <c r="AQ142" s="62">
        <f>""</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t="n"/>
      <c r="F143" s="59" t="n"/>
      <c r="G143" s="59" t="n"/>
      <c r="H143" s="60" t="n"/>
      <c r="I143" s="60">
        <f>IF(N($W143)=0,"",IF(AND($S143=MesCiclo,1&gt;SemanaActual),"",MIN(1,SUMIFS(OFFSET($A$1,ROW(),29,1000-ROW(),1),OFFSET($A$1,ROW(),20,1000-ROW(),1),ROW(),OFFSET($A$1,ROW(),21,1000-ROW(),1),"Sub"))))</f>
        <v/>
      </c>
      <c r="J143" s="60">
        <f>IF(N($W143)=0,"",IF(AND($S143=MesCiclo,2&gt;SemanaActual),"",MIN(1,SUMIFS(OFFSET($A$1,ROW(),30,1000-ROW(),1),OFFSET($A$1,ROW(),20,1000-ROW(),1),ROW(),OFFSET($A$1,ROW(),21,1000-ROW(),1),"Sub"))))</f>
        <v/>
      </c>
      <c r="K143" s="60">
        <f>IF(N($W143)=0,"",IF(AND($S143=MesCiclo,3&gt;SemanaActual),"",MIN(1,SUMIFS(OFFSET($A$1,ROW(),31,1000-ROW(),1),OFFSET($A$1,ROW(),20,1000-ROW(),1),ROW(),OFFSET($A$1,ROW(),21,1000-ROW(),1),"Sub"))))</f>
        <v/>
      </c>
      <c r="L143" s="60">
        <f>IF(N($W143)=0,"",IF(AND($S143=MesCiclo,4&gt;SemanaActual),"",MIN(1,SUMIFS(OFFSET($A$1,ROW(),32,1000-ROW(),1),OFFSET($A$1,ROW(),20,1000-ROW(),1),ROW(),OFFSET($A$1,ROW(),21,1000-ROW(),1),"Sub"))))</f>
        <v/>
      </c>
      <c r="M143" s="61">
        <f>IF(NOT((COUNTA($B143:$D143)+COUNTA($G143:$H143)+COUNTA($Q143))&gt;0),"",IF(AND($D143&lt;&gt;"",$V143="Macro"),IF(N($AM143)&gt;0,N(CHOOSE(MATCH($D143,ListaPuestos,0),INDEX('Cronograma R. Operacional'!$M$5:$M$1000,$AM143),INDEX('Cronograma R. Normativo'!$M$5:$M$1000,$AM143),INDEX('Cronograma R. Financiero'!$M$5:$M$1000,$AM143),INDEX('Cronograma Asistente Técnico'!$M$5:$M$1000,$AM143))),0),IF(ISNUMBER($G143),1,IF(N($W143)&gt;0,MIN(1,SUMIFS($Y$5:$Y$1000,$U$5:$U$1000,ROW(),$V$5:$V$1000,"Sub")),$Y143))))</f>
        <v/>
      </c>
      <c r="N143" s="56">
        <f>IF(OR($M143="",$V143="Sub"),"",IF($M143&gt;=1,"Completado",IF($M143&gt;0,"En curso","Pendiente")))</f>
        <v/>
      </c>
      <c r="O143" s="56">
        <f>IF(NOT((COUNTA($B143:$D143)+COUNTA($G143:$H143)+COUNTA($Q143))&gt;0),"",IF(AND(AND($D143&lt;&gt;"",$V143="Macro"),N($AM143)&gt;0),CHOOSE(MATCH($D143,ListaPuestos,0),INDEX('Cronograma R. Operacional'!$O$5:$O$1000,$AM143),INDEX('Cronograma R. Normativo'!$O$5:$O$1000,$AM143),INDEX('Cronograma R. Financiero'!$O$5:$O$1000,$AM143),INDEX('Cronograma Asistente Técnico'!$O$5:$O$1000,$AM143))&amp;"",IF(ISNUMBER($G143),IF(AND(ISNUMBER($AS143),$G143&gt;$AS143),"Cumplida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f>IF(NOT((COUNTA($B143:$D143)+COUNTA($G143:$H143)+COUNTA($Q143))&gt;0),"",IF($D143="","Propia",IF($V143&lt;&gt;"Macro","Solo se delegan macroactividades",IF(N($AM143)&gt;0,"✔ Recibida por "&amp;$D143,"⚠ "&amp;$D143&amp;" aún no la agrega"))))</f>
        <v/>
      </c>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IF($V143&lt;&gt;"Sub","",N($X143)*IF(AND(ISNUMBER($G143),$G143&lt;=IF($S143=MesCiclo,InicioCiclo,$S143+MOD(2-WEEKDAY($S143),7))+6),1,MIN(1,MAX(0,IF(ISNUMBER(OFFSET($A$1,ROW()-1,8)),OFFSET($A$1,ROW()-1,8),0)))))</f>
        <v/>
      </c>
      <c r="AE143" s="62">
        <f>IF($V143&lt;&gt;"Sub","",N($X143)*IF(AND(ISNUMBER($G143),$G143&lt;=IF($S143=MesCiclo,InicioCiclo,$S143+MOD(2-WEEKDAY($S143),7))+13),1,MIN(1,MAX(0,IF(ISNUMBER(OFFSET($A$1,ROW()-1,9)),OFFSET($A$1,ROW()-1,9),IF(ISNUMBER(OFFSET($A$1,ROW()-1,8)),OFFSET($A$1,ROW()-1,8),0))))))</f>
        <v/>
      </c>
      <c r="AF143" s="62">
        <f>IF($V143&lt;&gt;"Sub","",N($X143)*IF(AND(ISNUMBER($G143),$G143&lt;=IF($S143=MesCiclo,InicioCiclo,$S143+MOD(2-WEEKDAY($S143),7))+20),1,MIN(1,MAX(0,IF(ISNUMBER(OFFSET($A$1,ROW()-1,10)),OFFSET($A$1,ROW()-1,10),IF(ISNUMBER(OFFSET($A$1,ROW()-1,9)),OFFSET($A$1,ROW()-1,9),IF(ISNUMBER(OFFSET($A$1,ROW()-1,8)),OFFSET($A$1,ROW()-1,8),0)))))))</f>
        <v/>
      </c>
      <c r="AG143" s="62">
        <f>IF($V143&lt;&gt;"Sub","",N($X143)*IF(AND(ISNUMBER($G143),$G143&lt;=IF($S143=MesCiclo,InicioCiclo,$S143+MOD(2-WEEKDAY($S143),7))+27),1,MIN(1,MAX(0,IF(ISNUMBER(OFFSET($A$1,ROW()-1,11)),OFFSET($A$1,ROW()-1,11),IF(ISNUMBER(OFFSET($A$1,ROW()-1,10)),OFFSET($A$1,ROW()-1,10),IF(ISNUMBER(OFFSET($A$1,ROW()-1,9)),OFFSET($A$1,ROW()-1,9),IF(ISNUMBER(OFFSET($A$1,ROW()-1,8)),OFFSET($A$1,ROW()-1,8),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f>IF(NOT(AND($D143&lt;&gt;"",$V143="Macro")),"",IFERROR(CHOOSE(MATCH($D143,ListaPuestos,0),MATCH("[Jefatura] "&amp;$C143,'Cronograma R. Operacional'!$C$5:$C$1000,0),MATCH("[Jefatura] "&amp;$C143,'Cronograma R. Normativo'!$C$5:$C$1000,0),MATCH("[Jefatura] "&amp;$C143,'Cronograma R. Financiero'!$C$5:$C$1000,0),MATCH("[Jefatura] "&amp;$C143,'Cronograma Asistente Técnico'!$C$5:$C$1000,0)),0))</f>
        <v/>
      </c>
      <c r="AN143" s="62">
        <f>IF(AND(AND($D143&lt;&gt;"",$V143="Macro"),$S143=MesCiclo),COUNTIFS($D$5:$D143,$D143,$S$5:$S143,MesCiclo,$V$5:$V143,"Macro"),"")</f>
        <v/>
      </c>
      <c r="AO143" s="62">
        <f>IF($AN143="","",$D143&amp;"|"&amp;$AN143)</f>
        <v/>
      </c>
      <c r="AP143" s="62">
        <f>IF(AND($D143&lt;&gt;"",$V143="Macro"),$D143&amp;"|"&amp;$C143,"")</f>
        <v/>
      </c>
      <c r="AQ143" s="62">
        <f>""</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t="n"/>
      <c r="F144" s="59" t="n"/>
      <c r="G144" s="59" t="n"/>
      <c r="H144" s="60" t="n"/>
      <c r="I144" s="60">
        <f>IF(N($W144)=0,"",IF(AND($S144=MesCiclo,1&gt;SemanaActual),"",MIN(1,SUMIFS(OFFSET($A$1,ROW(),29,1000-ROW(),1),OFFSET($A$1,ROW(),20,1000-ROW(),1),ROW(),OFFSET($A$1,ROW(),21,1000-ROW(),1),"Sub"))))</f>
        <v/>
      </c>
      <c r="J144" s="60">
        <f>IF(N($W144)=0,"",IF(AND($S144=MesCiclo,2&gt;SemanaActual),"",MIN(1,SUMIFS(OFFSET($A$1,ROW(),30,1000-ROW(),1),OFFSET($A$1,ROW(),20,1000-ROW(),1),ROW(),OFFSET($A$1,ROW(),21,1000-ROW(),1),"Sub"))))</f>
        <v/>
      </c>
      <c r="K144" s="60">
        <f>IF(N($W144)=0,"",IF(AND($S144=MesCiclo,3&gt;SemanaActual),"",MIN(1,SUMIFS(OFFSET($A$1,ROW(),31,1000-ROW(),1),OFFSET($A$1,ROW(),20,1000-ROW(),1),ROW(),OFFSET($A$1,ROW(),21,1000-ROW(),1),"Sub"))))</f>
        <v/>
      </c>
      <c r="L144" s="60">
        <f>IF(N($W144)=0,"",IF(AND($S144=MesCiclo,4&gt;SemanaActual),"",MIN(1,SUMIFS(OFFSET($A$1,ROW(),32,1000-ROW(),1),OFFSET($A$1,ROW(),20,1000-ROW(),1),ROW(),OFFSET($A$1,ROW(),21,1000-ROW(),1),"Sub"))))</f>
        <v/>
      </c>
      <c r="M144" s="61">
        <f>IF(NOT((COUNTA($B144:$D144)+COUNTA($G144:$H144)+COUNTA($Q144))&gt;0),"",IF(AND($D144&lt;&gt;"",$V144="Macro"),IF(N($AM144)&gt;0,N(CHOOSE(MATCH($D144,ListaPuestos,0),INDEX('Cronograma R. Operacional'!$M$5:$M$1000,$AM144),INDEX('Cronograma R. Normativo'!$M$5:$M$1000,$AM144),INDEX('Cronograma R. Financiero'!$M$5:$M$1000,$AM144),INDEX('Cronograma Asistente Técnico'!$M$5:$M$1000,$AM144))),0),IF(ISNUMBER($G144),1,IF(N($W144)&gt;0,MIN(1,SUMIFS($Y$5:$Y$1000,$U$5:$U$1000,ROW(),$V$5:$V$1000,"Sub")),$Y144))))</f>
        <v/>
      </c>
      <c r="N144" s="56">
        <f>IF(OR($M144="",$V144="Sub"),"",IF($M144&gt;=1,"Completado",IF($M144&gt;0,"En curso","Pendiente")))</f>
        <v/>
      </c>
      <c r="O144" s="56">
        <f>IF(NOT((COUNTA($B144:$D144)+COUNTA($G144:$H144)+COUNTA($Q144))&gt;0),"",IF(AND(AND($D144&lt;&gt;"",$V144="Macro"),N($AM144)&gt;0),CHOOSE(MATCH($D144,ListaPuestos,0),INDEX('Cronograma R. Operacional'!$O$5:$O$1000,$AM144),INDEX('Cronograma R. Normativo'!$O$5:$O$1000,$AM144),INDEX('Cronograma R. Financiero'!$O$5:$O$1000,$AM144),INDEX('Cronograma Asistente Técnico'!$O$5:$O$1000,$AM144))&amp;"",IF(ISNUMBER($G144),IF(AND(ISNUMBER($AS144),$G144&gt;$AS144),"Cumplida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f>IF(NOT((COUNTA($B144:$D144)+COUNTA($G144:$H144)+COUNTA($Q144))&gt;0),"",IF($D144="","Propia",IF($V144&lt;&gt;"Macro","Solo se delegan macroactividades",IF(N($AM144)&gt;0,"✔ Recibida por "&amp;$D144,"⚠ "&amp;$D144&amp;" aún no la agrega"))))</f>
        <v/>
      </c>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IF($V144&lt;&gt;"Sub","",N($X144)*IF(AND(ISNUMBER($G144),$G144&lt;=IF($S144=MesCiclo,InicioCiclo,$S144+MOD(2-WEEKDAY($S144),7))+6),1,MIN(1,MAX(0,IF(ISNUMBER(OFFSET($A$1,ROW()-1,8)),OFFSET($A$1,ROW()-1,8),0)))))</f>
        <v/>
      </c>
      <c r="AE144" s="62">
        <f>IF($V144&lt;&gt;"Sub","",N($X144)*IF(AND(ISNUMBER($G144),$G144&lt;=IF($S144=MesCiclo,InicioCiclo,$S144+MOD(2-WEEKDAY($S144),7))+13),1,MIN(1,MAX(0,IF(ISNUMBER(OFFSET($A$1,ROW()-1,9)),OFFSET($A$1,ROW()-1,9),IF(ISNUMBER(OFFSET($A$1,ROW()-1,8)),OFFSET($A$1,ROW()-1,8),0))))))</f>
        <v/>
      </c>
      <c r="AF144" s="62">
        <f>IF($V144&lt;&gt;"Sub","",N($X144)*IF(AND(ISNUMBER($G144),$G144&lt;=IF($S144=MesCiclo,InicioCiclo,$S144+MOD(2-WEEKDAY($S144),7))+20),1,MIN(1,MAX(0,IF(ISNUMBER(OFFSET($A$1,ROW()-1,10)),OFFSET($A$1,ROW()-1,10),IF(ISNUMBER(OFFSET($A$1,ROW()-1,9)),OFFSET($A$1,ROW()-1,9),IF(ISNUMBER(OFFSET($A$1,ROW()-1,8)),OFFSET($A$1,ROW()-1,8),0)))))))</f>
        <v/>
      </c>
      <c r="AG144" s="62">
        <f>IF($V144&lt;&gt;"Sub","",N($X144)*IF(AND(ISNUMBER($G144),$G144&lt;=IF($S144=MesCiclo,InicioCiclo,$S144+MOD(2-WEEKDAY($S144),7))+27),1,MIN(1,MAX(0,IF(ISNUMBER(OFFSET($A$1,ROW()-1,11)),OFFSET($A$1,ROW()-1,11),IF(ISNUMBER(OFFSET($A$1,ROW()-1,10)),OFFSET($A$1,ROW()-1,10),IF(ISNUMBER(OFFSET($A$1,ROW()-1,9)),OFFSET($A$1,ROW()-1,9),IF(ISNUMBER(OFFSET($A$1,ROW()-1,8)),OFFSET($A$1,ROW()-1,8),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f>IF(NOT(AND($D144&lt;&gt;"",$V144="Macro")),"",IFERROR(CHOOSE(MATCH($D144,ListaPuestos,0),MATCH("[Jefatura] "&amp;$C144,'Cronograma R. Operacional'!$C$5:$C$1000,0),MATCH("[Jefatura] "&amp;$C144,'Cronograma R. Normativo'!$C$5:$C$1000,0),MATCH("[Jefatura] "&amp;$C144,'Cronograma R. Financiero'!$C$5:$C$1000,0),MATCH("[Jefatura] "&amp;$C144,'Cronograma Asistente Técnico'!$C$5:$C$1000,0)),0))</f>
        <v/>
      </c>
      <c r="AN144" s="62">
        <f>IF(AND(AND($D144&lt;&gt;"",$V144="Macro"),$S144=MesCiclo),COUNTIFS($D$5:$D144,$D144,$S$5:$S144,MesCiclo,$V$5:$V144,"Macro"),"")</f>
        <v/>
      </c>
      <c r="AO144" s="62">
        <f>IF($AN144="","",$D144&amp;"|"&amp;$AN144)</f>
        <v/>
      </c>
      <c r="AP144" s="62">
        <f>IF(AND($D144&lt;&gt;"",$V144="Macro"),$D144&amp;"|"&amp;$C144,"")</f>
        <v/>
      </c>
      <c r="AQ144" s="62">
        <f>""</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t="n"/>
      <c r="F145" s="59" t="n"/>
      <c r="G145" s="59" t="n"/>
      <c r="H145" s="60" t="n"/>
      <c r="I145" s="60">
        <f>IF(N($W145)=0,"",IF(AND($S145=MesCiclo,1&gt;SemanaActual),"",MIN(1,SUMIFS(OFFSET($A$1,ROW(),29,1000-ROW(),1),OFFSET($A$1,ROW(),20,1000-ROW(),1),ROW(),OFFSET($A$1,ROW(),21,1000-ROW(),1),"Sub"))))</f>
        <v/>
      </c>
      <c r="J145" s="60">
        <f>IF(N($W145)=0,"",IF(AND($S145=MesCiclo,2&gt;SemanaActual),"",MIN(1,SUMIFS(OFFSET($A$1,ROW(),30,1000-ROW(),1),OFFSET($A$1,ROW(),20,1000-ROW(),1),ROW(),OFFSET($A$1,ROW(),21,1000-ROW(),1),"Sub"))))</f>
        <v/>
      </c>
      <c r="K145" s="60">
        <f>IF(N($W145)=0,"",IF(AND($S145=MesCiclo,3&gt;SemanaActual),"",MIN(1,SUMIFS(OFFSET($A$1,ROW(),31,1000-ROW(),1),OFFSET($A$1,ROW(),20,1000-ROW(),1),ROW(),OFFSET($A$1,ROW(),21,1000-ROW(),1),"Sub"))))</f>
        <v/>
      </c>
      <c r="L145" s="60">
        <f>IF(N($W145)=0,"",IF(AND($S145=MesCiclo,4&gt;SemanaActual),"",MIN(1,SUMIFS(OFFSET($A$1,ROW(),32,1000-ROW(),1),OFFSET($A$1,ROW(),20,1000-ROW(),1),ROW(),OFFSET($A$1,ROW(),21,1000-ROW(),1),"Sub"))))</f>
        <v/>
      </c>
      <c r="M145" s="61">
        <f>IF(NOT((COUNTA($B145:$D145)+COUNTA($G145:$H145)+COUNTA($Q145))&gt;0),"",IF(AND($D145&lt;&gt;"",$V145="Macro"),IF(N($AM145)&gt;0,N(CHOOSE(MATCH($D145,ListaPuestos,0),INDEX('Cronograma R. Operacional'!$M$5:$M$1000,$AM145),INDEX('Cronograma R. Normativo'!$M$5:$M$1000,$AM145),INDEX('Cronograma R. Financiero'!$M$5:$M$1000,$AM145),INDEX('Cronograma Asistente Técnico'!$M$5:$M$1000,$AM145))),0),IF(ISNUMBER($G145),1,IF(N($W145)&gt;0,MIN(1,SUMIFS($Y$5:$Y$1000,$U$5:$U$1000,ROW(),$V$5:$V$1000,"Sub")),$Y145))))</f>
        <v/>
      </c>
      <c r="N145" s="56">
        <f>IF(OR($M145="",$V145="Sub"),"",IF($M145&gt;=1,"Completado",IF($M145&gt;0,"En curso","Pendiente")))</f>
        <v/>
      </c>
      <c r="O145" s="56">
        <f>IF(NOT((COUNTA($B145:$D145)+COUNTA($G145:$H145)+COUNTA($Q145))&gt;0),"",IF(AND(AND($D145&lt;&gt;"",$V145="Macro"),N($AM145)&gt;0),CHOOSE(MATCH($D145,ListaPuestos,0),INDEX('Cronograma R. Operacional'!$O$5:$O$1000,$AM145),INDEX('Cronograma R. Normativo'!$O$5:$O$1000,$AM145),INDEX('Cronograma R. Financiero'!$O$5:$O$1000,$AM145),INDEX('Cronograma Asistente Técnico'!$O$5:$O$1000,$AM145))&amp;"",IF(ISNUMBER($G145),IF(AND(ISNUMBER($AS145),$G145&gt;$AS145),"Cumplida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f>IF(NOT((COUNTA($B145:$D145)+COUNTA($G145:$H145)+COUNTA($Q145))&gt;0),"",IF($D145="","Propia",IF($V145&lt;&gt;"Macro","Solo se delegan macroactividades",IF(N($AM145)&gt;0,"✔ Recibida por "&amp;$D145,"⚠ "&amp;$D145&amp;" aún no la agrega"))))</f>
        <v/>
      </c>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IF($V145&lt;&gt;"Sub","",N($X145)*IF(AND(ISNUMBER($G145),$G145&lt;=IF($S145=MesCiclo,InicioCiclo,$S145+MOD(2-WEEKDAY($S145),7))+6),1,MIN(1,MAX(0,IF(ISNUMBER(OFFSET($A$1,ROW()-1,8)),OFFSET($A$1,ROW()-1,8),0)))))</f>
        <v/>
      </c>
      <c r="AE145" s="62">
        <f>IF($V145&lt;&gt;"Sub","",N($X145)*IF(AND(ISNUMBER($G145),$G145&lt;=IF($S145=MesCiclo,InicioCiclo,$S145+MOD(2-WEEKDAY($S145),7))+13),1,MIN(1,MAX(0,IF(ISNUMBER(OFFSET($A$1,ROW()-1,9)),OFFSET($A$1,ROW()-1,9),IF(ISNUMBER(OFFSET($A$1,ROW()-1,8)),OFFSET($A$1,ROW()-1,8),0))))))</f>
        <v/>
      </c>
      <c r="AF145" s="62">
        <f>IF($V145&lt;&gt;"Sub","",N($X145)*IF(AND(ISNUMBER($G145),$G145&lt;=IF($S145=MesCiclo,InicioCiclo,$S145+MOD(2-WEEKDAY($S145),7))+20),1,MIN(1,MAX(0,IF(ISNUMBER(OFFSET($A$1,ROW()-1,10)),OFFSET($A$1,ROW()-1,10),IF(ISNUMBER(OFFSET($A$1,ROW()-1,9)),OFFSET($A$1,ROW()-1,9),IF(ISNUMBER(OFFSET($A$1,ROW()-1,8)),OFFSET($A$1,ROW()-1,8),0)))))))</f>
        <v/>
      </c>
      <c r="AG145" s="62">
        <f>IF($V145&lt;&gt;"Sub","",N($X145)*IF(AND(ISNUMBER($G145),$G145&lt;=IF($S145=MesCiclo,InicioCiclo,$S145+MOD(2-WEEKDAY($S145),7))+27),1,MIN(1,MAX(0,IF(ISNUMBER(OFFSET($A$1,ROW()-1,11)),OFFSET($A$1,ROW()-1,11),IF(ISNUMBER(OFFSET($A$1,ROW()-1,10)),OFFSET($A$1,ROW()-1,10),IF(ISNUMBER(OFFSET($A$1,ROW()-1,9)),OFFSET($A$1,ROW()-1,9),IF(ISNUMBER(OFFSET($A$1,ROW()-1,8)),OFFSET($A$1,ROW()-1,8),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f>IF(NOT(AND($D145&lt;&gt;"",$V145="Macro")),"",IFERROR(CHOOSE(MATCH($D145,ListaPuestos,0),MATCH("[Jefatura] "&amp;$C145,'Cronograma R. Operacional'!$C$5:$C$1000,0),MATCH("[Jefatura] "&amp;$C145,'Cronograma R. Normativo'!$C$5:$C$1000,0),MATCH("[Jefatura] "&amp;$C145,'Cronograma R. Financiero'!$C$5:$C$1000,0),MATCH("[Jefatura] "&amp;$C145,'Cronograma Asistente Técnico'!$C$5:$C$1000,0)),0))</f>
        <v/>
      </c>
      <c r="AN145" s="62">
        <f>IF(AND(AND($D145&lt;&gt;"",$V145="Macro"),$S145=MesCiclo),COUNTIFS($D$5:$D145,$D145,$S$5:$S145,MesCiclo,$V$5:$V145,"Macro"),"")</f>
        <v/>
      </c>
      <c r="AO145" s="62">
        <f>IF($AN145="","",$D145&amp;"|"&amp;$AN145)</f>
        <v/>
      </c>
      <c r="AP145" s="62">
        <f>IF(AND($D145&lt;&gt;"",$V145="Macro"),$D145&amp;"|"&amp;$C145,"")</f>
        <v/>
      </c>
      <c r="AQ145" s="62">
        <f>""</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t="n"/>
      <c r="F146" s="59" t="n"/>
      <c r="G146" s="59" t="n"/>
      <c r="H146" s="60" t="n"/>
      <c r="I146" s="60">
        <f>IF(N($W146)=0,"",IF(AND($S146=MesCiclo,1&gt;SemanaActual),"",MIN(1,SUMIFS(OFFSET($A$1,ROW(),29,1000-ROW(),1),OFFSET($A$1,ROW(),20,1000-ROW(),1),ROW(),OFFSET($A$1,ROW(),21,1000-ROW(),1),"Sub"))))</f>
        <v/>
      </c>
      <c r="J146" s="60">
        <f>IF(N($W146)=0,"",IF(AND($S146=MesCiclo,2&gt;SemanaActual),"",MIN(1,SUMIFS(OFFSET($A$1,ROW(),30,1000-ROW(),1),OFFSET($A$1,ROW(),20,1000-ROW(),1),ROW(),OFFSET($A$1,ROW(),21,1000-ROW(),1),"Sub"))))</f>
        <v/>
      </c>
      <c r="K146" s="60">
        <f>IF(N($W146)=0,"",IF(AND($S146=MesCiclo,3&gt;SemanaActual),"",MIN(1,SUMIFS(OFFSET($A$1,ROW(),31,1000-ROW(),1),OFFSET($A$1,ROW(),20,1000-ROW(),1),ROW(),OFFSET($A$1,ROW(),21,1000-ROW(),1),"Sub"))))</f>
        <v/>
      </c>
      <c r="L146" s="60">
        <f>IF(N($W146)=0,"",IF(AND($S146=MesCiclo,4&gt;SemanaActual),"",MIN(1,SUMIFS(OFFSET($A$1,ROW(),32,1000-ROW(),1),OFFSET($A$1,ROW(),20,1000-ROW(),1),ROW(),OFFSET($A$1,ROW(),21,1000-ROW(),1),"Sub"))))</f>
        <v/>
      </c>
      <c r="M146" s="61">
        <f>IF(NOT((COUNTA($B146:$D146)+COUNTA($G146:$H146)+COUNTA($Q146))&gt;0),"",IF(AND($D146&lt;&gt;"",$V146="Macro"),IF(N($AM146)&gt;0,N(CHOOSE(MATCH($D146,ListaPuestos,0),INDEX('Cronograma R. Operacional'!$M$5:$M$1000,$AM146),INDEX('Cronograma R. Normativo'!$M$5:$M$1000,$AM146),INDEX('Cronograma R. Financiero'!$M$5:$M$1000,$AM146),INDEX('Cronograma Asistente Técnico'!$M$5:$M$1000,$AM146))),0),IF(ISNUMBER($G146),1,IF(N($W146)&gt;0,MIN(1,SUMIFS($Y$5:$Y$1000,$U$5:$U$1000,ROW(),$V$5:$V$1000,"Sub")),$Y146))))</f>
        <v/>
      </c>
      <c r="N146" s="56">
        <f>IF(OR($M146="",$V146="Sub"),"",IF($M146&gt;=1,"Completado",IF($M146&gt;0,"En curso","Pendiente")))</f>
        <v/>
      </c>
      <c r="O146" s="56">
        <f>IF(NOT((COUNTA($B146:$D146)+COUNTA($G146:$H146)+COUNTA($Q146))&gt;0),"",IF(AND(AND($D146&lt;&gt;"",$V146="Macro"),N($AM146)&gt;0),CHOOSE(MATCH($D146,ListaPuestos,0),INDEX('Cronograma R. Operacional'!$O$5:$O$1000,$AM146),INDEX('Cronograma R. Normativo'!$O$5:$O$1000,$AM146),INDEX('Cronograma R. Financiero'!$O$5:$O$1000,$AM146),INDEX('Cronograma Asistente Técnico'!$O$5:$O$1000,$AM146))&amp;"",IF(ISNUMBER($G146),IF(AND(ISNUMBER($AS146),$G146&gt;$AS146),"Cumplida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f>IF(NOT((COUNTA($B146:$D146)+COUNTA($G146:$H146)+COUNTA($Q146))&gt;0),"",IF($D146="","Propia",IF($V146&lt;&gt;"Macro","Solo se delegan macroactividades",IF(N($AM146)&gt;0,"✔ Recibida por "&amp;$D146,"⚠ "&amp;$D146&amp;" aún no la agrega"))))</f>
        <v/>
      </c>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IF($V146&lt;&gt;"Sub","",N($X146)*IF(AND(ISNUMBER($G146),$G146&lt;=IF($S146=MesCiclo,InicioCiclo,$S146+MOD(2-WEEKDAY($S146),7))+6),1,MIN(1,MAX(0,IF(ISNUMBER(OFFSET($A$1,ROW()-1,8)),OFFSET($A$1,ROW()-1,8),0)))))</f>
        <v/>
      </c>
      <c r="AE146" s="62">
        <f>IF($V146&lt;&gt;"Sub","",N($X146)*IF(AND(ISNUMBER($G146),$G146&lt;=IF($S146=MesCiclo,InicioCiclo,$S146+MOD(2-WEEKDAY($S146),7))+13),1,MIN(1,MAX(0,IF(ISNUMBER(OFFSET($A$1,ROW()-1,9)),OFFSET($A$1,ROW()-1,9),IF(ISNUMBER(OFFSET($A$1,ROW()-1,8)),OFFSET($A$1,ROW()-1,8),0))))))</f>
        <v/>
      </c>
      <c r="AF146" s="62">
        <f>IF($V146&lt;&gt;"Sub","",N($X146)*IF(AND(ISNUMBER($G146),$G146&lt;=IF($S146=MesCiclo,InicioCiclo,$S146+MOD(2-WEEKDAY($S146),7))+20),1,MIN(1,MAX(0,IF(ISNUMBER(OFFSET($A$1,ROW()-1,10)),OFFSET($A$1,ROW()-1,10),IF(ISNUMBER(OFFSET($A$1,ROW()-1,9)),OFFSET($A$1,ROW()-1,9),IF(ISNUMBER(OFFSET($A$1,ROW()-1,8)),OFFSET($A$1,ROW()-1,8),0)))))))</f>
        <v/>
      </c>
      <c r="AG146" s="62">
        <f>IF($V146&lt;&gt;"Sub","",N($X146)*IF(AND(ISNUMBER($G146),$G146&lt;=IF($S146=MesCiclo,InicioCiclo,$S146+MOD(2-WEEKDAY($S146),7))+27),1,MIN(1,MAX(0,IF(ISNUMBER(OFFSET($A$1,ROW()-1,11)),OFFSET($A$1,ROW()-1,11),IF(ISNUMBER(OFFSET($A$1,ROW()-1,10)),OFFSET($A$1,ROW()-1,10),IF(ISNUMBER(OFFSET($A$1,ROW()-1,9)),OFFSET($A$1,ROW()-1,9),IF(ISNUMBER(OFFSET($A$1,ROW()-1,8)),OFFSET($A$1,ROW()-1,8),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f>IF(NOT(AND($D146&lt;&gt;"",$V146="Macro")),"",IFERROR(CHOOSE(MATCH($D146,ListaPuestos,0),MATCH("[Jefatura] "&amp;$C146,'Cronograma R. Operacional'!$C$5:$C$1000,0),MATCH("[Jefatura] "&amp;$C146,'Cronograma R. Normativo'!$C$5:$C$1000,0),MATCH("[Jefatura] "&amp;$C146,'Cronograma R. Financiero'!$C$5:$C$1000,0),MATCH("[Jefatura] "&amp;$C146,'Cronograma Asistente Técnico'!$C$5:$C$1000,0)),0))</f>
        <v/>
      </c>
      <c r="AN146" s="62">
        <f>IF(AND(AND($D146&lt;&gt;"",$V146="Macro"),$S146=MesCiclo),COUNTIFS($D$5:$D146,$D146,$S$5:$S146,MesCiclo,$V$5:$V146,"Macro"),"")</f>
        <v/>
      </c>
      <c r="AO146" s="62">
        <f>IF($AN146="","",$D146&amp;"|"&amp;$AN146)</f>
        <v/>
      </c>
      <c r="AP146" s="62">
        <f>IF(AND($D146&lt;&gt;"",$V146="Macro"),$D146&amp;"|"&amp;$C146,"")</f>
        <v/>
      </c>
      <c r="AQ146" s="62">
        <f>""</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t="n"/>
      <c r="F147" s="59" t="n"/>
      <c r="G147" s="59" t="n"/>
      <c r="H147" s="60" t="n"/>
      <c r="I147" s="60">
        <f>IF(N($W147)=0,"",IF(AND($S147=MesCiclo,1&gt;SemanaActual),"",MIN(1,SUMIFS(OFFSET($A$1,ROW(),29,1000-ROW(),1),OFFSET($A$1,ROW(),20,1000-ROW(),1),ROW(),OFFSET($A$1,ROW(),21,1000-ROW(),1),"Sub"))))</f>
        <v/>
      </c>
      <c r="J147" s="60">
        <f>IF(N($W147)=0,"",IF(AND($S147=MesCiclo,2&gt;SemanaActual),"",MIN(1,SUMIFS(OFFSET($A$1,ROW(),30,1000-ROW(),1),OFFSET($A$1,ROW(),20,1000-ROW(),1),ROW(),OFFSET($A$1,ROW(),21,1000-ROW(),1),"Sub"))))</f>
        <v/>
      </c>
      <c r="K147" s="60">
        <f>IF(N($W147)=0,"",IF(AND($S147=MesCiclo,3&gt;SemanaActual),"",MIN(1,SUMIFS(OFFSET($A$1,ROW(),31,1000-ROW(),1),OFFSET($A$1,ROW(),20,1000-ROW(),1),ROW(),OFFSET($A$1,ROW(),21,1000-ROW(),1),"Sub"))))</f>
        <v/>
      </c>
      <c r="L147" s="60">
        <f>IF(N($W147)=0,"",IF(AND($S147=MesCiclo,4&gt;SemanaActual),"",MIN(1,SUMIFS(OFFSET($A$1,ROW(),32,1000-ROW(),1),OFFSET($A$1,ROW(),20,1000-ROW(),1),ROW(),OFFSET($A$1,ROW(),21,1000-ROW(),1),"Sub"))))</f>
        <v/>
      </c>
      <c r="M147" s="61">
        <f>IF(NOT((COUNTA($B147:$D147)+COUNTA($G147:$H147)+COUNTA($Q147))&gt;0),"",IF(AND($D147&lt;&gt;"",$V147="Macro"),IF(N($AM147)&gt;0,N(CHOOSE(MATCH($D147,ListaPuestos,0),INDEX('Cronograma R. Operacional'!$M$5:$M$1000,$AM147),INDEX('Cronograma R. Normativo'!$M$5:$M$1000,$AM147),INDEX('Cronograma R. Financiero'!$M$5:$M$1000,$AM147),INDEX('Cronograma Asistente Técnico'!$M$5:$M$1000,$AM147))),0),IF(ISNUMBER($G147),1,IF(N($W147)&gt;0,MIN(1,SUMIFS($Y$5:$Y$1000,$U$5:$U$1000,ROW(),$V$5:$V$1000,"Sub")),$Y147))))</f>
        <v/>
      </c>
      <c r="N147" s="56">
        <f>IF(OR($M147="",$V147="Sub"),"",IF($M147&gt;=1,"Completado",IF($M147&gt;0,"En curso","Pendiente")))</f>
        <v/>
      </c>
      <c r="O147" s="56">
        <f>IF(NOT((COUNTA($B147:$D147)+COUNTA($G147:$H147)+COUNTA($Q147))&gt;0),"",IF(AND(AND($D147&lt;&gt;"",$V147="Macro"),N($AM147)&gt;0),CHOOSE(MATCH($D147,ListaPuestos,0),INDEX('Cronograma R. Operacional'!$O$5:$O$1000,$AM147),INDEX('Cronograma R. Normativo'!$O$5:$O$1000,$AM147),INDEX('Cronograma R. Financiero'!$O$5:$O$1000,$AM147),INDEX('Cronograma Asistente Técnico'!$O$5:$O$1000,$AM147))&amp;"",IF(ISNUMBER($G147),IF(AND(ISNUMBER($AS147),$G147&gt;$AS147),"Cumplida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f>IF(NOT((COUNTA($B147:$D147)+COUNTA($G147:$H147)+COUNTA($Q147))&gt;0),"",IF($D147="","Propia",IF($V147&lt;&gt;"Macro","Solo se delegan macroactividades",IF(N($AM147)&gt;0,"✔ Recibida por "&amp;$D147,"⚠ "&amp;$D147&amp;" aún no la agrega"))))</f>
        <v/>
      </c>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IF($V147&lt;&gt;"Sub","",N($X147)*IF(AND(ISNUMBER($G147),$G147&lt;=IF($S147=MesCiclo,InicioCiclo,$S147+MOD(2-WEEKDAY($S147),7))+6),1,MIN(1,MAX(0,IF(ISNUMBER(OFFSET($A$1,ROW()-1,8)),OFFSET($A$1,ROW()-1,8),0)))))</f>
        <v/>
      </c>
      <c r="AE147" s="62">
        <f>IF($V147&lt;&gt;"Sub","",N($X147)*IF(AND(ISNUMBER($G147),$G147&lt;=IF($S147=MesCiclo,InicioCiclo,$S147+MOD(2-WEEKDAY($S147),7))+13),1,MIN(1,MAX(0,IF(ISNUMBER(OFFSET($A$1,ROW()-1,9)),OFFSET($A$1,ROW()-1,9),IF(ISNUMBER(OFFSET($A$1,ROW()-1,8)),OFFSET($A$1,ROW()-1,8),0))))))</f>
        <v/>
      </c>
      <c r="AF147" s="62">
        <f>IF($V147&lt;&gt;"Sub","",N($X147)*IF(AND(ISNUMBER($G147),$G147&lt;=IF($S147=MesCiclo,InicioCiclo,$S147+MOD(2-WEEKDAY($S147),7))+20),1,MIN(1,MAX(0,IF(ISNUMBER(OFFSET($A$1,ROW()-1,10)),OFFSET($A$1,ROW()-1,10),IF(ISNUMBER(OFFSET($A$1,ROW()-1,9)),OFFSET($A$1,ROW()-1,9),IF(ISNUMBER(OFFSET($A$1,ROW()-1,8)),OFFSET($A$1,ROW()-1,8),0)))))))</f>
        <v/>
      </c>
      <c r="AG147" s="62">
        <f>IF($V147&lt;&gt;"Sub","",N($X147)*IF(AND(ISNUMBER($G147),$G147&lt;=IF($S147=MesCiclo,InicioCiclo,$S147+MOD(2-WEEKDAY($S147),7))+27),1,MIN(1,MAX(0,IF(ISNUMBER(OFFSET($A$1,ROW()-1,11)),OFFSET($A$1,ROW()-1,11),IF(ISNUMBER(OFFSET($A$1,ROW()-1,10)),OFFSET($A$1,ROW()-1,10),IF(ISNUMBER(OFFSET($A$1,ROW()-1,9)),OFFSET($A$1,ROW()-1,9),IF(ISNUMBER(OFFSET($A$1,ROW()-1,8)),OFFSET($A$1,ROW()-1,8),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f>IF(NOT(AND($D147&lt;&gt;"",$V147="Macro")),"",IFERROR(CHOOSE(MATCH($D147,ListaPuestos,0),MATCH("[Jefatura] "&amp;$C147,'Cronograma R. Operacional'!$C$5:$C$1000,0),MATCH("[Jefatura] "&amp;$C147,'Cronograma R. Normativo'!$C$5:$C$1000,0),MATCH("[Jefatura] "&amp;$C147,'Cronograma R. Financiero'!$C$5:$C$1000,0),MATCH("[Jefatura] "&amp;$C147,'Cronograma Asistente Técnico'!$C$5:$C$1000,0)),0))</f>
        <v/>
      </c>
      <c r="AN147" s="62">
        <f>IF(AND(AND($D147&lt;&gt;"",$V147="Macro"),$S147=MesCiclo),COUNTIFS($D$5:$D147,$D147,$S$5:$S147,MesCiclo,$V$5:$V147,"Macro"),"")</f>
        <v/>
      </c>
      <c r="AO147" s="62">
        <f>IF($AN147="","",$D147&amp;"|"&amp;$AN147)</f>
        <v/>
      </c>
      <c r="AP147" s="62">
        <f>IF(AND($D147&lt;&gt;"",$V147="Macro"),$D147&amp;"|"&amp;$C147,"")</f>
        <v/>
      </c>
      <c r="AQ147" s="62">
        <f>""</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t="n"/>
      <c r="F148" s="59" t="n"/>
      <c r="G148" s="59" t="n"/>
      <c r="H148" s="60" t="n"/>
      <c r="I148" s="60">
        <f>IF(N($W148)=0,"",IF(AND($S148=MesCiclo,1&gt;SemanaActual),"",MIN(1,SUMIFS(OFFSET($A$1,ROW(),29,1000-ROW(),1),OFFSET($A$1,ROW(),20,1000-ROW(),1),ROW(),OFFSET($A$1,ROW(),21,1000-ROW(),1),"Sub"))))</f>
        <v/>
      </c>
      <c r="J148" s="60">
        <f>IF(N($W148)=0,"",IF(AND($S148=MesCiclo,2&gt;SemanaActual),"",MIN(1,SUMIFS(OFFSET($A$1,ROW(),30,1000-ROW(),1),OFFSET($A$1,ROW(),20,1000-ROW(),1),ROW(),OFFSET($A$1,ROW(),21,1000-ROW(),1),"Sub"))))</f>
        <v/>
      </c>
      <c r="K148" s="60">
        <f>IF(N($W148)=0,"",IF(AND($S148=MesCiclo,3&gt;SemanaActual),"",MIN(1,SUMIFS(OFFSET($A$1,ROW(),31,1000-ROW(),1),OFFSET($A$1,ROW(),20,1000-ROW(),1),ROW(),OFFSET($A$1,ROW(),21,1000-ROW(),1),"Sub"))))</f>
        <v/>
      </c>
      <c r="L148" s="60">
        <f>IF(N($W148)=0,"",IF(AND($S148=MesCiclo,4&gt;SemanaActual),"",MIN(1,SUMIFS(OFFSET($A$1,ROW(),32,1000-ROW(),1),OFFSET($A$1,ROW(),20,1000-ROW(),1),ROW(),OFFSET($A$1,ROW(),21,1000-ROW(),1),"Sub"))))</f>
        <v/>
      </c>
      <c r="M148" s="61">
        <f>IF(NOT((COUNTA($B148:$D148)+COUNTA($G148:$H148)+COUNTA($Q148))&gt;0),"",IF(AND($D148&lt;&gt;"",$V148="Macro"),IF(N($AM148)&gt;0,N(CHOOSE(MATCH($D148,ListaPuestos,0),INDEX('Cronograma R. Operacional'!$M$5:$M$1000,$AM148),INDEX('Cronograma R. Normativo'!$M$5:$M$1000,$AM148),INDEX('Cronograma R. Financiero'!$M$5:$M$1000,$AM148),INDEX('Cronograma Asistente Técnico'!$M$5:$M$1000,$AM148))),0),IF(ISNUMBER($G148),1,IF(N($W148)&gt;0,MIN(1,SUMIFS($Y$5:$Y$1000,$U$5:$U$1000,ROW(),$V$5:$V$1000,"Sub")),$Y148))))</f>
        <v/>
      </c>
      <c r="N148" s="56">
        <f>IF(OR($M148="",$V148="Sub"),"",IF($M148&gt;=1,"Completado",IF($M148&gt;0,"En curso","Pendiente")))</f>
        <v/>
      </c>
      <c r="O148" s="56">
        <f>IF(NOT((COUNTA($B148:$D148)+COUNTA($G148:$H148)+COUNTA($Q148))&gt;0),"",IF(AND(AND($D148&lt;&gt;"",$V148="Macro"),N($AM148)&gt;0),CHOOSE(MATCH($D148,ListaPuestos,0),INDEX('Cronograma R. Operacional'!$O$5:$O$1000,$AM148),INDEX('Cronograma R. Normativo'!$O$5:$O$1000,$AM148),INDEX('Cronograma R. Financiero'!$O$5:$O$1000,$AM148),INDEX('Cronograma Asistente Técnico'!$O$5:$O$1000,$AM148))&amp;"",IF(ISNUMBER($G148),IF(AND(ISNUMBER($AS148),$G148&gt;$AS148),"Cumplida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f>IF(NOT((COUNTA($B148:$D148)+COUNTA($G148:$H148)+COUNTA($Q148))&gt;0),"",IF($D148="","Propia",IF($V148&lt;&gt;"Macro","Solo se delegan macroactividades",IF(N($AM148)&gt;0,"✔ Recibida por "&amp;$D148,"⚠ "&amp;$D148&amp;" aún no la agrega"))))</f>
        <v/>
      </c>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IF($V148&lt;&gt;"Sub","",N($X148)*IF(AND(ISNUMBER($G148),$G148&lt;=IF($S148=MesCiclo,InicioCiclo,$S148+MOD(2-WEEKDAY($S148),7))+6),1,MIN(1,MAX(0,IF(ISNUMBER(OFFSET($A$1,ROW()-1,8)),OFFSET($A$1,ROW()-1,8),0)))))</f>
        <v/>
      </c>
      <c r="AE148" s="62">
        <f>IF($V148&lt;&gt;"Sub","",N($X148)*IF(AND(ISNUMBER($G148),$G148&lt;=IF($S148=MesCiclo,InicioCiclo,$S148+MOD(2-WEEKDAY($S148),7))+13),1,MIN(1,MAX(0,IF(ISNUMBER(OFFSET($A$1,ROW()-1,9)),OFFSET($A$1,ROW()-1,9),IF(ISNUMBER(OFFSET($A$1,ROW()-1,8)),OFFSET($A$1,ROW()-1,8),0))))))</f>
        <v/>
      </c>
      <c r="AF148" s="62">
        <f>IF($V148&lt;&gt;"Sub","",N($X148)*IF(AND(ISNUMBER($G148),$G148&lt;=IF($S148=MesCiclo,InicioCiclo,$S148+MOD(2-WEEKDAY($S148),7))+20),1,MIN(1,MAX(0,IF(ISNUMBER(OFFSET($A$1,ROW()-1,10)),OFFSET($A$1,ROW()-1,10),IF(ISNUMBER(OFFSET($A$1,ROW()-1,9)),OFFSET($A$1,ROW()-1,9),IF(ISNUMBER(OFFSET($A$1,ROW()-1,8)),OFFSET($A$1,ROW()-1,8),0)))))))</f>
        <v/>
      </c>
      <c r="AG148" s="62">
        <f>IF($V148&lt;&gt;"Sub","",N($X148)*IF(AND(ISNUMBER($G148),$G148&lt;=IF($S148=MesCiclo,InicioCiclo,$S148+MOD(2-WEEKDAY($S148),7))+27),1,MIN(1,MAX(0,IF(ISNUMBER(OFFSET($A$1,ROW()-1,11)),OFFSET($A$1,ROW()-1,11),IF(ISNUMBER(OFFSET($A$1,ROW()-1,10)),OFFSET($A$1,ROW()-1,10),IF(ISNUMBER(OFFSET($A$1,ROW()-1,9)),OFFSET($A$1,ROW()-1,9),IF(ISNUMBER(OFFSET($A$1,ROW()-1,8)),OFFSET($A$1,ROW()-1,8),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f>IF(NOT(AND($D148&lt;&gt;"",$V148="Macro")),"",IFERROR(CHOOSE(MATCH($D148,ListaPuestos,0),MATCH("[Jefatura] "&amp;$C148,'Cronograma R. Operacional'!$C$5:$C$1000,0),MATCH("[Jefatura] "&amp;$C148,'Cronograma R. Normativo'!$C$5:$C$1000,0),MATCH("[Jefatura] "&amp;$C148,'Cronograma R. Financiero'!$C$5:$C$1000,0),MATCH("[Jefatura] "&amp;$C148,'Cronograma Asistente Técnico'!$C$5:$C$1000,0)),0))</f>
        <v/>
      </c>
      <c r="AN148" s="62">
        <f>IF(AND(AND($D148&lt;&gt;"",$V148="Macro"),$S148=MesCiclo),COUNTIFS($D$5:$D148,$D148,$S$5:$S148,MesCiclo,$V$5:$V148,"Macro"),"")</f>
        <v/>
      </c>
      <c r="AO148" s="62">
        <f>IF($AN148="","",$D148&amp;"|"&amp;$AN148)</f>
        <v/>
      </c>
      <c r="AP148" s="62">
        <f>IF(AND($D148&lt;&gt;"",$V148="Macro"),$D148&amp;"|"&amp;$C148,"")</f>
        <v/>
      </c>
      <c r="AQ148" s="62">
        <f>""</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t="n"/>
      <c r="F149" s="59" t="n"/>
      <c r="G149" s="59" t="n"/>
      <c r="H149" s="60" t="n"/>
      <c r="I149" s="60">
        <f>IF(N($W149)=0,"",IF(AND($S149=MesCiclo,1&gt;SemanaActual),"",MIN(1,SUMIFS(OFFSET($A$1,ROW(),29,1000-ROW(),1),OFFSET($A$1,ROW(),20,1000-ROW(),1),ROW(),OFFSET($A$1,ROW(),21,1000-ROW(),1),"Sub"))))</f>
        <v/>
      </c>
      <c r="J149" s="60">
        <f>IF(N($W149)=0,"",IF(AND($S149=MesCiclo,2&gt;SemanaActual),"",MIN(1,SUMIFS(OFFSET($A$1,ROW(),30,1000-ROW(),1),OFFSET($A$1,ROW(),20,1000-ROW(),1),ROW(),OFFSET($A$1,ROW(),21,1000-ROW(),1),"Sub"))))</f>
        <v/>
      </c>
      <c r="K149" s="60">
        <f>IF(N($W149)=0,"",IF(AND($S149=MesCiclo,3&gt;SemanaActual),"",MIN(1,SUMIFS(OFFSET($A$1,ROW(),31,1000-ROW(),1),OFFSET($A$1,ROW(),20,1000-ROW(),1),ROW(),OFFSET($A$1,ROW(),21,1000-ROW(),1),"Sub"))))</f>
        <v/>
      </c>
      <c r="L149" s="60">
        <f>IF(N($W149)=0,"",IF(AND($S149=MesCiclo,4&gt;SemanaActual),"",MIN(1,SUMIFS(OFFSET($A$1,ROW(),32,1000-ROW(),1),OFFSET($A$1,ROW(),20,1000-ROW(),1),ROW(),OFFSET($A$1,ROW(),21,1000-ROW(),1),"Sub"))))</f>
        <v/>
      </c>
      <c r="M149" s="61">
        <f>IF(NOT((COUNTA($B149:$D149)+COUNTA($G149:$H149)+COUNTA($Q149))&gt;0),"",IF(AND($D149&lt;&gt;"",$V149="Macro"),IF(N($AM149)&gt;0,N(CHOOSE(MATCH($D149,ListaPuestos,0),INDEX('Cronograma R. Operacional'!$M$5:$M$1000,$AM149),INDEX('Cronograma R. Normativo'!$M$5:$M$1000,$AM149),INDEX('Cronograma R. Financiero'!$M$5:$M$1000,$AM149),INDEX('Cronograma Asistente Técnico'!$M$5:$M$1000,$AM149))),0),IF(ISNUMBER($G149),1,IF(N($W149)&gt;0,MIN(1,SUMIFS($Y$5:$Y$1000,$U$5:$U$1000,ROW(),$V$5:$V$1000,"Sub")),$Y149))))</f>
        <v/>
      </c>
      <c r="N149" s="56">
        <f>IF(OR($M149="",$V149="Sub"),"",IF($M149&gt;=1,"Completado",IF($M149&gt;0,"En curso","Pendiente")))</f>
        <v/>
      </c>
      <c r="O149" s="56">
        <f>IF(NOT((COUNTA($B149:$D149)+COUNTA($G149:$H149)+COUNTA($Q149))&gt;0),"",IF(AND(AND($D149&lt;&gt;"",$V149="Macro"),N($AM149)&gt;0),CHOOSE(MATCH($D149,ListaPuestos,0),INDEX('Cronograma R. Operacional'!$O$5:$O$1000,$AM149),INDEX('Cronograma R. Normativo'!$O$5:$O$1000,$AM149),INDEX('Cronograma R. Financiero'!$O$5:$O$1000,$AM149),INDEX('Cronograma Asistente Técnico'!$O$5:$O$1000,$AM149))&amp;"",IF(ISNUMBER($G149),IF(AND(ISNUMBER($AS149),$G149&gt;$AS149),"Cumplida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f>IF(NOT((COUNTA($B149:$D149)+COUNTA($G149:$H149)+COUNTA($Q149))&gt;0),"",IF($D149="","Propia",IF($V149&lt;&gt;"Macro","Solo se delegan macroactividades",IF(N($AM149)&gt;0,"✔ Recibida por "&amp;$D149,"⚠ "&amp;$D149&amp;" aún no la agrega"))))</f>
        <v/>
      </c>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IF($V149&lt;&gt;"Sub","",N($X149)*IF(AND(ISNUMBER($G149),$G149&lt;=IF($S149=MesCiclo,InicioCiclo,$S149+MOD(2-WEEKDAY($S149),7))+6),1,MIN(1,MAX(0,IF(ISNUMBER(OFFSET($A$1,ROW()-1,8)),OFFSET($A$1,ROW()-1,8),0)))))</f>
        <v/>
      </c>
      <c r="AE149" s="62">
        <f>IF($V149&lt;&gt;"Sub","",N($X149)*IF(AND(ISNUMBER($G149),$G149&lt;=IF($S149=MesCiclo,InicioCiclo,$S149+MOD(2-WEEKDAY($S149),7))+13),1,MIN(1,MAX(0,IF(ISNUMBER(OFFSET($A$1,ROW()-1,9)),OFFSET($A$1,ROW()-1,9),IF(ISNUMBER(OFFSET($A$1,ROW()-1,8)),OFFSET($A$1,ROW()-1,8),0))))))</f>
        <v/>
      </c>
      <c r="AF149" s="62">
        <f>IF($V149&lt;&gt;"Sub","",N($X149)*IF(AND(ISNUMBER($G149),$G149&lt;=IF($S149=MesCiclo,InicioCiclo,$S149+MOD(2-WEEKDAY($S149),7))+20),1,MIN(1,MAX(0,IF(ISNUMBER(OFFSET($A$1,ROW()-1,10)),OFFSET($A$1,ROW()-1,10),IF(ISNUMBER(OFFSET($A$1,ROW()-1,9)),OFFSET($A$1,ROW()-1,9),IF(ISNUMBER(OFFSET($A$1,ROW()-1,8)),OFFSET($A$1,ROW()-1,8),0)))))))</f>
        <v/>
      </c>
      <c r="AG149" s="62">
        <f>IF($V149&lt;&gt;"Sub","",N($X149)*IF(AND(ISNUMBER($G149),$G149&lt;=IF($S149=MesCiclo,InicioCiclo,$S149+MOD(2-WEEKDAY($S149),7))+27),1,MIN(1,MAX(0,IF(ISNUMBER(OFFSET($A$1,ROW()-1,11)),OFFSET($A$1,ROW()-1,11),IF(ISNUMBER(OFFSET($A$1,ROW()-1,10)),OFFSET($A$1,ROW()-1,10),IF(ISNUMBER(OFFSET($A$1,ROW()-1,9)),OFFSET($A$1,ROW()-1,9),IF(ISNUMBER(OFFSET($A$1,ROW()-1,8)),OFFSET($A$1,ROW()-1,8),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f>IF(NOT(AND($D149&lt;&gt;"",$V149="Macro")),"",IFERROR(CHOOSE(MATCH($D149,ListaPuestos,0),MATCH("[Jefatura] "&amp;$C149,'Cronograma R. Operacional'!$C$5:$C$1000,0),MATCH("[Jefatura] "&amp;$C149,'Cronograma R. Normativo'!$C$5:$C$1000,0),MATCH("[Jefatura] "&amp;$C149,'Cronograma R. Financiero'!$C$5:$C$1000,0),MATCH("[Jefatura] "&amp;$C149,'Cronograma Asistente Técnico'!$C$5:$C$1000,0)),0))</f>
        <v/>
      </c>
      <c r="AN149" s="62">
        <f>IF(AND(AND($D149&lt;&gt;"",$V149="Macro"),$S149=MesCiclo),COUNTIFS($D$5:$D149,$D149,$S$5:$S149,MesCiclo,$V$5:$V149,"Macro"),"")</f>
        <v/>
      </c>
      <c r="AO149" s="62">
        <f>IF($AN149="","",$D149&amp;"|"&amp;$AN149)</f>
        <v/>
      </c>
      <c r="AP149" s="62">
        <f>IF(AND($D149&lt;&gt;"",$V149="Macro"),$D149&amp;"|"&amp;$C149,"")</f>
        <v/>
      </c>
      <c r="AQ149" s="62">
        <f>""</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t="n"/>
      <c r="F150" s="59" t="n"/>
      <c r="G150" s="59" t="n"/>
      <c r="H150" s="60" t="n"/>
      <c r="I150" s="60">
        <f>IF(N($W150)=0,"",IF(AND($S150=MesCiclo,1&gt;SemanaActual),"",MIN(1,SUMIFS(OFFSET($A$1,ROW(),29,1000-ROW(),1),OFFSET($A$1,ROW(),20,1000-ROW(),1),ROW(),OFFSET($A$1,ROW(),21,1000-ROW(),1),"Sub"))))</f>
        <v/>
      </c>
      <c r="J150" s="60">
        <f>IF(N($W150)=0,"",IF(AND($S150=MesCiclo,2&gt;SemanaActual),"",MIN(1,SUMIFS(OFFSET($A$1,ROW(),30,1000-ROW(),1),OFFSET($A$1,ROW(),20,1000-ROW(),1),ROW(),OFFSET($A$1,ROW(),21,1000-ROW(),1),"Sub"))))</f>
        <v/>
      </c>
      <c r="K150" s="60">
        <f>IF(N($W150)=0,"",IF(AND($S150=MesCiclo,3&gt;SemanaActual),"",MIN(1,SUMIFS(OFFSET($A$1,ROW(),31,1000-ROW(),1),OFFSET($A$1,ROW(),20,1000-ROW(),1),ROW(),OFFSET($A$1,ROW(),21,1000-ROW(),1),"Sub"))))</f>
        <v/>
      </c>
      <c r="L150" s="60">
        <f>IF(N($W150)=0,"",IF(AND($S150=MesCiclo,4&gt;SemanaActual),"",MIN(1,SUMIFS(OFFSET($A$1,ROW(),32,1000-ROW(),1),OFFSET($A$1,ROW(),20,1000-ROW(),1),ROW(),OFFSET($A$1,ROW(),21,1000-ROW(),1),"Sub"))))</f>
        <v/>
      </c>
      <c r="M150" s="61">
        <f>IF(NOT((COUNTA($B150:$D150)+COUNTA($G150:$H150)+COUNTA($Q150))&gt;0),"",IF(AND($D150&lt;&gt;"",$V150="Macro"),IF(N($AM150)&gt;0,N(CHOOSE(MATCH($D150,ListaPuestos,0),INDEX('Cronograma R. Operacional'!$M$5:$M$1000,$AM150),INDEX('Cronograma R. Normativo'!$M$5:$M$1000,$AM150),INDEX('Cronograma R. Financiero'!$M$5:$M$1000,$AM150),INDEX('Cronograma Asistente Técnico'!$M$5:$M$1000,$AM150))),0),IF(ISNUMBER($G150),1,IF(N($W150)&gt;0,MIN(1,SUMIFS($Y$5:$Y$1000,$U$5:$U$1000,ROW(),$V$5:$V$1000,"Sub")),$Y150))))</f>
        <v/>
      </c>
      <c r="N150" s="56">
        <f>IF(OR($M150="",$V150="Sub"),"",IF($M150&gt;=1,"Completado",IF($M150&gt;0,"En curso","Pendiente")))</f>
        <v/>
      </c>
      <c r="O150" s="56">
        <f>IF(NOT((COUNTA($B150:$D150)+COUNTA($G150:$H150)+COUNTA($Q150))&gt;0),"",IF(AND(AND($D150&lt;&gt;"",$V150="Macro"),N($AM150)&gt;0),CHOOSE(MATCH($D150,ListaPuestos,0),INDEX('Cronograma R. Operacional'!$O$5:$O$1000,$AM150),INDEX('Cronograma R. Normativo'!$O$5:$O$1000,$AM150),INDEX('Cronograma R. Financiero'!$O$5:$O$1000,$AM150),INDEX('Cronograma Asistente Técnico'!$O$5:$O$1000,$AM150))&amp;"",IF(ISNUMBER($G150),IF(AND(ISNUMBER($AS150),$G150&gt;$AS150),"Cumplida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f>IF(NOT((COUNTA($B150:$D150)+COUNTA($G150:$H150)+COUNTA($Q150))&gt;0),"",IF($D150="","Propia",IF($V150&lt;&gt;"Macro","Solo se delegan macroactividades",IF(N($AM150)&gt;0,"✔ Recibida por "&amp;$D150,"⚠ "&amp;$D150&amp;" aún no la agrega"))))</f>
        <v/>
      </c>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IF($V150&lt;&gt;"Sub","",N($X150)*IF(AND(ISNUMBER($G150),$G150&lt;=IF($S150=MesCiclo,InicioCiclo,$S150+MOD(2-WEEKDAY($S150),7))+6),1,MIN(1,MAX(0,IF(ISNUMBER(OFFSET($A$1,ROW()-1,8)),OFFSET($A$1,ROW()-1,8),0)))))</f>
        <v/>
      </c>
      <c r="AE150" s="62">
        <f>IF($V150&lt;&gt;"Sub","",N($X150)*IF(AND(ISNUMBER($G150),$G150&lt;=IF($S150=MesCiclo,InicioCiclo,$S150+MOD(2-WEEKDAY($S150),7))+13),1,MIN(1,MAX(0,IF(ISNUMBER(OFFSET($A$1,ROW()-1,9)),OFFSET($A$1,ROW()-1,9),IF(ISNUMBER(OFFSET($A$1,ROW()-1,8)),OFFSET($A$1,ROW()-1,8),0))))))</f>
        <v/>
      </c>
      <c r="AF150" s="62">
        <f>IF($V150&lt;&gt;"Sub","",N($X150)*IF(AND(ISNUMBER($G150),$G150&lt;=IF($S150=MesCiclo,InicioCiclo,$S150+MOD(2-WEEKDAY($S150),7))+20),1,MIN(1,MAX(0,IF(ISNUMBER(OFFSET($A$1,ROW()-1,10)),OFFSET($A$1,ROW()-1,10),IF(ISNUMBER(OFFSET($A$1,ROW()-1,9)),OFFSET($A$1,ROW()-1,9),IF(ISNUMBER(OFFSET($A$1,ROW()-1,8)),OFFSET($A$1,ROW()-1,8),0)))))))</f>
        <v/>
      </c>
      <c r="AG150" s="62">
        <f>IF($V150&lt;&gt;"Sub","",N($X150)*IF(AND(ISNUMBER($G150),$G150&lt;=IF($S150=MesCiclo,InicioCiclo,$S150+MOD(2-WEEKDAY($S150),7))+27),1,MIN(1,MAX(0,IF(ISNUMBER(OFFSET($A$1,ROW()-1,11)),OFFSET($A$1,ROW()-1,11),IF(ISNUMBER(OFFSET($A$1,ROW()-1,10)),OFFSET($A$1,ROW()-1,10),IF(ISNUMBER(OFFSET($A$1,ROW()-1,9)),OFFSET($A$1,ROW()-1,9),IF(ISNUMBER(OFFSET($A$1,ROW()-1,8)),OFFSET($A$1,ROW()-1,8),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f>IF(NOT(AND($D150&lt;&gt;"",$V150="Macro")),"",IFERROR(CHOOSE(MATCH($D150,ListaPuestos,0),MATCH("[Jefatura] "&amp;$C150,'Cronograma R. Operacional'!$C$5:$C$1000,0),MATCH("[Jefatura] "&amp;$C150,'Cronograma R. Normativo'!$C$5:$C$1000,0),MATCH("[Jefatura] "&amp;$C150,'Cronograma R. Financiero'!$C$5:$C$1000,0),MATCH("[Jefatura] "&amp;$C150,'Cronograma Asistente Técnico'!$C$5:$C$1000,0)),0))</f>
        <v/>
      </c>
      <c r="AN150" s="62">
        <f>IF(AND(AND($D150&lt;&gt;"",$V150="Macro"),$S150=MesCiclo),COUNTIFS($D$5:$D150,$D150,$S$5:$S150,MesCiclo,$V$5:$V150,"Macro"),"")</f>
        <v/>
      </c>
      <c r="AO150" s="62">
        <f>IF($AN150="","",$D150&amp;"|"&amp;$AN150)</f>
        <v/>
      </c>
      <c r="AP150" s="62">
        <f>IF(AND($D150&lt;&gt;"",$V150="Macro"),$D150&amp;"|"&amp;$C150,"")</f>
        <v/>
      </c>
      <c r="AQ150" s="62">
        <f>""</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t="n"/>
      <c r="F151" s="59" t="n"/>
      <c r="G151" s="59" t="n"/>
      <c r="H151" s="60" t="n"/>
      <c r="I151" s="60">
        <f>IF(N($W151)=0,"",IF(AND($S151=MesCiclo,1&gt;SemanaActual),"",MIN(1,SUMIFS(OFFSET($A$1,ROW(),29,1000-ROW(),1),OFFSET($A$1,ROW(),20,1000-ROW(),1),ROW(),OFFSET($A$1,ROW(),21,1000-ROW(),1),"Sub"))))</f>
        <v/>
      </c>
      <c r="J151" s="60">
        <f>IF(N($W151)=0,"",IF(AND($S151=MesCiclo,2&gt;SemanaActual),"",MIN(1,SUMIFS(OFFSET($A$1,ROW(),30,1000-ROW(),1),OFFSET($A$1,ROW(),20,1000-ROW(),1),ROW(),OFFSET($A$1,ROW(),21,1000-ROW(),1),"Sub"))))</f>
        <v/>
      </c>
      <c r="K151" s="60">
        <f>IF(N($W151)=0,"",IF(AND($S151=MesCiclo,3&gt;SemanaActual),"",MIN(1,SUMIFS(OFFSET($A$1,ROW(),31,1000-ROW(),1),OFFSET($A$1,ROW(),20,1000-ROW(),1),ROW(),OFFSET($A$1,ROW(),21,1000-ROW(),1),"Sub"))))</f>
        <v/>
      </c>
      <c r="L151" s="60">
        <f>IF(N($W151)=0,"",IF(AND($S151=MesCiclo,4&gt;SemanaActual),"",MIN(1,SUMIFS(OFFSET($A$1,ROW(),32,1000-ROW(),1),OFFSET($A$1,ROW(),20,1000-ROW(),1),ROW(),OFFSET($A$1,ROW(),21,1000-ROW(),1),"Sub"))))</f>
        <v/>
      </c>
      <c r="M151" s="61">
        <f>IF(NOT((COUNTA($B151:$D151)+COUNTA($G151:$H151)+COUNTA($Q151))&gt;0),"",IF(AND($D151&lt;&gt;"",$V151="Macro"),IF(N($AM151)&gt;0,N(CHOOSE(MATCH($D151,ListaPuestos,0),INDEX('Cronograma R. Operacional'!$M$5:$M$1000,$AM151),INDEX('Cronograma R. Normativo'!$M$5:$M$1000,$AM151),INDEX('Cronograma R. Financiero'!$M$5:$M$1000,$AM151),INDEX('Cronograma Asistente Técnico'!$M$5:$M$1000,$AM151))),0),IF(ISNUMBER($G151),1,IF(N($W151)&gt;0,MIN(1,SUMIFS($Y$5:$Y$1000,$U$5:$U$1000,ROW(),$V$5:$V$1000,"Sub")),$Y151))))</f>
        <v/>
      </c>
      <c r="N151" s="56">
        <f>IF(OR($M151="",$V151="Sub"),"",IF($M151&gt;=1,"Completado",IF($M151&gt;0,"En curso","Pendiente")))</f>
        <v/>
      </c>
      <c r="O151" s="56">
        <f>IF(NOT((COUNTA($B151:$D151)+COUNTA($G151:$H151)+COUNTA($Q151))&gt;0),"",IF(AND(AND($D151&lt;&gt;"",$V151="Macro"),N($AM151)&gt;0),CHOOSE(MATCH($D151,ListaPuestos,0),INDEX('Cronograma R. Operacional'!$O$5:$O$1000,$AM151),INDEX('Cronograma R. Normativo'!$O$5:$O$1000,$AM151),INDEX('Cronograma R. Financiero'!$O$5:$O$1000,$AM151),INDEX('Cronograma Asistente Técnico'!$O$5:$O$1000,$AM151))&amp;"",IF(ISNUMBER($G151),IF(AND(ISNUMBER($AS151),$G151&gt;$AS151),"Cumplida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f>IF(NOT((COUNTA($B151:$D151)+COUNTA($G151:$H151)+COUNTA($Q151))&gt;0),"",IF($D151="","Propia",IF($V151&lt;&gt;"Macro","Solo se delegan macroactividades",IF(N($AM151)&gt;0,"✔ Recibida por "&amp;$D151,"⚠ "&amp;$D151&amp;" aún no la agrega"))))</f>
        <v/>
      </c>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IF($V151&lt;&gt;"Sub","",N($X151)*IF(AND(ISNUMBER($G151),$G151&lt;=IF($S151=MesCiclo,InicioCiclo,$S151+MOD(2-WEEKDAY($S151),7))+6),1,MIN(1,MAX(0,IF(ISNUMBER(OFFSET($A$1,ROW()-1,8)),OFFSET($A$1,ROW()-1,8),0)))))</f>
        <v/>
      </c>
      <c r="AE151" s="62">
        <f>IF($V151&lt;&gt;"Sub","",N($X151)*IF(AND(ISNUMBER($G151),$G151&lt;=IF($S151=MesCiclo,InicioCiclo,$S151+MOD(2-WEEKDAY($S151),7))+13),1,MIN(1,MAX(0,IF(ISNUMBER(OFFSET($A$1,ROW()-1,9)),OFFSET($A$1,ROW()-1,9),IF(ISNUMBER(OFFSET($A$1,ROW()-1,8)),OFFSET($A$1,ROW()-1,8),0))))))</f>
        <v/>
      </c>
      <c r="AF151" s="62">
        <f>IF($V151&lt;&gt;"Sub","",N($X151)*IF(AND(ISNUMBER($G151),$G151&lt;=IF($S151=MesCiclo,InicioCiclo,$S151+MOD(2-WEEKDAY($S151),7))+20),1,MIN(1,MAX(0,IF(ISNUMBER(OFFSET($A$1,ROW()-1,10)),OFFSET($A$1,ROW()-1,10),IF(ISNUMBER(OFFSET($A$1,ROW()-1,9)),OFFSET($A$1,ROW()-1,9),IF(ISNUMBER(OFFSET($A$1,ROW()-1,8)),OFFSET($A$1,ROW()-1,8),0)))))))</f>
        <v/>
      </c>
      <c r="AG151" s="62">
        <f>IF($V151&lt;&gt;"Sub","",N($X151)*IF(AND(ISNUMBER($G151),$G151&lt;=IF($S151=MesCiclo,InicioCiclo,$S151+MOD(2-WEEKDAY($S151),7))+27),1,MIN(1,MAX(0,IF(ISNUMBER(OFFSET($A$1,ROW()-1,11)),OFFSET($A$1,ROW()-1,11),IF(ISNUMBER(OFFSET($A$1,ROW()-1,10)),OFFSET($A$1,ROW()-1,10),IF(ISNUMBER(OFFSET($A$1,ROW()-1,9)),OFFSET($A$1,ROW()-1,9),IF(ISNUMBER(OFFSET($A$1,ROW()-1,8)),OFFSET($A$1,ROW()-1,8),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f>IF(NOT(AND($D151&lt;&gt;"",$V151="Macro")),"",IFERROR(CHOOSE(MATCH($D151,ListaPuestos,0),MATCH("[Jefatura] "&amp;$C151,'Cronograma R. Operacional'!$C$5:$C$1000,0),MATCH("[Jefatura] "&amp;$C151,'Cronograma R. Normativo'!$C$5:$C$1000,0),MATCH("[Jefatura] "&amp;$C151,'Cronograma R. Financiero'!$C$5:$C$1000,0),MATCH("[Jefatura] "&amp;$C151,'Cronograma Asistente Técnico'!$C$5:$C$1000,0)),0))</f>
        <v/>
      </c>
      <c r="AN151" s="62">
        <f>IF(AND(AND($D151&lt;&gt;"",$V151="Macro"),$S151=MesCiclo),COUNTIFS($D$5:$D151,$D151,$S$5:$S151,MesCiclo,$V$5:$V151,"Macro"),"")</f>
        <v/>
      </c>
      <c r="AO151" s="62">
        <f>IF($AN151="","",$D151&amp;"|"&amp;$AN151)</f>
        <v/>
      </c>
      <c r="AP151" s="62">
        <f>IF(AND($D151&lt;&gt;"",$V151="Macro"),$D151&amp;"|"&amp;$C151,"")</f>
        <v/>
      </c>
      <c r="AQ151" s="62">
        <f>""</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t="n"/>
      <c r="F152" s="59" t="n"/>
      <c r="G152" s="59" t="n"/>
      <c r="H152" s="60" t="n"/>
      <c r="I152" s="60">
        <f>IF(N($W152)=0,"",IF(AND($S152=MesCiclo,1&gt;SemanaActual),"",MIN(1,SUMIFS(OFFSET($A$1,ROW(),29,1000-ROW(),1),OFFSET($A$1,ROW(),20,1000-ROW(),1),ROW(),OFFSET($A$1,ROW(),21,1000-ROW(),1),"Sub"))))</f>
        <v/>
      </c>
      <c r="J152" s="60">
        <f>IF(N($W152)=0,"",IF(AND($S152=MesCiclo,2&gt;SemanaActual),"",MIN(1,SUMIFS(OFFSET($A$1,ROW(),30,1000-ROW(),1),OFFSET($A$1,ROW(),20,1000-ROW(),1),ROW(),OFFSET($A$1,ROW(),21,1000-ROW(),1),"Sub"))))</f>
        <v/>
      </c>
      <c r="K152" s="60">
        <f>IF(N($W152)=0,"",IF(AND($S152=MesCiclo,3&gt;SemanaActual),"",MIN(1,SUMIFS(OFFSET($A$1,ROW(),31,1000-ROW(),1),OFFSET($A$1,ROW(),20,1000-ROW(),1),ROW(),OFFSET($A$1,ROW(),21,1000-ROW(),1),"Sub"))))</f>
        <v/>
      </c>
      <c r="L152" s="60">
        <f>IF(N($W152)=0,"",IF(AND($S152=MesCiclo,4&gt;SemanaActual),"",MIN(1,SUMIFS(OFFSET($A$1,ROW(),32,1000-ROW(),1),OFFSET($A$1,ROW(),20,1000-ROW(),1),ROW(),OFFSET($A$1,ROW(),21,1000-ROW(),1),"Sub"))))</f>
        <v/>
      </c>
      <c r="M152" s="61">
        <f>IF(NOT((COUNTA($B152:$D152)+COUNTA($G152:$H152)+COUNTA($Q152))&gt;0),"",IF(AND($D152&lt;&gt;"",$V152="Macro"),IF(N($AM152)&gt;0,N(CHOOSE(MATCH($D152,ListaPuestos,0),INDEX('Cronograma R. Operacional'!$M$5:$M$1000,$AM152),INDEX('Cronograma R. Normativo'!$M$5:$M$1000,$AM152),INDEX('Cronograma R. Financiero'!$M$5:$M$1000,$AM152),INDEX('Cronograma Asistente Técnico'!$M$5:$M$1000,$AM152))),0),IF(ISNUMBER($G152),1,IF(N($W152)&gt;0,MIN(1,SUMIFS($Y$5:$Y$1000,$U$5:$U$1000,ROW(),$V$5:$V$1000,"Sub")),$Y152))))</f>
        <v/>
      </c>
      <c r="N152" s="56">
        <f>IF(OR($M152="",$V152="Sub"),"",IF($M152&gt;=1,"Completado",IF($M152&gt;0,"En curso","Pendiente")))</f>
        <v/>
      </c>
      <c r="O152" s="56">
        <f>IF(NOT((COUNTA($B152:$D152)+COUNTA($G152:$H152)+COUNTA($Q152))&gt;0),"",IF(AND(AND($D152&lt;&gt;"",$V152="Macro"),N($AM152)&gt;0),CHOOSE(MATCH($D152,ListaPuestos,0),INDEX('Cronograma R. Operacional'!$O$5:$O$1000,$AM152),INDEX('Cronograma R. Normativo'!$O$5:$O$1000,$AM152),INDEX('Cronograma R. Financiero'!$O$5:$O$1000,$AM152),INDEX('Cronograma Asistente Técnico'!$O$5:$O$1000,$AM152))&amp;"",IF(ISNUMBER($G152),IF(AND(ISNUMBER($AS152),$G152&gt;$AS152),"Cumplida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f>IF(NOT((COUNTA($B152:$D152)+COUNTA($G152:$H152)+COUNTA($Q152))&gt;0),"",IF($D152="","Propia",IF($V152&lt;&gt;"Macro","Solo se delegan macroactividades",IF(N($AM152)&gt;0,"✔ Recibida por "&amp;$D152,"⚠ "&amp;$D152&amp;" aún no la agrega"))))</f>
        <v/>
      </c>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IF($V152&lt;&gt;"Sub","",N($X152)*IF(AND(ISNUMBER($G152),$G152&lt;=IF($S152=MesCiclo,InicioCiclo,$S152+MOD(2-WEEKDAY($S152),7))+6),1,MIN(1,MAX(0,IF(ISNUMBER(OFFSET($A$1,ROW()-1,8)),OFFSET($A$1,ROW()-1,8),0)))))</f>
        <v/>
      </c>
      <c r="AE152" s="62">
        <f>IF($V152&lt;&gt;"Sub","",N($X152)*IF(AND(ISNUMBER($G152),$G152&lt;=IF($S152=MesCiclo,InicioCiclo,$S152+MOD(2-WEEKDAY($S152),7))+13),1,MIN(1,MAX(0,IF(ISNUMBER(OFFSET($A$1,ROW()-1,9)),OFFSET($A$1,ROW()-1,9),IF(ISNUMBER(OFFSET($A$1,ROW()-1,8)),OFFSET($A$1,ROW()-1,8),0))))))</f>
        <v/>
      </c>
      <c r="AF152" s="62">
        <f>IF($V152&lt;&gt;"Sub","",N($X152)*IF(AND(ISNUMBER($G152),$G152&lt;=IF($S152=MesCiclo,InicioCiclo,$S152+MOD(2-WEEKDAY($S152),7))+20),1,MIN(1,MAX(0,IF(ISNUMBER(OFFSET($A$1,ROW()-1,10)),OFFSET($A$1,ROW()-1,10),IF(ISNUMBER(OFFSET($A$1,ROW()-1,9)),OFFSET($A$1,ROW()-1,9),IF(ISNUMBER(OFFSET($A$1,ROW()-1,8)),OFFSET($A$1,ROW()-1,8),0)))))))</f>
        <v/>
      </c>
      <c r="AG152" s="62">
        <f>IF($V152&lt;&gt;"Sub","",N($X152)*IF(AND(ISNUMBER($G152),$G152&lt;=IF($S152=MesCiclo,InicioCiclo,$S152+MOD(2-WEEKDAY($S152),7))+27),1,MIN(1,MAX(0,IF(ISNUMBER(OFFSET($A$1,ROW()-1,11)),OFFSET($A$1,ROW()-1,11),IF(ISNUMBER(OFFSET($A$1,ROW()-1,10)),OFFSET($A$1,ROW()-1,10),IF(ISNUMBER(OFFSET($A$1,ROW()-1,9)),OFFSET($A$1,ROW()-1,9),IF(ISNUMBER(OFFSET($A$1,ROW()-1,8)),OFFSET($A$1,ROW()-1,8),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f>IF(NOT(AND($D152&lt;&gt;"",$V152="Macro")),"",IFERROR(CHOOSE(MATCH($D152,ListaPuestos,0),MATCH("[Jefatura] "&amp;$C152,'Cronograma R. Operacional'!$C$5:$C$1000,0),MATCH("[Jefatura] "&amp;$C152,'Cronograma R. Normativo'!$C$5:$C$1000,0),MATCH("[Jefatura] "&amp;$C152,'Cronograma R. Financiero'!$C$5:$C$1000,0),MATCH("[Jefatura] "&amp;$C152,'Cronograma Asistente Técnico'!$C$5:$C$1000,0)),0))</f>
        <v/>
      </c>
      <c r="AN152" s="62">
        <f>IF(AND(AND($D152&lt;&gt;"",$V152="Macro"),$S152=MesCiclo),COUNTIFS($D$5:$D152,$D152,$S$5:$S152,MesCiclo,$V$5:$V152,"Macro"),"")</f>
        <v/>
      </c>
      <c r="AO152" s="62">
        <f>IF($AN152="","",$D152&amp;"|"&amp;$AN152)</f>
        <v/>
      </c>
      <c r="AP152" s="62">
        <f>IF(AND($D152&lt;&gt;"",$V152="Macro"),$D152&amp;"|"&amp;$C152,"")</f>
        <v/>
      </c>
      <c r="AQ152" s="62">
        <f>""</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t="n"/>
      <c r="F153" s="59" t="n"/>
      <c r="G153" s="59" t="n"/>
      <c r="H153" s="60" t="n"/>
      <c r="I153" s="60">
        <f>IF(N($W153)=0,"",IF(AND($S153=MesCiclo,1&gt;SemanaActual),"",MIN(1,SUMIFS(OFFSET($A$1,ROW(),29,1000-ROW(),1),OFFSET($A$1,ROW(),20,1000-ROW(),1),ROW(),OFFSET($A$1,ROW(),21,1000-ROW(),1),"Sub"))))</f>
        <v/>
      </c>
      <c r="J153" s="60">
        <f>IF(N($W153)=0,"",IF(AND($S153=MesCiclo,2&gt;SemanaActual),"",MIN(1,SUMIFS(OFFSET($A$1,ROW(),30,1000-ROW(),1),OFFSET($A$1,ROW(),20,1000-ROW(),1),ROW(),OFFSET($A$1,ROW(),21,1000-ROW(),1),"Sub"))))</f>
        <v/>
      </c>
      <c r="K153" s="60">
        <f>IF(N($W153)=0,"",IF(AND($S153=MesCiclo,3&gt;SemanaActual),"",MIN(1,SUMIFS(OFFSET($A$1,ROW(),31,1000-ROW(),1),OFFSET($A$1,ROW(),20,1000-ROW(),1),ROW(),OFFSET($A$1,ROW(),21,1000-ROW(),1),"Sub"))))</f>
        <v/>
      </c>
      <c r="L153" s="60">
        <f>IF(N($W153)=0,"",IF(AND($S153=MesCiclo,4&gt;SemanaActual),"",MIN(1,SUMIFS(OFFSET($A$1,ROW(),32,1000-ROW(),1),OFFSET($A$1,ROW(),20,1000-ROW(),1),ROW(),OFFSET($A$1,ROW(),21,1000-ROW(),1),"Sub"))))</f>
        <v/>
      </c>
      <c r="M153" s="61">
        <f>IF(NOT((COUNTA($B153:$D153)+COUNTA($G153:$H153)+COUNTA($Q153))&gt;0),"",IF(AND($D153&lt;&gt;"",$V153="Macro"),IF(N($AM153)&gt;0,N(CHOOSE(MATCH($D153,ListaPuestos,0),INDEX('Cronograma R. Operacional'!$M$5:$M$1000,$AM153),INDEX('Cronograma R. Normativo'!$M$5:$M$1000,$AM153),INDEX('Cronograma R. Financiero'!$M$5:$M$1000,$AM153),INDEX('Cronograma Asistente Técnico'!$M$5:$M$1000,$AM153))),0),IF(ISNUMBER($G153),1,IF(N($W153)&gt;0,MIN(1,SUMIFS($Y$5:$Y$1000,$U$5:$U$1000,ROW(),$V$5:$V$1000,"Sub")),$Y153))))</f>
        <v/>
      </c>
      <c r="N153" s="56">
        <f>IF(OR($M153="",$V153="Sub"),"",IF($M153&gt;=1,"Completado",IF($M153&gt;0,"En curso","Pendiente")))</f>
        <v/>
      </c>
      <c r="O153" s="56">
        <f>IF(NOT((COUNTA($B153:$D153)+COUNTA($G153:$H153)+COUNTA($Q153))&gt;0),"",IF(AND(AND($D153&lt;&gt;"",$V153="Macro"),N($AM153)&gt;0),CHOOSE(MATCH($D153,ListaPuestos,0),INDEX('Cronograma R. Operacional'!$O$5:$O$1000,$AM153),INDEX('Cronograma R. Normativo'!$O$5:$O$1000,$AM153),INDEX('Cronograma R. Financiero'!$O$5:$O$1000,$AM153),INDEX('Cronograma Asistente Técnico'!$O$5:$O$1000,$AM153))&amp;"",IF(ISNUMBER($G153),IF(AND(ISNUMBER($AS153),$G153&gt;$AS153),"Cumplida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f>IF(NOT((COUNTA($B153:$D153)+COUNTA($G153:$H153)+COUNTA($Q153))&gt;0),"",IF($D153="","Propia",IF($V153&lt;&gt;"Macro","Solo se delegan macroactividades",IF(N($AM153)&gt;0,"✔ Recibida por "&amp;$D153,"⚠ "&amp;$D153&amp;" aún no la agrega"))))</f>
        <v/>
      </c>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IF($V153&lt;&gt;"Sub","",N($X153)*IF(AND(ISNUMBER($G153),$G153&lt;=IF($S153=MesCiclo,InicioCiclo,$S153+MOD(2-WEEKDAY($S153),7))+6),1,MIN(1,MAX(0,IF(ISNUMBER(OFFSET($A$1,ROW()-1,8)),OFFSET($A$1,ROW()-1,8),0)))))</f>
        <v/>
      </c>
      <c r="AE153" s="62">
        <f>IF($V153&lt;&gt;"Sub","",N($X153)*IF(AND(ISNUMBER($G153),$G153&lt;=IF($S153=MesCiclo,InicioCiclo,$S153+MOD(2-WEEKDAY($S153),7))+13),1,MIN(1,MAX(0,IF(ISNUMBER(OFFSET($A$1,ROW()-1,9)),OFFSET($A$1,ROW()-1,9),IF(ISNUMBER(OFFSET($A$1,ROW()-1,8)),OFFSET($A$1,ROW()-1,8),0))))))</f>
        <v/>
      </c>
      <c r="AF153" s="62">
        <f>IF($V153&lt;&gt;"Sub","",N($X153)*IF(AND(ISNUMBER($G153),$G153&lt;=IF($S153=MesCiclo,InicioCiclo,$S153+MOD(2-WEEKDAY($S153),7))+20),1,MIN(1,MAX(0,IF(ISNUMBER(OFFSET($A$1,ROW()-1,10)),OFFSET($A$1,ROW()-1,10),IF(ISNUMBER(OFFSET($A$1,ROW()-1,9)),OFFSET($A$1,ROW()-1,9),IF(ISNUMBER(OFFSET($A$1,ROW()-1,8)),OFFSET($A$1,ROW()-1,8),0)))))))</f>
        <v/>
      </c>
      <c r="AG153" s="62">
        <f>IF($V153&lt;&gt;"Sub","",N($X153)*IF(AND(ISNUMBER($G153),$G153&lt;=IF($S153=MesCiclo,InicioCiclo,$S153+MOD(2-WEEKDAY($S153),7))+27),1,MIN(1,MAX(0,IF(ISNUMBER(OFFSET($A$1,ROW()-1,11)),OFFSET($A$1,ROW()-1,11),IF(ISNUMBER(OFFSET($A$1,ROW()-1,10)),OFFSET($A$1,ROW()-1,10),IF(ISNUMBER(OFFSET($A$1,ROW()-1,9)),OFFSET($A$1,ROW()-1,9),IF(ISNUMBER(OFFSET($A$1,ROW()-1,8)),OFFSET($A$1,ROW()-1,8),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f>IF(NOT(AND($D153&lt;&gt;"",$V153="Macro")),"",IFERROR(CHOOSE(MATCH($D153,ListaPuestos,0),MATCH("[Jefatura] "&amp;$C153,'Cronograma R. Operacional'!$C$5:$C$1000,0),MATCH("[Jefatura] "&amp;$C153,'Cronograma R. Normativo'!$C$5:$C$1000,0),MATCH("[Jefatura] "&amp;$C153,'Cronograma R. Financiero'!$C$5:$C$1000,0),MATCH("[Jefatura] "&amp;$C153,'Cronograma Asistente Técnico'!$C$5:$C$1000,0)),0))</f>
        <v/>
      </c>
      <c r="AN153" s="62">
        <f>IF(AND(AND($D153&lt;&gt;"",$V153="Macro"),$S153=MesCiclo),COUNTIFS($D$5:$D153,$D153,$S$5:$S153,MesCiclo,$V$5:$V153,"Macro"),"")</f>
        <v/>
      </c>
      <c r="AO153" s="62">
        <f>IF($AN153="","",$D153&amp;"|"&amp;$AN153)</f>
        <v/>
      </c>
      <c r="AP153" s="62">
        <f>IF(AND($D153&lt;&gt;"",$V153="Macro"),$D153&amp;"|"&amp;$C153,"")</f>
        <v/>
      </c>
      <c r="AQ153" s="62">
        <f>""</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t="n"/>
      <c r="F154" s="59" t="n"/>
      <c r="G154" s="59" t="n"/>
      <c r="H154" s="60" t="n"/>
      <c r="I154" s="60">
        <f>IF(N($W154)=0,"",IF(AND($S154=MesCiclo,1&gt;SemanaActual),"",MIN(1,SUMIFS(OFFSET($A$1,ROW(),29,1000-ROW(),1),OFFSET($A$1,ROW(),20,1000-ROW(),1),ROW(),OFFSET($A$1,ROW(),21,1000-ROW(),1),"Sub"))))</f>
        <v/>
      </c>
      <c r="J154" s="60">
        <f>IF(N($W154)=0,"",IF(AND($S154=MesCiclo,2&gt;SemanaActual),"",MIN(1,SUMIFS(OFFSET($A$1,ROW(),30,1000-ROW(),1),OFFSET($A$1,ROW(),20,1000-ROW(),1),ROW(),OFFSET($A$1,ROW(),21,1000-ROW(),1),"Sub"))))</f>
        <v/>
      </c>
      <c r="K154" s="60">
        <f>IF(N($W154)=0,"",IF(AND($S154=MesCiclo,3&gt;SemanaActual),"",MIN(1,SUMIFS(OFFSET($A$1,ROW(),31,1000-ROW(),1),OFFSET($A$1,ROW(),20,1000-ROW(),1),ROW(),OFFSET($A$1,ROW(),21,1000-ROW(),1),"Sub"))))</f>
        <v/>
      </c>
      <c r="L154" s="60">
        <f>IF(N($W154)=0,"",IF(AND($S154=MesCiclo,4&gt;SemanaActual),"",MIN(1,SUMIFS(OFFSET($A$1,ROW(),32,1000-ROW(),1),OFFSET($A$1,ROW(),20,1000-ROW(),1),ROW(),OFFSET($A$1,ROW(),21,1000-ROW(),1),"Sub"))))</f>
        <v/>
      </c>
      <c r="M154" s="61">
        <f>IF(NOT((COUNTA($B154:$D154)+COUNTA($G154:$H154)+COUNTA($Q154))&gt;0),"",IF(AND($D154&lt;&gt;"",$V154="Macro"),IF(N($AM154)&gt;0,N(CHOOSE(MATCH($D154,ListaPuestos,0),INDEX('Cronograma R. Operacional'!$M$5:$M$1000,$AM154),INDEX('Cronograma R. Normativo'!$M$5:$M$1000,$AM154),INDEX('Cronograma R. Financiero'!$M$5:$M$1000,$AM154),INDEX('Cronograma Asistente Técnico'!$M$5:$M$1000,$AM154))),0),IF(ISNUMBER($G154),1,IF(N($W154)&gt;0,MIN(1,SUMIFS($Y$5:$Y$1000,$U$5:$U$1000,ROW(),$V$5:$V$1000,"Sub")),$Y154))))</f>
        <v/>
      </c>
      <c r="N154" s="56">
        <f>IF(OR($M154="",$V154="Sub"),"",IF($M154&gt;=1,"Completado",IF($M154&gt;0,"En curso","Pendiente")))</f>
        <v/>
      </c>
      <c r="O154" s="56">
        <f>IF(NOT((COUNTA($B154:$D154)+COUNTA($G154:$H154)+COUNTA($Q154))&gt;0),"",IF(AND(AND($D154&lt;&gt;"",$V154="Macro"),N($AM154)&gt;0),CHOOSE(MATCH($D154,ListaPuestos,0),INDEX('Cronograma R. Operacional'!$O$5:$O$1000,$AM154),INDEX('Cronograma R. Normativo'!$O$5:$O$1000,$AM154),INDEX('Cronograma R. Financiero'!$O$5:$O$1000,$AM154),INDEX('Cronograma Asistente Técnico'!$O$5:$O$1000,$AM154))&amp;"",IF(ISNUMBER($G154),IF(AND(ISNUMBER($AS154),$G154&gt;$AS154),"Cumplida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f>IF(NOT((COUNTA($B154:$D154)+COUNTA($G154:$H154)+COUNTA($Q154))&gt;0),"",IF($D154="","Propia",IF($V154&lt;&gt;"Macro","Solo se delegan macroactividades",IF(N($AM154)&gt;0,"✔ Recibida por "&amp;$D154,"⚠ "&amp;$D154&amp;" aún no la agrega"))))</f>
        <v/>
      </c>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IF($V154&lt;&gt;"Sub","",N($X154)*IF(AND(ISNUMBER($G154),$G154&lt;=IF($S154=MesCiclo,InicioCiclo,$S154+MOD(2-WEEKDAY($S154),7))+6),1,MIN(1,MAX(0,IF(ISNUMBER(OFFSET($A$1,ROW()-1,8)),OFFSET($A$1,ROW()-1,8),0)))))</f>
        <v/>
      </c>
      <c r="AE154" s="62">
        <f>IF($V154&lt;&gt;"Sub","",N($X154)*IF(AND(ISNUMBER($G154),$G154&lt;=IF($S154=MesCiclo,InicioCiclo,$S154+MOD(2-WEEKDAY($S154),7))+13),1,MIN(1,MAX(0,IF(ISNUMBER(OFFSET($A$1,ROW()-1,9)),OFFSET($A$1,ROW()-1,9),IF(ISNUMBER(OFFSET($A$1,ROW()-1,8)),OFFSET($A$1,ROW()-1,8),0))))))</f>
        <v/>
      </c>
      <c r="AF154" s="62">
        <f>IF($V154&lt;&gt;"Sub","",N($X154)*IF(AND(ISNUMBER($G154),$G154&lt;=IF($S154=MesCiclo,InicioCiclo,$S154+MOD(2-WEEKDAY($S154),7))+20),1,MIN(1,MAX(0,IF(ISNUMBER(OFFSET($A$1,ROW()-1,10)),OFFSET($A$1,ROW()-1,10),IF(ISNUMBER(OFFSET($A$1,ROW()-1,9)),OFFSET($A$1,ROW()-1,9),IF(ISNUMBER(OFFSET($A$1,ROW()-1,8)),OFFSET($A$1,ROW()-1,8),0)))))))</f>
        <v/>
      </c>
      <c r="AG154" s="62">
        <f>IF($V154&lt;&gt;"Sub","",N($X154)*IF(AND(ISNUMBER($G154),$G154&lt;=IF($S154=MesCiclo,InicioCiclo,$S154+MOD(2-WEEKDAY($S154),7))+27),1,MIN(1,MAX(0,IF(ISNUMBER(OFFSET($A$1,ROW()-1,11)),OFFSET($A$1,ROW()-1,11),IF(ISNUMBER(OFFSET($A$1,ROW()-1,10)),OFFSET($A$1,ROW()-1,10),IF(ISNUMBER(OFFSET($A$1,ROW()-1,9)),OFFSET($A$1,ROW()-1,9),IF(ISNUMBER(OFFSET($A$1,ROW()-1,8)),OFFSET($A$1,ROW()-1,8),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f>IF(NOT(AND($D154&lt;&gt;"",$V154="Macro")),"",IFERROR(CHOOSE(MATCH($D154,ListaPuestos,0),MATCH("[Jefatura] "&amp;$C154,'Cronograma R. Operacional'!$C$5:$C$1000,0),MATCH("[Jefatura] "&amp;$C154,'Cronograma R. Normativo'!$C$5:$C$1000,0),MATCH("[Jefatura] "&amp;$C154,'Cronograma R. Financiero'!$C$5:$C$1000,0),MATCH("[Jefatura] "&amp;$C154,'Cronograma Asistente Técnico'!$C$5:$C$1000,0)),0))</f>
        <v/>
      </c>
      <c r="AN154" s="62">
        <f>IF(AND(AND($D154&lt;&gt;"",$V154="Macro"),$S154=MesCiclo),COUNTIFS($D$5:$D154,$D154,$S$5:$S154,MesCiclo,$V$5:$V154,"Macro"),"")</f>
        <v/>
      </c>
      <c r="AO154" s="62">
        <f>IF($AN154="","",$D154&amp;"|"&amp;$AN154)</f>
        <v/>
      </c>
      <c r="AP154" s="62">
        <f>IF(AND($D154&lt;&gt;"",$V154="Macro"),$D154&amp;"|"&amp;$C154,"")</f>
        <v/>
      </c>
      <c r="AQ154" s="62">
        <f>""</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t="n"/>
      <c r="F155" s="59" t="n"/>
      <c r="G155" s="59" t="n"/>
      <c r="H155" s="60" t="n"/>
      <c r="I155" s="60">
        <f>IF(N($W155)=0,"",IF(AND($S155=MesCiclo,1&gt;SemanaActual),"",MIN(1,SUMIFS(OFFSET($A$1,ROW(),29,1000-ROW(),1),OFFSET($A$1,ROW(),20,1000-ROW(),1),ROW(),OFFSET($A$1,ROW(),21,1000-ROW(),1),"Sub"))))</f>
        <v/>
      </c>
      <c r="J155" s="60">
        <f>IF(N($W155)=0,"",IF(AND($S155=MesCiclo,2&gt;SemanaActual),"",MIN(1,SUMIFS(OFFSET($A$1,ROW(),30,1000-ROW(),1),OFFSET($A$1,ROW(),20,1000-ROW(),1),ROW(),OFFSET($A$1,ROW(),21,1000-ROW(),1),"Sub"))))</f>
        <v/>
      </c>
      <c r="K155" s="60">
        <f>IF(N($W155)=0,"",IF(AND($S155=MesCiclo,3&gt;SemanaActual),"",MIN(1,SUMIFS(OFFSET($A$1,ROW(),31,1000-ROW(),1),OFFSET($A$1,ROW(),20,1000-ROW(),1),ROW(),OFFSET($A$1,ROW(),21,1000-ROW(),1),"Sub"))))</f>
        <v/>
      </c>
      <c r="L155" s="60">
        <f>IF(N($W155)=0,"",IF(AND($S155=MesCiclo,4&gt;SemanaActual),"",MIN(1,SUMIFS(OFFSET($A$1,ROW(),32,1000-ROW(),1),OFFSET($A$1,ROW(),20,1000-ROW(),1),ROW(),OFFSET($A$1,ROW(),21,1000-ROW(),1),"Sub"))))</f>
        <v/>
      </c>
      <c r="M155" s="61">
        <f>IF(NOT((COUNTA($B155:$D155)+COUNTA($G155:$H155)+COUNTA($Q155))&gt;0),"",IF(AND($D155&lt;&gt;"",$V155="Macro"),IF(N($AM155)&gt;0,N(CHOOSE(MATCH($D155,ListaPuestos,0),INDEX('Cronograma R. Operacional'!$M$5:$M$1000,$AM155),INDEX('Cronograma R. Normativo'!$M$5:$M$1000,$AM155),INDEX('Cronograma R. Financiero'!$M$5:$M$1000,$AM155),INDEX('Cronograma Asistente Técnico'!$M$5:$M$1000,$AM155))),0),IF(ISNUMBER($G155),1,IF(N($W155)&gt;0,MIN(1,SUMIFS($Y$5:$Y$1000,$U$5:$U$1000,ROW(),$V$5:$V$1000,"Sub")),$Y155))))</f>
        <v/>
      </c>
      <c r="N155" s="56">
        <f>IF(OR($M155="",$V155="Sub"),"",IF($M155&gt;=1,"Completado",IF($M155&gt;0,"En curso","Pendiente")))</f>
        <v/>
      </c>
      <c r="O155" s="56">
        <f>IF(NOT((COUNTA($B155:$D155)+COUNTA($G155:$H155)+COUNTA($Q155))&gt;0),"",IF(AND(AND($D155&lt;&gt;"",$V155="Macro"),N($AM155)&gt;0),CHOOSE(MATCH($D155,ListaPuestos,0),INDEX('Cronograma R. Operacional'!$O$5:$O$1000,$AM155),INDEX('Cronograma R. Normativo'!$O$5:$O$1000,$AM155),INDEX('Cronograma R. Financiero'!$O$5:$O$1000,$AM155),INDEX('Cronograma Asistente Técnico'!$O$5:$O$1000,$AM155))&amp;"",IF(ISNUMBER($G155),IF(AND(ISNUMBER($AS155),$G155&gt;$AS155),"Cumplida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f>IF(NOT((COUNTA($B155:$D155)+COUNTA($G155:$H155)+COUNTA($Q155))&gt;0),"",IF($D155="","Propia",IF($V155&lt;&gt;"Macro","Solo se delegan macroactividades",IF(N($AM155)&gt;0,"✔ Recibida por "&amp;$D155,"⚠ "&amp;$D155&amp;" aún no la agrega"))))</f>
        <v/>
      </c>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IF($V155&lt;&gt;"Sub","",N($X155)*IF(AND(ISNUMBER($G155),$G155&lt;=IF($S155=MesCiclo,InicioCiclo,$S155+MOD(2-WEEKDAY($S155),7))+6),1,MIN(1,MAX(0,IF(ISNUMBER(OFFSET($A$1,ROW()-1,8)),OFFSET($A$1,ROW()-1,8),0)))))</f>
        <v/>
      </c>
      <c r="AE155" s="62">
        <f>IF($V155&lt;&gt;"Sub","",N($X155)*IF(AND(ISNUMBER($G155),$G155&lt;=IF($S155=MesCiclo,InicioCiclo,$S155+MOD(2-WEEKDAY($S155),7))+13),1,MIN(1,MAX(0,IF(ISNUMBER(OFFSET($A$1,ROW()-1,9)),OFFSET($A$1,ROW()-1,9),IF(ISNUMBER(OFFSET($A$1,ROW()-1,8)),OFFSET($A$1,ROW()-1,8),0))))))</f>
        <v/>
      </c>
      <c r="AF155" s="62">
        <f>IF($V155&lt;&gt;"Sub","",N($X155)*IF(AND(ISNUMBER($G155),$G155&lt;=IF($S155=MesCiclo,InicioCiclo,$S155+MOD(2-WEEKDAY($S155),7))+20),1,MIN(1,MAX(0,IF(ISNUMBER(OFFSET($A$1,ROW()-1,10)),OFFSET($A$1,ROW()-1,10),IF(ISNUMBER(OFFSET($A$1,ROW()-1,9)),OFFSET($A$1,ROW()-1,9),IF(ISNUMBER(OFFSET($A$1,ROW()-1,8)),OFFSET($A$1,ROW()-1,8),0)))))))</f>
        <v/>
      </c>
      <c r="AG155" s="62">
        <f>IF($V155&lt;&gt;"Sub","",N($X155)*IF(AND(ISNUMBER($G155),$G155&lt;=IF($S155=MesCiclo,InicioCiclo,$S155+MOD(2-WEEKDAY($S155),7))+27),1,MIN(1,MAX(0,IF(ISNUMBER(OFFSET($A$1,ROW()-1,11)),OFFSET($A$1,ROW()-1,11),IF(ISNUMBER(OFFSET($A$1,ROW()-1,10)),OFFSET($A$1,ROW()-1,10),IF(ISNUMBER(OFFSET($A$1,ROW()-1,9)),OFFSET($A$1,ROW()-1,9),IF(ISNUMBER(OFFSET($A$1,ROW()-1,8)),OFFSET($A$1,ROW()-1,8),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f>IF(NOT(AND($D155&lt;&gt;"",$V155="Macro")),"",IFERROR(CHOOSE(MATCH($D155,ListaPuestos,0),MATCH("[Jefatura] "&amp;$C155,'Cronograma R. Operacional'!$C$5:$C$1000,0),MATCH("[Jefatura] "&amp;$C155,'Cronograma R. Normativo'!$C$5:$C$1000,0),MATCH("[Jefatura] "&amp;$C155,'Cronograma R. Financiero'!$C$5:$C$1000,0),MATCH("[Jefatura] "&amp;$C155,'Cronograma Asistente Técnico'!$C$5:$C$1000,0)),0))</f>
        <v/>
      </c>
      <c r="AN155" s="62">
        <f>IF(AND(AND($D155&lt;&gt;"",$V155="Macro"),$S155=MesCiclo),COUNTIFS($D$5:$D155,$D155,$S$5:$S155,MesCiclo,$V$5:$V155,"Macro"),"")</f>
        <v/>
      </c>
      <c r="AO155" s="62">
        <f>IF($AN155="","",$D155&amp;"|"&amp;$AN155)</f>
        <v/>
      </c>
      <c r="AP155" s="62">
        <f>IF(AND($D155&lt;&gt;"",$V155="Macro"),$D155&amp;"|"&amp;$C155,"")</f>
        <v/>
      </c>
      <c r="AQ155" s="62">
        <f>""</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t="n"/>
      <c r="F156" s="59" t="n"/>
      <c r="G156" s="59" t="n"/>
      <c r="H156" s="60" t="n"/>
      <c r="I156" s="60">
        <f>IF(N($W156)=0,"",IF(AND($S156=MesCiclo,1&gt;SemanaActual),"",MIN(1,SUMIFS(OFFSET($A$1,ROW(),29,1000-ROW(),1),OFFSET($A$1,ROW(),20,1000-ROW(),1),ROW(),OFFSET($A$1,ROW(),21,1000-ROW(),1),"Sub"))))</f>
        <v/>
      </c>
      <c r="J156" s="60">
        <f>IF(N($W156)=0,"",IF(AND($S156=MesCiclo,2&gt;SemanaActual),"",MIN(1,SUMIFS(OFFSET($A$1,ROW(),30,1000-ROW(),1),OFFSET($A$1,ROW(),20,1000-ROW(),1),ROW(),OFFSET($A$1,ROW(),21,1000-ROW(),1),"Sub"))))</f>
        <v/>
      </c>
      <c r="K156" s="60">
        <f>IF(N($W156)=0,"",IF(AND($S156=MesCiclo,3&gt;SemanaActual),"",MIN(1,SUMIFS(OFFSET($A$1,ROW(),31,1000-ROW(),1),OFFSET($A$1,ROW(),20,1000-ROW(),1),ROW(),OFFSET($A$1,ROW(),21,1000-ROW(),1),"Sub"))))</f>
        <v/>
      </c>
      <c r="L156" s="60">
        <f>IF(N($W156)=0,"",IF(AND($S156=MesCiclo,4&gt;SemanaActual),"",MIN(1,SUMIFS(OFFSET($A$1,ROW(),32,1000-ROW(),1),OFFSET($A$1,ROW(),20,1000-ROW(),1),ROW(),OFFSET($A$1,ROW(),21,1000-ROW(),1),"Sub"))))</f>
        <v/>
      </c>
      <c r="M156" s="61">
        <f>IF(NOT((COUNTA($B156:$D156)+COUNTA($G156:$H156)+COUNTA($Q156))&gt;0),"",IF(AND($D156&lt;&gt;"",$V156="Macro"),IF(N($AM156)&gt;0,N(CHOOSE(MATCH($D156,ListaPuestos,0),INDEX('Cronograma R. Operacional'!$M$5:$M$1000,$AM156),INDEX('Cronograma R. Normativo'!$M$5:$M$1000,$AM156),INDEX('Cronograma R. Financiero'!$M$5:$M$1000,$AM156),INDEX('Cronograma Asistente Técnico'!$M$5:$M$1000,$AM156))),0),IF(ISNUMBER($G156),1,IF(N($W156)&gt;0,MIN(1,SUMIFS($Y$5:$Y$1000,$U$5:$U$1000,ROW(),$V$5:$V$1000,"Sub")),$Y156))))</f>
        <v/>
      </c>
      <c r="N156" s="56">
        <f>IF(OR($M156="",$V156="Sub"),"",IF($M156&gt;=1,"Completado",IF($M156&gt;0,"En curso","Pendiente")))</f>
        <v/>
      </c>
      <c r="O156" s="56">
        <f>IF(NOT((COUNTA($B156:$D156)+COUNTA($G156:$H156)+COUNTA($Q156))&gt;0),"",IF(AND(AND($D156&lt;&gt;"",$V156="Macro"),N($AM156)&gt;0),CHOOSE(MATCH($D156,ListaPuestos,0),INDEX('Cronograma R. Operacional'!$O$5:$O$1000,$AM156),INDEX('Cronograma R. Normativo'!$O$5:$O$1000,$AM156),INDEX('Cronograma R. Financiero'!$O$5:$O$1000,$AM156),INDEX('Cronograma Asistente Técnico'!$O$5:$O$1000,$AM156))&amp;"",IF(ISNUMBER($G156),IF(AND(ISNUMBER($AS156),$G156&gt;$AS156),"Cumplida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f>IF(NOT((COUNTA($B156:$D156)+COUNTA($G156:$H156)+COUNTA($Q156))&gt;0),"",IF($D156="","Propia",IF($V156&lt;&gt;"Macro","Solo se delegan macroactividades",IF(N($AM156)&gt;0,"✔ Recibida por "&amp;$D156,"⚠ "&amp;$D156&amp;" aún no la agrega"))))</f>
        <v/>
      </c>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IF($V156&lt;&gt;"Sub","",N($X156)*IF(AND(ISNUMBER($G156),$G156&lt;=IF($S156=MesCiclo,InicioCiclo,$S156+MOD(2-WEEKDAY($S156),7))+6),1,MIN(1,MAX(0,IF(ISNUMBER(OFFSET($A$1,ROW()-1,8)),OFFSET($A$1,ROW()-1,8),0)))))</f>
        <v/>
      </c>
      <c r="AE156" s="62">
        <f>IF($V156&lt;&gt;"Sub","",N($X156)*IF(AND(ISNUMBER($G156),$G156&lt;=IF($S156=MesCiclo,InicioCiclo,$S156+MOD(2-WEEKDAY($S156),7))+13),1,MIN(1,MAX(0,IF(ISNUMBER(OFFSET($A$1,ROW()-1,9)),OFFSET($A$1,ROW()-1,9),IF(ISNUMBER(OFFSET($A$1,ROW()-1,8)),OFFSET($A$1,ROW()-1,8),0))))))</f>
        <v/>
      </c>
      <c r="AF156" s="62">
        <f>IF($V156&lt;&gt;"Sub","",N($X156)*IF(AND(ISNUMBER($G156),$G156&lt;=IF($S156=MesCiclo,InicioCiclo,$S156+MOD(2-WEEKDAY($S156),7))+20),1,MIN(1,MAX(0,IF(ISNUMBER(OFFSET($A$1,ROW()-1,10)),OFFSET($A$1,ROW()-1,10),IF(ISNUMBER(OFFSET($A$1,ROW()-1,9)),OFFSET($A$1,ROW()-1,9),IF(ISNUMBER(OFFSET($A$1,ROW()-1,8)),OFFSET($A$1,ROW()-1,8),0)))))))</f>
        <v/>
      </c>
      <c r="AG156" s="62">
        <f>IF($V156&lt;&gt;"Sub","",N($X156)*IF(AND(ISNUMBER($G156),$G156&lt;=IF($S156=MesCiclo,InicioCiclo,$S156+MOD(2-WEEKDAY($S156),7))+27),1,MIN(1,MAX(0,IF(ISNUMBER(OFFSET($A$1,ROW()-1,11)),OFFSET($A$1,ROW()-1,11),IF(ISNUMBER(OFFSET($A$1,ROW()-1,10)),OFFSET($A$1,ROW()-1,10),IF(ISNUMBER(OFFSET($A$1,ROW()-1,9)),OFFSET($A$1,ROW()-1,9),IF(ISNUMBER(OFFSET($A$1,ROW()-1,8)),OFFSET($A$1,ROW()-1,8),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f>IF(NOT(AND($D156&lt;&gt;"",$V156="Macro")),"",IFERROR(CHOOSE(MATCH($D156,ListaPuestos,0),MATCH("[Jefatura] "&amp;$C156,'Cronograma R. Operacional'!$C$5:$C$1000,0),MATCH("[Jefatura] "&amp;$C156,'Cronograma R. Normativo'!$C$5:$C$1000,0),MATCH("[Jefatura] "&amp;$C156,'Cronograma R. Financiero'!$C$5:$C$1000,0),MATCH("[Jefatura] "&amp;$C156,'Cronograma Asistente Técnico'!$C$5:$C$1000,0)),0))</f>
        <v/>
      </c>
      <c r="AN156" s="62">
        <f>IF(AND(AND($D156&lt;&gt;"",$V156="Macro"),$S156=MesCiclo),COUNTIFS($D$5:$D156,$D156,$S$5:$S156,MesCiclo,$V$5:$V156,"Macro"),"")</f>
        <v/>
      </c>
      <c r="AO156" s="62">
        <f>IF($AN156="","",$D156&amp;"|"&amp;$AN156)</f>
        <v/>
      </c>
      <c r="AP156" s="62">
        <f>IF(AND($D156&lt;&gt;"",$V156="Macro"),$D156&amp;"|"&amp;$C156,"")</f>
        <v/>
      </c>
      <c r="AQ156" s="62">
        <f>""</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t="n"/>
      <c r="F157" s="59" t="n"/>
      <c r="G157" s="59" t="n"/>
      <c r="H157" s="60" t="n"/>
      <c r="I157" s="60">
        <f>IF(N($W157)=0,"",IF(AND($S157=MesCiclo,1&gt;SemanaActual),"",MIN(1,SUMIFS(OFFSET($A$1,ROW(),29,1000-ROW(),1),OFFSET($A$1,ROW(),20,1000-ROW(),1),ROW(),OFFSET($A$1,ROW(),21,1000-ROW(),1),"Sub"))))</f>
        <v/>
      </c>
      <c r="J157" s="60">
        <f>IF(N($W157)=0,"",IF(AND($S157=MesCiclo,2&gt;SemanaActual),"",MIN(1,SUMIFS(OFFSET($A$1,ROW(),30,1000-ROW(),1),OFFSET($A$1,ROW(),20,1000-ROW(),1),ROW(),OFFSET($A$1,ROW(),21,1000-ROW(),1),"Sub"))))</f>
        <v/>
      </c>
      <c r="K157" s="60">
        <f>IF(N($W157)=0,"",IF(AND($S157=MesCiclo,3&gt;SemanaActual),"",MIN(1,SUMIFS(OFFSET($A$1,ROW(),31,1000-ROW(),1),OFFSET($A$1,ROW(),20,1000-ROW(),1),ROW(),OFFSET($A$1,ROW(),21,1000-ROW(),1),"Sub"))))</f>
        <v/>
      </c>
      <c r="L157" s="60">
        <f>IF(N($W157)=0,"",IF(AND($S157=MesCiclo,4&gt;SemanaActual),"",MIN(1,SUMIFS(OFFSET($A$1,ROW(),32,1000-ROW(),1),OFFSET($A$1,ROW(),20,1000-ROW(),1),ROW(),OFFSET($A$1,ROW(),21,1000-ROW(),1),"Sub"))))</f>
        <v/>
      </c>
      <c r="M157" s="61">
        <f>IF(NOT((COUNTA($B157:$D157)+COUNTA($G157:$H157)+COUNTA($Q157))&gt;0),"",IF(AND($D157&lt;&gt;"",$V157="Macro"),IF(N($AM157)&gt;0,N(CHOOSE(MATCH($D157,ListaPuestos,0),INDEX('Cronograma R. Operacional'!$M$5:$M$1000,$AM157),INDEX('Cronograma R. Normativo'!$M$5:$M$1000,$AM157),INDEX('Cronograma R. Financiero'!$M$5:$M$1000,$AM157),INDEX('Cronograma Asistente Técnico'!$M$5:$M$1000,$AM157))),0),IF(ISNUMBER($G157),1,IF(N($W157)&gt;0,MIN(1,SUMIFS($Y$5:$Y$1000,$U$5:$U$1000,ROW(),$V$5:$V$1000,"Sub")),$Y157))))</f>
        <v/>
      </c>
      <c r="N157" s="56">
        <f>IF(OR($M157="",$V157="Sub"),"",IF($M157&gt;=1,"Completado",IF($M157&gt;0,"En curso","Pendiente")))</f>
        <v/>
      </c>
      <c r="O157" s="56">
        <f>IF(NOT((COUNTA($B157:$D157)+COUNTA($G157:$H157)+COUNTA($Q157))&gt;0),"",IF(AND(AND($D157&lt;&gt;"",$V157="Macro"),N($AM157)&gt;0),CHOOSE(MATCH($D157,ListaPuestos,0),INDEX('Cronograma R. Operacional'!$O$5:$O$1000,$AM157),INDEX('Cronograma R. Normativo'!$O$5:$O$1000,$AM157),INDEX('Cronograma R. Financiero'!$O$5:$O$1000,$AM157),INDEX('Cronograma Asistente Técnico'!$O$5:$O$1000,$AM157))&amp;"",IF(ISNUMBER($G157),IF(AND(ISNUMBER($AS157),$G157&gt;$AS157),"Cumplida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f>IF(NOT((COUNTA($B157:$D157)+COUNTA($G157:$H157)+COUNTA($Q157))&gt;0),"",IF($D157="","Propia",IF($V157&lt;&gt;"Macro","Solo se delegan macroactividades",IF(N($AM157)&gt;0,"✔ Recibida por "&amp;$D157,"⚠ "&amp;$D157&amp;" aún no la agrega"))))</f>
        <v/>
      </c>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IF($V157&lt;&gt;"Sub","",N($X157)*IF(AND(ISNUMBER($G157),$G157&lt;=IF($S157=MesCiclo,InicioCiclo,$S157+MOD(2-WEEKDAY($S157),7))+6),1,MIN(1,MAX(0,IF(ISNUMBER(OFFSET($A$1,ROW()-1,8)),OFFSET($A$1,ROW()-1,8),0)))))</f>
        <v/>
      </c>
      <c r="AE157" s="62">
        <f>IF($V157&lt;&gt;"Sub","",N($X157)*IF(AND(ISNUMBER($G157),$G157&lt;=IF($S157=MesCiclo,InicioCiclo,$S157+MOD(2-WEEKDAY($S157),7))+13),1,MIN(1,MAX(0,IF(ISNUMBER(OFFSET($A$1,ROW()-1,9)),OFFSET($A$1,ROW()-1,9),IF(ISNUMBER(OFFSET($A$1,ROW()-1,8)),OFFSET($A$1,ROW()-1,8),0))))))</f>
        <v/>
      </c>
      <c r="AF157" s="62">
        <f>IF($V157&lt;&gt;"Sub","",N($X157)*IF(AND(ISNUMBER($G157),$G157&lt;=IF($S157=MesCiclo,InicioCiclo,$S157+MOD(2-WEEKDAY($S157),7))+20),1,MIN(1,MAX(0,IF(ISNUMBER(OFFSET($A$1,ROW()-1,10)),OFFSET($A$1,ROW()-1,10),IF(ISNUMBER(OFFSET($A$1,ROW()-1,9)),OFFSET($A$1,ROW()-1,9),IF(ISNUMBER(OFFSET($A$1,ROW()-1,8)),OFFSET($A$1,ROW()-1,8),0)))))))</f>
        <v/>
      </c>
      <c r="AG157" s="62">
        <f>IF($V157&lt;&gt;"Sub","",N($X157)*IF(AND(ISNUMBER($G157),$G157&lt;=IF($S157=MesCiclo,InicioCiclo,$S157+MOD(2-WEEKDAY($S157),7))+27),1,MIN(1,MAX(0,IF(ISNUMBER(OFFSET($A$1,ROW()-1,11)),OFFSET($A$1,ROW()-1,11),IF(ISNUMBER(OFFSET($A$1,ROW()-1,10)),OFFSET($A$1,ROW()-1,10),IF(ISNUMBER(OFFSET($A$1,ROW()-1,9)),OFFSET($A$1,ROW()-1,9),IF(ISNUMBER(OFFSET($A$1,ROW()-1,8)),OFFSET($A$1,ROW()-1,8),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f>IF(NOT(AND($D157&lt;&gt;"",$V157="Macro")),"",IFERROR(CHOOSE(MATCH($D157,ListaPuestos,0),MATCH("[Jefatura] "&amp;$C157,'Cronograma R. Operacional'!$C$5:$C$1000,0),MATCH("[Jefatura] "&amp;$C157,'Cronograma R. Normativo'!$C$5:$C$1000,0),MATCH("[Jefatura] "&amp;$C157,'Cronograma R. Financiero'!$C$5:$C$1000,0),MATCH("[Jefatura] "&amp;$C157,'Cronograma Asistente Técnico'!$C$5:$C$1000,0)),0))</f>
        <v/>
      </c>
      <c r="AN157" s="62">
        <f>IF(AND(AND($D157&lt;&gt;"",$V157="Macro"),$S157=MesCiclo),COUNTIFS($D$5:$D157,$D157,$S$5:$S157,MesCiclo,$V$5:$V157,"Macro"),"")</f>
        <v/>
      </c>
      <c r="AO157" s="62">
        <f>IF($AN157="","",$D157&amp;"|"&amp;$AN157)</f>
        <v/>
      </c>
      <c r="AP157" s="62">
        <f>IF(AND($D157&lt;&gt;"",$V157="Macro"),$D157&amp;"|"&amp;$C157,"")</f>
        <v/>
      </c>
      <c r="AQ157" s="62">
        <f>""</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t="n"/>
      <c r="F158" s="59" t="n"/>
      <c r="G158" s="59" t="n"/>
      <c r="H158" s="60" t="n"/>
      <c r="I158" s="60">
        <f>IF(N($W158)=0,"",IF(AND($S158=MesCiclo,1&gt;SemanaActual),"",MIN(1,SUMIFS(OFFSET($A$1,ROW(),29,1000-ROW(),1),OFFSET($A$1,ROW(),20,1000-ROW(),1),ROW(),OFFSET($A$1,ROW(),21,1000-ROW(),1),"Sub"))))</f>
        <v/>
      </c>
      <c r="J158" s="60">
        <f>IF(N($W158)=0,"",IF(AND($S158=MesCiclo,2&gt;SemanaActual),"",MIN(1,SUMIFS(OFFSET($A$1,ROW(),30,1000-ROW(),1),OFFSET($A$1,ROW(),20,1000-ROW(),1),ROW(),OFFSET($A$1,ROW(),21,1000-ROW(),1),"Sub"))))</f>
        <v/>
      </c>
      <c r="K158" s="60">
        <f>IF(N($W158)=0,"",IF(AND($S158=MesCiclo,3&gt;SemanaActual),"",MIN(1,SUMIFS(OFFSET($A$1,ROW(),31,1000-ROW(),1),OFFSET($A$1,ROW(),20,1000-ROW(),1),ROW(),OFFSET($A$1,ROW(),21,1000-ROW(),1),"Sub"))))</f>
        <v/>
      </c>
      <c r="L158" s="60">
        <f>IF(N($W158)=0,"",IF(AND($S158=MesCiclo,4&gt;SemanaActual),"",MIN(1,SUMIFS(OFFSET($A$1,ROW(),32,1000-ROW(),1),OFFSET($A$1,ROW(),20,1000-ROW(),1),ROW(),OFFSET($A$1,ROW(),21,1000-ROW(),1),"Sub"))))</f>
        <v/>
      </c>
      <c r="M158" s="61">
        <f>IF(NOT((COUNTA($B158:$D158)+COUNTA($G158:$H158)+COUNTA($Q158))&gt;0),"",IF(AND($D158&lt;&gt;"",$V158="Macro"),IF(N($AM158)&gt;0,N(CHOOSE(MATCH($D158,ListaPuestos,0),INDEX('Cronograma R. Operacional'!$M$5:$M$1000,$AM158),INDEX('Cronograma R. Normativo'!$M$5:$M$1000,$AM158),INDEX('Cronograma R. Financiero'!$M$5:$M$1000,$AM158),INDEX('Cronograma Asistente Técnico'!$M$5:$M$1000,$AM158))),0),IF(ISNUMBER($G158),1,IF(N($W158)&gt;0,MIN(1,SUMIFS($Y$5:$Y$1000,$U$5:$U$1000,ROW(),$V$5:$V$1000,"Sub")),$Y158))))</f>
        <v/>
      </c>
      <c r="N158" s="56">
        <f>IF(OR($M158="",$V158="Sub"),"",IF($M158&gt;=1,"Completado",IF($M158&gt;0,"En curso","Pendiente")))</f>
        <v/>
      </c>
      <c r="O158" s="56">
        <f>IF(NOT((COUNTA($B158:$D158)+COUNTA($G158:$H158)+COUNTA($Q158))&gt;0),"",IF(AND(AND($D158&lt;&gt;"",$V158="Macro"),N($AM158)&gt;0),CHOOSE(MATCH($D158,ListaPuestos,0),INDEX('Cronograma R. Operacional'!$O$5:$O$1000,$AM158),INDEX('Cronograma R. Normativo'!$O$5:$O$1000,$AM158),INDEX('Cronograma R. Financiero'!$O$5:$O$1000,$AM158),INDEX('Cronograma Asistente Técnico'!$O$5:$O$1000,$AM158))&amp;"",IF(ISNUMBER($G158),IF(AND(ISNUMBER($AS158),$G158&gt;$AS158),"Cumplida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f>IF(NOT((COUNTA($B158:$D158)+COUNTA($G158:$H158)+COUNTA($Q158))&gt;0),"",IF($D158="","Propia",IF($V158&lt;&gt;"Macro","Solo se delegan macroactividades",IF(N($AM158)&gt;0,"✔ Recibida por "&amp;$D158,"⚠ "&amp;$D158&amp;" aún no la agrega"))))</f>
        <v/>
      </c>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IF($V158&lt;&gt;"Sub","",N($X158)*IF(AND(ISNUMBER($G158),$G158&lt;=IF($S158=MesCiclo,InicioCiclo,$S158+MOD(2-WEEKDAY($S158),7))+6),1,MIN(1,MAX(0,IF(ISNUMBER(OFFSET($A$1,ROW()-1,8)),OFFSET($A$1,ROW()-1,8),0)))))</f>
        <v/>
      </c>
      <c r="AE158" s="62">
        <f>IF($V158&lt;&gt;"Sub","",N($X158)*IF(AND(ISNUMBER($G158),$G158&lt;=IF($S158=MesCiclo,InicioCiclo,$S158+MOD(2-WEEKDAY($S158),7))+13),1,MIN(1,MAX(0,IF(ISNUMBER(OFFSET($A$1,ROW()-1,9)),OFFSET($A$1,ROW()-1,9),IF(ISNUMBER(OFFSET($A$1,ROW()-1,8)),OFFSET($A$1,ROW()-1,8),0))))))</f>
        <v/>
      </c>
      <c r="AF158" s="62">
        <f>IF($V158&lt;&gt;"Sub","",N($X158)*IF(AND(ISNUMBER($G158),$G158&lt;=IF($S158=MesCiclo,InicioCiclo,$S158+MOD(2-WEEKDAY($S158),7))+20),1,MIN(1,MAX(0,IF(ISNUMBER(OFFSET($A$1,ROW()-1,10)),OFFSET($A$1,ROW()-1,10),IF(ISNUMBER(OFFSET($A$1,ROW()-1,9)),OFFSET($A$1,ROW()-1,9),IF(ISNUMBER(OFFSET($A$1,ROW()-1,8)),OFFSET($A$1,ROW()-1,8),0)))))))</f>
        <v/>
      </c>
      <c r="AG158" s="62">
        <f>IF($V158&lt;&gt;"Sub","",N($X158)*IF(AND(ISNUMBER($G158),$G158&lt;=IF($S158=MesCiclo,InicioCiclo,$S158+MOD(2-WEEKDAY($S158),7))+27),1,MIN(1,MAX(0,IF(ISNUMBER(OFFSET($A$1,ROW()-1,11)),OFFSET($A$1,ROW()-1,11),IF(ISNUMBER(OFFSET($A$1,ROW()-1,10)),OFFSET($A$1,ROW()-1,10),IF(ISNUMBER(OFFSET($A$1,ROW()-1,9)),OFFSET($A$1,ROW()-1,9),IF(ISNUMBER(OFFSET($A$1,ROW()-1,8)),OFFSET($A$1,ROW()-1,8),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f>IF(NOT(AND($D158&lt;&gt;"",$V158="Macro")),"",IFERROR(CHOOSE(MATCH($D158,ListaPuestos,0),MATCH("[Jefatura] "&amp;$C158,'Cronograma R. Operacional'!$C$5:$C$1000,0),MATCH("[Jefatura] "&amp;$C158,'Cronograma R. Normativo'!$C$5:$C$1000,0),MATCH("[Jefatura] "&amp;$C158,'Cronograma R. Financiero'!$C$5:$C$1000,0),MATCH("[Jefatura] "&amp;$C158,'Cronograma Asistente Técnico'!$C$5:$C$1000,0)),0))</f>
        <v/>
      </c>
      <c r="AN158" s="62">
        <f>IF(AND(AND($D158&lt;&gt;"",$V158="Macro"),$S158=MesCiclo),COUNTIFS($D$5:$D158,$D158,$S$5:$S158,MesCiclo,$V$5:$V158,"Macro"),"")</f>
        <v/>
      </c>
      <c r="AO158" s="62">
        <f>IF($AN158="","",$D158&amp;"|"&amp;$AN158)</f>
        <v/>
      </c>
      <c r="AP158" s="62">
        <f>IF(AND($D158&lt;&gt;"",$V158="Macro"),$D158&amp;"|"&amp;$C158,"")</f>
        <v/>
      </c>
      <c r="AQ158" s="62">
        <f>""</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t="n"/>
      <c r="F159" s="59" t="n"/>
      <c r="G159" s="59" t="n"/>
      <c r="H159" s="60" t="n"/>
      <c r="I159" s="60">
        <f>IF(N($W159)=0,"",IF(AND($S159=MesCiclo,1&gt;SemanaActual),"",MIN(1,SUMIFS(OFFSET($A$1,ROW(),29,1000-ROW(),1),OFFSET($A$1,ROW(),20,1000-ROW(),1),ROW(),OFFSET($A$1,ROW(),21,1000-ROW(),1),"Sub"))))</f>
        <v/>
      </c>
      <c r="J159" s="60">
        <f>IF(N($W159)=0,"",IF(AND($S159=MesCiclo,2&gt;SemanaActual),"",MIN(1,SUMIFS(OFFSET($A$1,ROW(),30,1000-ROW(),1),OFFSET($A$1,ROW(),20,1000-ROW(),1),ROW(),OFFSET($A$1,ROW(),21,1000-ROW(),1),"Sub"))))</f>
        <v/>
      </c>
      <c r="K159" s="60">
        <f>IF(N($W159)=0,"",IF(AND($S159=MesCiclo,3&gt;SemanaActual),"",MIN(1,SUMIFS(OFFSET($A$1,ROW(),31,1000-ROW(),1),OFFSET($A$1,ROW(),20,1000-ROW(),1),ROW(),OFFSET($A$1,ROW(),21,1000-ROW(),1),"Sub"))))</f>
        <v/>
      </c>
      <c r="L159" s="60">
        <f>IF(N($W159)=0,"",IF(AND($S159=MesCiclo,4&gt;SemanaActual),"",MIN(1,SUMIFS(OFFSET($A$1,ROW(),32,1000-ROW(),1),OFFSET($A$1,ROW(),20,1000-ROW(),1),ROW(),OFFSET($A$1,ROW(),21,1000-ROW(),1),"Sub"))))</f>
        <v/>
      </c>
      <c r="M159" s="61">
        <f>IF(NOT((COUNTA($B159:$D159)+COUNTA($G159:$H159)+COUNTA($Q159))&gt;0),"",IF(AND($D159&lt;&gt;"",$V159="Macro"),IF(N($AM159)&gt;0,N(CHOOSE(MATCH($D159,ListaPuestos,0),INDEX('Cronograma R. Operacional'!$M$5:$M$1000,$AM159),INDEX('Cronograma R. Normativo'!$M$5:$M$1000,$AM159),INDEX('Cronograma R. Financiero'!$M$5:$M$1000,$AM159),INDEX('Cronograma Asistente Técnico'!$M$5:$M$1000,$AM159))),0),IF(ISNUMBER($G159),1,IF(N($W159)&gt;0,MIN(1,SUMIFS($Y$5:$Y$1000,$U$5:$U$1000,ROW(),$V$5:$V$1000,"Sub")),$Y159))))</f>
        <v/>
      </c>
      <c r="N159" s="56">
        <f>IF(OR($M159="",$V159="Sub"),"",IF($M159&gt;=1,"Completado",IF($M159&gt;0,"En curso","Pendiente")))</f>
        <v/>
      </c>
      <c r="O159" s="56">
        <f>IF(NOT((COUNTA($B159:$D159)+COUNTA($G159:$H159)+COUNTA($Q159))&gt;0),"",IF(AND(AND($D159&lt;&gt;"",$V159="Macro"),N($AM159)&gt;0),CHOOSE(MATCH($D159,ListaPuestos,0),INDEX('Cronograma R. Operacional'!$O$5:$O$1000,$AM159),INDEX('Cronograma R. Normativo'!$O$5:$O$1000,$AM159),INDEX('Cronograma R. Financiero'!$O$5:$O$1000,$AM159),INDEX('Cronograma Asistente Técnico'!$O$5:$O$1000,$AM159))&amp;"",IF(ISNUMBER($G159),IF(AND(ISNUMBER($AS159),$G159&gt;$AS159),"Cumplida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f>IF(NOT((COUNTA($B159:$D159)+COUNTA($G159:$H159)+COUNTA($Q159))&gt;0),"",IF($D159="","Propia",IF($V159&lt;&gt;"Macro","Solo se delegan macroactividades",IF(N($AM159)&gt;0,"✔ Recibida por "&amp;$D159,"⚠ "&amp;$D159&amp;" aún no la agrega"))))</f>
        <v/>
      </c>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IF($V159&lt;&gt;"Sub","",N($X159)*IF(AND(ISNUMBER($G159),$G159&lt;=IF($S159=MesCiclo,InicioCiclo,$S159+MOD(2-WEEKDAY($S159),7))+6),1,MIN(1,MAX(0,IF(ISNUMBER(OFFSET($A$1,ROW()-1,8)),OFFSET($A$1,ROW()-1,8),0)))))</f>
        <v/>
      </c>
      <c r="AE159" s="62">
        <f>IF($V159&lt;&gt;"Sub","",N($X159)*IF(AND(ISNUMBER($G159),$G159&lt;=IF($S159=MesCiclo,InicioCiclo,$S159+MOD(2-WEEKDAY($S159),7))+13),1,MIN(1,MAX(0,IF(ISNUMBER(OFFSET($A$1,ROW()-1,9)),OFFSET($A$1,ROW()-1,9),IF(ISNUMBER(OFFSET($A$1,ROW()-1,8)),OFFSET($A$1,ROW()-1,8),0))))))</f>
        <v/>
      </c>
      <c r="AF159" s="62">
        <f>IF($V159&lt;&gt;"Sub","",N($X159)*IF(AND(ISNUMBER($G159),$G159&lt;=IF($S159=MesCiclo,InicioCiclo,$S159+MOD(2-WEEKDAY($S159),7))+20),1,MIN(1,MAX(0,IF(ISNUMBER(OFFSET($A$1,ROW()-1,10)),OFFSET($A$1,ROW()-1,10),IF(ISNUMBER(OFFSET($A$1,ROW()-1,9)),OFFSET($A$1,ROW()-1,9),IF(ISNUMBER(OFFSET($A$1,ROW()-1,8)),OFFSET($A$1,ROW()-1,8),0)))))))</f>
        <v/>
      </c>
      <c r="AG159" s="62">
        <f>IF($V159&lt;&gt;"Sub","",N($X159)*IF(AND(ISNUMBER($G159),$G159&lt;=IF($S159=MesCiclo,InicioCiclo,$S159+MOD(2-WEEKDAY($S159),7))+27),1,MIN(1,MAX(0,IF(ISNUMBER(OFFSET($A$1,ROW()-1,11)),OFFSET($A$1,ROW()-1,11),IF(ISNUMBER(OFFSET($A$1,ROW()-1,10)),OFFSET($A$1,ROW()-1,10),IF(ISNUMBER(OFFSET($A$1,ROW()-1,9)),OFFSET($A$1,ROW()-1,9),IF(ISNUMBER(OFFSET($A$1,ROW()-1,8)),OFFSET($A$1,ROW()-1,8),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f>IF(NOT(AND($D159&lt;&gt;"",$V159="Macro")),"",IFERROR(CHOOSE(MATCH($D159,ListaPuestos,0),MATCH("[Jefatura] "&amp;$C159,'Cronograma R. Operacional'!$C$5:$C$1000,0),MATCH("[Jefatura] "&amp;$C159,'Cronograma R. Normativo'!$C$5:$C$1000,0),MATCH("[Jefatura] "&amp;$C159,'Cronograma R. Financiero'!$C$5:$C$1000,0),MATCH("[Jefatura] "&amp;$C159,'Cronograma Asistente Técnico'!$C$5:$C$1000,0)),0))</f>
        <v/>
      </c>
      <c r="AN159" s="62">
        <f>IF(AND(AND($D159&lt;&gt;"",$V159="Macro"),$S159=MesCiclo),COUNTIFS($D$5:$D159,$D159,$S$5:$S159,MesCiclo,$V$5:$V159,"Macro"),"")</f>
        <v/>
      </c>
      <c r="AO159" s="62">
        <f>IF($AN159="","",$D159&amp;"|"&amp;$AN159)</f>
        <v/>
      </c>
      <c r="AP159" s="62">
        <f>IF(AND($D159&lt;&gt;"",$V159="Macro"),$D159&amp;"|"&amp;$C159,"")</f>
        <v/>
      </c>
      <c r="AQ159" s="62">
        <f>""</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t="n"/>
      <c r="F160" s="59" t="n"/>
      <c r="G160" s="59" t="n"/>
      <c r="H160" s="60" t="n"/>
      <c r="I160" s="60">
        <f>IF(N($W160)=0,"",IF(AND($S160=MesCiclo,1&gt;SemanaActual),"",MIN(1,SUMIFS(OFFSET($A$1,ROW(),29,1000-ROW(),1),OFFSET($A$1,ROW(),20,1000-ROW(),1),ROW(),OFFSET($A$1,ROW(),21,1000-ROW(),1),"Sub"))))</f>
        <v/>
      </c>
      <c r="J160" s="60">
        <f>IF(N($W160)=0,"",IF(AND($S160=MesCiclo,2&gt;SemanaActual),"",MIN(1,SUMIFS(OFFSET($A$1,ROW(),30,1000-ROW(),1),OFFSET($A$1,ROW(),20,1000-ROW(),1),ROW(),OFFSET($A$1,ROW(),21,1000-ROW(),1),"Sub"))))</f>
        <v/>
      </c>
      <c r="K160" s="60">
        <f>IF(N($W160)=0,"",IF(AND($S160=MesCiclo,3&gt;SemanaActual),"",MIN(1,SUMIFS(OFFSET($A$1,ROW(),31,1000-ROW(),1),OFFSET($A$1,ROW(),20,1000-ROW(),1),ROW(),OFFSET($A$1,ROW(),21,1000-ROW(),1),"Sub"))))</f>
        <v/>
      </c>
      <c r="L160" s="60">
        <f>IF(N($W160)=0,"",IF(AND($S160=MesCiclo,4&gt;SemanaActual),"",MIN(1,SUMIFS(OFFSET($A$1,ROW(),32,1000-ROW(),1),OFFSET($A$1,ROW(),20,1000-ROW(),1),ROW(),OFFSET($A$1,ROW(),21,1000-ROW(),1),"Sub"))))</f>
        <v/>
      </c>
      <c r="M160" s="61">
        <f>IF(NOT((COUNTA($B160:$D160)+COUNTA($G160:$H160)+COUNTA($Q160))&gt;0),"",IF(AND($D160&lt;&gt;"",$V160="Macro"),IF(N($AM160)&gt;0,N(CHOOSE(MATCH($D160,ListaPuestos,0),INDEX('Cronograma R. Operacional'!$M$5:$M$1000,$AM160),INDEX('Cronograma R. Normativo'!$M$5:$M$1000,$AM160),INDEX('Cronograma R. Financiero'!$M$5:$M$1000,$AM160),INDEX('Cronograma Asistente Técnico'!$M$5:$M$1000,$AM160))),0),IF(ISNUMBER($G160),1,IF(N($W160)&gt;0,MIN(1,SUMIFS($Y$5:$Y$1000,$U$5:$U$1000,ROW(),$V$5:$V$1000,"Sub")),$Y160))))</f>
        <v/>
      </c>
      <c r="N160" s="56">
        <f>IF(OR($M160="",$V160="Sub"),"",IF($M160&gt;=1,"Completado",IF($M160&gt;0,"En curso","Pendiente")))</f>
        <v/>
      </c>
      <c r="O160" s="56">
        <f>IF(NOT((COUNTA($B160:$D160)+COUNTA($G160:$H160)+COUNTA($Q160))&gt;0),"",IF(AND(AND($D160&lt;&gt;"",$V160="Macro"),N($AM160)&gt;0),CHOOSE(MATCH($D160,ListaPuestos,0),INDEX('Cronograma R. Operacional'!$O$5:$O$1000,$AM160),INDEX('Cronograma R. Normativo'!$O$5:$O$1000,$AM160),INDEX('Cronograma R. Financiero'!$O$5:$O$1000,$AM160),INDEX('Cronograma Asistente Técnico'!$O$5:$O$1000,$AM160))&amp;"",IF(ISNUMBER($G160),IF(AND(ISNUMBER($AS160),$G160&gt;$AS160),"Cumplida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f>IF(NOT((COUNTA($B160:$D160)+COUNTA($G160:$H160)+COUNTA($Q160))&gt;0),"",IF($D160="","Propia",IF($V160&lt;&gt;"Macro","Solo se delegan macroactividades",IF(N($AM160)&gt;0,"✔ Recibida por "&amp;$D160,"⚠ "&amp;$D160&amp;" aún no la agrega"))))</f>
        <v/>
      </c>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IF($V160&lt;&gt;"Sub","",N($X160)*IF(AND(ISNUMBER($G160),$G160&lt;=IF($S160=MesCiclo,InicioCiclo,$S160+MOD(2-WEEKDAY($S160),7))+6),1,MIN(1,MAX(0,IF(ISNUMBER(OFFSET($A$1,ROW()-1,8)),OFFSET($A$1,ROW()-1,8),0)))))</f>
        <v/>
      </c>
      <c r="AE160" s="62">
        <f>IF($V160&lt;&gt;"Sub","",N($X160)*IF(AND(ISNUMBER($G160),$G160&lt;=IF($S160=MesCiclo,InicioCiclo,$S160+MOD(2-WEEKDAY($S160),7))+13),1,MIN(1,MAX(0,IF(ISNUMBER(OFFSET($A$1,ROW()-1,9)),OFFSET($A$1,ROW()-1,9),IF(ISNUMBER(OFFSET($A$1,ROW()-1,8)),OFFSET($A$1,ROW()-1,8),0))))))</f>
        <v/>
      </c>
      <c r="AF160" s="62">
        <f>IF($V160&lt;&gt;"Sub","",N($X160)*IF(AND(ISNUMBER($G160),$G160&lt;=IF($S160=MesCiclo,InicioCiclo,$S160+MOD(2-WEEKDAY($S160),7))+20),1,MIN(1,MAX(0,IF(ISNUMBER(OFFSET($A$1,ROW()-1,10)),OFFSET($A$1,ROW()-1,10),IF(ISNUMBER(OFFSET($A$1,ROW()-1,9)),OFFSET($A$1,ROW()-1,9),IF(ISNUMBER(OFFSET($A$1,ROW()-1,8)),OFFSET($A$1,ROW()-1,8),0)))))))</f>
        <v/>
      </c>
      <c r="AG160" s="62">
        <f>IF($V160&lt;&gt;"Sub","",N($X160)*IF(AND(ISNUMBER($G160),$G160&lt;=IF($S160=MesCiclo,InicioCiclo,$S160+MOD(2-WEEKDAY($S160),7))+27),1,MIN(1,MAX(0,IF(ISNUMBER(OFFSET($A$1,ROW()-1,11)),OFFSET($A$1,ROW()-1,11),IF(ISNUMBER(OFFSET($A$1,ROW()-1,10)),OFFSET($A$1,ROW()-1,10),IF(ISNUMBER(OFFSET($A$1,ROW()-1,9)),OFFSET($A$1,ROW()-1,9),IF(ISNUMBER(OFFSET($A$1,ROW()-1,8)),OFFSET($A$1,ROW()-1,8),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f>IF(NOT(AND($D160&lt;&gt;"",$V160="Macro")),"",IFERROR(CHOOSE(MATCH($D160,ListaPuestos,0),MATCH("[Jefatura] "&amp;$C160,'Cronograma R. Operacional'!$C$5:$C$1000,0),MATCH("[Jefatura] "&amp;$C160,'Cronograma R. Normativo'!$C$5:$C$1000,0),MATCH("[Jefatura] "&amp;$C160,'Cronograma R. Financiero'!$C$5:$C$1000,0),MATCH("[Jefatura] "&amp;$C160,'Cronograma Asistente Técnico'!$C$5:$C$1000,0)),0))</f>
        <v/>
      </c>
      <c r="AN160" s="62">
        <f>IF(AND(AND($D160&lt;&gt;"",$V160="Macro"),$S160=MesCiclo),COUNTIFS($D$5:$D160,$D160,$S$5:$S160,MesCiclo,$V$5:$V160,"Macro"),"")</f>
        <v/>
      </c>
      <c r="AO160" s="62">
        <f>IF($AN160="","",$D160&amp;"|"&amp;$AN160)</f>
        <v/>
      </c>
      <c r="AP160" s="62">
        <f>IF(AND($D160&lt;&gt;"",$V160="Macro"),$D160&amp;"|"&amp;$C160,"")</f>
        <v/>
      </c>
      <c r="AQ160" s="62">
        <f>""</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t="n"/>
      <c r="F161" s="59" t="n"/>
      <c r="G161" s="59" t="n"/>
      <c r="H161" s="60" t="n"/>
      <c r="I161" s="60">
        <f>IF(N($W161)=0,"",IF(AND($S161=MesCiclo,1&gt;SemanaActual),"",MIN(1,SUMIFS(OFFSET($A$1,ROW(),29,1000-ROW(),1),OFFSET($A$1,ROW(),20,1000-ROW(),1),ROW(),OFFSET($A$1,ROW(),21,1000-ROW(),1),"Sub"))))</f>
        <v/>
      </c>
      <c r="J161" s="60">
        <f>IF(N($W161)=0,"",IF(AND($S161=MesCiclo,2&gt;SemanaActual),"",MIN(1,SUMIFS(OFFSET($A$1,ROW(),30,1000-ROW(),1),OFFSET($A$1,ROW(),20,1000-ROW(),1),ROW(),OFFSET($A$1,ROW(),21,1000-ROW(),1),"Sub"))))</f>
        <v/>
      </c>
      <c r="K161" s="60">
        <f>IF(N($W161)=0,"",IF(AND($S161=MesCiclo,3&gt;SemanaActual),"",MIN(1,SUMIFS(OFFSET($A$1,ROW(),31,1000-ROW(),1),OFFSET($A$1,ROW(),20,1000-ROW(),1),ROW(),OFFSET($A$1,ROW(),21,1000-ROW(),1),"Sub"))))</f>
        <v/>
      </c>
      <c r="L161" s="60">
        <f>IF(N($W161)=0,"",IF(AND($S161=MesCiclo,4&gt;SemanaActual),"",MIN(1,SUMIFS(OFFSET($A$1,ROW(),32,1000-ROW(),1),OFFSET($A$1,ROW(),20,1000-ROW(),1),ROW(),OFFSET($A$1,ROW(),21,1000-ROW(),1),"Sub"))))</f>
        <v/>
      </c>
      <c r="M161" s="61">
        <f>IF(NOT((COUNTA($B161:$D161)+COUNTA($G161:$H161)+COUNTA($Q161))&gt;0),"",IF(AND($D161&lt;&gt;"",$V161="Macro"),IF(N($AM161)&gt;0,N(CHOOSE(MATCH($D161,ListaPuestos,0),INDEX('Cronograma R. Operacional'!$M$5:$M$1000,$AM161),INDEX('Cronograma R. Normativo'!$M$5:$M$1000,$AM161),INDEX('Cronograma R. Financiero'!$M$5:$M$1000,$AM161),INDEX('Cronograma Asistente Técnico'!$M$5:$M$1000,$AM161))),0),IF(ISNUMBER($G161),1,IF(N($W161)&gt;0,MIN(1,SUMIFS($Y$5:$Y$1000,$U$5:$U$1000,ROW(),$V$5:$V$1000,"Sub")),$Y161))))</f>
        <v/>
      </c>
      <c r="N161" s="56">
        <f>IF(OR($M161="",$V161="Sub"),"",IF($M161&gt;=1,"Completado",IF($M161&gt;0,"En curso","Pendiente")))</f>
        <v/>
      </c>
      <c r="O161" s="56">
        <f>IF(NOT((COUNTA($B161:$D161)+COUNTA($G161:$H161)+COUNTA($Q161))&gt;0),"",IF(AND(AND($D161&lt;&gt;"",$V161="Macro"),N($AM161)&gt;0),CHOOSE(MATCH($D161,ListaPuestos,0),INDEX('Cronograma R. Operacional'!$O$5:$O$1000,$AM161),INDEX('Cronograma R. Normativo'!$O$5:$O$1000,$AM161),INDEX('Cronograma R. Financiero'!$O$5:$O$1000,$AM161),INDEX('Cronograma Asistente Técnico'!$O$5:$O$1000,$AM161))&amp;"",IF(ISNUMBER($G161),IF(AND(ISNUMBER($AS161),$G161&gt;$AS161),"Cumplida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f>IF(NOT((COUNTA($B161:$D161)+COUNTA($G161:$H161)+COUNTA($Q161))&gt;0),"",IF($D161="","Propia",IF($V161&lt;&gt;"Macro","Solo se delegan macroactividades",IF(N($AM161)&gt;0,"✔ Recibida por "&amp;$D161,"⚠ "&amp;$D161&amp;" aún no la agrega"))))</f>
        <v/>
      </c>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IF($V161&lt;&gt;"Sub","",N($X161)*IF(AND(ISNUMBER($G161),$G161&lt;=IF($S161=MesCiclo,InicioCiclo,$S161+MOD(2-WEEKDAY($S161),7))+6),1,MIN(1,MAX(0,IF(ISNUMBER(OFFSET($A$1,ROW()-1,8)),OFFSET($A$1,ROW()-1,8),0)))))</f>
        <v/>
      </c>
      <c r="AE161" s="62">
        <f>IF($V161&lt;&gt;"Sub","",N($X161)*IF(AND(ISNUMBER($G161),$G161&lt;=IF($S161=MesCiclo,InicioCiclo,$S161+MOD(2-WEEKDAY($S161),7))+13),1,MIN(1,MAX(0,IF(ISNUMBER(OFFSET($A$1,ROW()-1,9)),OFFSET($A$1,ROW()-1,9),IF(ISNUMBER(OFFSET($A$1,ROW()-1,8)),OFFSET($A$1,ROW()-1,8),0))))))</f>
        <v/>
      </c>
      <c r="AF161" s="62">
        <f>IF($V161&lt;&gt;"Sub","",N($X161)*IF(AND(ISNUMBER($G161),$G161&lt;=IF($S161=MesCiclo,InicioCiclo,$S161+MOD(2-WEEKDAY($S161),7))+20),1,MIN(1,MAX(0,IF(ISNUMBER(OFFSET($A$1,ROW()-1,10)),OFFSET($A$1,ROW()-1,10),IF(ISNUMBER(OFFSET($A$1,ROW()-1,9)),OFFSET($A$1,ROW()-1,9),IF(ISNUMBER(OFFSET($A$1,ROW()-1,8)),OFFSET($A$1,ROW()-1,8),0)))))))</f>
        <v/>
      </c>
      <c r="AG161" s="62">
        <f>IF($V161&lt;&gt;"Sub","",N($X161)*IF(AND(ISNUMBER($G161),$G161&lt;=IF($S161=MesCiclo,InicioCiclo,$S161+MOD(2-WEEKDAY($S161),7))+27),1,MIN(1,MAX(0,IF(ISNUMBER(OFFSET($A$1,ROW()-1,11)),OFFSET($A$1,ROW()-1,11),IF(ISNUMBER(OFFSET($A$1,ROW()-1,10)),OFFSET($A$1,ROW()-1,10),IF(ISNUMBER(OFFSET($A$1,ROW()-1,9)),OFFSET($A$1,ROW()-1,9),IF(ISNUMBER(OFFSET($A$1,ROW()-1,8)),OFFSET($A$1,ROW()-1,8),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f>IF(NOT(AND($D161&lt;&gt;"",$V161="Macro")),"",IFERROR(CHOOSE(MATCH($D161,ListaPuestos,0),MATCH("[Jefatura] "&amp;$C161,'Cronograma R. Operacional'!$C$5:$C$1000,0),MATCH("[Jefatura] "&amp;$C161,'Cronograma R. Normativo'!$C$5:$C$1000,0),MATCH("[Jefatura] "&amp;$C161,'Cronograma R. Financiero'!$C$5:$C$1000,0),MATCH("[Jefatura] "&amp;$C161,'Cronograma Asistente Técnico'!$C$5:$C$1000,0)),0))</f>
        <v/>
      </c>
      <c r="AN161" s="62">
        <f>IF(AND(AND($D161&lt;&gt;"",$V161="Macro"),$S161=MesCiclo),COUNTIFS($D$5:$D161,$D161,$S$5:$S161,MesCiclo,$V$5:$V161,"Macro"),"")</f>
        <v/>
      </c>
      <c r="AO161" s="62">
        <f>IF($AN161="","",$D161&amp;"|"&amp;$AN161)</f>
        <v/>
      </c>
      <c r="AP161" s="62">
        <f>IF(AND($D161&lt;&gt;"",$V161="Macro"),$D161&amp;"|"&amp;$C161,"")</f>
        <v/>
      </c>
      <c r="AQ161" s="62">
        <f>""</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t="n"/>
      <c r="F162" s="59" t="n"/>
      <c r="G162" s="59" t="n"/>
      <c r="H162" s="60" t="n"/>
      <c r="I162" s="60">
        <f>IF(N($W162)=0,"",IF(AND($S162=MesCiclo,1&gt;SemanaActual),"",MIN(1,SUMIFS(OFFSET($A$1,ROW(),29,1000-ROW(),1),OFFSET($A$1,ROW(),20,1000-ROW(),1),ROW(),OFFSET($A$1,ROW(),21,1000-ROW(),1),"Sub"))))</f>
        <v/>
      </c>
      <c r="J162" s="60">
        <f>IF(N($W162)=0,"",IF(AND($S162=MesCiclo,2&gt;SemanaActual),"",MIN(1,SUMIFS(OFFSET($A$1,ROW(),30,1000-ROW(),1),OFFSET($A$1,ROW(),20,1000-ROW(),1),ROW(),OFFSET($A$1,ROW(),21,1000-ROW(),1),"Sub"))))</f>
        <v/>
      </c>
      <c r="K162" s="60">
        <f>IF(N($W162)=0,"",IF(AND($S162=MesCiclo,3&gt;SemanaActual),"",MIN(1,SUMIFS(OFFSET($A$1,ROW(),31,1000-ROW(),1),OFFSET($A$1,ROW(),20,1000-ROW(),1),ROW(),OFFSET($A$1,ROW(),21,1000-ROW(),1),"Sub"))))</f>
        <v/>
      </c>
      <c r="L162" s="60">
        <f>IF(N($W162)=0,"",IF(AND($S162=MesCiclo,4&gt;SemanaActual),"",MIN(1,SUMIFS(OFFSET($A$1,ROW(),32,1000-ROW(),1),OFFSET($A$1,ROW(),20,1000-ROW(),1),ROW(),OFFSET($A$1,ROW(),21,1000-ROW(),1),"Sub"))))</f>
        <v/>
      </c>
      <c r="M162" s="61">
        <f>IF(NOT((COUNTA($B162:$D162)+COUNTA($G162:$H162)+COUNTA($Q162))&gt;0),"",IF(AND($D162&lt;&gt;"",$V162="Macro"),IF(N($AM162)&gt;0,N(CHOOSE(MATCH($D162,ListaPuestos,0),INDEX('Cronograma R. Operacional'!$M$5:$M$1000,$AM162),INDEX('Cronograma R. Normativo'!$M$5:$M$1000,$AM162),INDEX('Cronograma R. Financiero'!$M$5:$M$1000,$AM162),INDEX('Cronograma Asistente Técnico'!$M$5:$M$1000,$AM162))),0),IF(ISNUMBER($G162),1,IF(N($W162)&gt;0,MIN(1,SUMIFS($Y$5:$Y$1000,$U$5:$U$1000,ROW(),$V$5:$V$1000,"Sub")),$Y162))))</f>
        <v/>
      </c>
      <c r="N162" s="56">
        <f>IF(OR($M162="",$V162="Sub"),"",IF($M162&gt;=1,"Completado",IF($M162&gt;0,"En curso","Pendiente")))</f>
        <v/>
      </c>
      <c r="O162" s="56">
        <f>IF(NOT((COUNTA($B162:$D162)+COUNTA($G162:$H162)+COUNTA($Q162))&gt;0),"",IF(AND(AND($D162&lt;&gt;"",$V162="Macro"),N($AM162)&gt;0),CHOOSE(MATCH($D162,ListaPuestos,0),INDEX('Cronograma R. Operacional'!$O$5:$O$1000,$AM162),INDEX('Cronograma R. Normativo'!$O$5:$O$1000,$AM162),INDEX('Cronograma R. Financiero'!$O$5:$O$1000,$AM162),INDEX('Cronograma Asistente Técnico'!$O$5:$O$1000,$AM162))&amp;"",IF(ISNUMBER($G162),IF(AND(ISNUMBER($AS162),$G162&gt;$AS162),"Cumplida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f>IF(NOT((COUNTA($B162:$D162)+COUNTA($G162:$H162)+COUNTA($Q162))&gt;0),"",IF($D162="","Propia",IF($V162&lt;&gt;"Macro","Solo se delegan macroactividades",IF(N($AM162)&gt;0,"✔ Recibida por "&amp;$D162,"⚠ "&amp;$D162&amp;" aún no la agrega"))))</f>
        <v/>
      </c>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IF($V162&lt;&gt;"Sub","",N($X162)*IF(AND(ISNUMBER($G162),$G162&lt;=IF($S162=MesCiclo,InicioCiclo,$S162+MOD(2-WEEKDAY($S162),7))+6),1,MIN(1,MAX(0,IF(ISNUMBER(OFFSET($A$1,ROW()-1,8)),OFFSET($A$1,ROW()-1,8),0)))))</f>
        <v/>
      </c>
      <c r="AE162" s="62">
        <f>IF($V162&lt;&gt;"Sub","",N($X162)*IF(AND(ISNUMBER($G162),$G162&lt;=IF($S162=MesCiclo,InicioCiclo,$S162+MOD(2-WEEKDAY($S162),7))+13),1,MIN(1,MAX(0,IF(ISNUMBER(OFFSET($A$1,ROW()-1,9)),OFFSET($A$1,ROW()-1,9),IF(ISNUMBER(OFFSET($A$1,ROW()-1,8)),OFFSET($A$1,ROW()-1,8),0))))))</f>
        <v/>
      </c>
      <c r="AF162" s="62">
        <f>IF($V162&lt;&gt;"Sub","",N($X162)*IF(AND(ISNUMBER($G162),$G162&lt;=IF($S162=MesCiclo,InicioCiclo,$S162+MOD(2-WEEKDAY($S162),7))+20),1,MIN(1,MAX(0,IF(ISNUMBER(OFFSET($A$1,ROW()-1,10)),OFFSET($A$1,ROW()-1,10),IF(ISNUMBER(OFFSET($A$1,ROW()-1,9)),OFFSET($A$1,ROW()-1,9),IF(ISNUMBER(OFFSET($A$1,ROW()-1,8)),OFFSET($A$1,ROW()-1,8),0)))))))</f>
        <v/>
      </c>
      <c r="AG162" s="62">
        <f>IF($V162&lt;&gt;"Sub","",N($X162)*IF(AND(ISNUMBER($G162),$G162&lt;=IF($S162=MesCiclo,InicioCiclo,$S162+MOD(2-WEEKDAY($S162),7))+27),1,MIN(1,MAX(0,IF(ISNUMBER(OFFSET($A$1,ROW()-1,11)),OFFSET($A$1,ROW()-1,11),IF(ISNUMBER(OFFSET($A$1,ROW()-1,10)),OFFSET($A$1,ROW()-1,10),IF(ISNUMBER(OFFSET($A$1,ROW()-1,9)),OFFSET($A$1,ROW()-1,9),IF(ISNUMBER(OFFSET($A$1,ROW()-1,8)),OFFSET($A$1,ROW()-1,8),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f>IF(NOT(AND($D162&lt;&gt;"",$V162="Macro")),"",IFERROR(CHOOSE(MATCH($D162,ListaPuestos,0),MATCH("[Jefatura] "&amp;$C162,'Cronograma R. Operacional'!$C$5:$C$1000,0),MATCH("[Jefatura] "&amp;$C162,'Cronograma R. Normativo'!$C$5:$C$1000,0),MATCH("[Jefatura] "&amp;$C162,'Cronograma R. Financiero'!$C$5:$C$1000,0),MATCH("[Jefatura] "&amp;$C162,'Cronograma Asistente Técnico'!$C$5:$C$1000,0)),0))</f>
        <v/>
      </c>
      <c r="AN162" s="62">
        <f>IF(AND(AND($D162&lt;&gt;"",$V162="Macro"),$S162=MesCiclo),COUNTIFS($D$5:$D162,$D162,$S$5:$S162,MesCiclo,$V$5:$V162,"Macro"),"")</f>
        <v/>
      </c>
      <c r="AO162" s="62">
        <f>IF($AN162="","",$D162&amp;"|"&amp;$AN162)</f>
        <v/>
      </c>
      <c r="AP162" s="62">
        <f>IF(AND($D162&lt;&gt;"",$V162="Macro"),$D162&amp;"|"&amp;$C162,"")</f>
        <v/>
      </c>
      <c r="AQ162" s="62">
        <f>""</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t="n"/>
      <c r="F163" s="59" t="n"/>
      <c r="G163" s="59" t="n"/>
      <c r="H163" s="60" t="n"/>
      <c r="I163" s="60">
        <f>IF(N($W163)=0,"",IF(AND($S163=MesCiclo,1&gt;SemanaActual),"",MIN(1,SUMIFS(OFFSET($A$1,ROW(),29,1000-ROW(),1),OFFSET($A$1,ROW(),20,1000-ROW(),1),ROW(),OFFSET($A$1,ROW(),21,1000-ROW(),1),"Sub"))))</f>
        <v/>
      </c>
      <c r="J163" s="60">
        <f>IF(N($W163)=0,"",IF(AND($S163=MesCiclo,2&gt;SemanaActual),"",MIN(1,SUMIFS(OFFSET($A$1,ROW(),30,1000-ROW(),1),OFFSET($A$1,ROW(),20,1000-ROW(),1),ROW(),OFFSET($A$1,ROW(),21,1000-ROW(),1),"Sub"))))</f>
        <v/>
      </c>
      <c r="K163" s="60">
        <f>IF(N($W163)=0,"",IF(AND($S163=MesCiclo,3&gt;SemanaActual),"",MIN(1,SUMIFS(OFFSET($A$1,ROW(),31,1000-ROW(),1),OFFSET($A$1,ROW(),20,1000-ROW(),1),ROW(),OFFSET($A$1,ROW(),21,1000-ROW(),1),"Sub"))))</f>
        <v/>
      </c>
      <c r="L163" s="60">
        <f>IF(N($W163)=0,"",IF(AND($S163=MesCiclo,4&gt;SemanaActual),"",MIN(1,SUMIFS(OFFSET($A$1,ROW(),32,1000-ROW(),1),OFFSET($A$1,ROW(),20,1000-ROW(),1),ROW(),OFFSET($A$1,ROW(),21,1000-ROW(),1),"Sub"))))</f>
        <v/>
      </c>
      <c r="M163" s="61">
        <f>IF(NOT((COUNTA($B163:$D163)+COUNTA($G163:$H163)+COUNTA($Q163))&gt;0),"",IF(AND($D163&lt;&gt;"",$V163="Macro"),IF(N($AM163)&gt;0,N(CHOOSE(MATCH($D163,ListaPuestos,0),INDEX('Cronograma R. Operacional'!$M$5:$M$1000,$AM163),INDEX('Cronograma R. Normativo'!$M$5:$M$1000,$AM163),INDEX('Cronograma R. Financiero'!$M$5:$M$1000,$AM163),INDEX('Cronograma Asistente Técnico'!$M$5:$M$1000,$AM163))),0),IF(ISNUMBER($G163),1,IF(N($W163)&gt;0,MIN(1,SUMIFS($Y$5:$Y$1000,$U$5:$U$1000,ROW(),$V$5:$V$1000,"Sub")),$Y163))))</f>
        <v/>
      </c>
      <c r="N163" s="56">
        <f>IF(OR($M163="",$V163="Sub"),"",IF($M163&gt;=1,"Completado",IF($M163&gt;0,"En curso","Pendiente")))</f>
        <v/>
      </c>
      <c r="O163" s="56">
        <f>IF(NOT((COUNTA($B163:$D163)+COUNTA($G163:$H163)+COUNTA($Q163))&gt;0),"",IF(AND(AND($D163&lt;&gt;"",$V163="Macro"),N($AM163)&gt;0),CHOOSE(MATCH($D163,ListaPuestos,0),INDEX('Cronograma R. Operacional'!$O$5:$O$1000,$AM163),INDEX('Cronograma R. Normativo'!$O$5:$O$1000,$AM163),INDEX('Cronograma R. Financiero'!$O$5:$O$1000,$AM163),INDEX('Cronograma Asistente Técnico'!$O$5:$O$1000,$AM163))&amp;"",IF(ISNUMBER($G163),IF(AND(ISNUMBER($AS163),$G163&gt;$AS163),"Cumplida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f>IF(NOT((COUNTA($B163:$D163)+COUNTA($G163:$H163)+COUNTA($Q163))&gt;0),"",IF($D163="","Propia",IF($V163&lt;&gt;"Macro","Solo se delegan macroactividades",IF(N($AM163)&gt;0,"✔ Recibida por "&amp;$D163,"⚠ "&amp;$D163&amp;" aún no la agrega"))))</f>
        <v/>
      </c>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IF($V163&lt;&gt;"Sub","",N($X163)*IF(AND(ISNUMBER($G163),$G163&lt;=IF($S163=MesCiclo,InicioCiclo,$S163+MOD(2-WEEKDAY($S163),7))+6),1,MIN(1,MAX(0,IF(ISNUMBER(OFFSET($A$1,ROW()-1,8)),OFFSET($A$1,ROW()-1,8),0)))))</f>
        <v/>
      </c>
      <c r="AE163" s="62">
        <f>IF($V163&lt;&gt;"Sub","",N($X163)*IF(AND(ISNUMBER($G163),$G163&lt;=IF($S163=MesCiclo,InicioCiclo,$S163+MOD(2-WEEKDAY($S163),7))+13),1,MIN(1,MAX(0,IF(ISNUMBER(OFFSET($A$1,ROW()-1,9)),OFFSET($A$1,ROW()-1,9),IF(ISNUMBER(OFFSET($A$1,ROW()-1,8)),OFFSET($A$1,ROW()-1,8),0))))))</f>
        <v/>
      </c>
      <c r="AF163" s="62">
        <f>IF($V163&lt;&gt;"Sub","",N($X163)*IF(AND(ISNUMBER($G163),$G163&lt;=IF($S163=MesCiclo,InicioCiclo,$S163+MOD(2-WEEKDAY($S163),7))+20),1,MIN(1,MAX(0,IF(ISNUMBER(OFFSET($A$1,ROW()-1,10)),OFFSET($A$1,ROW()-1,10),IF(ISNUMBER(OFFSET($A$1,ROW()-1,9)),OFFSET($A$1,ROW()-1,9),IF(ISNUMBER(OFFSET($A$1,ROW()-1,8)),OFFSET($A$1,ROW()-1,8),0)))))))</f>
        <v/>
      </c>
      <c r="AG163" s="62">
        <f>IF($V163&lt;&gt;"Sub","",N($X163)*IF(AND(ISNUMBER($G163),$G163&lt;=IF($S163=MesCiclo,InicioCiclo,$S163+MOD(2-WEEKDAY($S163),7))+27),1,MIN(1,MAX(0,IF(ISNUMBER(OFFSET($A$1,ROW()-1,11)),OFFSET($A$1,ROW()-1,11),IF(ISNUMBER(OFFSET($A$1,ROW()-1,10)),OFFSET($A$1,ROW()-1,10),IF(ISNUMBER(OFFSET($A$1,ROW()-1,9)),OFFSET($A$1,ROW()-1,9),IF(ISNUMBER(OFFSET($A$1,ROW()-1,8)),OFFSET($A$1,ROW()-1,8),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f>IF(NOT(AND($D163&lt;&gt;"",$V163="Macro")),"",IFERROR(CHOOSE(MATCH($D163,ListaPuestos,0),MATCH("[Jefatura] "&amp;$C163,'Cronograma R. Operacional'!$C$5:$C$1000,0),MATCH("[Jefatura] "&amp;$C163,'Cronograma R. Normativo'!$C$5:$C$1000,0),MATCH("[Jefatura] "&amp;$C163,'Cronograma R. Financiero'!$C$5:$C$1000,0),MATCH("[Jefatura] "&amp;$C163,'Cronograma Asistente Técnico'!$C$5:$C$1000,0)),0))</f>
        <v/>
      </c>
      <c r="AN163" s="62">
        <f>IF(AND(AND($D163&lt;&gt;"",$V163="Macro"),$S163=MesCiclo),COUNTIFS($D$5:$D163,$D163,$S$5:$S163,MesCiclo,$V$5:$V163,"Macro"),"")</f>
        <v/>
      </c>
      <c r="AO163" s="62">
        <f>IF($AN163="","",$D163&amp;"|"&amp;$AN163)</f>
        <v/>
      </c>
      <c r="AP163" s="62">
        <f>IF(AND($D163&lt;&gt;"",$V163="Macro"),$D163&amp;"|"&amp;$C163,"")</f>
        <v/>
      </c>
      <c r="AQ163" s="62">
        <f>""</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t="n"/>
      <c r="F164" s="59" t="n"/>
      <c r="G164" s="59" t="n"/>
      <c r="H164" s="60" t="n"/>
      <c r="I164" s="60">
        <f>IF(N($W164)=0,"",IF(AND($S164=MesCiclo,1&gt;SemanaActual),"",MIN(1,SUMIFS(OFFSET($A$1,ROW(),29,1000-ROW(),1),OFFSET($A$1,ROW(),20,1000-ROW(),1),ROW(),OFFSET($A$1,ROW(),21,1000-ROW(),1),"Sub"))))</f>
        <v/>
      </c>
      <c r="J164" s="60">
        <f>IF(N($W164)=0,"",IF(AND($S164=MesCiclo,2&gt;SemanaActual),"",MIN(1,SUMIFS(OFFSET($A$1,ROW(),30,1000-ROW(),1),OFFSET($A$1,ROW(),20,1000-ROW(),1),ROW(),OFFSET($A$1,ROW(),21,1000-ROW(),1),"Sub"))))</f>
        <v/>
      </c>
      <c r="K164" s="60">
        <f>IF(N($W164)=0,"",IF(AND($S164=MesCiclo,3&gt;SemanaActual),"",MIN(1,SUMIFS(OFFSET($A$1,ROW(),31,1000-ROW(),1),OFFSET($A$1,ROW(),20,1000-ROW(),1),ROW(),OFFSET($A$1,ROW(),21,1000-ROW(),1),"Sub"))))</f>
        <v/>
      </c>
      <c r="L164" s="60">
        <f>IF(N($W164)=0,"",IF(AND($S164=MesCiclo,4&gt;SemanaActual),"",MIN(1,SUMIFS(OFFSET($A$1,ROW(),32,1000-ROW(),1),OFFSET($A$1,ROW(),20,1000-ROW(),1),ROW(),OFFSET($A$1,ROW(),21,1000-ROW(),1),"Sub"))))</f>
        <v/>
      </c>
      <c r="M164" s="61">
        <f>IF(NOT((COUNTA($B164:$D164)+COUNTA($G164:$H164)+COUNTA($Q164))&gt;0),"",IF(AND($D164&lt;&gt;"",$V164="Macro"),IF(N($AM164)&gt;0,N(CHOOSE(MATCH($D164,ListaPuestos,0),INDEX('Cronograma R. Operacional'!$M$5:$M$1000,$AM164),INDEX('Cronograma R. Normativo'!$M$5:$M$1000,$AM164),INDEX('Cronograma R. Financiero'!$M$5:$M$1000,$AM164),INDEX('Cronograma Asistente Técnico'!$M$5:$M$1000,$AM164))),0),IF(ISNUMBER($G164),1,IF(N($W164)&gt;0,MIN(1,SUMIFS($Y$5:$Y$1000,$U$5:$U$1000,ROW(),$V$5:$V$1000,"Sub")),$Y164))))</f>
        <v/>
      </c>
      <c r="N164" s="56">
        <f>IF(OR($M164="",$V164="Sub"),"",IF($M164&gt;=1,"Completado",IF($M164&gt;0,"En curso","Pendiente")))</f>
        <v/>
      </c>
      <c r="O164" s="56">
        <f>IF(NOT((COUNTA($B164:$D164)+COUNTA($G164:$H164)+COUNTA($Q164))&gt;0),"",IF(AND(AND($D164&lt;&gt;"",$V164="Macro"),N($AM164)&gt;0),CHOOSE(MATCH($D164,ListaPuestos,0),INDEX('Cronograma R. Operacional'!$O$5:$O$1000,$AM164),INDEX('Cronograma R. Normativo'!$O$5:$O$1000,$AM164),INDEX('Cronograma R. Financiero'!$O$5:$O$1000,$AM164),INDEX('Cronograma Asistente Técnico'!$O$5:$O$1000,$AM164))&amp;"",IF(ISNUMBER($G164),IF(AND(ISNUMBER($AS164),$G164&gt;$AS164),"Cumplida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f>IF(NOT((COUNTA($B164:$D164)+COUNTA($G164:$H164)+COUNTA($Q164))&gt;0),"",IF($D164="","Propia",IF($V164&lt;&gt;"Macro","Solo se delegan macroactividades",IF(N($AM164)&gt;0,"✔ Recibida por "&amp;$D164,"⚠ "&amp;$D164&amp;" aún no la agrega"))))</f>
        <v/>
      </c>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IF($V164&lt;&gt;"Sub","",N($X164)*IF(AND(ISNUMBER($G164),$G164&lt;=IF($S164=MesCiclo,InicioCiclo,$S164+MOD(2-WEEKDAY($S164),7))+6),1,MIN(1,MAX(0,IF(ISNUMBER(OFFSET($A$1,ROW()-1,8)),OFFSET($A$1,ROW()-1,8),0)))))</f>
        <v/>
      </c>
      <c r="AE164" s="62">
        <f>IF($V164&lt;&gt;"Sub","",N($X164)*IF(AND(ISNUMBER($G164),$G164&lt;=IF($S164=MesCiclo,InicioCiclo,$S164+MOD(2-WEEKDAY($S164),7))+13),1,MIN(1,MAX(0,IF(ISNUMBER(OFFSET($A$1,ROW()-1,9)),OFFSET($A$1,ROW()-1,9),IF(ISNUMBER(OFFSET($A$1,ROW()-1,8)),OFFSET($A$1,ROW()-1,8),0))))))</f>
        <v/>
      </c>
      <c r="AF164" s="62">
        <f>IF($V164&lt;&gt;"Sub","",N($X164)*IF(AND(ISNUMBER($G164),$G164&lt;=IF($S164=MesCiclo,InicioCiclo,$S164+MOD(2-WEEKDAY($S164),7))+20),1,MIN(1,MAX(0,IF(ISNUMBER(OFFSET($A$1,ROW()-1,10)),OFFSET($A$1,ROW()-1,10),IF(ISNUMBER(OFFSET($A$1,ROW()-1,9)),OFFSET($A$1,ROW()-1,9),IF(ISNUMBER(OFFSET($A$1,ROW()-1,8)),OFFSET($A$1,ROW()-1,8),0)))))))</f>
        <v/>
      </c>
      <c r="AG164" s="62">
        <f>IF($V164&lt;&gt;"Sub","",N($X164)*IF(AND(ISNUMBER($G164),$G164&lt;=IF($S164=MesCiclo,InicioCiclo,$S164+MOD(2-WEEKDAY($S164),7))+27),1,MIN(1,MAX(0,IF(ISNUMBER(OFFSET($A$1,ROW()-1,11)),OFFSET($A$1,ROW()-1,11),IF(ISNUMBER(OFFSET($A$1,ROW()-1,10)),OFFSET($A$1,ROW()-1,10),IF(ISNUMBER(OFFSET($A$1,ROW()-1,9)),OFFSET($A$1,ROW()-1,9),IF(ISNUMBER(OFFSET($A$1,ROW()-1,8)),OFFSET($A$1,ROW()-1,8),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f>IF(NOT(AND($D164&lt;&gt;"",$V164="Macro")),"",IFERROR(CHOOSE(MATCH($D164,ListaPuestos,0),MATCH("[Jefatura] "&amp;$C164,'Cronograma R. Operacional'!$C$5:$C$1000,0),MATCH("[Jefatura] "&amp;$C164,'Cronograma R. Normativo'!$C$5:$C$1000,0),MATCH("[Jefatura] "&amp;$C164,'Cronograma R. Financiero'!$C$5:$C$1000,0),MATCH("[Jefatura] "&amp;$C164,'Cronograma Asistente Técnico'!$C$5:$C$1000,0)),0))</f>
        <v/>
      </c>
      <c r="AN164" s="62">
        <f>IF(AND(AND($D164&lt;&gt;"",$V164="Macro"),$S164=MesCiclo),COUNTIFS($D$5:$D164,$D164,$S$5:$S164,MesCiclo,$V$5:$V164,"Macro"),"")</f>
        <v/>
      </c>
      <c r="AO164" s="62">
        <f>IF($AN164="","",$D164&amp;"|"&amp;$AN164)</f>
        <v/>
      </c>
      <c r="AP164" s="62">
        <f>IF(AND($D164&lt;&gt;"",$V164="Macro"),$D164&amp;"|"&amp;$C164,"")</f>
        <v/>
      </c>
      <c r="AQ164" s="62">
        <f>""</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t="n"/>
      <c r="F165" s="59" t="n"/>
      <c r="G165" s="59" t="n"/>
      <c r="H165" s="60" t="n"/>
      <c r="I165" s="60">
        <f>IF(N($W165)=0,"",IF(AND($S165=MesCiclo,1&gt;SemanaActual),"",MIN(1,SUMIFS(OFFSET($A$1,ROW(),29,1000-ROW(),1),OFFSET($A$1,ROW(),20,1000-ROW(),1),ROW(),OFFSET($A$1,ROW(),21,1000-ROW(),1),"Sub"))))</f>
        <v/>
      </c>
      <c r="J165" s="60">
        <f>IF(N($W165)=0,"",IF(AND($S165=MesCiclo,2&gt;SemanaActual),"",MIN(1,SUMIFS(OFFSET($A$1,ROW(),30,1000-ROW(),1),OFFSET($A$1,ROW(),20,1000-ROW(),1),ROW(),OFFSET($A$1,ROW(),21,1000-ROW(),1),"Sub"))))</f>
        <v/>
      </c>
      <c r="K165" s="60">
        <f>IF(N($W165)=0,"",IF(AND($S165=MesCiclo,3&gt;SemanaActual),"",MIN(1,SUMIFS(OFFSET($A$1,ROW(),31,1000-ROW(),1),OFFSET($A$1,ROW(),20,1000-ROW(),1),ROW(),OFFSET($A$1,ROW(),21,1000-ROW(),1),"Sub"))))</f>
        <v/>
      </c>
      <c r="L165" s="60">
        <f>IF(N($W165)=0,"",IF(AND($S165=MesCiclo,4&gt;SemanaActual),"",MIN(1,SUMIFS(OFFSET($A$1,ROW(),32,1000-ROW(),1),OFFSET($A$1,ROW(),20,1000-ROW(),1),ROW(),OFFSET($A$1,ROW(),21,1000-ROW(),1),"Sub"))))</f>
        <v/>
      </c>
      <c r="M165" s="61">
        <f>IF(NOT((COUNTA($B165:$D165)+COUNTA($G165:$H165)+COUNTA($Q165))&gt;0),"",IF(AND($D165&lt;&gt;"",$V165="Macro"),IF(N($AM165)&gt;0,N(CHOOSE(MATCH($D165,ListaPuestos,0),INDEX('Cronograma R. Operacional'!$M$5:$M$1000,$AM165),INDEX('Cronograma R. Normativo'!$M$5:$M$1000,$AM165),INDEX('Cronograma R. Financiero'!$M$5:$M$1000,$AM165),INDEX('Cronograma Asistente Técnico'!$M$5:$M$1000,$AM165))),0),IF(ISNUMBER($G165),1,IF(N($W165)&gt;0,MIN(1,SUMIFS($Y$5:$Y$1000,$U$5:$U$1000,ROW(),$V$5:$V$1000,"Sub")),$Y165))))</f>
        <v/>
      </c>
      <c r="N165" s="56">
        <f>IF(OR($M165="",$V165="Sub"),"",IF($M165&gt;=1,"Completado",IF($M165&gt;0,"En curso","Pendiente")))</f>
        <v/>
      </c>
      <c r="O165" s="56">
        <f>IF(NOT((COUNTA($B165:$D165)+COUNTA($G165:$H165)+COUNTA($Q165))&gt;0),"",IF(AND(AND($D165&lt;&gt;"",$V165="Macro"),N($AM165)&gt;0),CHOOSE(MATCH($D165,ListaPuestos,0),INDEX('Cronograma R. Operacional'!$O$5:$O$1000,$AM165),INDEX('Cronograma R. Normativo'!$O$5:$O$1000,$AM165),INDEX('Cronograma R. Financiero'!$O$5:$O$1000,$AM165),INDEX('Cronograma Asistente Técnico'!$O$5:$O$1000,$AM165))&amp;"",IF(ISNUMBER($G165),IF(AND(ISNUMBER($AS165),$G165&gt;$AS165),"Cumplida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f>IF(NOT((COUNTA($B165:$D165)+COUNTA($G165:$H165)+COUNTA($Q165))&gt;0),"",IF($D165="","Propia",IF($V165&lt;&gt;"Macro","Solo se delegan macroactividades",IF(N($AM165)&gt;0,"✔ Recibida por "&amp;$D165,"⚠ "&amp;$D165&amp;" aún no la agrega"))))</f>
        <v/>
      </c>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IF($V165&lt;&gt;"Sub","",N($X165)*IF(AND(ISNUMBER($G165),$G165&lt;=IF($S165=MesCiclo,InicioCiclo,$S165+MOD(2-WEEKDAY($S165),7))+6),1,MIN(1,MAX(0,IF(ISNUMBER(OFFSET($A$1,ROW()-1,8)),OFFSET($A$1,ROW()-1,8),0)))))</f>
        <v/>
      </c>
      <c r="AE165" s="62">
        <f>IF($V165&lt;&gt;"Sub","",N($X165)*IF(AND(ISNUMBER($G165),$G165&lt;=IF($S165=MesCiclo,InicioCiclo,$S165+MOD(2-WEEKDAY($S165),7))+13),1,MIN(1,MAX(0,IF(ISNUMBER(OFFSET($A$1,ROW()-1,9)),OFFSET($A$1,ROW()-1,9),IF(ISNUMBER(OFFSET($A$1,ROW()-1,8)),OFFSET($A$1,ROW()-1,8),0))))))</f>
        <v/>
      </c>
      <c r="AF165" s="62">
        <f>IF($V165&lt;&gt;"Sub","",N($X165)*IF(AND(ISNUMBER($G165),$G165&lt;=IF($S165=MesCiclo,InicioCiclo,$S165+MOD(2-WEEKDAY($S165),7))+20),1,MIN(1,MAX(0,IF(ISNUMBER(OFFSET($A$1,ROW()-1,10)),OFFSET($A$1,ROW()-1,10),IF(ISNUMBER(OFFSET($A$1,ROW()-1,9)),OFFSET($A$1,ROW()-1,9),IF(ISNUMBER(OFFSET($A$1,ROW()-1,8)),OFFSET($A$1,ROW()-1,8),0)))))))</f>
        <v/>
      </c>
      <c r="AG165" s="62">
        <f>IF($V165&lt;&gt;"Sub","",N($X165)*IF(AND(ISNUMBER($G165),$G165&lt;=IF($S165=MesCiclo,InicioCiclo,$S165+MOD(2-WEEKDAY($S165),7))+27),1,MIN(1,MAX(0,IF(ISNUMBER(OFFSET($A$1,ROW()-1,11)),OFFSET($A$1,ROW()-1,11),IF(ISNUMBER(OFFSET($A$1,ROW()-1,10)),OFFSET($A$1,ROW()-1,10),IF(ISNUMBER(OFFSET($A$1,ROW()-1,9)),OFFSET($A$1,ROW()-1,9),IF(ISNUMBER(OFFSET($A$1,ROW()-1,8)),OFFSET($A$1,ROW()-1,8),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f>IF(NOT(AND($D165&lt;&gt;"",$V165="Macro")),"",IFERROR(CHOOSE(MATCH($D165,ListaPuestos,0),MATCH("[Jefatura] "&amp;$C165,'Cronograma R. Operacional'!$C$5:$C$1000,0),MATCH("[Jefatura] "&amp;$C165,'Cronograma R. Normativo'!$C$5:$C$1000,0),MATCH("[Jefatura] "&amp;$C165,'Cronograma R. Financiero'!$C$5:$C$1000,0),MATCH("[Jefatura] "&amp;$C165,'Cronograma Asistente Técnico'!$C$5:$C$1000,0)),0))</f>
        <v/>
      </c>
      <c r="AN165" s="62">
        <f>IF(AND(AND($D165&lt;&gt;"",$V165="Macro"),$S165=MesCiclo),COUNTIFS($D$5:$D165,$D165,$S$5:$S165,MesCiclo,$V$5:$V165,"Macro"),"")</f>
        <v/>
      </c>
      <c r="AO165" s="62">
        <f>IF($AN165="","",$D165&amp;"|"&amp;$AN165)</f>
        <v/>
      </c>
      <c r="AP165" s="62">
        <f>IF(AND($D165&lt;&gt;"",$V165="Macro"),$D165&amp;"|"&amp;$C165,"")</f>
        <v/>
      </c>
      <c r="AQ165" s="62">
        <f>""</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t="n"/>
      <c r="F166" s="59" t="n"/>
      <c r="G166" s="59" t="n"/>
      <c r="H166" s="60" t="n"/>
      <c r="I166" s="60">
        <f>IF(N($W166)=0,"",IF(AND($S166=MesCiclo,1&gt;SemanaActual),"",MIN(1,SUMIFS(OFFSET($A$1,ROW(),29,1000-ROW(),1),OFFSET($A$1,ROW(),20,1000-ROW(),1),ROW(),OFFSET($A$1,ROW(),21,1000-ROW(),1),"Sub"))))</f>
        <v/>
      </c>
      <c r="J166" s="60">
        <f>IF(N($W166)=0,"",IF(AND($S166=MesCiclo,2&gt;SemanaActual),"",MIN(1,SUMIFS(OFFSET($A$1,ROW(),30,1000-ROW(),1),OFFSET($A$1,ROW(),20,1000-ROW(),1),ROW(),OFFSET($A$1,ROW(),21,1000-ROW(),1),"Sub"))))</f>
        <v/>
      </c>
      <c r="K166" s="60">
        <f>IF(N($W166)=0,"",IF(AND($S166=MesCiclo,3&gt;SemanaActual),"",MIN(1,SUMIFS(OFFSET($A$1,ROW(),31,1000-ROW(),1),OFFSET($A$1,ROW(),20,1000-ROW(),1),ROW(),OFFSET($A$1,ROW(),21,1000-ROW(),1),"Sub"))))</f>
        <v/>
      </c>
      <c r="L166" s="60">
        <f>IF(N($W166)=0,"",IF(AND($S166=MesCiclo,4&gt;SemanaActual),"",MIN(1,SUMIFS(OFFSET($A$1,ROW(),32,1000-ROW(),1),OFFSET($A$1,ROW(),20,1000-ROW(),1),ROW(),OFFSET($A$1,ROW(),21,1000-ROW(),1),"Sub"))))</f>
        <v/>
      </c>
      <c r="M166" s="61">
        <f>IF(NOT((COUNTA($B166:$D166)+COUNTA($G166:$H166)+COUNTA($Q166))&gt;0),"",IF(AND($D166&lt;&gt;"",$V166="Macro"),IF(N($AM166)&gt;0,N(CHOOSE(MATCH($D166,ListaPuestos,0),INDEX('Cronograma R. Operacional'!$M$5:$M$1000,$AM166),INDEX('Cronograma R. Normativo'!$M$5:$M$1000,$AM166),INDEX('Cronograma R. Financiero'!$M$5:$M$1000,$AM166),INDEX('Cronograma Asistente Técnico'!$M$5:$M$1000,$AM166))),0),IF(ISNUMBER($G166),1,IF(N($W166)&gt;0,MIN(1,SUMIFS($Y$5:$Y$1000,$U$5:$U$1000,ROW(),$V$5:$V$1000,"Sub")),$Y166))))</f>
        <v/>
      </c>
      <c r="N166" s="56">
        <f>IF(OR($M166="",$V166="Sub"),"",IF($M166&gt;=1,"Completado",IF($M166&gt;0,"En curso","Pendiente")))</f>
        <v/>
      </c>
      <c r="O166" s="56">
        <f>IF(NOT((COUNTA($B166:$D166)+COUNTA($G166:$H166)+COUNTA($Q166))&gt;0),"",IF(AND(AND($D166&lt;&gt;"",$V166="Macro"),N($AM166)&gt;0),CHOOSE(MATCH($D166,ListaPuestos,0),INDEX('Cronograma R. Operacional'!$O$5:$O$1000,$AM166),INDEX('Cronograma R. Normativo'!$O$5:$O$1000,$AM166),INDEX('Cronograma R. Financiero'!$O$5:$O$1000,$AM166),INDEX('Cronograma Asistente Técnico'!$O$5:$O$1000,$AM166))&amp;"",IF(ISNUMBER($G166),IF(AND(ISNUMBER($AS166),$G166&gt;$AS166),"Cumplida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f>IF(NOT((COUNTA($B166:$D166)+COUNTA($G166:$H166)+COUNTA($Q166))&gt;0),"",IF($D166="","Propia",IF($V166&lt;&gt;"Macro","Solo se delegan macroactividades",IF(N($AM166)&gt;0,"✔ Recibida por "&amp;$D166,"⚠ "&amp;$D166&amp;" aún no la agrega"))))</f>
        <v/>
      </c>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IF($V166&lt;&gt;"Sub","",N($X166)*IF(AND(ISNUMBER($G166),$G166&lt;=IF($S166=MesCiclo,InicioCiclo,$S166+MOD(2-WEEKDAY($S166),7))+6),1,MIN(1,MAX(0,IF(ISNUMBER(OFFSET($A$1,ROW()-1,8)),OFFSET($A$1,ROW()-1,8),0)))))</f>
        <v/>
      </c>
      <c r="AE166" s="62">
        <f>IF($V166&lt;&gt;"Sub","",N($X166)*IF(AND(ISNUMBER($G166),$G166&lt;=IF($S166=MesCiclo,InicioCiclo,$S166+MOD(2-WEEKDAY($S166),7))+13),1,MIN(1,MAX(0,IF(ISNUMBER(OFFSET($A$1,ROW()-1,9)),OFFSET($A$1,ROW()-1,9),IF(ISNUMBER(OFFSET($A$1,ROW()-1,8)),OFFSET($A$1,ROW()-1,8),0))))))</f>
        <v/>
      </c>
      <c r="AF166" s="62">
        <f>IF($V166&lt;&gt;"Sub","",N($X166)*IF(AND(ISNUMBER($G166),$G166&lt;=IF($S166=MesCiclo,InicioCiclo,$S166+MOD(2-WEEKDAY($S166),7))+20),1,MIN(1,MAX(0,IF(ISNUMBER(OFFSET($A$1,ROW()-1,10)),OFFSET($A$1,ROW()-1,10),IF(ISNUMBER(OFFSET($A$1,ROW()-1,9)),OFFSET($A$1,ROW()-1,9),IF(ISNUMBER(OFFSET($A$1,ROW()-1,8)),OFFSET($A$1,ROW()-1,8),0)))))))</f>
        <v/>
      </c>
      <c r="AG166" s="62">
        <f>IF($V166&lt;&gt;"Sub","",N($X166)*IF(AND(ISNUMBER($G166),$G166&lt;=IF($S166=MesCiclo,InicioCiclo,$S166+MOD(2-WEEKDAY($S166),7))+27),1,MIN(1,MAX(0,IF(ISNUMBER(OFFSET($A$1,ROW()-1,11)),OFFSET($A$1,ROW()-1,11),IF(ISNUMBER(OFFSET($A$1,ROW()-1,10)),OFFSET($A$1,ROW()-1,10),IF(ISNUMBER(OFFSET($A$1,ROW()-1,9)),OFFSET($A$1,ROW()-1,9),IF(ISNUMBER(OFFSET($A$1,ROW()-1,8)),OFFSET($A$1,ROW()-1,8),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f>IF(NOT(AND($D166&lt;&gt;"",$V166="Macro")),"",IFERROR(CHOOSE(MATCH($D166,ListaPuestos,0),MATCH("[Jefatura] "&amp;$C166,'Cronograma R. Operacional'!$C$5:$C$1000,0),MATCH("[Jefatura] "&amp;$C166,'Cronograma R. Normativo'!$C$5:$C$1000,0),MATCH("[Jefatura] "&amp;$C166,'Cronograma R. Financiero'!$C$5:$C$1000,0),MATCH("[Jefatura] "&amp;$C166,'Cronograma Asistente Técnico'!$C$5:$C$1000,0)),0))</f>
        <v/>
      </c>
      <c r="AN166" s="62">
        <f>IF(AND(AND($D166&lt;&gt;"",$V166="Macro"),$S166=MesCiclo),COUNTIFS($D$5:$D166,$D166,$S$5:$S166,MesCiclo,$V$5:$V166,"Macro"),"")</f>
        <v/>
      </c>
      <c r="AO166" s="62">
        <f>IF($AN166="","",$D166&amp;"|"&amp;$AN166)</f>
        <v/>
      </c>
      <c r="AP166" s="62">
        <f>IF(AND($D166&lt;&gt;"",$V166="Macro"),$D166&amp;"|"&amp;$C166,"")</f>
        <v/>
      </c>
      <c r="AQ166" s="62">
        <f>""</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t="n"/>
      <c r="F167" s="59" t="n"/>
      <c r="G167" s="59" t="n"/>
      <c r="H167" s="60" t="n"/>
      <c r="I167" s="60">
        <f>IF(N($W167)=0,"",IF(AND($S167=MesCiclo,1&gt;SemanaActual),"",MIN(1,SUMIFS(OFFSET($A$1,ROW(),29,1000-ROW(),1),OFFSET($A$1,ROW(),20,1000-ROW(),1),ROW(),OFFSET($A$1,ROW(),21,1000-ROW(),1),"Sub"))))</f>
        <v/>
      </c>
      <c r="J167" s="60">
        <f>IF(N($W167)=0,"",IF(AND($S167=MesCiclo,2&gt;SemanaActual),"",MIN(1,SUMIFS(OFFSET($A$1,ROW(),30,1000-ROW(),1),OFFSET($A$1,ROW(),20,1000-ROW(),1),ROW(),OFFSET($A$1,ROW(),21,1000-ROW(),1),"Sub"))))</f>
        <v/>
      </c>
      <c r="K167" s="60">
        <f>IF(N($W167)=0,"",IF(AND($S167=MesCiclo,3&gt;SemanaActual),"",MIN(1,SUMIFS(OFFSET($A$1,ROW(),31,1000-ROW(),1),OFFSET($A$1,ROW(),20,1000-ROW(),1),ROW(),OFFSET($A$1,ROW(),21,1000-ROW(),1),"Sub"))))</f>
        <v/>
      </c>
      <c r="L167" s="60">
        <f>IF(N($W167)=0,"",IF(AND($S167=MesCiclo,4&gt;SemanaActual),"",MIN(1,SUMIFS(OFFSET($A$1,ROW(),32,1000-ROW(),1),OFFSET($A$1,ROW(),20,1000-ROW(),1),ROW(),OFFSET($A$1,ROW(),21,1000-ROW(),1),"Sub"))))</f>
        <v/>
      </c>
      <c r="M167" s="61">
        <f>IF(NOT((COUNTA($B167:$D167)+COUNTA($G167:$H167)+COUNTA($Q167))&gt;0),"",IF(AND($D167&lt;&gt;"",$V167="Macro"),IF(N($AM167)&gt;0,N(CHOOSE(MATCH($D167,ListaPuestos,0),INDEX('Cronograma R. Operacional'!$M$5:$M$1000,$AM167),INDEX('Cronograma R. Normativo'!$M$5:$M$1000,$AM167),INDEX('Cronograma R. Financiero'!$M$5:$M$1000,$AM167),INDEX('Cronograma Asistente Técnico'!$M$5:$M$1000,$AM167))),0),IF(ISNUMBER($G167),1,IF(N($W167)&gt;0,MIN(1,SUMIFS($Y$5:$Y$1000,$U$5:$U$1000,ROW(),$V$5:$V$1000,"Sub")),$Y167))))</f>
        <v/>
      </c>
      <c r="N167" s="56">
        <f>IF(OR($M167="",$V167="Sub"),"",IF($M167&gt;=1,"Completado",IF($M167&gt;0,"En curso","Pendiente")))</f>
        <v/>
      </c>
      <c r="O167" s="56">
        <f>IF(NOT((COUNTA($B167:$D167)+COUNTA($G167:$H167)+COUNTA($Q167))&gt;0),"",IF(AND(AND($D167&lt;&gt;"",$V167="Macro"),N($AM167)&gt;0),CHOOSE(MATCH($D167,ListaPuestos,0),INDEX('Cronograma R. Operacional'!$O$5:$O$1000,$AM167),INDEX('Cronograma R. Normativo'!$O$5:$O$1000,$AM167),INDEX('Cronograma R. Financiero'!$O$5:$O$1000,$AM167),INDEX('Cronograma Asistente Técnico'!$O$5:$O$1000,$AM167))&amp;"",IF(ISNUMBER($G167),IF(AND(ISNUMBER($AS167),$G167&gt;$AS167),"Cumplida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f>IF(NOT((COUNTA($B167:$D167)+COUNTA($G167:$H167)+COUNTA($Q167))&gt;0),"",IF($D167="","Propia",IF($V167&lt;&gt;"Macro","Solo se delegan macroactividades",IF(N($AM167)&gt;0,"✔ Recibida por "&amp;$D167,"⚠ "&amp;$D167&amp;" aún no la agrega"))))</f>
        <v/>
      </c>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IF($V167&lt;&gt;"Sub","",N($X167)*IF(AND(ISNUMBER($G167),$G167&lt;=IF($S167=MesCiclo,InicioCiclo,$S167+MOD(2-WEEKDAY($S167),7))+6),1,MIN(1,MAX(0,IF(ISNUMBER(OFFSET($A$1,ROW()-1,8)),OFFSET($A$1,ROW()-1,8),0)))))</f>
        <v/>
      </c>
      <c r="AE167" s="62">
        <f>IF($V167&lt;&gt;"Sub","",N($X167)*IF(AND(ISNUMBER($G167),$G167&lt;=IF($S167=MesCiclo,InicioCiclo,$S167+MOD(2-WEEKDAY($S167),7))+13),1,MIN(1,MAX(0,IF(ISNUMBER(OFFSET($A$1,ROW()-1,9)),OFFSET($A$1,ROW()-1,9),IF(ISNUMBER(OFFSET($A$1,ROW()-1,8)),OFFSET($A$1,ROW()-1,8),0))))))</f>
        <v/>
      </c>
      <c r="AF167" s="62">
        <f>IF($V167&lt;&gt;"Sub","",N($X167)*IF(AND(ISNUMBER($G167),$G167&lt;=IF($S167=MesCiclo,InicioCiclo,$S167+MOD(2-WEEKDAY($S167),7))+20),1,MIN(1,MAX(0,IF(ISNUMBER(OFFSET($A$1,ROW()-1,10)),OFFSET($A$1,ROW()-1,10),IF(ISNUMBER(OFFSET($A$1,ROW()-1,9)),OFFSET($A$1,ROW()-1,9),IF(ISNUMBER(OFFSET($A$1,ROW()-1,8)),OFFSET($A$1,ROW()-1,8),0)))))))</f>
        <v/>
      </c>
      <c r="AG167" s="62">
        <f>IF($V167&lt;&gt;"Sub","",N($X167)*IF(AND(ISNUMBER($G167),$G167&lt;=IF($S167=MesCiclo,InicioCiclo,$S167+MOD(2-WEEKDAY($S167),7))+27),1,MIN(1,MAX(0,IF(ISNUMBER(OFFSET($A$1,ROW()-1,11)),OFFSET($A$1,ROW()-1,11),IF(ISNUMBER(OFFSET($A$1,ROW()-1,10)),OFFSET($A$1,ROW()-1,10),IF(ISNUMBER(OFFSET($A$1,ROW()-1,9)),OFFSET($A$1,ROW()-1,9),IF(ISNUMBER(OFFSET($A$1,ROW()-1,8)),OFFSET($A$1,ROW()-1,8),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f>IF(NOT(AND($D167&lt;&gt;"",$V167="Macro")),"",IFERROR(CHOOSE(MATCH($D167,ListaPuestos,0),MATCH("[Jefatura] "&amp;$C167,'Cronograma R. Operacional'!$C$5:$C$1000,0),MATCH("[Jefatura] "&amp;$C167,'Cronograma R. Normativo'!$C$5:$C$1000,0),MATCH("[Jefatura] "&amp;$C167,'Cronograma R. Financiero'!$C$5:$C$1000,0),MATCH("[Jefatura] "&amp;$C167,'Cronograma Asistente Técnico'!$C$5:$C$1000,0)),0))</f>
        <v/>
      </c>
      <c r="AN167" s="62">
        <f>IF(AND(AND($D167&lt;&gt;"",$V167="Macro"),$S167=MesCiclo),COUNTIFS($D$5:$D167,$D167,$S$5:$S167,MesCiclo,$V$5:$V167,"Macro"),"")</f>
        <v/>
      </c>
      <c r="AO167" s="62">
        <f>IF($AN167="","",$D167&amp;"|"&amp;$AN167)</f>
        <v/>
      </c>
      <c r="AP167" s="62">
        <f>IF(AND($D167&lt;&gt;"",$V167="Macro"),$D167&amp;"|"&amp;$C167,"")</f>
        <v/>
      </c>
      <c r="AQ167" s="62">
        <f>""</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t="n"/>
      <c r="F168" s="59" t="n"/>
      <c r="G168" s="59" t="n"/>
      <c r="H168" s="60" t="n"/>
      <c r="I168" s="60">
        <f>IF(N($W168)=0,"",IF(AND($S168=MesCiclo,1&gt;SemanaActual),"",MIN(1,SUMIFS(OFFSET($A$1,ROW(),29,1000-ROW(),1),OFFSET($A$1,ROW(),20,1000-ROW(),1),ROW(),OFFSET($A$1,ROW(),21,1000-ROW(),1),"Sub"))))</f>
        <v/>
      </c>
      <c r="J168" s="60">
        <f>IF(N($W168)=0,"",IF(AND($S168=MesCiclo,2&gt;SemanaActual),"",MIN(1,SUMIFS(OFFSET($A$1,ROW(),30,1000-ROW(),1),OFFSET($A$1,ROW(),20,1000-ROW(),1),ROW(),OFFSET($A$1,ROW(),21,1000-ROW(),1),"Sub"))))</f>
        <v/>
      </c>
      <c r="K168" s="60">
        <f>IF(N($W168)=0,"",IF(AND($S168=MesCiclo,3&gt;SemanaActual),"",MIN(1,SUMIFS(OFFSET($A$1,ROW(),31,1000-ROW(),1),OFFSET($A$1,ROW(),20,1000-ROW(),1),ROW(),OFFSET($A$1,ROW(),21,1000-ROW(),1),"Sub"))))</f>
        <v/>
      </c>
      <c r="L168" s="60">
        <f>IF(N($W168)=0,"",IF(AND($S168=MesCiclo,4&gt;SemanaActual),"",MIN(1,SUMIFS(OFFSET($A$1,ROW(),32,1000-ROW(),1),OFFSET($A$1,ROW(),20,1000-ROW(),1),ROW(),OFFSET($A$1,ROW(),21,1000-ROW(),1),"Sub"))))</f>
        <v/>
      </c>
      <c r="M168" s="61">
        <f>IF(NOT((COUNTA($B168:$D168)+COUNTA($G168:$H168)+COUNTA($Q168))&gt;0),"",IF(AND($D168&lt;&gt;"",$V168="Macro"),IF(N($AM168)&gt;0,N(CHOOSE(MATCH($D168,ListaPuestos,0),INDEX('Cronograma R. Operacional'!$M$5:$M$1000,$AM168),INDEX('Cronograma R. Normativo'!$M$5:$M$1000,$AM168),INDEX('Cronograma R. Financiero'!$M$5:$M$1000,$AM168),INDEX('Cronograma Asistente Técnico'!$M$5:$M$1000,$AM168))),0),IF(ISNUMBER($G168),1,IF(N($W168)&gt;0,MIN(1,SUMIFS($Y$5:$Y$1000,$U$5:$U$1000,ROW(),$V$5:$V$1000,"Sub")),$Y168))))</f>
        <v/>
      </c>
      <c r="N168" s="56">
        <f>IF(OR($M168="",$V168="Sub"),"",IF($M168&gt;=1,"Completado",IF($M168&gt;0,"En curso","Pendiente")))</f>
        <v/>
      </c>
      <c r="O168" s="56">
        <f>IF(NOT((COUNTA($B168:$D168)+COUNTA($G168:$H168)+COUNTA($Q168))&gt;0),"",IF(AND(AND($D168&lt;&gt;"",$V168="Macro"),N($AM168)&gt;0),CHOOSE(MATCH($D168,ListaPuestos,0),INDEX('Cronograma R. Operacional'!$O$5:$O$1000,$AM168),INDEX('Cronograma R. Normativo'!$O$5:$O$1000,$AM168),INDEX('Cronograma R. Financiero'!$O$5:$O$1000,$AM168),INDEX('Cronograma Asistente Técnico'!$O$5:$O$1000,$AM168))&amp;"",IF(ISNUMBER($G168),IF(AND(ISNUMBER($AS168),$G168&gt;$AS168),"Cumplida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f>IF(NOT((COUNTA($B168:$D168)+COUNTA($G168:$H168)+COUNTA($Q168))&gt;0),"",IF($D168="","Propia",IF($V168&lt;&gt;"Macro","Solo se delegan macroactividades",IF(N($AM168)&gt;0,"✔ Recibida por "&amp;$D168,"⚠ "&amp;$D168&amp;" aún no la agrega"))))</f>
        <v/>
      </c>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IF($V168&lt;&gt;"Sub","",N($X168)*IF(AND(ISNUMBER($G168),$G168&lt;=IF($S168=MesCiclo,InicioCiclo,$S168+MOD(2-WEEKDAY($S168),7))+6),1,MIN(1,MAX(0,IF(ISNUMBER(OFFSET($A$1,ROW()-1,8)),OFFSET($A$1,ROW()-1,8),0)))))</f>
        <v/>
      </c>
      <c r="AE168" s="62">
        <f>IF($V168&lt;&gt;"Sub","",N($X168)*IF(AND(ISNUMBER($G168),$G168&lt;=IF($S168=MesCiclo,InicioCiclo,$S168+MOD(2-WEEKDAY($S168),7))+13),1,MIN(1,MAX(0,IF(ISNUMBER(OFFSET($A$1,ROW()-1,9)),OFFSET($A$1,ROW()-1,9),IF(ISNUMBER(OFFSET($A$1,ROW()-1,8)),OFFSET($A$1,ROW()-1,8),0))))))</f>
        <v/>
      </c>
      <c r="AF168" s="62">
        <f>IF($V168&lt;&gt;"Sub","",N($X168)*IF(AND(ISNUMBER($G168),$G168&lt;=IF($S168=MesCiclo,InicioCiclo,$S168+MOD(2-WEEKDAY($S168),7))+20),1,MIN(1,MAX(0,IF(ISNUMBER(OFFSET($A$1,ROW()-1,10)),OFFSET($A$1,ROW()-1,10),IF(ISNUMBER(OFFSET($A$1,ROW()-1,9)),OFFSET($A$1,ROW()-1,9),IF(ISNUMBER(OFFSET($A$1,ROW()-1,8)),OFFSET($A$1,ROW()-1,8),0)))))))</f>
        <v/>
      </c>
      <c r="AG168" s="62">
        <f>IF($V168&lt;&gt;"Sub","",N($X168)*IF(AND(ISNUMBER($G168),$G168&lt;=IF($S168=MesCiclo,InicioCiclo,$S168+MOD(2-WEEKDAY($S168),7))+27),1,MIN(1,MAX(0,IF(ISNUMBER(OFFSET($A$1,ROW()-1,11)),OFFSET($A$1,ROW()-1,11),IF(ISNUMBER(OFFSET($A$1,ROW()-1,10)),OFFSET($A$1,ROW()-1,10),IF(ISNUMBER(OFFSET($A$1,ROW()-1,9)),OFFSET($A$1,ROW()-1,9),IF(ISNUMBER(OFFSET($A$1,ROW()-1,8)),OFFSET($A$1,ROW()-1,8),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f>IF(NOT(AND($D168&lt;&gt;"",$V168="Macro")),"",IFERROR(CHOOSE(MATCH($D168,ListaPuestos,0),MATCH("[Jefatura] "&amp;$C168,'Cronograma R. Operacional'!$C$5:$C$1000,0),MATCH("[Jefatura] "&amp;$C168,'Cronograma R. Normativo'!$C$5:$C$1000,0),MATCH("[Jefatura] "&amp;$C168,'Cronograma R. Financiero'!$C$5:$C$1000,0),MATCH("[Jefatura] "&amp;$C168,'Cronograma Asistente Técnico'!$C$5:$C$1000,0)),0))</f>
        <v/>
      </c>
      <c r="AN168" s="62">
        <f>IF(AND(AND($D168&lt;&gt;"",$V168="Macro"),$S168=MesCiclo),COUNTIFS($D$5:$D168,$D168,$S$5:$S168,MesCiclo,$V$5:$V168,"Macro"),"")</f>
        <v/>
      </c>
      <c r="AO168" s="62">
        <f>IF($AN168="","",$D168&amp;"|"&amp;$AN168)</f>
        <v/>
      </c>
      <c r="AP168" s="62">
        <f>IF(AND($D168&lt;&gt;"",$V168="Macro"),$D168&amp;"|"&amp;$C168,"")</f>
        <v/>
      </c>
      <c r="AQ168" s="62">
        <f>""</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t="n"/>
      <c r="F169" s="59" t="n"/>
      <c r="G169" s="59" t="n"/>
      <c r="H169" s="60" t="n"/>
      <c r="I169" s="60">
        <f>IF(N($W169)=0,"",IF(AND($S169=MesCiclo,1&gt;SemanaActual),"",MIN(1,SUMIFS(OFFSET($A$1,ROW(),29,1000-ROW(),1),OFFSET($A$1,ROW(),20,1000-ROW(),1),ROW(),OFFSET($A$1,ROW(),21,1000-ROW(),1),"Sub"))))</f>
        <v/>
      </c>
      <c r="J169" s="60">
        <f>IF(N($W169)=0,"",IF(AND($S169=MesCiclo,2&gt;SemanaActual),"",MIN(1,SUMIFS(OFFSET($A$1,ROW(),30,1000-ROW(),1),OFFSET($A$1,ROW(),20,1000-ROW(),1),ROW(),OFFSET($A$1,ROW(),21,1000-ROW(),1),"Sub"))))</f>
        <v/>
      </c>
      <c r="K169" s="60">
        <f>IF(N($W169)=0,"",IF(AND($S169=MesCiclo,3&gt;SemanaActual),"",MIN(1,SUMIFS(OFFSET($A$1,ROW(),31,1000-ROW(),1),OFFSET($A$1,ROW(),20,1000-ROW(),1),ROW(),OFFSET($A$1,ROW(),21,1000-ROW(),1),"Sub"))))</f>
        <v/>
      </c>
      <c r="L169" s="60">
        <f>IF(N($W169)=0,"",IF(AND($S169=MesCiclo,4&gt;SemanaActual),"",MIN(1,SUMIFS(OFFSET($A$1,ROW(),32,1000-ROW(),1),OFFSET($A$1,ROW(),20,1000-ROW(),1),ROW(),OFFSET($A$1,ROW(),21,1000-ROW(),1),"Sub"))))</f>
        <v/>
      </c>
      <c r="M169" s="61">
        <f>IF(NOT((COUNTA($B169:$D169)+COUNTA($G169:$H169)+COUNTA($Q169))&gt;0),"",IF(AND($D169&lt;&gt;"",$V169="Macro"),IF(N($AM169)&gt;0,N(CHOOSE(MATCH($D169,ListaPuestos,0),INDEX('Cronograma R. Operacional'!$M$5:$M$1000,$AM169),INDEX('Cronograma R. Normativo'!$M$5:$M$1000,$AM169),INDEX('Cronograma R. Financiero'!$M$5:$M$1000,$AM169),INDEX('Cronograma Asistente Técnico'!$M$5:$M$1000,$AM169))),0),IF(ISNUMBER($G169),1,IF(N($W169)&gt;0,MIN(1,SUMIFS($Y$5:$Y$1000,$U$5:$U$1000,ROW(),$V$5:$V$1000,"Sub")),$Y169))))</f>
        <v/>
      </c>
      <c r="N169" s="56">
        <f>IF(OR($M169="",$V169="Sub"),"",IF($M169&gt;=1,"Completado",IF($M169&gt;0,"En curso","Pendiente")))</f>
        <v/>
      </c>
      <c r="O169" s="56">
        <f>IF(NOT((COUNTA($B169:$D169)+COUNTA($G169:$H169)+COUNTA($Q169))&gt;0),"",IF(AND(AND($D169&lt;&gt;"",$V169="Macro"),N($AM169)&gt;0),CHOOSE(MATCH($D169,ListaPuestos,0),INDEX('Cronograma R. Operacional'!$O$5:$O$1000,$AM169),INDEX('Cronograma R. Normativo'!$O$5:$O$1000,$AM169),INDEX('Cronograma R. Financiero'!$O$5:$O$1000,$AM169),INDEX('Cronograma Asistente Técnico'!$O$5:$O$1000,$AM169))&amp;"",IF(ISNUMBER($G169),IF(AND(ISNUMBER($AS169),$G169&gt;$AS169),"Cumplida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f>IF(NOT((COUNTA($B169:$D169)+COUNTA($G169:$H169)+COUNTA($Q169))&gt;0),"",IF($D169="","Propia",IF($V169&lt;&gt;"Macro","Solo se delegan macroactividades",IF(N($AM169)&gt;0,"✔ Recibida por "&amp;$D169,"⚠ "&amp;$D169&amp;" aún no la agrega"))))</f>
        <v/>
      </c>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IF($V169&lt;&gt;"Sub","",N($X169)*IF(AND(ISNUMBER($G169),$G169&lt;=IF($S169=MesCiclo,InicioCiclo,$S169+MOD(2-WEEKDAY($S169),7))+6),1,MIN(1,MAX(0,IF(ISNUMBER(OFFSET($A$1,ROW()-1,8)),OFFSET($A$1,ROW()-1,8),0)))))</f>
        <v/>
      </c>
      <c r="AE169" s="62">
        <f>IF($V169&lt;&gt;"Sub","",N($X169)*IF(AND(ISNUMBER($G169),$G169&lt;=IF($S169=MesCiclo,InicioCiclo,$S169+MOD(2-WEEKDAY($S169),7))+13),1,MIN(1,MAX(0,IF(ISNUMBER(OFFSET($A$1,ROW()-1,9)),OFFSET($A$1,ROW()-1,9),IF(ISNUMBER(OFFSET($A$1,ROW()-1,8)),OFFSET($A$1,ROW()-1,8),0))))))</f>
        <v/>
      </c>
      <c r="AF169" s="62">
        <f>IF($V169&lt;&gt;"Sub","",N($X169)*IF(AND(ISNUMBER($G169),$G169&lt;=IF($S169=MesCiclo,InicioCiclo,$S169+MOD(2-WEEKDAY($S169),7))+20),1,MIN(1,MAX(0,IF(ISNUMBER(OFFSET($A$1,ROW()-1,10)),OFFSET($A$1,ROW()-1,10),IF(ISNUMBER(OFFSET($A$1,ROW()-1,9)),OFFSET($A$1,ROW()-1,9),IF(ISNUMBER(OFFSET($A$1,ROW()-1,8)),OFFSET($A$1,ROW()-1,8),0)))))))</f>
        <v/>
      </c>
      <c r="AG169" s="62">
        <f>IF($V169&lt;&gt;"Sub","",N($X169)*IF(AND(ISNUMBER($G169),$G169&lt;=IF($S169=MesCiclo,InicioCiclo,$S169+MOD(2-WEEKDAY($S169),7))+27),1,MIN(1,MAX(0,IF(ISNUMBER(OFFSET($A$1,ROW()-1,11)),OFFSET($A$1,ROW()-1,11),IF(ISNUMBER(OFFSET($A$1,ROW()-1,10)),OFFSET($A$1,ROW()-1,10),IF(ISNUMBER(OFFSET($A$1,ROW()-1,9)),OFFSET($A$1,ROW()-1,9),IF(ISNUMBER(OFFSET($A$1,ROW()-1,8)),OFFSET($A$1,ROW()-1,8),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f>IF(NOT(AND($D169&lt;&gt;"",$V169="Macro")),"",IFERROR(CHOOSE(MATCH($D169,ListaPuestos,0),MATCH("[Jefatura] "&amp;$C169,'Cronograma R. Operacional'!$C$5:$C$1000,0),MATCH("[Jefatura] "&amp;$C169,'Cronograma R. Normativo'!$C$5:$C$1000,0),MATCH("[Jefatura] "&amp;$C169,'Cronograma R. Financiero'!$C$5:$C$1000,0),MATCH("[Jefatura] "&amp;$C169,'Cronograma Asistente Técnico'!$C$5:$C$1000,0)),0))</f>
        <v/>
      </c>
      <c r="AN169" s="62">
        <f>IF(AND(AND($D169&lt;&gt;"",$V169="Macro"),$S169=MesCiclo),COUNTIFS($D$5:$D169,$D169,$S$5:$S169,MesCiclo,$V$5:$V169,"Macro"),"")</f>
        <v/>
      </c>
      <c r="AO169" s="62">
        <f>IF($AN169="","",$D169&amp;"|"&amp;$AN169)</f>
        <v/>
      </c>
      <c r="AP169" s="62">
        <f>IF(AND($D169&lt;&gt;"",$V169="Macro"),$D169&amp;"|"&amp;$C169,"")</f>
        <v/>
      </c>
      <c r="AQ169" s="62">
        <f>""</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t="n"/>
      <c r="F170" s="59" t="n"/>
      <c r="G170" s="59" t="n"/>
      <c r="H170" s="60" t="n"/>
      <c r="I170" s="60">
        <f>IF(N($W170)=0,"",IF(AND($S170=MesCiclo,1&gt;SemanaActual),"",MIN(1,SUMIFS(OFFSET($A$1,ROW(),29,1000-ROW(),1),OFFSET($A$1,ROW(),20,1000-ROW(),1),ROW(),OFFSET($A$1,ROW(),21,1000-ROW(),1),"Sub"))))</f>
        <v/>
      </c>
      <c r="J170" s="60">
        <f>IF(N($W170)=0,"",IF(AND($S170=MesCiclo,2&gt;SemanaActual),"",MIN(1,SUMIFS(OFFSET($A$1,ROW(),30,1000-ROW(),1),OFFSET($A$1,ROW(),20,1000-ROW(),1),ROW(),OFFSET($A$1,ROW(),21,1000-ROW(),1),"Sub"))))</f>
        <v/>
      </c>
      <c r="K170" s="60">
        <f>IF(N($W170)=0,"",IF(AND($S170=MesCiclo,3&gt;SemanaActual),"",MIN(1,SUMIFS(OFFSET($A$1,ROW(),31,1000-ROW(),1),OFFSET($A$1,ROW(),20,1000-ROW(),1),ROW(),OFFSET($A$1,ROW(),21,1000-ROW(),1),"Sub"))))</f>
        <v/>
      </c>
      <c r="L170" s="60">
        <f>IF(N($W170)=0,"",IF(AND($S170=MesCiclo,4&gt;SemanaActual),"",MIN(1,SUMIFS(OFFSET($A$1,ROW(),32,1000-ROW(),1),OFFSET($A$1,ROW(),20,1000-ROW(),1),ROW(),OFFSET($A$1,ROW(),21,1000-ROW(),1),"Sub"))))</f>
        <v/>
      </c>
      <c r="M170" s="61">
        <f>IF(NOT((COUNTA($B170:$D170)+COUNTA($G170:$H170)+COUNTA($Q170))&gt;0),"",IF(AND($D170&lt;&gt;"",$V170="Macro"),IF(N($AM170)&gt;0,N(CHOOSE(MATCH($D170,ListaPuestos,0),INDEX('Cronograma R. Operacional'!$M$5:$M$1000,$AM170),INDEX('Cronograma R. Normativo'!$M$5:$M$1000,$AM170),INDEX('Cronograma R. Financiero'!$M$5:$M$1000,$AM170),INDEX('Cronograma Asistente Técnico'!$M$5:$M$1000,$AM170))),0),IF(ISNUMBER($G170),1,IF(N($W170)&gt;0,MIN(1,SUMIFS($Y$5:$Y$1000,$U$5:$U$1000,ROW(),$V$5:$V$1000,"Sub")),$Y170))))</f>
        <v/>
      </c>
      <c r="N170" s="56">
        <f>IF(OR($M170="",$V170="Sub"),"",IF($M170&gt;=1,"Completado",IF($M170&gt;0,"En curso","Pendiente")))</f>
        <v/>
      </c>
      <c r="O170" s="56">
        <f>IF(NOT((COUNTA($B170:$D170)+COUNTA($G170:$H170)+COUNTA($Q170))&gt;0),"",IF(AND(AND($D170&lt;&gt;"",$V170="Macro"),N($AM170)&gt;0),CHOOSE(MATCH($D170,ListaPuestos,0),INDEX('Cronograma R. Operacional'!$O$5:$O$1000,$AM170),INDEX('Cronograma R. Normativo'!$O$5:$O$1000,$AM170),INDEX('Cronograma R. Financiero'!$O$5:$O$1000,$AM170),INDEX('Cronograma Asistente Técnico'!$O$5:$O$1000,$AM170))&amp;"",IF(ISNUMBER($G170),IF(AND(ISNUMBER($AS170),$G170&gt;$AS170),"Cumplida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f>IF(NOT((COUNTA($B170:$D170)+COUNTA($G170:$H170)+COUNTA($Q170))&gt;0),"",IF($D170="","Propia",IF($V170&lt;&gt;"Macro","Solo se delegan macroactividades",IF(N($AM170)&gt;0,"✔ Recibida por "&amp;$D170,"⚠ "&amp;$D170&amp;" aún no la agrega"))))</f>
        <v/>
      </c>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IF($V170&lt;&gt;"Sub","",N($X170)*IF(AND(ISNUMBER($G170),$G170&lt;=IF($S170=MesCiclo,InicioCiclo,$S170+MOD(2-WEEKDAY($S170),7))+6),1,MIN(1,MAX(0,IF(ISNUMBER(OFFSET($A$1,ROW()-1,8)),OFFSET($A$1,ROW()-1,8),0)))))</f>
        <v/>
      </c>
      <c r="AE170" s="62">
        <f>IF($V170&lt;&gt;"Sub","",N($X170)*IF(AND(ISNUMBER($G170),$G170&lt;=IF($S170=MesCiclo,InicioCiclo,$S170+MOD(2-WEEKDAY($S170),7))+13),1,MIN(1,MAX(0,IF(ISNUMBER(OFFSET($A$1,ROW()-1,9)),OFFSET($A$1,ROW()-1,9),IF(ISNUMBER(OFFSET($A$1,ROW()-1,8)),OFFSET($A$1,ROW()-1,8),0))))))</f>
        <v/>
      </c>
      <c r="AF170" s="62">
        <f>IF($V170&lt;&gt;"Sub","",N($X170)*IF(AND(ISNUMBER($G170),$G170&lt;=IF($S170=MesCiclo,InicioCiclo,$S170+MOD(2-WEEKDAY($S170),7))+20),1,MIN(1,MAX(0,IF(ISNUMBER(OFFSET($A$1,ROW()-1,10)),OFFSET($A$1,ROW()-1,10),IF(ISNUMBER(OFFSET($A$1,ROW()-1,9)),OFFSET($A$1,ROW()-1,9),IF(ISNUMBER(OFFSET($A$1,ROW()-1,8)),OFFSET($A$1,ROW()-1,8),0)))))))</f>
        <v/>
      </c>
      <c r="AG170" s="62">
        <f>IF($V170&lt;&gt;"Sub","",N($X170)*IF(AND(ISNUMBER($G170),$G170&lt;=IF($S170=MesCiclo,InicioCiclo,$S170+MOD(2-WEEKDAY($S170),7))+27),1,MIN(1,MAX(0,IF(ISNUMBER(OFFSET($A$1,ROW()-1,11)),OFFSET($A$1,ROW()-1,11),IF(ISNUMBER(OFFSET($A$1,ROW()-1,10)),OFFSET($A$1,ROW()-1,10),IF(ISNUMBER(OFFSET($A$1,ROW()-1,9)),OFFSET($A$1,ROW()-1,9),IF(ISNUMBER(OFFSET($A$1,ROW()-1,8)),OFFSET($A$1,ROW()-1,8),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f>IF(NOT(AND($D170&lt;&gt;"",$V170="Macro")),"",IFERROR(CHOOSE(MATCH($D170,ListaPuestos,0),MATCH("[Jefatura] "&amp;$C170,'Cronograma R. Operacional'!$C$5:$C$1000,0),MATCH("[Jefatura] "&amp;$C170,'Cronograma R. Normativo'!$C$5:$C$1000,0),MATCH("[Jefatura] "&amp;$C170,'Cronograma R. Financiero'!$C$5:$C$1000,0),MATCH("[Jefatura] "&amp;$C170,'Cronograma Asistente Técnico'!$C$5:$C$1000,0)),0))</f>
        <v/>
      </c>
      <c r="AN170" s="62">
        <f>IF(AND(AND($D170&lt;&gt;"",$V170="Macro"),$S170=MesCiclo),COUNTIFS($D$5:$D170,$D170,$S$5:$S170,MesCiclo,$V$5:$V170,"Macro"),"")</f>
        <v/>
      </c>
      <c r="AO170" s="62">
        <f>IF($AN170="","",$D170&amp;"|"&amp;$AN170)</f>
        <v/>
      </c>
      <c r="AP170" s="62">
        <f>IF(AND($D170&lt;&gt;"",$V170="Macro"),$D170&amp;"|"&amp;$C170,"")</f>
        <v/>
      </c>
      <c r="AQ170" s="62">
        <f>""</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t="n"/>
      <c r="F171" s="59" t="n"/>
      <c r="G171" s="59" t="n"/>
      <c r="H171" s="60" t="n"/>
      <c r="I171" s="60">
        <f>IF(N($W171)=0,"",IF(AND($S171=MesCiclo,1&gt;SemanaActual),"",MIN(1,SUMIFS(OFFSET($A$1,ROW(),29,1000-ROW(),1),OFFSET($A$1,ROW(),20,1000-ROW(),1),ROW(),OFFSET($A$1,ROW(),21,1000-ROW(),1),"Sub"))))</f>
        <v/>
      </c>
      <c r="J171" s="60">
        <f>IF(N($W171)=0,"",IF(AND($S171=MesCiclo,2&gt;SemanaActual),"",MIN(1,SUMIFS(OFFSET($A$1,ROW(),30,1000-ROW(),1),OFFSET($A$1,ROW(),20,1000-ROW(),1),ROW(),OFFSET($A$1,ROW(),21,1000-ROW(),1),"Sub"))))</f>
        <v/>
      </c>
      <c r="K171" s="60">
        <f>IF(N($W171)=0,"",IF(AND($S171=MesCiclo,3&gt;SemanaActual),"",MIN(1,SUMIFS(OFFSET($A$1,ROW(),31,1000-ROW(),1),OFFSET($A$1,ROW(),20,1000-ROW(),1),ROW(),OFFSET($A$1,ROW(),21,1000-ROW(),1),"Sub"))))</f>
        <v/>
      </c>
      <c r="L171" s="60">
        <f>IF(N($W171)=0,"",IF(AND($S171=MesCiclo,4&gt;SemanaActual),"",MIN(1,SUMIFS(OFFSET($A$1,ROW(),32,1000-ROW(),1),OFFSET($A$1,ROW(),20,1000-ROW(),1),ROW(),OFFSET($A$1,ROW(),21,1000-ROW(),1),"Sub"))))</f>
        <v/>
      </c>
      <c r="M171" s="61">
        <f>IF(NOT((COUNTA($B171:$D171)+COUNTA($G171:$H171)+COUNTA($Q171))&gt;0),"",IF(AND($D171&lt;&gt;"",$V171="Macro"),IF(N($AM171)&gt;0,N(CHOOSE(MATCH($D171,ListaPuestos,0),INDEX('Cronograma R. Operacional'!$M$5:$M$1000,$AM171),INDEX('Cronograma R. Normativo'!$M$5:$M$1000,$AM171),INDEX('Cronograma R. Financiero'!$M$5:$M$1000,$AM171),INDEX('Cronograma Asistente Técnico'!$M$5:$M$1000,$AM171))),0),IF(ISNUMBER($G171),1,IF(N($W171)&gt;0,MIN(1,SUMIFS($Y$5:$Y$1000,$U$5:$U$1000,ROW(),$V$5:$V$1000,"Sub")),$Y171))))</f>
        <v/>
      </c>
      <c r="N171" s="56">
        <f>IF(OR($M171="",$V171="Sub"),"",IF($M171&gt;=1,"Completado",IF($M171&gt;0,"En curso","Pendiente")))</f>
        <v/>
      </c>
      <c r="O171" s="56">
        <f>IF(NOT((COUNTA($B171:$D171)+COUNTA($G171:$H171)+COUNTA($Q171))&gt;0),"",IF(AND(AND($D171&lt;&gt;"",$V171="Macro"),N($AM171)&gt;0),CHOOSE(MATCH($D171,ListaPuestos,0),INDEX('Cronograma R. Operacional'!$O$5:$O$1000,$AM171),INDEX('Cronograma R. Normativo'!$O$5:$O$1000,$AM171),INDEX('Cronograma R. Financiero'!$O$5:$O$1000,$AM171),INDEX('Cronograma Asistente Técnico'!$O$5:$O$1000,$AM171))&amp;"",IF(ISNUMBER($G171),IF(AND(ISNUMBER($AS171),$G171&gt;$AS171),"Cumplida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f>IF(NOT((COUNTA($B171:$D171)+COUNTA($G171:$H171)+COUNTA($Q171))&gt;0),"",IF($D171="","Propia",IF($V171&lt;&gt;"Macro","Solo se delegan macroactividades",IF(N($AM171)&gt;0,"✔ Recibida por "&amp;$D171,"⚠ "&amp;$D171&amp;" aún no la agrega"))))</f>
        <v/>
      </c>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IF($V171&lt;&gt;"Sub","",N($X171)*IF(AND(ISNUMBER($G171),$G171&lt;=IF($S171=MesCiclo,InicioCiclo,$S171+MOD(2-WEEKDAY($S171),7))+6),1,MIN(1,MAX(0,IF(ISNUMBER(OFFSET($A$1,ROW()-1,8)),OFFSET($A$1,ROW()-1,8),0)))))</f>
        <v/>
      </c>
      <c r="AE171" s="62">
        <f>IF($V171&lt;&gt;"Sub","",N($X171)*IF(AND(ISNUMBER($G171),$G171&lt;=IF($S171=MesCiclo,InicioCiclo,$S171+MOD(2-WEEKDAY($S171),7))+13),1,MIN(1,MAX(0,IF(ISNUMBER(OFFSET($A$1,ROW()-1,9)),OFFSET($A$1,ROW()-1,9),IF(ISNUMBER(OFFSET($A$1,ROW()-1,8)),OFFSET($A$1,ROW()-1,8),0))))))</f>
        <v/>
      </c>
      <c r="AF171" s="62">
        <f>IF($V171&lt;&gt;"Sub","",N($X171)*IF(AND(ISNUMBER($G171),$G171&lt;=IF($S171=MesCiclo,InicioCiclo,$S171+MOD(2-WEEKDAY($S171),7))+20),1,MIN(1,MAX(0,IF(ISNUMBER(OFFSET($A$1,ROW()-1,10)),OFFSET($A$1,ROW()-1,10),IF(ISNUMBER(OFFSET($A$1,ROW()-1,9)),OFFSET($A$1,ROW()-1,9),IF(ISNUMBER(OFFSET($A$1,ROW()-1,8)),OFFSET($A$1,ROW()-1,8),0)))))))</f>
        <v/>
      </c>
      <c r="AG171" s="62">
        <f>IF($V171&lt;&gt;"Sub","",N($X171)*IF(AND(ISNUMBER($G171),$G171&lt;=IF($S171=MesCiclo,InicioCiclo,$S171+MOD(2-WEEKDAY($S171),7))+27),1,MIN(1,MAX(0,IF(ISNUMBER(OFFSET($A$1,ROW()-1,11)),OFFSET($A$1,ROW()-1,11),IF(ISNUMBER(OFFSET($A$1,ROW()-1,10)),OFFSET($A$1,ROW()-1,10),IF(ISNUMBER(OFFSET($A$1,ROW()-1,9)),OFFSET($A$1,ROW()-1,9),IF(ISNUMBER(OFFSET($A$1,ROW()-1,8)),OFFSET($A$1,ROW()-1,8),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f>IF(NOT(AND($D171&lt;&gt;"",$V171="Macro")),"",IFERROR(CHOOSE(MATCH($D171,ListaPuestos,0),MATCH("[Jefatura] "&amp;$C171,'Cronograma R. Operacional'!$C$5:$C$1000,0),MATCH("[Jefatura] "&amp;$C171,'Cronograma R. Normativo'!$C$5:$C$1000,0),MATCH("[Jefatura] "&amp;$C171,'Cronograma R. Financiero'!$C$5:$C$1000,0),MATCH("[Jefatura] "&amp;$C171,'Cronograma Asistente Técnico'!$C$5:$C$1000,0)),0))</f>
        <v/>
      </c>
      <c r="AN171" s="62">
        <f>IF(AND(AND($D171&lt;&gt;"",$V171="Macro"),$S171=MesCiclo),COUNTIFS($D$5:$D171,$D171,$S$5:$S171,MesCiclo,$V$5:$V171,"Macro"),"")</f>
        <v/>
      </c>
      <c r="AO171" s="62">
        <f>IF($AN171="","",$D171&amp;"|"&amp;$AN171)</f>
        <v/>
      </c>
      <c r="AP171" s="62">
        <f>IF(AND($D171&lt;&gt;"",$V171="Macro"),$D171&amp;"|"&amp;$C171,"")</f>
        <v/>
      </c>
      <c r="AQ171" s="62">
        <f>""</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t="n"/>
      <c r="F172" s="59" t="n"/>
      <c r="G172" s="59" t="n"/>
      <c r="H172" s="60" t="n"/>
      <c r="I172" s="60">
        <f>IF(N($W172)=0,"",IF(AND($S172=MesCiclo,1&gt;SemanaActual),"",MIN(1,SUMIFS(OFFSET($A$1,ROW(),29,1000-ROW(),1),OFFSET($A$1,ROW(),20,1000-ROW(),1),ROW(),OFFSET($A$1,ROW(),21,1000-ROW(),1),"Sub"))))</f>
        <v/>
      </c>
      <c r="J172" s="60">
        <f>IF(N($W172)=0,"",IF(AND($S172=MesCiclo,2&gt;SemanaActual),"",MIN(1,SUMIFS(OFFSET($A$1,ROW(),30,1000-ROW(),1),OFFSET($A$1,ROW(),20,1000-ROW(),1),ROW(),OFFSET($A$1,ROW(),21,1000-ROW(),1),"Sub"))))</f>
        <v/>
      </c>
      <c r="K172" s="60">
        <f>IF(N($W172)=0,"",IF(AND($S172=MesCiclo,3&gt;SemanaActual),"",MIN(1,SUMIFS(OFFSET($A$1,ROW(),31,1000-ROW(),1),OFFSET($A$1,ROW(),20,1000-ROW(),1),ROW(),OFFSET($A$1,ROW(),21,1000-ROW(),1),"Sub"))))</f>
        <v/>
      </c>
      <c r="L172" s="60">
        <f>IF(N($W172)=0,"",IF(AND($S172=MesCiclo,4&gt;SemanaActual),"",MIN(1,SUMIFS(OFFSET($A$1,ROW(),32,1000-ROW(),1),OFFSET($A$1,ROW(),20,1000-ROW(),1),ROW(),OFFSET($A$1,ROW(),21,1000-ROW(),1),"Sub"))))</f>
        <v/>
      </c>
      <c r="M172" s="61">
        <f>IF(NOT((COUNTA($B172:$D172)+COUNTA($G172:$H172)+COUNTA($Q172))&gt;0),"",IF(AND($D172&lt;&gt;"",$V172="Macro"),IF(N($AM172)&gt;0,N(CHOOSE(MATCH($D172,ListaPuestos,0),INDEX('Cronograma R. Operacional'!$M$5:$M$1000,$AM172),INDEX('Cronograma R. Normativo'!$M$5:$M$1000,$AM172),INDEX('Cronograma R. Financiero'!$M$5:$M$1000,$AM172),INDEX('Cronograma Asistente Técnico'!$M$5:$M$1000,$AM172))),0),IF(ISNUMBER($G172),1,IF(N($W172)&gt;0,MIN(1,SUMIFS($Y$5:$Y$1000,$U$5:$U$1000,ROW(),$V$5:$V$1000,"Sub")),$Y172))))</f>
        <v/>
      </c>
      <c r="N172" s="56">
        <f>IF(OR($M172="",$V172="Sub"),"",IF($M172&gt;=1,"Completado",IF($M172&gt;0,"En curso","Pendiente")))</f>
        <v/>
      </c>
      <c r="O172" s="56">
        <f>IF(NOT((COUNTA($B172:$D172)+COUNTA($G172:$H172)+COUNTA($Q172))&gt;0),"",IF(AND(AND($D172&lt;&gt;"",$V172="Macro"),N($AM172)&gt;0),CHOOSE(MATCH($D172,ListaPuestos,0),INDEX('Cronograma R. Operacional'!$O$5:$O$1000,$AM172),INDEX('Cronograma R. Normativo'!$O$5:$O$1000,$AM172),INDEX('Cronograma R. Financiero'!$O$5:$O$1000,$AM172),INDEX('Cronograma Asistente Técnico'!$O$5:$O$1000,$AM172))&amp;"",IF(ISNUMBER($G172),IF(AND(ISNUMBER($AS172),$G172&gt;$AS172),"Cumplida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f>IF(NOT((COUNTA($B172:$D172)+COUNTA($G172:$H172)+COUNTA($Q172))&gt;0),"",IF($D172="","Propia",IF($V172&lt;&gt;"Macro","Solo se delegan macroactividades",IF(N($AM172)&gt;0,"✔ Recibida por "&amp;$D172,"⚠ "&amp;$D172&amp;" aún no la agrega"))))</f>
        <v/>
      </c>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IF($V172&lt;&gt;"Sub","",N($X172)*IF(AND(ISNUMBER($G172),$G172&lt;=IF($S172=MesCiclo,InicioCiclo,$S172+MOD(2-WEEKDAY($S172),7))+6),1,MIN(1,MAX(0,IF(ISNUMBER(OFFSET($A$1,ROW()-1,8)),OFFSET($A$1,ROW()-1,8),0)))))</f>
        <v/>
      </c>
      <c r="AE172" s="62">
        <f>IF($V172&lt;&gt;"Sub","",N($X172)*IF(AND(ISNUMBER($G172),$G172&lt;=IF($S172=MesCiclo,InicioCiclo,$S172+MOD(2-WEEKDAY($S172),7))+13),1,MIN(1,MAX(0,IF(ISNUMBER(OFFSET($A$1,ROW()-1,9)),OFFSET($A$1,ROW()-1,9),IF(ISNUMBER(OFFSET($A$1,ROW()-1,8)),OFFSET($A$1,ROW()-1,8),0))))))</f>
        <v/>
      </c>
      <c r="AF172" s="62">
        <f>IF($V172&lt;&gt;"Sub","",N($X172)*IF(AND(ISNUMBER($G172),$G172&lt;=IF($S172=MesCiclo,InicioCiclo,$S172+MOD(2-WEEKDAY($S172),7))+20),1,MIN(1,MAX(0,IF(ISNUMBER(OFFSET($A$1,ROW()-1,10)),OFFSET($A$1,ROW()-1,10),IF(ISNUMBER(OFFSET($A$1,ROW()-1,9)),OFFSET($A$1,ROW()-1,9),IF(ISNUMBER(OFFSET($A$1,ROW()-1,8)),OFFSET($A$1,ROW()-1,8),0)))))))</f>
        <v/>
      </c>
      <c r="AG172" s="62">
        <f>IF($V172&lt;&gt;"Sub","",N($X172)*IF(AND(ISNUMBER($G172),$G172&lt;=IF($S172=MesCiclo,InicioCiclo,$S172+MOD(2-WEEKDAY($S172),7))+27),1,MIN(1,MAX(0,IF(ISNUMBER(OFFSET($A$1,ROW()-1,11)),OFFSET($A$1,ROW()-1,11),IF(ISNUMBER(OFFSET($A$1,ROW()-1,10)),OFFSET($A$1,ROW()-1,10),IF(ISNUMBER(OFFSET($A$1,ROW()-1,9)),OFFSET($A$1,ROW()-1,9),IF(ISNUMBER(OFFSET($A$1,ROW()-1,8)),OFFSET($A$1,ROW()-1,8),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f>IF(NOT(AND($D172&lt;&gt;"",$V172="Macro")),"",IFERROR(CHOOSE(MATCH($D172,ListaPuestos,0),MATCH("[Jefatura] "&amp;$C172,'Cronograma R. Operacional'!$C$5:$C$1000,0),MATCH("[Jefatura] "&amp;$C172,'Cronograma R. Normativo'!$C$5:$C$1000,0),MATCH("[Jefatura] "&amp;$C172,'Cronograma R. Financiero'!$C$5:$C$1000,0),MATCH("[Jefatura] "&amp;$C172,'Cronograma Asistente Técnico'!$C$5:$C$1000,0)),0))</f>
        <v/>
      </c>
      <c r="AN172" s="62">
        <f>IF(AND(AND($D172&lt;&gt;"",$V172="Macro"),$S172=MesCiclo),COUNTIFS($D$5:$D172,$D172,$S$5:$S172,MesCiclo,$V$5:$V172,"Macro"),"")</f>
        <v/>
      </c>
      <c r="AO172" s="62">
        <f>IF($AN172="","",$D172&amp;"|"&amp;$AN172)</f>
        <v/>
      </c>
      <c r="AP172" s="62">
        <f>IF(AND($D172&lt;&gt;"",$V172="Macro"),$D172&amp;"|"&amp;$C172,"")</f>
        <v/>
      </c>
      <c r="AQ172" s="62">
        <f>""</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t="n"/>
      <c r="F173" s="59" t="n"/>
      <c r="G173" s="59" t="n"/>
      <c r="H173" s="60" t="n"/>
      <c r="I173" s="60">
        <f>IF(N($W173)=0,"",IF(AND($S173=MesCiclo,1&gt;SemanaActual),"",MIN(1,SUMIFS(OFFSET($A$1,ROW(),29,1000-ROW(),1),OFFSET($A$1,ROW(),20,1000-ROW(),1),ROW(),OFFSET($A$1,ROW(),21,1000-ROW(),1),"Sub"))))</f>
        <v/>
      </c>
      <c r="J173" s="60">
        <f>IF(N($W173)=0,"",IF(AND($S173=MesCiclo,2&gt;SemanaActual),"",MIN(1,SUMIFS(OFFSET($A$1,ROW(),30,1000-ROW(),1),OFFSET($A$1,ROW(),20,1000-ROW(),1),ROW(),OFFSET($A$1,ROW(),21,1000-ROW(),1),"Sub"))))</f>
        <v/>
      </c>
      <c r="K173" s="60">
        <f>IF(N($W173)=0,"",IF(AND($S173=MesCiclo,3&gt;SemanaActual),"",MIN(1,SUMIFS(OFFSET($A$1,ROW(),31,1000-ROW(),1),OFFSET($A$1,ROW(),20,1000-ROW(),1),ROW(),OFFSET($A$1,ROW(),21,1000-ROW(),1),"Sub"))))</f>
        <v/>
      </c>
      <c r="L173" s="60">
        <f>IF(N($W173)=0,"",IF(AND($S173=MesCiclo,4&gt;SemanaActual),"",MIN(1,SUMIFS(OFFSET($A$1,ROW(),32,1000-ROW(),1),OFFSET($A$1,ROW(),20,1000-ROW(),1),ROW(),OFFSET($A$1,ROW(),21,1000-ROW(),1),"Sub"))))</f>
        <v/>
      </c>
      <c r="M173" s="61">
        <f>IF(NOT((COUNTA($B173:$D173)+COUNTA($G173:$H173)+COUNTA($Q173))&gt;0),"",IF(AND($D173&lt;&gt;"",$V173="Macro"),IF(N($AM173)&gt;0,N(CHOOSE(MATCH($D173,ListaPuestos,0),INDEX('Cronograma R. Operacional'!$M$5:$M$1000,$AM173),INDEX('Cronograma R. Normativo'!$M$5:$M$1000,$AM173),INDEX('Cronograma R. Financiero'!$M$5:$M$1000,$AM173),INDEX('Cronograma Asistente Técnico'!$M$5:$M$1000,$AM173))),0),IF(ISNUMBER($G173),1,IF(N($W173)&gt;0,MIN(1,SUMIFS($Y$5:$Y$1000,$U$5:$U$1000,ROW(),$V$5:$V$1000,"Sub")),$Y173))))</f>
        <v/>
      </c>
      <c r="N173" s="56">
        <f>IF(OR($M173="",$V173="Sub"),"",IF($M173&gt;=1,"Completado",IF($M173&gt;0,"En curso","Pendiente")))</f>
        <v/>
      </c>
      <c r="O173" s="56">
        <f>IF(NOT((COUNTA($B173:$D173)+COUNTA($G173:$H173)+COUNTA($Q173))&gt;0),"",IF(AND(AND($D173&lt;&gt;"",$V173="Macro"),N($AM173)&gt;0),CHOOSE(MATCH($D173,ListaPuestos,0),INDEX('Cronograma R. Operacional'!$O$5:$O$1000,$AM173),INDEX('Cronograma R. Normativo'!$O$5:$O$1000,$AM173),INDEX('Cronograma R. Financiero'!$O$5:$O$1000,$AM173),INDEX('Cronograma Asistente Técnico'!$O$5:$O$1000,$AM173))&amp;"",IF(ISNUMBER($G173),IF(AND(ISNUMBER($AS173),$G173&gt;$AS173),"Cumplida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f>IF(NOT((COUNTA($B173:$D173)+COUNTA($G173:$H173)+COUNTA($Q173))&gt;0),"",IF($D173="","Propia",IF($V173&lt;&gt;"Macro","Solo se delegan macroactividades",IF(N($AM173)&gt;0,"✔ Recibida por "&amp;$D173,"⚠ "&amp;$D173&amp;" aún no la agrega"))))</f>
        <v/>
      </c>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IF($V173&lt;&gt;"Sub","",N($X173)*IF(AND(ISNUMBER($G173),$G173&lt;=IF($S173=MesCiclo,InicioCiclo,$S173+MOD(2-WEEKDAY($S173),7))+6),1,MIN(1,MAX(0,IF(ISNUMBER(OFFSET($A$1,ROW()-1,8)),OFFSET($A$1,ROW()-1,8),0)))))</f>
        <v/>
      </c>
      <c r="AE173" s="62">
        <f>IF($V173&lt;&gt;"Sub","",N($X173)*IF(AND(ISNUMBER($G173),$G173&lt;=IF($S173=MesCiclo,InicioCiclo,$S173+MOD(2-WEEKDAY($S173),7))+13),1,MIN(1,MAX(0,IF(ISNUMBER(OFFSET($A$1,ROW()-1,9)),OFFSET($A$1,ROW()-1,9),IF(ISNUMBER(OFFSET($A$1,ROW()-1,8)),OFFSET($A$1,ROW()-1,8),0))))))</f>
        <v/>
      </c>
      <c r="AF173" s="62">
        <f>IF($V173&lt;&gt;"Sub","",N($X173)*IF(AND(ISNUMBER($G173),$G173&lt;=IF($S173=MesCiclo,InicioCiclo,$S173+MOD(2-WEEKDAY($S173),7))+20),1,MIN(1,MAX(0,IF(ISNUMBER(OFFSET($A$1,ROW()-1,10)),OFFSET($A$1,ROW()-1,10),IF(ISNUMBER(OFFSET($A$1,ROW()-1,9)),OFFSET($A$1,ROW()-1,9),IF(ISNUMBER(OFFSET($A$1,ROW()-1,8)),OFFSET($A$1,ROW()-1,8),0)))))))</f>
        <v/>
      </c>
      <c r="AG173" s="62">
        <f>IF($V173&lt;&gt;"Sub","",N($X173)*IF(AND(ISNUMBER($G173),$G173&lt;=IF($S173=MesCiclo,InicioCiclo,$S173+MOD(2-WEEKDAY($S173),7))+27),1,MIN(1,MAX(0,IF(ISNUMBER(OFFSET($A$1,ROW()-1,11)),OFFSET($A$1,ROW()-1,11),IF(ISNUMBER(OFFSET($A$1,ROW()-1,10)),OFFSET($A$1,ROW()-1,10),IF(ISNUMBER(OFFSET($A$1,ROW()-1,9)),OFFSET($A$1,ROW()-1,9),IF(ISNUMBER(OFFSET($A$1,ROW()-1,8)),OFFSET($A$1,ROW()-1,8),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f>IF(NOT(AND($D173&lt;&gt;"",$V173="Macro")),"",IFERROR(CHOOSE(MATCH($D173,ListaPuestos,0),MATCH("[Jefatura] "&amp;$C173,'Cronograma R. Operacional'!$C$5:$C$1000,0),MATCH("[Jefatura] "&amp;$C173,'Cronograma R. Normativo'!$C$5:$C$1000,0),MATCH("[Jefatura] "&amp;$C173,'Cronograma R. Financiero'!$C$5:$C$1000,0),MATCH("[Jefatura] "&amp;$C173,'Cronograma Asistente Técnico'!$C$5:$C$1000,0)),0))</f>
        <v/>
      </c>
      <c r="AN173" s="62">
        <f>IF(AND(AND($D173&lt;&gt;"",$V173="Macro"),$S173=MesCiclo),COUNTIFS($D$5:$D173,$D173,$S$5:$S173,MesCiclo,$V$5:$V173,"Macro"),"")</f>
        <v/>
      </c>
      <c r="AO173" s="62">
        <f>IF($AN173="","",$D173&amp;"|"&amp;$AN173)</f>
        <v/>
      </c>
      <c r="AP173" s="62">
        <f>IF(AND($D173&lt;&gt;"",$V173="Macro"),$D173&amp;"|"&amp;$C173,"")</f>
        <v/>
      </c>
      <c r="AQ173" s="62">
        <f>""</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t="n"/>
      <c r="F174" s="59" t="n"/>
      <c r="G174" s="59" t="n"/>
      <c r="H174" s="60" t="n"/>
      <c r="I174" s="60">
        <f>IF(N($W174)=0,"",IF(AND($S174=MesCiclo,1&gt;SemanaActual),"",MIN(1,SUMIFS(OFFSET($A$1,ROW(),29,1000-ROW(),1),OFFSET($A$1,ROW(),20,1000-ROW(),1),ROW(),OFFSET($A$1,ROW(),21,1000-ROW(),1),"Sub"))))</f>
        <v/>
      </c>
      <c r="J174" s="60">
        <f>IF(N($W174)=0,"",IF(AND($S174=MesCiclo,2&gt;SemanaActual),"",MIN(1,SUMIFS(OFFSET($A$1,ROW(),30,1000-ROW(),1),OFFSET($A$1,ROW(),20,1000-ROW(),1),ROW(),OFFSET($A$1,ROW(),21,1000-ROW(),1),"Sub"))))</f>
        <v/>
      </c>
      <c r="K174" s="60">
        <f>IF(N($W174)=0,"",IF(AND($S174=MesCiclo,3&gt;SemanaActual),"",MIN(1,SUMIFS(OFFSET($A$1,ROW(),31,1000-ROW(),1),OFFSET($A$1,ROW(),20,1000-ROW(),1),ROW(),OFFSET($A$1,ROW(),21,1000-ROW(),1),"Sub"))))</f>
        <v/>
      </c>
      <c r="L174" s="60">
        <f>IF(N($W174)=0,"",IF(AND($S174=MesCiclo,4&gt;SemanaActual),"",MIN(1,SUMIFS(OFFSET($A$1,ROW(),32,1000-ROW(),1),OFFSET($A$1,ROW(),20,1000-ROW(),1),ROW(),OFFSET($A$1,ROW(),21,1000-ROW(),1),"Sub"))))</f>
        <v/>
      </c>
      <c r="M174" s="61">
        <f>IF(NOT((COUNTA($B174:$D174)+COUNTA($G174:$H174)+COUNTA($Q174))&gt;0),"",IF(AND($D174&lt;&gt;"",$V174="Macro"),IF(N($AM174)&gt;0,N(CHOOSE(MATCH($D174,ListaPuestos,0),INDEX('Cronograma R. Operacional'!$M$5:$M$1000,$AM174),INDEX('Cronograma R. Normativo'!$M$5:$M$1000,$AM174),INDEX('Cronograma R. Financiero'!$M$5:$M$1000,$AM174),INDEX('Cronograma Asistente Técnico'!$M$5:$M$1000,$AM174))),0),IF(ISNUMBER($G174),1,IF(N($W174)&gt;0,MIN(1,SUMIFS($Y$5:$Y$1000,$U$5:$U$1000,ROW(),$V$5:$V$1000,"Sub")),$Y174))))</f>
        <v/>
      </c>
      <c r="N174" s="56">
        <f>IF(OR($M174="",$V174="Sub"),"",IF($M174&gt;=1,"Completado",IF($M174&gt;0,"En curso","Pendiente")))</f>
        <v/>
      </c>
      <c r="O174" s="56">
        <f>IF(NOT((COUNTA($B174:$D174)+COUNTA($G174:$H174)+COUNTA($Q174))&gt;0),"",IF(AND(AND($D174&lt;&gt;"",$V174="Macro"),N($AM174)&gt;0),CHOOSE(MATCH($D174,ListaPuestos,0),INDEX('Cronograma R. Operacional'!$O$5:$O$1000,$AM174),INDEX('Cronograma R. Normativo'!$O$5:$O$1000,$AM174),INDEX('Cronograma R. Financiero'!$O$5:$O$1000,$AM174),INDEX('Cronograma Asistente Técnico'!$O$5:$O$1000,$AM174))&amp;"",IF(ISNUMBER($G174),IF(AND(ISNUMBER($AS174),$G174&gt;$AS174),"Cumplida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f>IF(NOT((COUNTA($B174:$D174)+COUNTA($G174:$H174)+COUNTA($Q174))&gt;0),"",IF($D174="","Propia",IF($V174&lt;&gt;"Macro","Solo se delegan macroactividades",IF(N($AM174)&gt;0,"✔ Recibida por "&amp;$D174,"⚠ "&amp;$D174&amp;" aún no la agrega"))))</f>
        <v/>
      </c>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IF($V174&lt;&gt;"Sub","",N($X174)*IF(AND(ISNUMBER($G174),$G174&lt;=IF($S174=MesCiclo,InicioCiclo,$S174+MOD(2-WEEKDAY($S174),7))+6),1,MIN(1,MAX(0,IF(ISNUMBER(OFFSET($A$1,ROW()-1,8)),OFFSET($A$1,ROW()-1,8),0)))))</f>
        <v/>
      </c>
      <c r="AE174" s="62">
        <f>IF($V174&lt;&gt;"Sub","",N($X174)*IF(AND(ISNUMBER($G174),$G174&lt;=IF($S174=MesCiclo,InicioCiclo,$S174+MOD(2-WEEKDAY($S174),7))+13),1,MIN(1,MAX(0,IF(ISNUMBER(OFFSET($A$1,ROW()-1,9)),OFFSET($A$1,ROW()-1,9),IF(ISNUMBER(OFFSET($A$1,ROW()-1,8)),OFFSET($A$1,ROW()-1,8),0))))))</f>
        <v/>
      </c>
      <c r="AF174" s="62">
        <f>IF($V174&lt;&gt;"Sub","",N($X174)*IF(AND(ISNUMBER($G174),$G174&lt;=IF($S174=MesCiclo,InicioCiclo,$S174+MOD(2-WEEKDAY($S174),7))+20),1,MIN(1,MAX(0,IF(ISNUMBER(OFFSET($A$1,ROW()-1,10)),OFFSET($A$1,ROW()-1,10),IF(ISNUMBER(OFFSET($A$1,ROW()-1,9)),OFFSET($A$1,ROW()-1,9),IF(ISNUMBER(OFFSET($A$1,ROW()-1,8)),OFFSET($A$1,ROW()-1,8),0)))))))</f>
        <v/>
      </c>
      <c r="AG174" s="62">
        <f>IF($V174&lt;&gt;"Sub","",N($X174)*IF(AND(ISNUMBER($G174),$G174&lt;=IF($S174=MesCiclo,InicioCiclo,$S174+MOD(2-WEEKDAY($S174),7))+27),1,MIN(1,MAX(0,IF(ISNUMBER(OFFSET($A$1,ROW()-1,11)),OFFSET($A$1,ROW()-1,11),IF(ISNUMBER(OFFSET($A$1,ROW()-1,10)),OFFSET($A$1,ROW()-1,10),IF(ISNUMBER(OFFSET($A$1,ROW()-1,9)),OFFSET($A$1,ROW()-1,9),IF(ISNUMBER(OFFSET($A$1,ROW()-1,8)),OFFSET($A$1,ROW()-1,8),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f>IF(NOT(AND($D174&lt;&gt;"",$V174="Macro")),"",IFERROR(CHOOSE(MATCH($D174,ListaPuestos,0),MATCH("[Jefatura] "&amp;$C174,'Cronograma R. Operacional'!$C$5:$C$1000,0),MATCH("[Jefatura] "&amp;$C174,'Cronograma R. Normativo'!$C$5:$C$1000,0),MATCH("[Jefatura] "&amp;$C174,'Cronograma R. Financiero'!$C$5:$C$1000,0),MATCH("[Jefatura] "&amp;$C174,'Cronograma Asistente Técnico'!$C$5:$C$1000,0)),0))</f>
        <v/>
      </c>
      <c r="AN174" s="62">
        <f>IF(AND(AND($D174&lt;&gt;"",$V174="Macro"),$S174=MesCiclo),COUNTIFS($D$5:$D174,$D174,$S$5:$S174,MesCiclo,$V$5:$V174,"Macro"),"")</f>
        <v/>
      </c>
      <c r="AO174" s="62">
        <f>IF($AN174="","",$D174&amp;"|"&amp;$AN174)</f>
        <v/>
      </c>
      <c r="AP174" s="62">
        <f>IF(AND($D174&lt;&gt;"",$V174="Macro"),$D174&amp;"|"&amp;$C174,"")</f>
        <v/>
      </c>
      <c r="AQ174" s="62">
        <f>""</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t="n"/>
      <c r="F175" s="59" t="n"/>
      <c r="G175" s="59" t="n"/>
      <c r="H175" s="60" t="n"/>
      <c r="I175" s="60">
        <f>IF(N($W175)=0,"",IF(AND($S175=MesCiclo,1&gt;SemanaActual),"",MIN(1,SUMIFS(OFFSET($A$1,ROW(),29,1000-ROW(),1),OFFSET($A$1,ROW(),20,1000-ROW(),1),ROW(),OFFSET($A$1,ROW(),21,1000-ROW(),1),"Sub"))))</f>
        <v/>
      </c>
      <c r="J175" s="60">
        <f>IF(N($W175)=0,"",IF(AND($S175=MesCiclo,2&gt;SemanaActual),"",MIN(1,SUMIFS(OFFSET($A$1,ROW(),30,1000-ROW(),1),OFFSET($A$1,ROW(),20,1000-ROW(),1),ROW(),OFFSET($A$1,ROW(),21,1000-ROW(),1),"Sub"))))</f>
        <v/>
      </c>
      <c r="K175" s="60">
        <f>IF(N($W175)=0,"",IF(AND($S175=MesCiclo,3&gt;SemanaActual),"",MIN(1,SUMIFS(OFFSET($A$1,ROW(),31,1000-ROW(),1),OFFSET($A$1,ROW(),20,1000-ROW(),1),ROW(),OFFSET($A$1,ROW(),21,1000-ROW(),1),"Sub"))))</f>
        <v/>
      </c>
      <c r="L175" s="60">
        <f>IF(N($W175)=0,"",IF(AND($S175=MesCiclo,4&gt;SemanaActual),"",MIN(1,SUMIFS(OFFSET($A$1,ROW(),32,1000-ROW(),1),OFFSET($A$1,ROW(),20,1000-ROW(),1),ROW(),OFFSET($A$1,ROW(),21,1000-ROW(),1),"Sub"))))</f>
        <v/>
      </c>
      <c r="M175" s="61">
        <f>IF(NOT((COUNTA($B175:$D175)+COUNTA($G175:$H175)+COUNTA($Q175))&gt;0),"",IF(AND($D175&lt;&gt;"",$V175="Macro"),IF(N($AM175)&gt;0,N(CHOOSE(MATCH($D175,ListaPuestos,0),INDEX('Cronograma R. Operacional'!$M$5:$M$1000,$AM175),INDEX('Cronograma R. Normativo'!$M$5:$M$1000,$AM175),INDEX('Cronograma R. Financiero'!$M$5:$M$1000,$AM175),INDEX('Cronograma Asistente Técnico'!$M$5:$M$1000,$AM175))),0),IF(ISNUMBER($G175),1,IF(N($W175)&gt;0,MIN(1,SUMIFS($Y$5:$Y$1000,$U$5:$U$1000,ROW(),$V$5:$V$1000,"Sub")),$Y175))))</f>
        <v/>
      </c>
      <c r="N175" s="56">
        <f>IF(OR($M175="",$V175="Sub"),"",IF($M175&gt;=1,"Completado",IF($M175&gt;0,"En curso","Pendiente")))</f>
        <v/>
      </c>
      <c r="O175" s="56">
        <f>IF(NOT((COUNTA($B175:$D175)+COUNTA($G175:$H175)+COUNTA($Q175))&gt;0),"",IF(AND(AND($D175&lt;&gt;"",$V175="Macro"),N($AM175)&gt;0),CHOOSE(MATCH($D175,ListaPuestos,0),INDEX('Cronograma R. Operacional'!$O$5:$O$1000,$AM175),INDEX('Cronograma R. Normativo'!$O$5:$O$1000,$AM175),INDEX('Cronograma R. Financiero'!$O$5:$O$1000,$AM175),INDEX('Cronograma Asistente Técnico'!$O$5:$O$1000,$AM175))&amp;"",IF(ISNUMBER($G175),IF(AND(ISNUMBER($AS175),$G175&gt;$AS175),"Cumplida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f>IF(NOT((COUNTA($B175:$D175)+COUNTA($G175:$H175)+COUNTA($Q175))&gt;0),"",IF($D175="","Propia",IF($V175&lt;&gt;"Macro","Solo se delegan macroactividades",IF(N($AM175)&gt;0,"✔ Recibida por "&amp;$D175,"⚠ "&amp;$D175&amp;" aún no la agrega"))))</f>
        <v/>
      </c>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IF($V175&lt;&gt;"Sub","",N($X175)*IF(AND(ISNUMBER($G175),$G175&lt;=IF($S175=MesCiclo,InicioCiclo,$S175+MOD(2-WEEKDAY($S175),7))+6),1,MIN(1,MAX(0,IF(ISNUMBER(OFFSET($A$1,ROW()-1,8)),OFFSET($A$1,ROW()-1,8),0)))))</f>
        <v/>
      </c>
      <c r="AE175" s="62">
        <f>IF($V175&lt;&gt;"Sub","",N($X175)*IF(AND(ISNUMBER($G175),$G175&lt;=IF($S175=MesCiclo,InicioCiclo,$S175+MOD(2-WEEKDAY($S175),7))+13),1,MIN(1,MAX(0,IF(ISNUMBER(OFFSET($A$1,ROW()-1,9)),OFFSET($A$1,ROW()-1,9),IF(ISNUMBER(OFFSET($A$1,ROW()-1,8)),OFFSET($A$1,ROW()-1,8),0))))))</f>
        <v/>
      </c>
      <c r="AF175" s="62">
        <f>IF($V175&lt;&gt;"Sub","",N($X175)*IF(AND(ISNUMBER($G175),$G175&lt;=IF($S175=MesCiclo,InicioCiclo,$S175+MOD(2-WEEKDAY($S175),7))+20),1,MIN(1,MAX(0,IF(ISNUMBER(OFFSET($A$1,ROW()-1,10)),OFFSET($A$1,ROW()-1,10),IF(ISNUMBER(OFFSET($A$1,ROW()-1,9)),OFFSET($A$1,ROW()-1,9),IF(ISNUMBER(OFFSET($A$1,ROW()-1,8)),OFFSET($A$1,ROW()-1,8),0)))))))</f>
        <v/>
      </c>
      <c r="AG175" s="62">
        <f>IF($V175&lt;&gt;"Sub","",N($X175)*IF(AND(ISNUMBER($G175),$G175&lt;=IF($S175=MesCiclo,InicioCiclo,$S175+MOD(2-WEEKDAY($S175),7))+27),1,MIN(1,MAX(0,IF(ISNUMBER(OFFSET($A$1,ROW()-1,11)),OFFSET($A$1,ROW()-1,11),IF(ISNUMBER(OFFSET($A$1,ROW()-1,10)),OFFSET($A$1,ROW()-1,10),IF(ISNUMBER(OFFSET($A$1,ROW()-1,9)),OFFSET($A$1,ROW()-1,9),IF(ISNUMBER(OFFSET($A$1,ROW()-1,8)),OFFSET($A$1,ROW()-1,8),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f>IF(NOT(AND($D175&lt;&gt;"",$V175="Macro")),"",IFERROR(CHOOSE(MATCH($D175,ListaPuestos,0),MATCH("[Jefatura] "&amp;$C175,'Cronograma R. Operacional'!$C$5:$C$1000,0),MATCH("[Jefatura] "&amp;$C175,'Cronograma R. Normativo'!$C$5:$C$1000,0),MATCH("[Jefatura] "&amp;$C175,'Cronograma R. Financiero'!$C$5:$C$1000,0),MATCH("[Jefatura] "&amp;$C175,'Cronograma Asistente Técnico'!$C$5:$C$1000,0)),0))</f>
        <v/>
      </c>
      <c r="AN175" s="62">
        <f>IF(AND(AND($D175&lt;&gt;"",$V175="Macro"),$S175=MesCiclo),COUNTIFS($D$5:$D175,$D175,$S$5:$S175,MesCiclo,$V$5:$V175,"Macro"),"")</f>
        <v/>
      </c>
      <c r="AO175" s="62">
        <f>IF($AN175="","",$D175&amp;"|"&amp;$AN175)</f>
        <v/>
      </c>
      <c r="AP175" s="62">
        <f>IF(AND($D175&lt;&gt;"",$V175="Macro"),$D175&amp;"|"&amp;$C175,"")</f>
        <v/>
      </c>
      <c r="AQ175" s="62">
        <f>""</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t="n"/>
      <c r="F176" s="59" t="n"/>
      <c r="G176" s="59" t="n"/>
      <c r="H176" s="60" t="n"/>
      <c r="I176" s="60">
        <f>IF(N($W176)=0,"",IF(AND($S176=MesCiclo,1&gt;SemanaActual),"",MIN(1,SUMIFS(OFFSET($A$1,ROW(),29,1000-ROW(),1),OFFSET($A$1,ROW(),20,1000-ROW(),1),ROW(),OFFSET($A$1,ROW(),21,1000-ROW(),1),"Sub"))))</f>
        <v/>
      </c>
      <c r="J176" s="60">
        <f>IF(N($W176)=0,"",IF(AND($S176=MesCiclo,2&gt;SemanaActual),"",MIN(1,SUMIFS(OFFSET($A$1,ROW(),30,1000-ROW(),1),OFFSET($A$1,ROW(),20,1000-ROW(),1),ROW(),OFFSET($A$1,ROW(),21,1000-ROW(),1),"Sub"))))</f>
        <v/>
      </c>
      <c r="K176" s="60">
        <f>IF(N($W176)=0,"",IF(AND($S176=MesCiclo,3&gt;SemanaActual),"",MIN(1,SUMIFS(OFFSET($A$1,ROW(),31,1000-ROW(),1),OFFSET($A$1,ROW(),20,1000-ROW(),1),ROW(),OFFSET($A$1,ROW(),21,1000-ROW(),1),"Sub"))))</f>
        <v/>
      </c>
      <c r="L176" s="60">
        <f>IF(N($W176)=0,"",IF(AND($S176=MesCiclo,4&gt;SemanaActual),"",MIN(1,SUMIFS(OFFSET($A$1,ROW(),32,1000-ROW(),1),OFFSET($A$1,ROW(),20,1000-ROW(),1),ROW(),OFFSET($A$1,ROW(),21,1000-ROW(),1),"Sub"))))</f>
        <v/>
      </c>
      <c r="M176" s="61">
        <f>IF(NOT((COUNTA($B176:$D176)+COUNTA($G176:$H176)+COUNTA($Q176))&gt;0),"",IF(AND($D176&lt;&gt;"",$V176="Macro"),IF(N($AM176)&gt;0,N(CHOOSE(MATCH($D176,ListaPuestos,0),INDEX('Cronograma R. Operacional'!$M$5:$M$1000,$AM176),INDEX('Cronograma R. Normativo'!$M$5:$M$1000,$AM176),INDEX('Cronograma R. Financiero'!$M$5:$M$1000,$AM176),INDEX('Cronograma Asistente Técnico'!$M$5:$M$1000,$AM176))),0),IF(ISNUMBER($G176),1,IF(N($W176)&gt;0,MIN(1,SUMIFS($Y$5:$Y$1000,$U$5:$U$1000,ROW(),$V$5:$V$1000,"Sub")),$Y176))))</f>
        <v/>
      </c>
      <c r="N176" s="56">
        <f>IF(OR($M176="",$V176="Sub"),"",IF($M176&gt;=1,"Completado",IF($M176&gt;0,"En curso","Pendiente")))</f>
        <v/>
      </c>
      <c r="O176" s="56">
        <f>IF(NOT((COUNTA($B176:$D176)+COUNTA($G176:$H176)+COUNTA($Q176))&gt;0),"",IF(AND(AND($D176&lt;&gt;"",$V176="Macro"),N($AM176)&gt;0),CHOOSE(MATCH($D176,ListaPuestos,0),INDEX('Cronograma R. Operacional'!$O$5:$O$1000,$AM176),INDEX('Cronograma R. Normativo'!$O$5:$O$1000,$AM176),INDEX('Cronograma R. Financiero'!$O$5:$O$1000,$AM176),INDEX('Cronograma Asistente Técnico'!$O$5:$O$1000,$AM176))&amp;"",IF(ISNUMBER($G176),IF(AND(ISNUMBER($AS176),$G176&gt;$AS176),"Cumplida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f>IF(NOT((COUNTA($B176:$D176)+COUNTA($G176:$H176)+COUNTA($Q176))&gt;0),"",IF($D176="","Propia",IF($V176&lt;&gt;"Macro","Solo se delegan macroactividades",IF(N($AM176)&gt;0,"✔ Recibida por "&amp;$D176,"⚠ "&amp;$D176&amp;" aún no la agrega"))))</f>
        <v/>
      </c>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IF($V176&lt;&gt;"Sub","",N($X176)*IF(AND(ISNUMBER($G176),$G176&lt;=IF($S176=MesCiclo,InicioCiclo,$S176+MOD(2-WEEKDAY($S176),7))+6),1,MIN(1,MAX(0,IF(ISNUMBER(OFFSET($A$1,ROW()-1,8)),OFFSET($A$1,ROW()-1,8),0)))))</f>
        <v/>
      </c>
      <c r="AE176" s="62">
        <f>IF($V176&lt;&gt;"Sub","",N($X176)*IF(AND(ISNUMBER($G176),$G176&lt;=IF($S176=MesCiclo,InicioCiclo,$S176+MOD(2-WEEKDAY($S176),7))+13),1,MIN(1,MAX(0,IF(ISNUMBER(OFFSET($A$1,ROW()-1,9)),OFFSET($A$1,ROW()-1,9),IF(ISNUMBER(OFFSET($A$1,ROW()-1,8)),OFFSET($A$1,ROW()-1,8),0))))))</f>
        <v/>
      </c>
      <c r="AF176" s="62">
        <f>IF($V176&lt;&gt;"Sub","",N($X176)*IF(AND(ISNUMBER($G176),$G176&lt;=IF($S176=MesCiclo,InicioCiclo,$S176+MOD(2-WEEKDAY($S176),7))+20),1,MIN(1,MAX(0,IF(ISNUMBER(OFFSET($A$1,ROW()-1,10)),OFFSET($A$1,ROW()-1,10),IF(ISNUMBER(OFFSET($A$1,ROW()-1,9)),OFFSET($A$1,ROW()-1,9),IF(ISNUMBER(OFFSET($A$1,ROW()-1,8)),OFFSET($A$1,ROW()-1,8),0)))))))</f>
        <v/>
      </c>
      <c r="AG176" s="62">
        <f>IF($V176&lt;&gt;"Sub","",N($X176)*IF(AND(ISNUMBER($G176),$G176&lt;=IF($S176=MesCiclo,InicioCiclo,$S176+MOD(2-WEEKDAY($S176),7))+27),1,MIN(1,MAX(0,IF(ISNUMBER(OFFSET($A$1,ROW()-1,11)),OFFSET($A$1,ROW()-1,11),IF(ISNUMBER(OFFSET($A$1,ROW()-1,10)),OFFSET($A$1,ROW()-1,10),IF(ISNUMBER(OFFSET($A$1,ROW()-1,9)),OFFSET($A$1,ROW()-1,9),IF(ISNUMBER(OFFSET($A$1,ROW()-1,8)),OFFSET($A$1,ROW()-1,8),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f>IF(NOT(AND($D176&lt;&gt;"",$V176="Macro")),"",IFERROR(CHOOSE(MATCH($D176,ListaPuestos,0),MATCH("[Jefatura] "&amp;$C176,'Cronograma R. Operacional'!$C$5:$C$1000,0),MATCH("[Jefatura] "&amp;$C176,'Cronograma R. Normativo'!$C$5:$C$1000,0),MATCH("[Jefatura] "&amp;$C176,'Cronograma R. Financiero'!$C$5:$C$1000,0),MATCH("[Jefatura] "&amp;$C176,'Cronograma Asistente Técnico'!$C$5:$C$1000,0)),0))</f>
        <v/>
      </c>
      <c r="AN176" s="62">
        <f>IF(AND(AND($D176&lt;&gt;"",$V176="Macro"),$S176=MesCiclo),COUNTIFS($D$5:$D176,$D176,$S$5:$S176,MesCiclo,$V$5:$V176,"Macro"),"")</f>
        <v/>
      </c>
      <c r="AO176" s="62">
        <f>IF($AN176="","",$D176&amp;"|"&amp;$AN176)</f>
        <v/>
      </c>
      <c r="AP176" s="62">
        <f>IF(AND($D176&lt;&gt;"",$V176="Macro"),$D176&amp;"|"&amp;$C176,"")</f>
        <v/>
      </c>
      <c r="AQ176" s="62">
        <f>""</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t="n"/>
      <c r="F177" s="59" t="n"/>
      <c r="G177" s="59" t="n"/>
      <c r="H177" s="60" t="n"/>
      <c r="I177" s="60">
        <f>IF(N($W177)=0,"",IF(AND($S177=MesCiclo,1&gt;SemanaActual),"",MIN(1,SUMIFS(OFFSET($A$1,ROW(),29,1000-ROW(),1),OFFSET($A$1,ROW(),20,1000-ROW(),1),ROW(),OFFSET($A$1,ROW(),21,1000-ROW(),1),"Sub"))))</f>
        <v/>
      </c>
      <c r="J177" s="60">
        <f>IF(N($W177)=0,"",IF(AND($S177=MesCiclo,2&gt;SemanaActual),"",MIN(1,SUMIFS(OFFSET($A$1,ROW(),30,1000-ROW(),1),OFFSET($A$1,ROW(),20,1000-ROW(),1),ROW(),OFFSET($A$1,ROW(),21,1000-ROW(),1),"Sub"))))</f>
        <v/>
      </c>
      <c r="K177" s="60">
        <f>IF(N($W177)=0,"",IF(AND($S177=MesCiclo,3&gt;SemanaActual),"",MIN(1,SUMIFS(OFFSET($A$1,ROW(),31,1000-ROW(),1),OFFSET($A$1,ROW(),20,1000-ROW(),1),ROW(),OFFSET($A$1,ROW(),21,1000-ROW(),1),"Sub"))))</f>
        <v/>
      </c>
      <c r="L177" s="60">
        <f>IF(N($W177)=0,"",IF(AND($S177=MesCiclo,4&gt;SemanaActual),"",MIN(1,SUMIFS(OFFSET($A$1,ROW(),32,1000-ROW(),1),OFFSET($A$1,ROW(),20,1000-ROW(),1),ROW(),OFFSET($A$1,ROW(),21,1000-ROW(),1),"Sub"))))</f>
        <v/>
      </c>
      <c r="M177" s="61">
        <f>IF(NOT((COUNTA($B177:$D177)+COUNTA($G177:$H177)+COUNTA($Q177))&gt;0),"",IF(AND($D177&lt;&gt;"",$V177="Macro"),IF(N($AM177)&gt;0,N(CHOOSE(MATCH($D177,ListaPuestos,0),INDEX('Cronograma R. Operacional'!$M$5:$M$1000,$AM177),INDEX('Cronograma R. Normativo'!$M$5:$M$1000,$AM177),INDEX('Cronograma R. Financiero'!$M$5:$M$1000,$AM177),INDEX('Cronograma Asistente Técnico'!$M$5:$M$1000,$AM177))),0),IF(ISNUMBER($G177),1,IF(N($W177)&gt;0,MIN(1,SUMIFS($Y$5:$Y$1000,$U$5:$U$1000,ROW(),$V$5:$V$1000,"Sub")),$Y177))))</f>
        <v/>
      </c>
      <c r="N177" s="56">
        <f>IF(OR($M177="",$V177="Sub"),"",IF($M177&gt;=1,"Completado",IF($M177&gt;0,"En curso","Pendiente")))</f>
        <v/>
      </c>
      <c r="O177" s="56">
        <f>IF(NOT((COUNTA($B177:$D177)+COUNTA($G177:$H177)+COUNTA($Q177))&gt;0),"",IF(AND(AND($D177&lt;&gt;"",$V177="Macro"),N($AM177)&gt;0),CHOOSE(MATCH($D177,ListaPuestos,0),INDEX('Cronograma R. Operacional'!$O$5:$O$1000,$AM177),INDEX('Cronograma R. Normativo'!$O$5:$O$1000,$AM177),INDEX('Cronograma R. Financiero'!$O$5:$O$1000,$AM177),INDEX('Cronograma Asistente Técnico'!$O$5:$O$1000,$AM177))&amp;"",IF(ISNUMBER($G177),IF(AND(ISNUMBER($AS177),$G177&gt;$AS177),"Cumplida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f>IF(NOT((COUNTA($B177:$D177)+COUNTA($G177:$H177)+COUNTA($Q177))&gt;0),"",IF($D177="","Propia",IF($V177&lt;&gt;"Macro","Solo se delegan macroactividades",IF(N($AM177)&gt;0,"✔ Recibida por "&amp;$D177,"⚠ "&amp;$D177&amp;" aún no la agrega"))))</f>
        <v/>
      </c>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IF($V177&lt;&gt;"Sub","",N($X177)*IF(AND(ISNUMBER($G177),$G177&lt;=IF($S177=MesCiclo,InicioCiclo,$S177+MOD(2-WEEKDAY($S177),7))+6),1,MIN(1,MAX(0,IF(ISNUMBER(OFFSET($A$1,ROW()-1,8)),OFFSET($A$1,ROW()-1,8),0)))))</f>
        <v/>
      </c>
      <c r="AE177" s="62">
        <f>IF($V177&lt;&gt;"Sub","",N($X177)*IF(AND(ISNUMBER($G177),$G177&lt;=IF($S177=MesCiclo,InicioCiclo,$S177+MOD(2-WEEKDAY($S177),7))+13),1,MIN(1,MAX(0,IF(ISNUMBER(OFFSET($A$1,ROW()-1,9)),OFFSET($A$1,ROW()-1,9),IF(ISNUMBER(OFFSET($A$1,ROW()-1,8)),OFFSET($A$1,ROW()-1,8),0))))))</f>
        <v/>
      </c>
      <c r="AF177" s="62">
        <f>IF($V177&lt;&gt;"Sub","",N($X177)*IF(AND(ISNUMBER($G177),$G177&lt;=IF($S177=MesCiclo,InicioCiclo,$S177+MOD(2-WEEKDAY($S177),7))+20),1,MIN(1,MAX(0,IF(ISNUMBER(OFFSET($A$1,ROW()-1,10)),OFFSET($A$1,ROW()-1,10),IF(ISNUMBER(OFFSET($A$1,ROW()-1,9)),OFFSET($A$1,ROW()-1,9),IF(ISNUMBER(OFFSET($A$1,ROW()-1,8)),OFFSET($A$1,ROW()-1,8),0)))))))</f>
        <v/>
      </c>
      <c r="AG177" s="62">
        <f>IF($V177&lt;&gt;"Sub","",N($X177)*IF(AND(ISNUMBER($G177),$G177&lt;=IF($S177=MesCiclo,InicioCiclo,$S177+MOD(2-WEEKDAY($S177),7))+27),1,MIN(1,MAX(0,IF(ISNUMBER(OFFSET($A$1,ROW()-1,11)),OFFSET($A$1,ROW()-1,11),IF(ISNUMBER(OFFSET($A$1,ROW()-1,10)),OFFSET($A$1,ROW()-1,10),IF(ISNUMBER(OFFSET($A$1,ROW()-1,9)),OFFSET($A$1,ROW()-1,9),IF(ISNUMBER(OFFSET($A$1,ROW()-1,8)),OFFSET($A$1,ROW()-1,8),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f>IF(NOT(AND($D177&lt;&gt;"",$V177="Macro")),"",IFERROR(CHOOSE(MATCH($D177,ListaPuestos,0),MATCH("[Jefatura] "&amp;$C177,'Cronograma R. Operacional'!$C$5:$C$1000,0),MATCH("[Jefatura] "&amp;$C177,'Cronograma R. Normativo'!$C$5:$C$1000,0),MATCH("[Jefatura] "&amp;$C177,'Cronograma R. Financiero'!$C$5:$C$1000,0),MATCH("[Jefatura] "&amp;$C177,'Cronograma Asistente Técnico'!$C$5:$C$1000,0)),0))</f>
        <v/>
      </c>
      <c r="AN177" s="62">
        <f>IF(AND(AND($D177&lt;&gt;"",$V177="Macro"),$S177=MesCiclo),COUNTIFS($D$5:$D177,$D177,$S$5:$S177,MesCiclo,$V$5:$V177,"Macro"),"")</f>
        <v/>
      </c>
      <c r="AO177" s="62">
        <f>IF($AN177="","",$D177&amp;"|"&amp;$AN177)</f>
        <v/>
      </c>
      <c r="AP177" s="62">
        <f>IF(AND($D177&lt;&gt;"",$V177="Macro"),$D177&amp;"|"&amp;$C177,"")</f>
        <v/>
      </c>
      <c r="AQ177" s="62">
        <f>""</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t="n"/>
      <c r="F178" s="59" t="n"/>
      <c r="G178" s="59" t="n"/>
      <c r="H178" s="60" t="n"/>
      <c r="I178" s="60">
        <f>IF(N($W178)=0,"",IF(AND($S178=MesCiclo,1&gt;SemanaActual),"",MIN(1,SUMIFS(OFFSET($A$1,ROW(),29,1000-ROW(),1),OFFSET($A$1,ROW(),20,1000-ROW(),1),ROW(),OFFSET($A$1,ROW(),21,1000-ROW(),1),"Sub"))))</f>
        <v/>
      </c>
      <c r="J178" s="60">
        <f>IF(N($W178)=0,"",IF(AND($S178=MesCiclo,2&gt;SemanaActual),"",MIN(1,SUMIFS(OFFSET($A$1,ROW(),30,1000-ROW(),1),OFFSET($A$1,ROW(),20,1000-ROW(),1),ROW(),OFFSET($A$1,ROW(),21,1000-ROW(),1),"Sub"))))</f>
        <v/>
      </c>
      <c r="K178" s="60">
        <f>IF(N($W178)=0,"",IF(AND($S178=MesCiclo,3&gt;SemanaActual),"",MIN(1,SUMIFS(OFFSET($A$1,ROW(),31,1000-ROW(),1),OFFSET($A$1,ROW(),20,1000-ROW(),1),ROW(),OFFSET($A$1,ROW(),21,1000-ROW(),1),"Sub"))))</f>
        <v/>
      </c>
      <c r="L178" s="60">
        <f>IF(N($W178)=0,"",IF(AND($S178=MesCiclo,4&gt;SemanaActual),"",MIN(1,SUMIFS(OFFSET($A$1,ROW(),32,1000-ROW(),1),OFFSET($A$1,ROW(),20,1000-ROW(),1),ROW(),OFFSET($A$1,ROW(),21,1000-ROW(),1),"Sub"))))</f>
        <v/>
      </c>
      <c r="M178" s="61">
        <f>IF(NOT((COUNTA($B178:$D178)+COUNTA($G178:$H178)+COUNTA($Q178))&gt;0),"",IF(AND($D178&lt;&gt;"",$V178="Macro"),IF(N($AM178)&gt;0,N(CHOOSE(MATCH($D178,ListaPuestos,0),INDEX('Cronograma R. Operacional'!$M$5:$M$1000,$AM178),INDEX('Cronograma R. Normativo'!$M$5:$M$1000,$AM178),INDEX('Cronograma R. Financiero'!$M$5:$M$1000,$AM178),INDEX('Cronograma Asistente Técnico'!$M$5:$M$1000,$AM178))),0),IF(ISNUMBER($G178),1,IF(N($W178)&gt;0,MIN(1,SUMIFS($Y$5:$Y$1000,$U$5:$U$1000,ROW(),$V$5:$V$1000,"Sub")),$Y178))))</f>
        <v/>
      </c>
      <c r="N178" s="56">
        <f>IF(OR($M178="",$V178="Sub"),"",IF($M178&gt;=1,"Completado",IF($M178&gt;0,"En curso","Pendiente")))</f>
        <v/>
      </c>
      <c r="O178" s="56">
        <f>IF(NOT((COUNTA($B178:$D178)+COUNTA($G178:$H178)+COUNTA($Q178))&gt;0),"",IF(AND(AND($D178&lt;&gt;"",$V178="Macro"),N($AM178)&gt;0),CHOOSE(MATCH($D178,ListaPuestos,0),INDEX('Cronograma R. Operacional'!$O$5:$O$1000,$AM178),INDEX('Cronograma R. Normativo'!$O$5:$O$1000,$AM178),INDEX('Cronograma R. Financiero'!$O$5:$O$1000,$AM178),INDEX('Cronograma Asistente Técnico'!$O$5:$O$1000,$AM178))&amp;"",IF(ISNUMBER($G178),IF(AND(ISNUMBER($AS178),$G178&gt;$AS178),"Cumplida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f>IF(NOT((COUNTA($B178:$D178)+COUNTA($G178:$H178)+COUNTA($Q178))&gt;0),"",IF($D178="","Propia",IF($V178&lt;&gt;"Macro","Solo se delegan macroactividades",IF(N($AM178)&gt;0,"✔ Recibida por "&amp;$D178,"⚠ "&amp;$D178&amp;" aún no la agrega"))))</f>
        <v/>
      </c>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IF($V178&lt;&gt;"Sub","",N($X178)*IF(AND(ISNUMBER($G178),$G178&lt;=IF($S178=MesCiclo,InicioCiclo,$S178+MOD(2-WEEKDAY($S178),7))+6),1,MIN(1,MAX(0,IF(ISNUMBER(OFFSET($A$1,ROW()-1,8)),OFFSET($A$1,ROW()-1,8),0)))))</f>
        <v/>
      </c>
      <c r="AE178" s="62">
        <f>IF($V178&lt;&gt;"Sub","",N($X178)*IF(AND(ISNUMBER($G178),$G178&lt;=IF($S178=MesCiclo,InicioCiclo,$S178+MOD(2-WEEKDAY($S178),7))+13),1,MIN(1,MAX(0,IF(ISNUMBER(OFFSET($A$1,ROW()-1,9)),OFFSET($A$1,ROW()-1,9),IF(ISNUMBER(OFFSET($A$1,ROW()-1,8)),OFFSET($A$1,ROW()-1,8),0))))))</f>
        <v/>
      </c>
      <c r="AF178" s="62">
        <f>IF($V178&lt;&gt;"Sub","",N($X178)*IF(AND(ISNUMBER($G178),$G178&lt;=IF($S178=MesCiclo,InicioCiclo,$S178+MOD(2-WEEKDAY($S178),7))+20),1,MIN(1,MAX(0,IF(ISNUMBER(OFFSET($A$1,ROW()-1,10)),OFFSET($A$1,ROW()-1,10),IF(ISNUMBER(OFFSET($A$1,ROW()-1,9)),OFFSET($A$1,ROW()-1,9),IF(ISNUMBER(OFFSET($A$1,ROW()-1,8)),OFFSET($A$1,ROW()-1,8),0)))))))</f>
        <v/>
      </c>
      <c r="AG178" s="62">
        <f>IF($V178&lt;&gt;"Sub","",N($X178)*IF(AND(ISNUMBER($G178),$G178&lt;=IF($S178=MesCiclo,InicioCiclo,$S178+MOD(2-WEEKDAY($S178),7))+27),1,MIN(1,MAX(0,IF(ISNUMBER(OFFSET($A$1,ROW()-1,11)),OFFSET($A$1,ROW()-1,11),IF(ISNUMBER(OFFSET($A$1,ROW()-1,10)),OFFSET($A$1,ROW()-1,10),IF(ISNUMBER(OFFSET($A$1,ROW()-1,9)),OFFSET($A$1,ROW()-1,9),IF(ISNUMBER(OFFSET($A$1,ROW()-1,8)),OFFSET($A$1,ROW()-1,8),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f>IF(NOT(AND($D178&lt;&gt;"",$V178="Macro")),"",IFERROR(CHOOSE(MATCH($D178,ListaPuestos,0),MATCH("[Jefatura] "&amp;$C178,'Cronograma R. Operacional'!$C$5:$C$1000,0),MATCH("[Jefatura] "&amp;$C178,'Cronograma R. Normativo'!$C$5:$C$1000,0),MATCH("[Jefatura] "&amp;$C178,'Cronograma R. Financiero'!$C$5:$C$1000,0),MATCH("[Jefatura] "&amp;$C178,'Cronograma Asistente Técnico'!$C$5:$C$1000,0)),0))</f>
        <v/>
      </c>
      <c r="AN178" s="62">
        <f>IF(AND(AND($D178&lt;&gt;"",$V178="Macro"),$S178=MesCiclo),COUNTIFS($D$5:$D178,$D178,$S$5:$S178,MesCiclo,$V$5:$V178,"Macro"),"")</f>
        <v/>
      </c>
      <c r="AO178" s="62">
        <f>IF($AN178="","",$D178&amp;"|"&amp;$AN178)</f>
        <v/>
      </c>
      <c r="AP178" s="62">
        <f>IF(AND($D178&lt;&gt;"",$V178="Macro"),$D178&amp;"|"&amp;$C178,"")</f>
        <v/>
      </c>
      <c r="AQ178" s="62">
        <f>""</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t="n"/>
      <c r="F179" s="59" t="n"/>
      <c r="G179" s="59" t="n"/>
      <c r="H179" s="60" t="n"/>
      <c r="I179" s="60">
        <f>IF(N($W179)=0,"",IF(AND($S179=MesCiclo,1&gt;SemanaActual),"",MIN(1,SUMIFS(OFFSET($A$1,ROW(),29,1000-ROW(),1),OFFSET($A$1,ROW(),20,1000-ROW(),1),ROW(),OFFSET($A$1,ROW(),21,1000-ROW(),1),"Sub"))))</f>
        <v/>
      </c>
      <c r="J179" s="60">
        <f>IF(N($W179)=0,"",IF(AND($S179=MesCiclo,2&gt;SemanaActual),"",MIN(1,SUMIFS(OFFSET($A$1,ROW(),30,1000-ROW(),1),OFFSET($A$1,ROW(),20,1000-ROW(),1),ROW(),OFFSET($A$1,ROW(),21,1000-ROW(),1),"Sub"))))</f>
        <v/>
      </c>
      <c r="K179" s="60">
        <f>IF(N($W179)=0,"",IF(AND($S179=MesCiclo,3&gt;SemanaActual),"",MIN(1,SUMIFS(OFFSET($A$1,ROW(),31,1000-ROW(),1),OFFSET($A$1,ROW(),20,1000-ROW(),1),ROW(),OFFSET($A$1,ROW(),21,1000-ROW(),1),"Sub"))))</f>
        <v/>
      </c>
      <c r="L179" s="60">
        <f>IF(N($W179)=0,"",IF(AND($S179=MesCiclo,4&gt;SemanaActual),"",MIN(1,SUMIFS(OFFSET($A$1,ROW(),32,1000-ROW(),1),OFFSET($A$1,ROW(),20,1000-ROW(),1),ROW(),OFFSET($A$1,ROW(),21,1000-ROW(),1),"Sub"))))</f>
        <v/>
      </c>
      <c r="M179" s="61">
        <f>IF(NOT((COUNTA($B179:$D179)+COUNTA($G179:$H179)+COUNTA($Q179))&gt;0),"",IF(AND($D179&lt;&gt;"",$V179="Macro"),IF(N($AM179)&gt;0,N(CHOOSE(MATCH($D179,ListaPuestos,0),INDEX('Cronograma R. Operacional'!$M$5:$M$1000,$AM179),INDEX('Cronograma R. Normativo'!$M$5:$M$1000,$AM179),INDEX('Cronograma R. Financiero'!$M$5:$M$1000,$AM179),INDEX('Cronograma Asistente Técnico'!$M$5:$M$1000,$AM179))),0),IF(ISNUMBER($G179),1,IF(N($W179)&gt;0,MIN(1,SUMIFS($Y$5:$Y$1000,$U$5:$U$1000,ROW(),$V$5:$V$1000,"Sub")),$Y179))))</f>
        <v/>
      </c>
      <c r="N179" s="56">
        <f>IF(OR($M179="",$V179="Sub"),"",IF($M179&gt;=1,"Completado",IF($M179&gt;0,"En curso","Pendiente")))</f>
        <v/>
      </c>
      <c r="O179" s="56">
        <f>IF(NOT((COUNTA($B179:$D179)+COUNTA($G179:$H179)+COUNTA($Q179))&gt;0),"",IF(AND(AND($D179&lt;&gt;"",$V179="Macro"),N($AM179)&gt;0),CHOOSE(MATCH($D179,ListaPuestos,0),INDEX('Cronograma R. Operacional'!$O$5:$O$1000,$AM179),INDEX('Cronograma R. Normativo'!$O$5:$O$1000,$AM179),INDEX('Cronograma R. Financiero'!$O$5:$O$1000,$AM179),INDEX('Cronograma Asistente Técnico'!$O$5:$O$1000,$AM179))&amp;"",IF(ISNUMBER($G179),IF(AND(ISNUMBER($AS179),$G179&gt;$AS179),"Cumplida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f>IF(NOT((COUNTA($B179:$D179)+COUNTA($G179:$H179)+COUNTA($Q179))&gt;0),"",IF($D179="","Propia",IF($V179&lt;&gt;"Macro","Solo se delegan macroactividades",IF(N($AM179)&gt;0,"✔ Recibida por "&amp;$D179,"⚠ "&amp;$D179&amp;" aún no la agrega"))))</f>
        <v/>
      </c>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IF($V179&lt;&gt;"Sub","",N($X179)*IF(AND(ISNUMBER($G179),$G179&lt;=IF($S179=MesCiclo,InicioCiclo,$S179+MOD(2-WEEKDAY($S179),7))+6),1,MIN(1,MAX(0,IF(ISNUMBER(OFFSET($A$1,ROW()-1,8)),OFFSET($A$1,ROW()-1,8),0)))))</f>
        <v/>
      </c>
      <c r="AE179" s="62">
        <f>IF($V179&lt;&gt;"Sub","",N($X179)*IF(AND(ISNUMBER($G179),$G179&lt;=IF($S179=MesCiclo,InicioCiclo,$S179+MOD(2-WEEKDAY($S179),7))+13),1,MIN(1,MAX(0,IF(ISNUMBER(OFFSET($A$1,ROW()-1,9)),OFFSET($A$1,ROW()-1,9),IF(ISNUMBER(OFFSET($A$1,ROW()-1,8)),OFFSET($A$1,ROW()-1,8),0))))))</f>
        <v/>
      </c>
      <c r="AF179" s="62">
        <f>IF($V179&lt;&gt;"Sub","",N($X179)*IF(AND(ISNUMBER($G179),$G179&lt;=IF($S179=MesCiclo,InicioCiclo,$S179+MOD(2-WEEKDAY($S179),7))+20),1,MIN(1,MAX(0,IF(ISNUMBER(OFFSET($A$1,ROW()-1,10)),OFFSET($A$1,ROW()-1,10),IF(ISNUMBER(OFFSET($A$1,ROW()-1,9)),OFFSET($A$1,ROW()-1,9),IF(ISNUMBER(OFFSET($A$1,ROW()-1,8)),OFFSET($A$1,ROW()-1,8),0)))))))</f>
        <v/>
      </c>
      <c r="AG179" s="62">
        <f>IF($V179&lt;&gt;"Sub","",N($X179)*IF(AND(ISNUMBER($G179),$G179&lt;=IF($S179=MesCiclo,InicioCiclo,$S179+MOD(2-WEEKDAY($S179),7))+27),1,MIN(1,MAX(0,IF(ISNUMBER(OFFSET($A$1,ROW()-1,11)),OFFSET($A$1,ROW()-1,11),IF(ISNUMBER(OFFSET($A$1,ROW()-1,10)),OFFSET($A$1,ROW()-1,10),IF(ISNUMBER(OFFSET($A$1,ROW()-1,9)),OFFSET($A$1,ROW()-1,9),IF(ISNUMBER(OFFSET($A$1,ROW()-1,8)),OFFSET($A$1,ROW()-1,8),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f>IF(NOT(AND($D179&lt;&gt;"",$V179="Macro")),"",IFERROR(CHOOSE(MATCH($D179,ListaPuestos,0),MATCH("[Jefatura] "&amp;$C179,'Cronograma R. Operacional'!$C$5:$C$1000,0),MATCH("[Jefatura] "&amp;$C179,'Cronograma R. Normativo'!$C$5:$C$1000,0),MATCH("[Jefatura] "&amp;$C179,'Cronograma R. Financiero'!$C$5:$C$1000,0),MATCH("[Jefatura] "&amp;$C179,'Cronograma Asistente Técnico'!$C$5:$C$1000,0)),0))</f>
        <v/>
      </c>
      <c r="AN179" s="62">
        <f>IF(AND(AND($D179&lt;&gt;"",$V179="Macro"),$S179=MesCiclo),COUNTIFS($D$5:$D179,$D179,$S$5:$S179,MesCiclo,$V$5:$V179,"Macro"),"")</f>
        <v/>
      </c>
      <c r="AO179" s="62">
        <f>IF($AN179="","",$D179&amp;"|"&amp;$AN179)</f>
        <v/>
      </c>
      <c r="AP179" s="62">
        <f>IF(AND($D179&lt;&gt;"",$V179="Macro"),$D179&amp;"|"&amp;$C179,"")</f>
        <v/>
      </c>
      <c r="AQ179" s="62">
        <f>""</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t="n"/>
      <c r="F180" s="59" t="n"/>
      <c r="G180" s="59" t="n"/>
      <c r="H180" s="60" t="n"/>
      <c r="I180" s="60">
        <f>IF(N($W180)=0,"",IF(AND($S180=MesCiclo,1&gt;SemanaActual),"",MIN(1,SUMIFS(OFFSET($A$1,ROW(),29,1000-ROW(),1),OFFSET($A$1,ROW(),20,1000-ROW(),1),ROW(),OFFSET($A$1,ROW(),21,1000-ROW(),1),"Sub"))))</f>
        <v/>
      </c>
      <c r="J180" s="60">
        <f>IF(N($W180)=0,"",IF(AND($S180=MesCiclo,2&gt;SemanaActual),"",MIN(1,SUMIFS(OFFSET($A$1,ROW(),30,1000-ROW(),1),OFFSET($A$1,ROW(),20,1000-ROW(),1),ROW(),OFFSET($A$1,ROW(),21,1000-ROW(),1),"Sub"))))</f>
        <v/>
      </c>
      <c r="K180" s="60">
        <f>IF(N($W180)=0,"",IF(AND($S180=MesCiclo,3&gt;SemanaActual),"",MIN(1,SUMIFS(OFFSET($A$1,ROW(),31,1000-ROW(),1),OFFSET($A$1,ROW(),20,1000-ROW(),1),ROW(),OFFSET($A$1,ROW(),21,1000-ROW(),1),"Sub"))))</f>
        <v/>
      </c>
      <c r="L180" s="60">
        <f>IF(N($W180)=0,"",IF(AND($S180=MesCiclo,4&gt;SemanaActual),"",MIN(1,SUMIFS(OFFSET($A$1,ROW(),32,1000-ROW(),1),OFFSET($A$1,ROW(),20,1000-ROW(),1),ROW(),OFFSET($A$1,ROW(),21,1000-ROW(),1),"Sub"))))</f>
        <v/>
      </c>
      <c r="M180" s="61">
        <f>IF(NOT((COUNTA($B180:$D180)+COUNTA($G180:$H180)+COUNTA($Q180))&gt;0),"",IF(AND($D180&lt;&gt;"",$V180="Macro"),IF(N($AM180)&gt;0,N(CHOOSE(MATCH($D180,ListaPuestos,0),INDEX('Cronograma R. Operacional'!$M$5:$M$1000,$AM180),INDEX('Cronograma R. Normativo'!$M$5:$M$1000,$AM180),INDEX('Cronograma R. Financiero'!$M$5:$M$1000,$AM180),INDEX('Cronograma Asistente Técnico'!$M$5:$M$1000,$AM180))),0),IF(ISNUMBER($G180),1,IF(N($W180)&gt;0,MIN(1,SUMIFS($Y$5:$Y$1000,$U$5:$U$1000,ROW(),$V$5:$V$1000,"Sub")),$Y180))))</f>
        <v/>
      </c>
      <c r="N180" s="56">
        <f>IF(OR($M180="",$V180="Sub"),"",IF($M180&gt;=1,"Completado",IF($M180&gt;0,"En curso","Pendiente")))</f>
        <v/>
      </c>
      <c r="O180" s="56">
        <f>IF(NOT((COUNTA($B180:$D180)+COUNTA($G180:$H180)+COUNTA($Q180))&gt;0),"",IF(AND(AND($D180&lt;&gt;"",$V180="Macro"),N($AM180)&gt;0),CHOOSE(MATCH($D180,ListaPuestos,0),INDEX('Cronograma R. Operacional'!$O$5:$O$1000,$AM180),INDEX('Cronograma R. Normativo'!$O$5:$O$1000,$AM180),INDEX('Cronograma R. Financiero'!$O$5:$O$1000,$AM180),INDEX('Cronograma Asistente Técnico'!$O$5:$O$1000,$AM180))&amp;"",IF(ISNUMBER($G180),IF(AND(ISNUMBER($AS180),$G180&gt;$AS180),"Cumplida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f>IF(NOT((COUNTA($B180:$D180)+COUNTA($G180:$H180)+COUNTA($Q180))&gt;0),"",IF($D180="","Propia",IF($V180&lt;&gt;"Macro","Solo se delegan macroactividades",IF(N($AM180)&gt;0,"✔ Recibida por "&amp;$D180,"⚠ "&amp;$D180&amp;" aún no la agrega"))))</f>
        <v/>
      </c>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IF($V180&lt;&gt;"Sub","",N($X180)*IF(AND(ISNUMBER($G180),$G180&lt;=IF($S180=MesCiclo,InicioCiclo,$S180+MOD(2-WEEKDAY($S180),7))+6),1,MIN(1,MAX(0,IF(ISNUMBER(OFFSET($A$1,ROW()-1,8)),OFFSET($A$1,ROW()-1,8),0)))))</f>
        <v/>
      </c>
      <c r="AE180" s="62">
        <f>IF($V180&lt;&gt;"Sub","",N($X180)*IF(AND(ISNUMBER($G180),$G180&lt;=IF($S180=MesCiclo,InicioCiclo,$S180+MOD(2-WEEKDAY($S180),7))+13),1,MIN(1,MAX(0,IF(ISNUMBER(OFFSET($A$1,ROW()-1,9)),OFFSET($A$1,ROW()-1,9),IF(ISNUMBER(OFFSET($A$1,ROW()-1,8)),OFFSET($A$1,ROW()-1,8),0))))))</f>
        <v/>
      </c>
      <c r="AF180" s="62">
        <f>IF($V180&lt;&gt;"Sub","",N($X180)*IF(AND(ISNUMBER($G180),$G180&lt;=IF($S180=MesCiclo,InicioCiclo,$S180+MOD(2-WEEKDAY($S180),7))+20),1,MIN(1,MAX(0,IF(ISNUMBER(OFFSET($A$1,ROW()-1,10)),OFFSET($A$1,ROW()-1,10),IF(ISNUMBER(OFFSET($A$1,ROW()-1,9)),OFFSET($A$1,ROW()-1,9),IF(ISNUMBER(OFFSET($A$1,ROW()-1,8)),OFFSET($A$1,ROW()-1,8),0)))))))</f>
        <v/>
      </c>
      <c r="AG180" s="62">
        <f>IF($V180&lt;&gt;"Sub","",N($X180)*IF(AND(ISNUMBER($G180),$G180&lt;=IF($S180=MesCiclo,InicioCiclo,$S180+MOD(2-WEEKDAY($S180),7))+27),1,MIN(1,MAX(0,IF(ISNUMBER(OFFSET($A$1,ROW()-1,11)),OFFSET($A$1,ROW()-1,11),IF(ISNUMBER(OFFSET($A$1,ROW()-1,10)),OFFSET($A$1,ROW()-1,10),IF(ISNUMBER(OFFSET($A$1,ROW()-1,9)),OFFSET($A$1,ROW()-1,9),IF(ISNUMBER(OFFSET($A$1,ROW()-1,8)),OFFSET($A$1,ROW()-1,8),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f>IF(NOT(AND($D180&lt;&gt;"",$V180="Macro")),"",IFERROR(CHOOSE(MATCH($D180,ListaPuestos,0),MATCH("[Jefatura] "&amp;$C180,'Cronograma R. Operacional'!$C$5:$C$1000,0),MATCH("[Jefatura] "&amp;$C180,'Cronograma R. Normativo'!$C$5:$C$1000,0),MATCH("[Jefatura] "&amp;$C180,'Cronograma R. Financiero'!$C$5:$C$1000,0),MATCH("[Jefatura] "&amp;$C180,'Cronograma Asistente Técnico'!$C$5:$C$1000,0)),0))</f>
        <v/>
      </c>
      <c r="AN180" s="62">
        <f>IF(AND(AND($D180&lt;&gt;"",$V180="Macro"),$S180=MesCiclo),COUNTIFS($D$5:$D180,$D180,$S$5:$S180,MesCiclo,$V$5:$V180,"Macro"),"")</f>
        <v/>
      </c>
      <c r="AO180" s="62">
        <f>IF($AN180="","",$D180&amp;"|"&amp;$AN180)</f>
        <v/>
      </c>
      <c r="AP180" s="62">
        <f>IF(AND($D180&lt;&gt;"",$V180="Macro"),$D180&amp;"|"&amp;$C180,"")</f>
        <v/>
      </c>
      <c r="AQ180" s="62">
        <f>""</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t="n"/>
      <c r="F181" s="59" t="n"/>
      <c r="G181" s="59" t="n"/>
      <c r="H181" s="60" t="n"/>
      <c r="I181" s="60">
        <f>IF(N($W181)=0,"",IF(AND($S181=MesCiclo,1&gt;SemanaActual),"",MIN(1,SUMIFS(OFFSET($A$1,ROW(),29,1000-ROW(),1),OFFSET($A$1,ROW(),20,1000-ROW(),1),ROW(),OFFSET($A$1,ROW(),21,1000-ROW(),1),"Sub"))))</f>
        <v/>
      </c>
      <c r="J181" s="60">
        <f>IF(N($W181)=0,"",IF(AND($S181=MesCiclo,2&gt;SemanaActual),"",MIN(1,SUMIFS(OFFSET($A$1,ROW(),30,1000-ROW(),1),OFFSET($A$1,ROW(),20,1000-ROW(),1),ROW(),OFFSET($A$1,ROW(),21,1000-ROW(),1),"Sub"))))</f>
        <v/>
      </c>
      <c r="K181" s="60">
        <f>IF(N($W181)=0,"",IF(AND($S181=MesCiclo,3&gt;SemanaActual),"",MIN(1,SUMIFS(OFFSET($A$1,ROW(),31,1000-ROW(),1),OFFSET($A$1,ROW(),20,1000-ROW(),1),ROW(),OFFSET($A$1,ROW(),21,1000-ROW(),1),"Sub"))))</f>
        <v/>
      </c>
      <c r="L181" s="60">
        <f>IF(N($W181)=0,"",IF(AND($S181=MesCiclo,4&gt;SemanaActual),"",MIN(1,SUMIFS(OFFSET($A$1,ROW(),32,1000-ROW(),1),OFFSET($A$1,ROW(),20,1000-ROW(),1),ROW(),OFFSET($A$1,ROW(),21,1000-ROW(),1),"Sub"))))</f>
        <v/>
      </c>
      <c r="M181" s="61">
        <f>IF(NOT((COUNTA($B181:$D181)+COUNTA($G181:$H181)+COUNTA($Q181))&gt;0),"",IF(AND($D181&lt;&gt;"",$V181="Macro"),IF(N($AM181)&gt;0,N(CHOOSE(MATCH($D181,ListaPuestos,0),INDEX('Cronograma R. Operacional'!$M$5:$M$1000,$AM181),INDEX('Cronograma R. Normativo'!$M$5:$M$1000,$AM181),INDEX('Cronograma R. Financiero'!$M$5:$M$1000,$AM181),INDEX('Cronograma Asistente Técnico'!$M$5:$M$1000,$AM181))),0),IF(ISNUMBER($G181),1,IF(N($W181)&gt;0,MIN(1,SUMIFS($Y$5:$Y$1000,$U$5:$U$1000,ROW(),$V$5:$V$1000,"Sub")),$Y181))))</f>
        <v/>
      </c>
      <c r="N181" s="56">
        <f>IF(OR($M181="",$V181="Sub"),"",IF($M181&gt;=1,"Completado",IF($M181&gt;0,"En curso","Pendiente")))</f>
        <v/>
      </c>
      <c r="O181" s="56">
        <f>IF(NOT((COUNTA($B181:$D181)+COUNTA($G181:$H181)+COUNTA($Q181))&gt;0),"",IF(AND(AND($D181&lt;&gt;"",$V181="Macro"),N($AM181)&gt;0),CHOOSE(MATCH($D181,ListaPuestos,0),INDEX('Cronograma R. Operacional'!$O$5:$O$1000,$AM181),INDEX('Cronograma R. Normativo'!$O$5:$O$1000,$AM181),INDEX('Cronograma R. Financiero'!$O$5:$O$1000,$AM181),INDEX('Cronograma Asistente Técnico'!$O$5:$O$1000,$AM181))&amp;"",IF(ISNUMBER($G181),IF(AND(ISNUMBER($AS181),$G181&gt;$AS181),"Cumplida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f>IF(NOT((COUNTA($B181:$D181)+COUNTA($G181:$H181)+COUNTA($Q181))&gt;0),"",IF($D181="","Propia",IF($V181&lt;&gt;"Macro","Solo se delegan macroactividades",IF(N($AM181)&gt;0,"✔ Recibida por "&amp;$D181,"⚠ "&amp;$D181&amp;" aún no la agrega"))))</f>
        <v/>
      </c>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IF($V181&lt;&gt;"Sub","",N($X181)*IF(AND(ISNUMBER($G181),$G181&lt;=IF($S181=MesCiclo,InicioCiclo,$S181+MOD(2-WEEKDAY($S181),7))+6),1,MIN(1,MAX(0,IF(ISNUMBER(OFFSET($A$1,ROW()-1,8)),OFFSET($A$1,ROW()-1,8),0)))))</f>
        <v/>
      </c>
      <c r="AE181" s="62">
        <f>IF($V181&lt;&gt;"Sub","",N($X181)*IF(AND(ISNUMBER($G181),$G181&lt;=IF($S181=MesCiclo,InicioCiclo,$S181+MOD(2-WEEKDAY($S181),7))+13),1,MIN(1,MAX(0,IF(ISNUMBER(OFFSET($A$1,ROW()-1,9)),OFFSET($A$1,ROW()-1,9),IF(ISNUMBER(OFFSET($A$1,ROW()-1,8)),OFFSET($A$1,ROW()-1,8),0))))))</f>
        <v/>
      </c>
      <c r="AF181" s="62">
        <f>IF($V181&lt;&gt;"Sub","",N($X181)*IF(AND(ISNUMBER($G181),$G181&lt;=IF($S181=MesCiclo,InicioCiclo,$S181+MOD(2-WEEKDAY($S181),7))+20),1,MIN(1,MAX(0,IF(ISNUMBER(OFFSET($A$1,ROW()-1,10)),OFFSET($A$1,ROW()-1,10),IF(ISNUMBER(OFFSET($A$1,ROW()-1,9)),OFFSET($A$1,ROW()-1,9),IF(ISNUMBER(OFFSET($A$1,ROW()-1,8)),OFFSET($A$1,ROW()-1,8),0)))))))</f>
        <v/>
      </c>
      <c r="AG181" s="62">
        <f>IF($V181&lt;&gt;"Sub","",N($X181)*IF(AND(ISNUMBER($G181),$G181&lt;=IF($S181=MesCiclo,InicioCiclo,$S181+MOD(2-WEEKDAY($S181),7))+27),1,MIN(1,MAX(0,IF(ISNUMBER(OFFSET($A$1,ROW()-1,11)),OFFSET($A$1,ROW()-1,11),IF(ISNUMBER(OFFSET($A$1,ROW()-1,10)),OFFSET($A$1,ROW()-1,10),IF(ISNUMBER(OFFSET($A$1,ROW()-1,9)),OFFSET($A$1,ROW()-1,9),IF(ISNUMBER(OFFSET($A$1,ROW()-1,8)),OFFSET($A$1,ROW()-1,8),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f>IF(NOT(AND($D181&lt;&gt;"",$V181="Macro")),"",IFERROR(CHOOSE(MATCH($D181,ListaPuestos,0),MATCH("[Jefatura] "&amp;$C181,'Cronograma R. Operacional'!$C$5:$C$1000,0),MATCH("[Jefatura] "&amp;$C181,'Cronograma R. Normativo'!$C$5:$C$1000,0),MATCH("[Jefatura] "&amp;$C181,'Cronograma R. Financiero'!$C$5:$C$1000,0),MATCH("[Jefatura] "&amp;$C181,'Cronograma Asistente Técnico'!$C$5:$C$1000,0)),0))</f>
        <v/>
      </c>
      <c r="AN181" s="62">
        <f>IF(AND(AND($D181&lt;&gt;"",$V181="Macro"),$S181=MesCiclo),COUNTIFS($D$5:$D181,$D181,$S$5:$S181,MesCiclo,$V$5:$V181,"Macro"),"")</f>
        <v/>
      </c>
      <c r="AO181" s="62">
        <f>IF($AN181="","",$D181&amp;"|"&amp;$AN181)</f>
        <v/>
      </c>
      <c r="AP181" s="62">
        <f>IF(AND($D181&lt;&gt;"",$V181="Macro"),$D181&amp;"|"&amp;$C181,"")</f>
        <v/>
      </c>
      <c r="AQ181" s="62">
        <f>""</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t="n"/>
      <c r="F182" s="59" t="n"/>
      <c r="G182" s="59" t="n"/>
      <c r="H182" s="60" t="n"/>
      <c r="I182" s="60">
        <f>IF(N($W182)=0,"",IF(AND($S182=MesCiclo,1&gt;SemanaActual),"",MIN(1,SUMIFS(OFFSET($A$1,ROW(),29,1000-ROW(),1),OFFSET($A$1,ROW(),20,1000-ROW(),1),ROW(),OFFSET($A$1,ROW(),21,1000-ROW(),1),"Sub"))))</f>
        <v/>
      </c>
      <c r="J182" s="60">
        <f>IF(N($W182)=0,"",IF(AND($S182=MesCiclo,2&gt;SemanaActual),"",MIN(1,SUMIFS(OFFSET($A$1,ROW(),30,1000-ROW(),1),OFFSET($A$1,ROW(),20,1000-ROW(),1),ROW(),OFFSET($A$1,ROW(),21,1000-ROW(),1),"Sub"))))</f>
        <v/>
      </c>
      <c r="K182" s="60">
        <f>IF(N($W182)=0,"",IF(AND($S182=MesCiclo,3&gt;SemanaActual),"",MIN(1,SUMIFS(OFFSET($A$1,ROW(),31,1000-ROW(),1),OFFSET($A$1,ROW(),20,1000-ROW(),1),ROW(),OFFSET($A$1,ROW(),21,1000-ROW(),1),"Sub"))))</f>
        <v/>
      </c>
      <c r="L182" s="60">
        <f>IF(N($W182)=0,"",IF(AND($S182=MesCiclo,4&gt;SemanaActual),"",MIN(1,SUMIFS(OFFSET($A$1,ROW(),32,1000-ROW(),1),OFFSET($A$1,ROW(),20,1000-ROW(),1),ROW(),OFFSET($A$1,ROW(),21,1000-ROW(),1),"Sub"))))</f>
        <v/>
      </c>
      <c r="M182" s="61">
        <f>IF(NOT((COUNTA($B182:$D182)+COUNTA($G182:$H182)+COUNTA($Q182))&gt;0),"",IF(AND($D182&lt;&gt;"",$V182="Macro"),IF(N($AM182)&gt;0,N(CHOOSE(MATCH($D182,ListaPuestos,0),INDEX('Cronograma R. Operacional'!$M$5:$M$1000,$AM182),INDEX('Cronograma R. Normativo'!$M$5:$M$1000,$AM182),INDEX('Cronograma R. Financiero'!$M$5:$M$1000,$AM182),INDEX('Cronograma Asistente Técnico'!$M$5:$M$1000,$AM182))),0),IF(ISNUMBER($G182),1,IF(N($W182)&gt;0,MIN(1,SUMIFS($Y$5:$Y$1000,$U$5:$U$1000,ROW(),$V$5:$V$1000,"Sub")),$Y182))))</f>
        <v/>
      </c>
      <c r="N182" s="56">
        <f>IF(OR($M182="",$V182="Sub"),"",IF($M182&gt;=1,"Completado",IF($M182&gt;0,"En curso","Pendiente")))</f>
        <v/>
      </c>
      <c r="O182" s="56">
        <f>IF(NOT((COUNTA($B182:$D182)+COUNTA($G182:$H182)+COUNTA($Q182))&gt;0),"",IF(AND(AND($D182&lt;&gt;"",$V182="Macro"),N($AM182)&gt;0),CHOOSE(MATCH($D182,ListaPuestos,0),INDEX('Cronograma R. Operacional'!$O$5:$O$1000,$AM182),INDEX('Cronograma R. Normativo'!$O$5:$O$1000,$AM182),INDEX('Cronograma R. Financiero'!$O$5:$O$1000,$AM182),INDEX('Cronograma Asistente Técnico'!$O$5:$O$1000,$AM182))&amp;"",IF(ISNUMBER($G182),IF(AND(ISNUMBER($AS182),$G182&gt;$AS182),"Cumplida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f>IF(NOT((COUNTA($B182:$D182)+COUNTA($G182:$H182)+COUNTA($Q182))&gt;0),"",IF($D182="","Propia",IF($V182&lt;&gt;"Macro","Solo se delegan macroactividades",IF(N($AM182)&gt;0,"✔ Recibida por "&amp;$D182,"⚠ "&amp;$D182&amp;" aún no la agrega"))))</f>
        <v/>
      </c>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IF($V182&lt;&gt;"Sub","",N($X182)*IF(AND(ISNUMBER($G182),$G182&lt;=IF($S182=MesCiclo,InicioCiclo,$S182+MOD(2-WEEKDAY($S182),7))+6),1,MIN(1,MAX(0,IF(ISNUMBER(OFFSET($A$1,ROW()-1,8)),OFFSET($A$1,ROW()-1,8),0)))))</f>
        <v/>
      </c>
      <c r="AE182" s="62">
        <f>IF($V182&lt;&gt;"Sub","",N($X182)*IF(AND(ISNUMBER($G182),$G182&lt;=IF($S182=MesCiclo,InicioCiclo,$S182+MOD(2-WEEKDAY($S182),7))+13),1,MIN(1,MAX(0,IF(ISNUMBER(OFFSET($A$1,ROW()-1,9)),OFFSET($A$1,ROW()-1,9),IF(ISNUMBER(OFFSET($A$1,ROW()-1,8)),OFFSET($A$1,ROW()-1,8),0))))))</f>
        <v/>
      </c>
      <c r="AF182" s="62">
        <f>IF($V182&lt;&gt;"Sub","",N($X182)*IF(AND(ISNUMBER($G182),$G182&lt;=IF($S182=MesCiclo,InicioCiclo,$S182+MOD(2-WEEKDAY($S182),7))+20),1,MIN(1,MAX(0,IF(ISNUMBER(OFFSET($A$1,ROW()-1,10)),OFFSET($A$1,ROW()-1,10),IF(ISNUMBER(OFFSET($A$1,ROW()-1,9)),OFFSET($A$1,ROW()-1,9),IF(ISNUMBER(OFFSET($A$1,ROW()-1,8)),OFFSET($A$1,ROW()-1,8),0)))))))</f>
        <v/>
      </c>
      <c r="AG182" s="62">
        <f>IF($V182&lt;&gt;"Sub","",N($X182)*IF(AND(ISNUMBER($G182),$G182&lt;=IF($S182=MesCiclo,InicioCiclo,$S182+MOD(2-WEEKDAY($S182),7))+27),1,MIN(1,MAX(0,IF(ISNUMBER(OFFSET($A$1,ROW()-1,11)),OFFSET($A$1,ROW()-1,11),IF(ISNUMBER(OFFSET($A$1,ROW()-1,10)),OFFSET($A$1,ROW()-1,10),IF(ISNUMBER(OFFSET($A$1,ROW()-1,9)),OFFSET($A$1,ROW()-1,9),IF(ISNUMBER(OFFSET($A$1,ROW()-1,8)),OFFSET($A$1,ROW()-1,8),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f>IF(NOT(AND($D182&lt;&gt;"",$V182="Macro")),"",IFERROR(CHOOSE(MATCH($D182,ListaPuestos,0),MATCH("[Jefatura] "&amp;$C182,'Cronograma R. Operacional'!$C$5:$C$1000,0),MATCH("[Jefatura] "&amp;$C182,'Cronograma R. Normativo'!$C$5:$C$1000,0),MATCH("[Jefatura] "&amp;$C182,'Cronograma R. Financiero'!$C$5:$C$1000,0),MATCH("[Jefatura] "&amp;$C182,'Cronograma Asistente Técnico'!$C$5:$C$1000,0)),0))</f>
        <v/>
      </c>
      <c r="AN182" s="62">
        <f>IF(AND(AND($D182&lt;&gt;"",$V182="Macro"),$S182=MesCiclo),COUNTIFS($D$5:$D182,$D182,$S$5:$S182,MesCiclo,$V$5:$V182,"Macro"),"")</f>
        <v/>
      </c>
      <c r="AO182" s="62">
        <f>IF($AN182="","",$D182&amp;"|"&amp;$AN182)</f>
        <v/>
      </c>
      <c r="AP182" s="62">
        <f>IF(AND($D182&lt;&gt;"",$V182="Macro"),$D182&amp;"|"&amp;$C182,"")</f>
        <v/>
      </c>
      <c r="AQ182" s="62">
        <f>""</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t="n"/>
      <c r="F183" s="59" t="n"/>
      <c r="G183" s="59" t="n"/>
      <c r="H183" s="60" t="n"/>
      <c r="I183" s="60">
        <f>IF(N($W183)=0,"",IF(AND($S183=MesCiclo,1&gt;SemanaActual),"",MIN(1,SUMIFS(OFFSET($A$1,ROW(),29,1000-ROW(),1),OFFSET($A$1,ROW(),20,1000-ROW(),1),ROW(),OFFSET($A$1,ROW(),21,1000-ROW(),1),"Sub"))))</f>
        <v/>
      </c>
      <c r="J183" s="60">
        <f>IF(N($W183)=0,"",IF(AND($S183=MesCiclo,2&gt;SemanaActual),"",MIN(1,SUMIFS(OFFSET($A$1,ROW(),30,1000-ROW(),1),OFFSET($A$1,ROW(),20,1000-ROW(),1),ROW(),OFFSET($A$1,ROW(),21,1000-ROW(),1),"Sub"))))</f>
        <v/>
      </c>
      <c r="K183" s="60">
        <f>IF(N($W183)=0,"",IF(AND($S183=MesCiclo,3&gt;SemanaActual),"",MIN(1,SUMIFS(OFFSET($A$1,ROW(),31,1000-ROW(),1),OFFSET($A$1,ROW(),20,1000-ROW(),1),ROW(),OFFSET($A$1,ROW(),21,1000-ROW(),1),"Sub"))))</f>
        <v/>
      </c>
      <c r="L183" s="60">
        <f>IF(N($W183)=0,"",IF(AND($S183=MesCiclo,4&gt;SemanaActual),"",MIN(1,SUMIFS(OFFSET($A$1,ROW(),32,1000-ROW(),1),OFFSET($A$1,ROW(),20,1000-ROW(),1),ROW(),OFFSET($A$1,ROW(),21,1000-ROW(),1),"Sub"))))</f>
        <v/>
      </c>
      <c r="M183" s="61">
        <f>IF(NOT((COUNTA($B183:$D183)+COUNTA($G183:$H183)+COUNTA($Q183))&gt;0),"",IF(AND($D183&lt;&gt;"",$V183="Macro"),IF(N($AM183)&gt;0,N(CHOOSE(MATCH($D183,ListaPuestos,0),INDEX('Cronograma R. Operacional'!$M$5:$M$1000,$AM183),INDEX('Cronograma R. Normativo'!$M$5:$M$1000,$AM183),INDEX('Cronograma R. Financiero'!$M$5:$M$1000,$AM183),INDEX('Cronograma Asistente Técnico'!$M$5:$M$1000,$AM183))),0),IF(ISNUMBER($G183),1,IF(N($W183)&gt;0,MIN(1,SUMIFS($Y$5:$Y$1000,$U$5:$U$1000,ROW(),$V$5:$V$1000,"Sub")),$Y183))))</f>
        <v/>
      </c>
      <c r="N183" s="56">
        <f>IF(OR($M183="",$V183="Sub"),"",IF($M183&gt;=1,"Completado",IF($M183&gt;0,"En curso","Pendiente")))</f>
        <v/>
      </c>
      <c r="O183" s="56">
        <f>IF(NOT((COUNTA($B183:$D183)+COUNTA($G183:$H183)+COUNTA($Q183))&gt;0),"",IF(AND(AND($D183&lt;&gt;"",$V183="Macro"),N($AM183)&gt;0),CHOOSE(MATCH($D183,ListaPuestos,0),INDEX('Cronograma R. Operacional'!$O$5:$O$1000,$AM183),INDEX('Cronograma R. Normativo'!$O$5:$O$1000,$AM183),INDEX('Cronograma R. Financiero'!$O$5:$O$1000,$AM183),INDEX('Cronograma Asistente Técnico'!$O$5:$O$1000,$AM183))&amp;"",IF(ISNUMBER($G183),IF(AND(ISNUMBER($AS183),$G183&gt;$AS183),"Cumplida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f>IF(NOT((COUNTA($B183:$D183)+COUNTA($G183:$H183)+COUNTA($Q183))&gt;0),"",IF($D183="","Propia",IF($V183&lt;&gt;"Macro","Solo se delegan macroactividades",IF(N($AM183)&gt;0,"✔ Recibida por "&amp;$D183,"⚠ "&amp;$D183&amp;" aún no la agrega"))))</f>
        <v/>
      </c>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IF($V183&lt;&gt;"Sub","",N($X183)*IF(AND(ISNUMBER($G183),$G183&lt;=IF($S183=MesCiclo,InicioCiclo,$S183+MOD(2-WEEKDAY($S183),7))+6),1,MIN(1,MAX(0,IF(ISNUMBER(OFFSET($A$1,ROW()-1,8)),OFFSET($A$1,ROW()-1,8),0)))))</f>
        <v/>
      </c>
      <c r="AE183" s="62">
        <f>IF($V183&lt;&gt;"Sub","",N($X183)*IF(AND(ISNUMBER($G183),$G183&lt;=IF($S183=MesCiclo,InicioCiclo,$S183+MOD(2-WEEKDAY($S183),7))+13),1,MIN(1,MAX(0,IF(ISNUMBER(OFFSET($A$1,ROW()-1,9)),OFFSET($A$1,ROW()-1,9),IF(ISNUMBER(OFFSET($A$1,ROW()-1,8)),OFFSET($A$1,ROW()-1,8),0))))))</f>
        <v/>
      </c>
      <c r="AF183" s="62">
        <f>IF($V183&lt;&gt;"Sub","",N($X183)*IF(AND(ISNUMBER($G183),$G183&lt;=IF($S183=MesCiclo,InicioCiclo,$S183+MOD(2-WEEKDAY($S183),7))+20),1,MIN(1,MAX(0,IF(ISNUMBER(OFFSET($A$1,ROW()-1,10)),OFFSET($A$1,ROW()-1,10),IF(ISNUMBER(OFFSET($A$1,ROW()-1,9)),OFFSET($A$1,ROW()-1,9),IF(ISNUMBER(OFFSET($A$1,ROW()-1,8)),OFFSET($A$1,ROW()-1,8),0)))))))</f>
        <v/>
      </c>
      <c r="AG183" s="62">
        <f>IF($V183&lt;&gt;"Sub","",N($X183)*IF(AND(ISNUMBER($G183),$G183&lt;=IF($S183=MesCiclo,InicioCiclo,$S183+MOD(2-WEEKDAY($S183),7))+27),1,MIN(1,MAX(0,IF(ISNUMBER(OFFSET($A$1,ROW()-1,11)),OFFSET($A$1,ROW()-1,11),IF(ISNUMBER(OFFSET($A$1,ROW()-1,10)),OFFSET($A$1,ROW()-1,10),IF(ISNUMBER(OFFSET($A$1,ROW()-1,9)),OFFSET($A$1,ROW()-1,9),IF(ISNUMBER(OFFSET($A$1,ROW()-1,8)),OFFSET($A$1,ROW()-1,8),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f>IF(NOT(AND($D183&lt;&gt;"",$V183="Macro")),"",IFERROR(CHOOSE(MATCH($D183,ListaPuestos,0),MATCH("[Jefatura] "&amp;$C183,'Cronograma R. Operacional'!$C$5:$C$1000,0),MATCH("[Jefatura] "&amp;$C183,'Cronograma R. Normativo'!$C$5:$C$1000,0),MATCH("[Jefatura] "&amp;$C183,'Cronograma R. Financiero'!$C$5:$C$1000,0),MATCH("[Jefatura] "&amp;$C183,'Cronograma Asistente Técnico'!$C$5:$C$1000,0)),0))</f>
        <v/>
      </c>
      <c r="AN183" s="62">
        <f>IF(AND(AND($D183&lt;&gt;"",$V183="Macro"),$S183=MesCiclo),COUNTIFS($D$5:$D183,$D183,$S$5:$S183,MesCiclo,$V$5:$V183,"Macro"),"")</f>
        <v/>
      </c>
      <c r="AO183" s="62">
        <f>IF($AN183="","",$D183&amp;"|"&amp;$AN183)</f>
        <v/>
      </c>
      <c r="AP183" s="62">
        <f>IF(AND($D183&lt;&gt;"",$V183="Macro"),$D183&amp;"|"&amp;$C183,"")</f>
        <v/>
      </c>
      <c r="AQ183" s="62">
        <f>""</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t="n"/>
      <c r="F184" s="59" t="n"/>
      <c r="G184" s="59" t="n"/>
      <c r="H184" s="60" t="n"/>
      <c r="I184" s="60">
        <f>IF(N($W184)=0,"",IF(AND($S184=MesCiclo,1&gt;SemanaActual),"",MIN(1,SUMIFS(OFFSET($A$1,ROW(),29,1000-ROW(),1),OFFSET($A$1,ROW(),20,1000-ROW(),1),ROW(),OFFSET($A$1,ROW(),21,1000-ROW(),1),"Sub"))))</f>
        <v/>
      </c>
      <c r="J184" s="60">
        <f>IF(N($W184)=0,"",IF(AND($S184=MesCiclo,2&gt;SemanaActual),"",MIN(1,SUMIFS(OFFSET($A$1,ROW(),30,1000-ROW(),1),OFFSET($A$1,ROW(),20,1000-ROW(),1),ROW(),OFFSET($A$1,ROW(),21,1000-ROW(),1),"Sub"))))</f>
        <v/>
      </c>
      <c r="K184" s="60">
        <f>IF(N($W184)=0,"",IF(AND($S184=MesCiclo,3&gt;SemanaActual),"",MIN(1,SUMIFS(OFFSET($A$1,ROW(),31,1000-ROW(),1),OFFSET($A$1,ROW(),20,1000-ROW(),1),ROW(),OFFSET($A$1,ROW(),21,1000-ROW(),1),"Sub"))))</f>
        <v/>
      </c>
      <c r="L184" s="60">
        <f>IF(N($W184)=0,"",IF(AND($S184=MesCiclo,4&gt;SemanaActual),"",MIN(1,SUMIFS(OFFSET($A$1,ROW(),32,1000-ROW(),1),OFFSET($A$1,ROW(),20,1000-ROW(),1),ROW(),OFFSET($A$1,ROW(),21,1000-ROW(),1),"Sub"))))</f>
        <v/>
      </c>
      <c r="M184" s="61">
        <f>IF(NOT((COUNTA($B184:$D184)+COUNTA($G184:$H184)+COUNTA($Q184))&gt;0),"",IF(AND($D184&lt;&gt;"",$V184="Macro"),IF(N($AM184)&gt;0,N(CHOOSE(MATCH($D184,ListaPuestos,0),INDEX('Cronograma R. Operacional'!$M$5:$M$1000,$AM184),INDEX('Cronograma R. Normativo'!$M$5:$M$1000,$AM184),INDEX('Cronograma R. Financiero'!$M$5:$M$1000,$AM184),INDEX('Cronograma Asistente Técnico'!$M$5:$M$1000,$AM184))),0),IF(ISNUMBER($G184),1,IF(N($W184)&gt;0,MIN(1,SUMIFS($Y$5:$Y$1000,$U$5:$U$1000,ROW(),$V$5:$V$1000,"Sub")),$Y184))))</f>
        <v/>
      </c>
      <c r="N184" s="56">
        <f>IF(OR($M184="",$V184="Sub"),"",IF($M184&gt;=1,"Completado",IF($M184&gt;0,"En curso","Pendiente")))</f>
        <v/>
      </c>
      <c r="O184" s="56">
        <f>IF(NOT((COUNTA($B184:$D184)+COUNTA($G184:$H184)+COUNTA($Q184))&gt;0),"",IF(AND(AND($D184&lt;&gt;"",$V184="Macro"),N($AM184)&gt;0),CHOOSE(MATCH($D184,ListaPuestos,0),INDEX('Cronograma R. Operacional'!$O$5:$O$1000,$AM184),INDEX('Cronograma R. Normativo'!$O$5:$O$1000,$AM184),INDEX('Cronograma R. Financiero'!$O$5:$O$1000,$AM184),INDEX('Cronograma Asistente Técnico'!$O$5:$O$1000,$AM184))&amp;"",IF(ISNUMBER($G184),IF(AND(ISNUMBER($AS184),$G184&gt;$AS184),"Cumplida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f>IF(NOT((COUNTA($B184:$D184)+COUNTA($G184:$H184)+COUNTA($Q184))&gt;0),"",IF($D184="","Propia",IF($V184&lt;&gt;"Macro","Solo se delegan macroactividades",IF(N($AM184)&gt;0,"✔ Recibida por "&amp;$D184,"⚠ "&amp;$D184&amp;" aún no la agrega"))))</f>
        <v/>
      </c>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IF($V184&lt;&gt;"Sub","",N($X184)*IF(AND(ISNUMBER($G184),$G184&lt;=IF($S184=MesCiclo,InicioCiclo,$S184+MOD(2-WEEKDAY($S184),7))+6),1,MIN(1,MAX(0,IF(ISNUMBER(OFFSET($A$1,ROW()-1,8)),OFFSET($A$1,ROW()-1,8),0)))))</f>
        <v/>
      </c>
      <c r="AE184" s="62">
        <f>IF($V184&lt;&gt;"Sub","",N($X184)*IF(AND(ISNUMBER($G184),$G184&lt;=IF($S184=MesCiclo,InicioCiclo,$S184+MOD(2-WEEKDAY($S184),7))+13),1,MIN(1,MAX(0,IF(ISNUMBER(OFFSET($A$1,ROW()-1,9)),OFFSET($A$1,ROW()-1,9),IF(ISNUMBER(OFFSET($A$1,ROW()-1,8)),OFFSET($A$1,ROW()-1,8),0))))))</f>
        <v/>
      </c>
      <c r="AF184" s="62">
        <f>IF($V184&lt;&gt;"Sub","",N($X184)*IF(AND(ISNUMBER($G184),$G184&lt;=IF($S184=MesCiclo,InicioCiclo,$S184+MOD(2-WEEKDAY($S184),7))+20),1,MIN(1,MAX(0,IF(ISNUMBER(OFFSET($A$1,ROW()-1,10)),OFFSET($A$1,ROW()-1,10),IF(ISNUMBER(OFFSET($A$1,ROW()-1,9)),OFFSET($A$1,ROW()-1,9),IF(ISNUMBER(OFFSET($A$1,ROW()-1,8)),OFFSET($A$1,ROW()-1,8),0)))))))</f>
        <v/>
      </c>
      <c r="AG184" s="62">
        <f>IF($V184&lt;&gt;"Sub","",N($X184)*IF(AND(ISNUMBER($G184),$G184&lt;=IF($S184=MesCiclo,InicioCiclo,$S184+MOD(2-WEEKDAY($S184),7))+27),1,MIN(1,MAX(0,IF(ISNUMBER(OFFSET($A$1,ROW()-1,11)),OFFSET($A$1,ROW()-1,11),IF(ISNUMBER(OFFSET($A$1,ROW()-1,10)),OFFSET($A$1,ROW()-1,10),IF(ISNUMBER(OFFSET($A$1,ROW()-1,9)),OFFSET($A$1,ROW()-1,9),IF(ISNUMBER(OFFSET($A$1,ROW()-1,8)),OFFSET($A$1,ROW()-1,8),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f>IF(NOT(AND($D184&lt;&gt;"",$V184="Macro")),"",IFERROR(CHOOSE(MATCH($D184,ListaPuestos,0),MATCH("[Jefatura] "&amp;$C184,'Cronograma R. Operacional'!$C$5:$C$1000,0),MATCH("[Jefatura] "&amp;$C184,'Cronograma R. Normativo'!$C$5:$C$1000,0),MATCH("[Jefatura] "&amp;$C184,'Cronograma R. Financiero'!$C$5:$C$1000,0),MATCH("[Jefatura] "&amp;$C184,'Cronograma Asistente Técnico'!$C$5:$C$1000,0)),0))</f>
        <v/>
      </c>
      <c r="AN184" s="62">
        <f>IF(AND(AND($D184&lt;&gt;"",$V184="Macro"),$S184=MesCiclo),COUNTIFS($D$5:$D184,$D184,$S$5:$S184,MesCiclo,$V$5:$V184,"Macro"),"")</f>
        <v/>
      </c>
      <c r="AO184" s="62">
        <f>IF($AN184="","",$D184&amp;"|"&amp;$AN184)</f>
        <v/>
      </c>
      <c r="AP184" s="62">
        <f>IF(AND($D184&lt;&gt;"",$V184="Macro"),$D184&amp;"|"&amp;$C184,"")</f>
        <v/>
      </c>
      <c r="AQ184" s="62">
        <f>""</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t="n"/>
      <c r="F185" s="59" t="n"/>
      <c r="G185" s="59" t="n"/>
      <c r="H185" s="60" t="n"/>
      <c r="I185" s="60">
        <f>IF(N($W185)=0,"",IF(AND($S185=MesCiclo,1&gt;SemanaActual),"",MIN(1,SUMIFS(OFFSET($A$1,ROW(),29,1000-ROW(),1),OFFSET($A$1,ROW(),20,1000-ROW(),1),ROW(),OFFSET($A$1,ROW(),21,1000-ROW(),1),"Sub"))))</f>
        <v/>
      </c>
      <c r="J185" s="60">
        <f>IF(N($W185)=0,"",IF(AND($S185=MesCiclo,2&gt;SemanaActual),"",MIN(1,SUMIFS(OFFSET($A$1,ROW(),30,1000-ROW(),1),OFFSET($A$1,ROW(),20,1000-ROW(),1),ROW(),OFFSET($A$1,ROW(),21,1000-ROW(),1),"Sub"))))</f>
        <v/>
      </c>
      <c r="K185" s="60">
        <f>IF(N($W185)=0,"",IF(AND($S185=MesCiclo,3&gt;SemanaActual),"",MIN(1,SUMIFS(OFFSET($A$1,ROW(),31,1000-ROW(),1),OFFSET($A$1,ROW(),20,1000-ROW(),1),ROW(),OFFSET($A$1,ROW(),21,1000-ROW(),1),"Sub"))))</f>
        <v/>
      </c>
      <c r="L185" s="60">
        <f>IF(N($W185)=0,"",IF(AND($S185=MesCiclo,4&gt;SemanaActual),"",MIN(1,SUMIFS(OFFSET($A$1,ROW(),32,1000-ROW(),1),OFFSET($A$1,ROW(),20,1000-ROW(),1),ROW(),OFFSET($A$1,ROW(),21,1000-ROW(),1),"Sub"))))</f>
        <v/>
      </c>
      <c r="M185" s="61">
        <f>IF(NOT((COUNTA($B185:$D185)+COUNTA($G185:$H185)+COUNTA($Q185))&gt;0),"",IF(AND($D185&lt;&gt;"",$V185="Macro"),IF(N($AM185)&gt;0,N(CHOOSE(MATCH($D185,ListaPuestos,0),INDEX('Cronograma R. Operacional'!$M$5:$M$1000,$AM185),INDEX('Cronograma R. Normativo'!$M$5:$M$1000,$AM185),INDEX('Cronograma R. Financiero'!$M$5:$M$1000,$AM185),INDEX('Cronograma Asistente Técnico'!$M$5:$M$1000,$AM185))),0),IF(ISNUMBER($G185),1,IF(N($W185)&gt;0,MIN(1,SUMIFS($Y$5:$Y$1000,$U$5:$U$1000,ROW(),$V$5:$V$1000,"Sub")),$Y185))))</f>
        <v/>
      </c>
      <c r="N185" s="56">
        <f>IF(OR($M185="",$V185="Sub"),"",IF($M185&gt;=1,"Completado",IF($M185&gt;0,"En curso","Pendiente")))</f>
        <v/>
      </c>
      <c r="O185" s="56">
        <f>IF(NOT((COUNTA($B185:$D185)+COUNTA($G185:$H185)+COUNTA($Q185))&gt;0),"",IF(AND(AND($D185&lt;&gt;"",$V185="Macro"),N($AM185)&gt;0),CHOOSE(MATCH($D185,ListaPuestos,0),INDEX('Cronograma R. Operacional'!$O$5:$O$1000,$AM185),INDEX('Cronograma R. Normativo'!$O$5:$O$1000,$AM185),INDEX('Cronograma R. Financiero'!$O$5:$O$1000,$AM185),INDEX('Cronograma Asistente Técnico'!$O$5:$O$1000,$AM185))&amp;"",IF(ISNUMBER($G185),IF(AND(ISNUMBER($AS185),$G185&gt;$AS185),"Cumplida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f>IF(NOT((COUNTA($B185:$D185)+COUNTA($G185:$H185)+COUNTA($Q185))&gt;0),"",IF($D185="","Propia",IF($V185&lt;&gt;"Macro","Solo se delegan macroactividades",IF(N($AM185)&gt;0,"✔ Recibida por "&amp;$D185,"⚠ "&amp;$D185&amp;" aún no la agrega"))))</f>
        <v/>
      </c>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IF($V185&lt;&gt;"Sub","",N($X185)*IF(AND(ISNUMBER($G185),$G185&lt;=IF($S185=MesCiclo,InicioCiclo,$S185+MOD(2-WEEKDAY($S185),7))+6),1,MIN(1,MAX(0,IF(ISNUMBER(OFFSET($A$1,ROW()-1,8)),OFFSET($A$1,ROW()-1,8),0)))))</f>
        <v/>
      </c>
      <c r="AE185" s="62">
        <f>IF($V185&lt;&gt;"Sub","",N($X185)*IF(AND(ISNUMBER($G185),$G185&lt;=IF($S185=MesCiclo,InicioCiclo,$S185+MOD(2-WEEKDAY($S185),7))+13),1,MIN(1,MAX(0,IF(ISNUMBER(OFFSET($A$1,ROW()-1,9)),OFFSET($A$1,ROW()-1,9),IF(ISNUMBER(OFFSET($A$1,ROW()-1,8)),OFFSET($A$1,ROW()-1,8),0))))))</f>
        <v/>
      </c>
      <c r="AF185" s="62">
        <f>IF($V185&lt;&gt;"Sub","",N($X185)*IF(AND(ISNUMBER($G185),$G185&lt;=IF($S185=MesCiclo,InicioCiclo,$S185+MOD(2-WEEKDAY($S185),7))+20),1,MIN(1,MAX(0,IF(ISNUMBER(OFFSET($A$1,ROW()-1,10)),OFFSET($A$1,ROW()-1,10),IF(ISNUMBER(OFFSET($A$1,ROW()-1,9)),OFFSET($A$1,ROW()-1,9),IF(ISNUMBER(OFFSET($A$1,ROW()-1,8)),OFFSET($A$1,ROW()-1,8),0)))))))</f>
        <v/>
      </c>
      <c r="AG185" s="62">
        <f>IF($V185&lt;&gt;"Sub","",N($X185)*IF(AND(ISNUMBER($G185),$G185&lt;=IF($S185=MesCiclo,InicioCiclo,$S185+MOD(2-WEEKDAY($S185),7))+27),1,MIN(1,MAX(0,IF(ISNUMBER(OFFSET($A$1,ROW()-1,11)),OFFSET($A$1,ROW()-1,11),IF(ISNUMBER(OFFSET($A$1,ROW()-1,10)),OFFSET($A$1,ROW()-1,10),IF(ISNUMBER(OFFSET($A$1,ROW()-1,9)),OFFSET($A$1,ROW()-1,9),IF(ISNUMBER(OFFSET($A$1,ROW()-1,8)),OFFSET($A$1,ROW()-1,8),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f>IF(NOT(AND($D185&lt;&gt;"",$V185="Macro")),"",IFERROR(CHOOSE(MATCH($D185,ListaPuestos,0),MATCH("[Jefatura] "&amp;$C185,'Cronograma R. Operacional'!$C$5:$C$1000,0),MATCH("[Jefatura] "&amp;$C185,'Cronograma R. Normativo'!$C$5:$C$1000,0),MATCH("[Jefatura] "&amp;$C185,'Cronograma R. Financiero'!$C$5:$C$1000,0),MATCH("[Jefatura] "&amp;$C185,'Cronograma Asistente Técnico'!$C$5:$C$1000,0)),0))</f>
        <v/>
      </c>
      <c r="AN185" s="62">
        <f>IF(AND(AND($D185&lt;&gt;"",$V185="Macro"),$S185=MesCiclo),COUNTIFS($D$5:$D185,$D185,$S$5:$S185,MesCiclo,$V$5:$V185,"Macro"),"")</f>
        <v/>
      </c>
      <c r="AO185" s="62">
        <f>IF($AN185="","",$D185&amp;"|"&amp;$AN185)</f>
        <v/>
      </c>
      <c r="AP185" s="62">
        <f>IF(AND($D185&lt;&gt;"",$V185="Macro"),$D185&amp;"|"&amp;$C185,"")</f>
        <v/>
      </c>
      <c r="AQ185" s="62">
        <f>""</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t="n"/>
      <c r="F186" s="59" t="n"/>
      <c r="G186" s="59" t="n"/>
      <c r="H186" s="60" t="n"/>
      <c r="I186" s="60">
        <f>IF(N($W186)=0,"",IF(AND($S186=MesCiclo,1&gt;SemanaActual),"",MIN(1,SUMIFS(OFFSET($A$1,ROW(),29,1000-ROW(),1),OFFSET($A$1,ROW(),20,1000-ROW(),1),ROW(),OFFSET($A$1,ROW(),21,1000-ROW(),1),"Sub"))))</f>
        <v/>
      </c>
      <c r="J186" s="60">
        <f>IF(N($W186)=0,"",IF(AND($S186=MesCiclo,2&gt;SemanaActual),"",MIN(1,SUMIFS(OFFSET($A$1,ROW(),30,1000-ROW(),1),OFFSET($A$1,ROW(),20,1000-ROW(),1),ROW(),OFFSET($A$1,ROW(),21,1000-ROW(),1),"Sub"))))</f>
        <v/>
      </c>
      <c r="K186" s="60">
        <f>IF(N($W186)=0,"",IF(AND($S186=MesCiclo,3&gt;SemanaActual),"",MIN(1,SUMIFS(OFFSET($A$1,ROW(),31,1000-ROW(),1),OFFSET($A$1,ROW(),20,1000-ROW(),1),ROW(),OFFSET($A$1,ROW(),21,1000-ROW(),1),"Sub"))))</f>
        <v/>
      </c>
      <c r="L186" s="60">
        <f>IF(N($W186)=0,"",IF(AND($S186=MesCiclo,4&gt;SemanaActual),"",MIN(1,SUMIFS(OFFSET($A$1,ROW(),32,1000-ROW(),1),OFFSET($A$1,ROW(),20,1000-ROW(),1),ROW(),OFFSET($A$1,ROW(),21,1000-ROW(),1),"Sub"))))</f>
        <v/>
      </c>
      <c r="M186" s="61">
        <f>IF(NOT((COUNTA($B186:$D186)+COUNTA($G186:$H186)+COUNTA($Q186))&gt;0),"",IF(AND($D186&lt;&gt;"",$V186="Macro"),IF(N($AM186)&gt;0,N(CHOOSE(MATCH($D186,ListaPuestos,0),INDEX('Cronograma R. Operacional'!$M$5:$M$1000,$AM186),INDEX('Cronograma R. Normativo'!$M$5:$M$1000,$AM186),INDEX('Cronograma R. Financiero'!$M$5:$M$1000,$AM186),INDEX('Cronograma Asistente Técnico'!$M$5:$M$1000,$AM186))),0),IF(ISNUMBER($G186),1,IF(N($W186)&gt;0,MIN(1,SUMIFS($Y$5:$Y$1000,$U$5:$U$1000,ROW(),$V$5:$V$1000,"Sub")),$Y186))))</f>
        <v/>
      </c>
      <c r="N186" s="56">
        <f>IF(OR($M186="",$V186="Sub"),"",IF($M186&gt;=1,"Completado",IF($M186&gt;0,"En curso","Pendiente")))</f>
        <v/>
      </c>
      <c r="O186" s="56">
        <f>IF(NOT((COUNTA($B186:$D186)+COUNTA($G186:$H186)+COUNTA($Q186))&gt;0),"",IF(AND(AND($D186&lt;&gt;"",$V186="Macro"),N($AM186)&gt;0),CHOOSE(MATCH($D186,ListaPuestos,0),INDEX('Cronograma R. Operacional'!$O$5:$O$1000,$AM186),INDEX('Cronograma R. Normativo'!$O$5:$O$1000,$AM186),INDEX('Cronograma R. Financiero'!$O$5:$O$1000,$AM186),INDEX('Cronograma Asistente Técnico'!$O$5:$O$1000,$AM186))&amp;"",IF(ISNUMBER($G186),IF(AND(ISNUMBER($AS186),$G186&gt;$AS186),"Cumplida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f>IF(NOT((COUNTA($B186:$D186)+COUNTA($G186:$H186)+COUNTA($Q186))&gt;0),"",IF($D186="","Propia",IF($V186&lt;&gt;"Macro","Solo se delegan macroactividades",IF(N($AM186)&gt;0,"✔ Recibida por "&amp;$D186,"⚠ "&amp;$D186&amp;" aún no la agrega"))))</f>
        <v/>
      </c>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IF($V186&lt;&gt;"Sub","",N($X186)*IF(AND(ISNUMBER($G186),$G186&lt;=IF($S186=MesCiclo,InicioCiclo,$S186+MOD(2-WEEKDAY($S186),7))+6),1,MIN(1,MAX(0,IF(ISNUMBER(OFFSET($A$1,ROW()-1,8)),OFFSET($A$1,ROW()-1,8),0)))))</f>
        <v/>
      </c>
      <c r="AE186" s="62">
        <f>IF($V186&lt;&gt;"Sub","",N($X186)*IF(AND(ISNUMBER($G186),$G186&lt;=IF($S186=MesCiclo,InicioCiclo,$S186+MOD(2-WEEKDAY($S186),7))+13),1,MIN(1,MAX(0,IF(ISNUMBER(OFFSET($A$1,ROW()-1,9)),OFFSET($A$1,ROW()-1,9),IF(ISNUMBER(OFFSET($A$1,ROW()-1,8)),OFFSET($A$1,ROW()-1,8),0))))))</f>
        <v/>
      </c>
      <c r="AF186" s="62">
        <f>IF($V186&lt;&gt;"Sub","",N($X186)*IF(AND(ISNUMBER($G186),$G186&lt;=IF($S186=MesCiclo,InicioCiclo,$S186+MOD(2-WEEKDAY($S186),7))+20),1,MIN(1,MAX(0,IF(ISNUMBER(OFFSET($A$1,ROW()-1,10)),OFFSET($A$1,ROW()-1,10),IF(ISNUMBER(OFFSET($A$1,ROW()-1,9)),OFFSET($A$1,ROW()-1,9),IF(ISNUMBER(OFFSET($A$1,ROW()-1,8)),OFFSET($A$1,ROW()-1,8),0)))))))</f>
        <v/>
      </c>
      <c r="AG186" s="62">
        <f>IF($V186&lt;&gt;"Sub","",N($X186)*IF(AND(ISNUMBER($G186),$G186&lt;=IF($S186=MesCiclo,InicioCiclo,$S186+MOD(2-WEEKDAY($S186),7))+27),1,MIN(1,MAX(0,IF(ISNUMBER(OFFSET($A$1,ROW()-1,11)),OFFSET($A$1,ROW()-1,11),IF(ISNUMBER(OFFSET($A$1,ROW()-1,10)),OFFSET($A$1,ROW()-1,10),IF(ISNUMBER(OFFSET($A$1,ROW()-1,9)),OFFSET($A$1,ROW()-1,9),IF(ISNUMBER(OFFSET($A$1,ROW()-1,8)),OFFSET($A$1,ROW()-1,8),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f>IF(NOT(AND($D186&lt;&gt;"",$V186="Macro")),"",IFERROR(CHOOSE(MATCH($D186,ListaPuestos,0),MATCH("[Jefatura] "&amp;$C186,'Cronograma R. Operacional'!$C$5:$C$1000,0),MATCH("[Jefatura] "&amp;$C186,'Cronograma R. Normativo'!$C$5:$C$1000,0),MATCH("[Jefatura] "&amp;$C186,'Cronograma R. Financiero'!$C$5:$C$1000,0),MATCH("[Jefatura] "&amp;$C186,'Cronograma Asistente Técnico'!$C$5:$C$1000,0)),0))</f>
        <v/>
      </c>
      <c r="AN186" s="62">
        <f>IF(AND(AND($D186&lt;&gt;"",$V186="Macro"),$S186=MesCiclo),COUNTIFS($D$5:$D186,$D186,$S$5:$S186,MesCiclo,$V$5:$V186,"Macro"),"")</f>
        <v/>
      </c>
      <c r="AO186" s="62">
        <f>IF($AN186="","",$D186&amp;"|"&amp;$AN186)</f>
        <v/>
      </c>
      <c r="AP186" s="62">
        <f>IF(AND($D186&lt;&gt;"",$V186="Macro"),$D186&amp;"|"&amp;$C186,"")</f>
        <v/>
      </c>
      <c r="AQ186" s="62">
        <f>""</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t="n"/>
      <c r="F187" s="59" t="n"/>
      <c r="G187" s="59" t="n"/>
      <c r="H187" s="60" t="n"/>
      <c r="I187" s="60">
        <f>IF(N($W187)=0,"",IF(AND($S187=MesCiclo,1&gt;SemanaActual),"",MIN(1,SUMIFS(OFFSET($A$1,ROW(),29,1000-ROW(),1),OFFSET($A$1,ROW(),20,1000-ROW(),1),ROW(),OFFSET($A$1,ROW(),21,1000-ROW(),1),"Sub"))))</f>
        <v/>
      </c>
      <c r="J187" s="60">
        <f>IF(N($W187)=0,"",IF(AND($S187=MesCiclo,2&gt;SemanaActual),"",MIN(1,SUMIFS(OFFSET($A$1,ROW(),30,1000-ROW(),1),OFFSET($A$1,ROW(),20,1000-ROW(),1),ROW(),OFFSET($A$1,ROW(),21,1000-ROW(),1),"Sub"))))</f>
        <v/>
      </c>
      <c r="K187" s="60">
        <f>IF(N($W187)=0,"",IF(AND($S187=MesCiclo,3&gt;SemanaActual),"",MIN(1,SUMIFS(OFFSET($A$1,ROW(),31,1000-ROW(),1),OFFSET($A$1,ROW(),20,1000-ROW(),1),ROW(),OFFSET($A$1,ROW(),21,1000-ROW(),1),"Sub"))))</f>
        <v/>
      </c>
      <c r="L187" s="60">
        <f>IF(N($W187)=0,"",IF(AND($S187=MesCiclo,4&gt;SemanaActual),"",MIN(1,SUMIFS(OFFSET($A$1,ROW(),32,1000-ROW(),1),OFFSET($A$1,ROW(),20,1000-ROW(),1),ROW(),OFFSET($A$1,ROW(),21,1000-ROW(),1),"Sub"))))</f>
        <v/>
      </c>
      <c r="M187" s="61">
        <f>IF(NOT((COUNTA($B187:$D187)+COUNTA($G187:$H187)+COUNTA($Q187))&gt;0),"",IF(AND($D187&lt;&gt;"",$V187="Macro"),IF(N($AM187)&gt;0,N(CHOOSE(MATCH($D187,ListaPuestos,0),INDEX('Cronograma R. Operacional'!$M$5:$M$1000,$AM187),INDEX('Cronograma R. Normativo'!$M$5:$M$1000,$AM187),INDEX('Cronograma R. Financiero'!$M$5:$M$1000,$AM187),INDEX('Cronograma Asistente Técnico'!$M$5:$M$1000,$AM187))),0),IF(ISNUMBER($G187),1,IF(N($W187)&gt;0,MIN(1,SUMIFS($Y$5:$Y$1000,$U$5:$U$1000,ROW(),$V$5:$V$1000,"Sub")),$Y187))))</f>
        <v/>
      </c>
      <c r="N187" s="56">
        <f>IF(OR($M187="",$V187="Sub"),"",IF($M187&gt;=1,"Completado",IF($M187&gt;0,"En curso","Pendiente")))</f>
        <v/>
      </c>
      <c r="O187" s="56">
        <f>IF(NOT((COUNTA($B187:$D187)+COUNTA($G187:$H187)+COUNTA($Q187))&gt;0),"",IF(AND(AND($D187&lt;&gt;"",$V187="Macro"),N($AM187)&gt;0),CHOOSE(MATCH($D187,ListaPuestos,0),INDEX('Cronograma R. Operacional'!$O$5:$O$1000,$AM187),INDEX('Cronograma R. Normativo'!$O$5:$O$1000,$AM187),INDEX('Cronograma R. Financiero'!$O$5:$O$1000,$AM187),INDEX('Cronograma Asistente Técnico'!$O$5:$O$1000,$AM187))&amp;"",IF(ISNUMBER($G187),IF(AND(ISNUMBER($AS187),$G187&gt;$AS187),"Cumplida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f>IF(NOT((COUNTA($B187:$D187)+COUNTA($G187:$H187)+COUNTA($Q187))&gt;0),"",IF($D187="","Propia",IF($V187&lt;&gt;"Macro","Solo se delegan macroactividades",IF(N($AM187)&gt;0,"✔ Recibida por "&amp;$D187,"⚠ "&amp;$D187&amp;" aún no la agrega"))))</f>
        <v/>
      </c>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IF($V187&lt;&gt;"Sub","",N($X187)*IF(AND(ISNUMBER($G187),$G187&lt;=IF($S187=MesCiclo,InicioCiclo,$S187+MOD(2-WEEKDAY($S187),7))+6),1,MIN(1,MAX(0,IF(ISNUMBER(OFFSET($A$1,ROW()-1,8)),OFFSET($A$1,ROW()-1,8),0)))))</f>
        <v/>
      </c>
      <c r="AE187" s="62">
        <f>IF($V187&lt;&gt;"Sub","",N($X187)*IF(AND(ISNUMBER($G187),$G187&lt;=IF($S187=MesCiclo,InicioCiclo,$S187+MOD(2-WEEKDAY($S187),7))+13),1,MIN(1,MAX(0,IF(ISNUMBER(OFFSET($A$1,ROW()-1,9)),OFFSET($A$1,ROW()-1,9),IF(ISNUMBER(OFFSET($A$1,ROW()-1,8)),OFFSET($A$1,ROW()-1,8),0))))))</f>
        <v/>
      </c>
      <c r="AF187" s="62">
        <f>IF($V187&lt;&gt;"Sub","",N($X187)*IF(AND(ISNUMBER($G187),$G187&lt;=IF($S187=MesCiclo,InicioCiclo,$S187+MOD(2-WEEKDAY($S187),7))+20),1,MIN(1,MAX(0,IF(ISNUMBER(OFFSET($A$1,ROW()-1,10)),OFFSET($A$1,ROW()-1,10),IF(ISNUMBER(OFFSET($A$1,ROW()-1,9)),OFFSET($A$1,ROW()-1,9),IF(ISNUMBER(OFFSET($A$1,ROW()-1,8)),OFFSET($A$1,ROW()-1,8),0)))))))</f>
        <v/>
      </c>
      <c r="AG187" s="62">
        <f>IF($V187&lt;&gt;"Sub","",N($X187)*IF(AND(ISNUMBER($G187),$G187&lt;=IF($S187=MesCiclo,InicioCiclo,$S187+MOD(2-WEEKDAY($S187),7))+27),1,MIN(1,MAX(0,IF(ISNUMBER(OFFSET($A$1,ROW()-1,11)),OFFSET($A$1,ROW()-1,11),IF(ISNUMBER(OFFSET($A$1,ROW()-1,10)),OFFSET($A$1,ROW()-1,10),IF(ISNUMBER(OFFSET($A$1,ROW()-1,9)),OFFSET($A$1,ROW()-1,9),IF(ISNUMBER(OFFSET($A$1,ROW()-1,8)),OFFSET($A$1,ROW()-1,8),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f>IF(NOT(AND($D187&lt;&gt;"",$V187="Macro")),"",IFERROR(CHOOSE(MATCH($D187,ListaPuestos,0),MATCH("[Jefatura] "&amp;$C187,'Cronograma R. Operacional'!$C$5:$C$1000,0),MATCH("[Jefatura] "&amp;$C187,'Cronograma R. Normativo'!$C$5:$C$1000,0),MATCH("[Jefatura] "&amp;$C187,'Cronograma R. Financiero'!$C$5:$C$1000,0),MATCH("[Jefatura] "&amp;$C187,'Cronograma Asistente Técnico'!$C$5:$C$1000,0)),0))</f>
        <v/>
      </c>
      <c r="AN187" s="62">
        <f>IF(AND(AND($D187&lt;&gt;"",$V187="Macro"),$S187=MesCiclo),COUNTIFS($D$5:$D187,$D187,$S$5:$S187,MesCiclo,$V$5:$V187,"Macro"),"")</f>
        <v/>
      </c>
      <c r="AO187" s="62">
        <f>IF($AN187="","",$D187&amp;"|"&amp;$AN187)</f>
        <v/>
      </c>
      <c r="AP187" s="62">
        <f>IF(AND($D187&lt;&gt;"",$V187="Macro"),$D187&amp;"|"&amp;$C187,"")</f>
        <v/>
      </c>
      <c r="AQ187" s="62">
        <f>""</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t="n"/>
      <c r="F188" s="59" t="n"/>
      <c r="G188" s="59" t="n"/>
      <c r="H188" s="60" t="n"/>
      <c r="I188" s="60">
        <f>IF(N($W188)=0,"",IF(AND($S188=MesCiclo,1&gt;SemanaActual),"",MIN(1,SUMIFS(OFFSET($A$1,ROW(),29,1000-ROW(),1),OFFSET($A$1,ROW(),20,1000-ROW(),1),ROW(),OFFSET($A$1,ROW(),21,1000-ROW(),1),"Sub"))))</f>
        <v/>
      </c>
      <c r="J188" s="60">
        <f>IF(N($W188)=0,"",IF(AND($S188=MesCiclo,2&gt;SemanaActual),"",MIN(1,SUMIFS(OFFSET($A$1,ROW(),30,1000-ROW(),1),OFFSET($A$1,ROW(),20,1000-ROW(),1),ROW(),OFFSET($A$1,ROW(),21,1000-ROW(),1),"Sub"))))</f>
        <v/>
      </c>
      <c r="K188" s="60">
        <f>IF(N($W188)=0,"",IF(AND($S188=MesCiclo,3&gt;SemanaActual),"",MIN(1,SUMIFS(OFFSET($A$1,ROW(),31,1000-ROW(),1),OFFSET($A$1,ROW(),20,1000-ROW(),1),ROW(),OFFSET($A$1,ROW(),21,1000-ROW(),1),"Sub"))))</f>
        <v/>
      </c>
      <c r="L188" s="60">
        <f>IF(N($W188)=0,"",IF(AND($S188=MesCiclo,4&gt;SemanaActual),"",MIN(1,SUMIFS(OFFSET($A$1,ROW(),32,1000-ROW(),1),OFFSET($A$1,ROW(),20,1000-ROW(),1),ROW(),OFFSET($A$1,ROW(),21,1000-ROW(),1),"Sub"))))</f>
        <v/>
      </c>
      <c r="M188" s="61">
        <f>IF(NOT((COUNTA($B188:$D188)+COUNTA($G188:$H188)+COUNTA($Q188))&gt;0),"",IF(AND($D188&lt;&gt;"",$V188="Macro"),IF(N($AM188)&gt;0,N(CHOOSE(MATCH($D188,ListaPuestos,0),INDEX('Cronograma R. Operacional'!$M$5:$M$1000,$AM188),INDEX('Cronograma R. Normativo'!$M$5:$M$1000,$AM188),INDEX('Cronograma R. Financiero'!$M$5:$M$1000,$AM188),INDEX('Cronograma Asistente Técnico'!$M$5:$M$1000,$AM188))),0),IF(ISNUMBER($G188),1,IF(N($W188)&gt;0,MIN(1,SUMIFS($Y$5:$Y$1000,$U$5:$U$1000,ROW(),$V$5:$V$1000,"Sub")),$Y188))))</f>
        <v/>
      </c>
      <c r="N188" s="56">
        <f>IF(OR($M188="",$V188="Sub"),"",IF($M188&gt;=1,"Completado",IF($M188&gt;0,"En curso","Pendiente")))</f>
        <v/>
      </c>
      <c r="O188" s="56">
        <f>IF(NOT((COUNTA($B188:$D188)+COUNTA($G188:$H188)+COUNTA($Q188))&gt;0),"",IF(AND(AND($D188&lt;&gt;"",$V188="Macro"),N($AM188)&gt;0),CHOOSE(MATCH($D188,ListaPuestos,0),INDEX('Cronograma R. Operacional'!$O$5:$O$1000,$AM188),INDEX('Cronograma R. Normativo'!$O$5:$O$1000,$AM188),INDEX('Cronograma R. Financiero'!$O$5:$O$1000,$AM188),INDEX('Cronograma Asistente Técnico'!$O$5:$O$1000,$AM188))&amp;"",IF(ISNUMBER($G188),IF(AND(ISNUMBER($AS188),$G188&gt;$AS188),"Cumplida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f>IF(NOT((COUNTA($B188:$D188)+COUNTA($G188:$H188)+COUNTA($Q188))&gt;0),"",IF($D188="","Propia",IF($V188&lt;&gt;"Macro","Solo se delegan macroactividades",IF(N($AM188)&gt;0,"✔ Recibida por "&amp;$D188,"⚠ "&amp;$D188&amp;" aún no la agrega"))))</f>
        <v/>
      </c>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IF($V188&lt;&gt;"Sub","",N($X188)*IF(AND(ISNUMBER($G188),$G188&lt;=IF($S188=MesCiclo,InicioCiclo,$S188+MOD(2-WEEKDAY($S188),7))+6),1,MIN(1,MAX(0,IF(ISNUMBER(OFFSET($A$1,ROW()-1,8)),OFFSET($A$1,ROW()-1,8),0)))))</f>
        <v/>
      </c>
      <c r="AE188" s="62">
        <f>IF($V188&lt;&gt;"Sub","",N($X188)*IF(AND(ISNUMBER($G188),$G188&lt;=IF($S188=MesCiclo,InicioCiclo,$S188+MOD(2-WEEKDAY($S188),7))+13),1,MIN(1,MAX(0,IF(ISNUMBER(OFFSET($A$1,ROW()-1,9)),OFFSET($A$1,ROW()-1,9),IF(ISNUMBER(OFFSET($A$1,ROW()-1,8)),OFFSET($A$1,ROW()-1,8),0))))))</f>
        <v/>
      </c>
      <c r="AF188" s="62">
        <f>IF($V188&lt;&gt;"Sub","",N($X188)*IF(AND(ISNUMBER($G188),$G188&lt;=IF($S188=MesCiclo,InicioCiclo,$S188+MOD(2-WEEKDAY($S188),7))+20),1,MIN(1,MAX(0,IF(ISNUMBER(OFFSET($A$1,ROW()-1,10)),OFFSET($A$1,ROW()-1,10),IF(ISNUMBER(OFFSET($A$1,ROW()-1,9)),OFFSET($A$1,ROW()-1,9),IF(ISNUMBER(OFFSET($A$1,ROW()-1,8)),OFFSET($A$1,ROW()-1,8),0)))))))</f>
        <v/>
      </c>
      <c r="AG188" s="62">
        <f>IF($V188&lt;&gt;"Sub","",N($X188)*IF(AND(ISNUMBER($G188),$G188&lt;=IF($S188=MesCiclo,InicioCiclo,$S188+MOD(2-WEEKDAY($S188),7))+27),1,MIN(1,MAX(0,IF(ISNUMBER(OFFSET($A$1,ROW()-1,11)),OFFSET($A$1,ROW()-1,11),IF(ISNUMBER(OFFSET($A$1,ROW()-1,10)),OFFSET($A$1,ROW()-1,10),IF(ISNUMBER(OFFSET($A$1,ROW()-1,9)),OFFSET($A$1,ROW()-1,9),IF(ISNUMBER(OFFSET($A$1,ROW()-1,8)),OFFSET($A$1,ROW()-1,8),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f>IF(NOT(AND($D188&lt;&gt;"",$V188="Macro")),"",IFERROR(CHOOSE(MATCH($D188,ListaPuestos,0),MATCH("[Jefatura] "&amp;$C188,'Cronograma R. Operacional'!$C$5:$C$1000,0),MATCH("[Jefatura] "&amp;$C188,'Cronograma R. Normativo'!$C$5:$C$1000,0),MATCH("[Jefatura] "&amp;$C188,'Cronograma R. Financiero'!$C$5:$C$1000,0),MATCH("[Jefatura] "&amp;$C188,'Cronograma Asistente Técnico'!$C$5:$C$1000,0)),0))</f>
        <v/>
      </c>
      <c r="AN188" s="62">
        <f>IF(AND(AND($D188&lt;&gt;"",$V188="Macro"),$S188=MesCiclo),COUNTIFS($D$5:$D188,$D188,$S$5:$S188,MesCiclo,$V$5:$V188,"Macro"),"")</f>
        <v/>
      </c>
      <c r="AO188" s="62">
        <f>IF($AN188="","",$D188&amp;"|"&amp;$AN188)</f>
        <v/>
      </c>
      <c r="AP188" s="62">
        <f>IF(AND($D188&lt;&gt;"",$V188="Macro"),$D188&amp;"|"&amp;$C188,"")</f>
        <v/>
      </c>
      <c r="AQ188" s="62">
        <f>""</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t="n"/>
      <c r="F189" s="59" t="n"/>
      <c r="G189" s="59" t="n"/>
      <c r="H189" s="60" t="n"/>
      <c r="I189" s="60">
        <f>IF(N($W189)=0,"",IF(AND($S189=MesCiclo,1&gt;SemanaActual),"",MIN(1,SUMIFS(OFFSET($A$1,ROW(),29,1000-ROW(),1),OFFSET($A$1,ROW(),20,1000-ROW(),1),ROW(),OFFSET($A$1,ROW(),21,1000-ROW(),1),"Sub"))))</f>
        <v/>
      </c>
      <c r="J189" s="60">
        <f>IF(N($W189)=0,"",IF(AND($S189=MesCiclo,2&gt;SemanaActual),"",MIN(1,SUMIFS(OFFSET($A$1,ROW(),30,1000-ROW(),1),OFFSET($A$1,ROW(),20,1000-ROW(),1),ROW(),OFFSET($A$1,ROW(),21,1000-ROW(),1),"Sub"))))</f>
        <v/>
      </c>
      <c r="K189" s="60">
        <f>IF(N($W189)=0,"",IF(AND($S189=MesCiclo,3&gt;SemanaActual),"",MIN(1,SUMIFS(OFFSET($A$1,ROW(),31,1000-ROW(),1),OFFSET($A$1,ROW(),20,1000-ROW(),1),ROW(),OFFSET($A$1,ROW(),21,1000-ROW(),1),"Sub"))))</f>
        <v/>
      </c>
      <c r="L189" s="60">
        <f>IF(N($W189)=0,"",IF(AND($S189=MesCiclo,4&gt;SemanaActual),"",MIN(1,SUMIFS(OFFSET($A$1,ROW(),32,1000-ROW(),1),OFFSET($A$1,ROW(),20,1000-ROW(),1),ROW(),OFFSET($A$1,ROW(),21,1000-ROW(),1),"Sub"))))</f>
        <v/>
      </c>
      <c r="M189" s="61">
        <f>IF(NOT((COUNTA($B189:$D189)+COUNTA($G189:$H189)+COUNTA($Q189))&gt;0),"",IF(AND($D189&lt;&gt;"",$V189="Macro"),IF(N($AM189)&gt;0,N(CHOOSE(MATCH($D189,ListaPuestos,0),INDEX('Cronograma R. Operacional'!$M$5:$M$1000,$AM189),INDEX('Cronograma R. Normativo'!$M$5:$M$1000,$AM189),INDEX('Cronograma R. Financiero'!$M$5:$M$1000,$AM189),INDEX('Cronograma Asistente Técnico'!$M$5:$M$1000,$AM189))),0),IF(ISNUMBER($G189),1,IF(N($W189)&gt;0,MIN(1,SUMIFS($Y$5:$Y$1000,$U$5:$U$1000,ROW(),$V$5:$V$1000,"Sub")),$Y189))))</f>
        <v/>
      </c>
      <c r="N189" s="56">
        <f>IF(OR($M189="",$V189="Sub"),"",IF($M189&gt;=1,"Completado",IF($M189&gt;0,"En curso","Pendiente")))</f>
        <v/>
      </c>
      <c r="O189" s="56">
        <f>IF(NOT((COUNTA($B189:$D189)+COUNTA($G189:$H189)+COUNTA($Q189))&gt;0),"",IF(AND(AND($D189&lt;&gt;"",$V189="Macro"),N($AM189)&gt;0),CHOOSE(MATCH($D189,ListaPuestos,0),INDEX('Cronograma R. Operacional'!$O$5:$O$1000,$AM189),INDEX('Cronograma R. Normativo'!$O$5:$O$1000,$AM189),INDEX('Cronograma R. Financiero'!$O$5:$O$1000,$AM189),INDEX('Cronograma Asistente Técnico'!$O$5:$O$1000,$AM189))&amp;"",IF(ISNUMBER($G189),IF(AND(ISNUMBER($AS189),$G189&gt;$AS189),"Cumplida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f>IF(NOT((COUNTA($B189:$D189)+COUNTA($G189:$H189)+COUNTA($Q189))&gt;0),"",IF($D189="","Propia",IF($V189&lt;&gt;"Macro","Solo se delegan macroactividades",IF(N($AM189)&gt;0,"✔ Recibida por "&amp;$D189,"⚠ "&amp;$D189&amp;" aún no la agrega"))))</f>
        <v/>
      </c>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IF($V189&lt;&gt;"Sub","",N($X189)*IF(AND(ISNUMBER($G189),$G189&lt;=IF($S189=MesCiclo,InicioCiclo,$S189+MOD(2-WEEKDAY($S189),7))+6),1,MIN(1,MAX(0,IF(ISNUMBER(OFFSET($A$1,ROW()-1,8)),OFFSET($A$1,ROW()-1,8),0)))))</f>
        <v/>
      </c>
      <c r="AE189" s="62">
        <f>IF($V189&lt;&gt;"Sub","",N($X189)*IF(AND(ISNUMBER($G189),$G189&lt;=IF($S189=MesCiclo,InicioCiclo,$S189+MOD(2-WEEKDAY($S189),7))+13),1,MIN(1,MAX(0,IF(ISNUMBER(OFFSET($A$1,ROW()-1,9)),OFFSET($A$1,ROW()-1,9),IF(ISNUMBER(OFFSET($A$1,ROW()-1,8)),OFFSET($A$1,ROW()-1,8),0))))))</f>
        <v/>
      </c>
      <c r="AF189" s="62">
        <f>IF($V189&lt;&gt;"Sub","",N($X189)*IF(AND(ISNUMBER($G189),$G189&lt;=IF($S189=MesCiclo,InicioCiclo,$S189+MOD(2-WEEKDAY($S189),7))+20),1,MIN(1,MAX(0,IF(ISNUMBER(OFFSET($A$1,ROW()-1,10)),OFFSET($A$1,ROW()-1,10),IF(ISNUMBER(OFFSET($A$1,ROW()-1,9)),OFFSET($A$1,ROW()-1,9),IF(ISNUMBER(OFFSET($A$1,ROW()-1,8)),OFFSET($A$1,ROW()-1,8),0)))))))</f>
        <v/>
      </c>
      <c r="AG189" s="62">
        <f>IF($V189&lt;&gt;"Sub","",N($X189)*IF(AND(ISNUMBER($G189),$G189&lt;=IF($S189=MesCiclo,InicioCiclo,$S189+MOD(2-WEEKDAY($S189),7))+27),1,MIN(1,MAX(0,IF(ISNUMBER(OFFSET($A$1,ROW()-1,11)),OFFSET($A$1,ROW()-1,11),IF(ISNUMBER(OFFSET($A$1,ROW()-1,10)),OFFSET($A$1,ROW()-1,10),IF(ISNUMBER(OFFSET($A$1,ROW()-1,9)),OFFSET($A$1,ROW()-1,9),IF(ISNUMBER(OFFSET($A$1,ROW()-1,8)),OFFSET($A$1,ROW()-1,8),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f>IF(NOT(AND($D189&lt;&gt;"",$V189="Macro")),"",IFERROR(CHOOSE(MATCH($D189,ListaPuestos,0),MATCH("[Jefatura] "&amp;$C189,'Cronograma R. Operacional'!$C$5:$C$1000,0),MATCH("[Jefatura] "&amp;$C189,'Cronograma R. Normativo'!$C$5:$C$1000,0),MATCH("[Jefatura] "&amp;$C189,'Cronograma R. Financiero'!$C$5:$C$1000,0),MATCH("[Jefatura] "&amp;$C189,'Cronograma Asistente Técnico'!$C$5:$C$1000,0)),0))</f>
        <v/>
      </c>
      <c r="AN189" s="62">
        <f>IF(AND(AND($D189&lt;&gt;"",$V189="Macro"),$S189=MesCiclo),COUNTIFS($D$5:$D189,$D189,$S$5:$S189,MesCiclo,$V$5:$V189,"Macro"),"")</f>
        <v/>
      </c>
      <c r="AO189" s="62">
        <f>IF($AN189="","",$D189&amp;"|"&amp;$AN189)</f>
        <v/>
      </c>
      <c r="AP189" s="62">
        <f>IF(AND($D189&lt;&gt;"",$V189="Macro"),$D189&amp;"|"&amp;$C189,"")</f>
        <v/>
      </c>
      <c r="AQ189" s="62">
        <f>""</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t="n"/>
      <c r="F190" s="59" t="n"/>
      <c r="G190" s="59" t="n"/>
      <c r="H190" s="60" t="n"/>
      <c r="I190" s="60">
        <f>IF(N($W190)=0,"",IF(AND($S190=MesCiclo,1&gt;SemanaActual),"",MIN(1,SUMIFS(OFFSET($A$1,ROW(),29,1000-ROW(),1),OFFSET($A$1,ROW(),20,1000-ROW(),1),ROW(),OFFSET($A$1,ROW(),21,1000-ROW(),1),"Sub"))))</f>
        <v/>
      </c>
      <c r="J190" s="60">
        <f>IF(N($W190)=0,"",IF(AND($S190=MesCiclo,2&gt;SemanaActual),"",MIN(1,SUMIFS(OFFSET($A$1,ROW(),30,1000-ROW(),1),OFFSET($A$1,ROW(),20,1000-ROW(),1),ROW(),OFFSET($A$1,ROW(),21,1000-ROW(),1),"Sub"))))</f>
        <v/>
      </c>
      <c r="K190" s="60">
        <f>IF(N($W190)=0,"",IF(AND($S190=MesCiclo,3&gt;SemanaActual),"",MIN(1,SUMIFS(OFFSET($A$1,ROW(),31,1000-ROW(),1),OFFSET($A$1,ROW(),20,1000-ROW(),1),ROW(),OFFSET($A$1,ROW(),21,1000-ROW(),1),"Sub"))))</f>
        <v/>
      </c>
      <c r="L190" s="60">
        <f>IF(N($W190)=0,"",IF(AND($S190=MesCiclo,4&gt;SemanaActual),"",MIN(1,SUMIFS(OFFSET($A$1,ROW(),32,1000-ROW(),1),OFFSET($A$1,ROW(),20,1000-ROW(),1),ROW(),OFFSET($A$1,ROW(),21,1000-ROW(),1),"Sub"))))</f>
        <v/>
      </c>
      <c r="M190" s="61">
        <f>IF(NOT((COUNTA($B190:$D190)+COUNTA($G190:$H190)+COUNTA($Q190))&gt;0),"",IF(AND($D190&lt;&gt;"",$V190="Macro"),IF(N($AM190)&gt;0,N(CHOOSE(MATCH($D190,ListaPuestos,0),INDEX('Cronograma R. Operacional'!$M$5:$M$1000,$AM190),INDEX('Cronograma R. Normativo'!$M$5:$M$1000,$AM190),INDEX('Cronograma R. Financiero'!$M$5:$M$1000,$AM190),INDEX('Cronograma Asistente Técnico'!$M$5:$M$1000,$AM190))),0),IF(ISNUMBER($G190),1,IF(N($W190)&gt;0,MIN(1,SUMIFS($Y$5:$Y$1000,$U$5:$U$1000,ROW(),$V$5:$V$1000,"Sub")),$Y190))))</f>
        <v/>
      </c>
      <c r="N190" s="56">
        <f>IF(OR($M190="",$V190="Sub"),"",IF($M190&gt;=1,"Completado",IF($M190&gt;0,"En curso","Pendiente")))</f>
        <v/>
      </c>
      <c r="O190" s="56">
        <f>IF(NOT((COUNTA($B190:$D190)+COUNTA($G190:$H190)+COUNTA($Q190))&gt;0),"",IF(AND(AND($D190&lt;&gt;"",$V190="Macro"),N($AM190)&gt;0),CHOOSE(MATCH($D190,ListaPuestos,0),INDEX('Cronograma R. Operacional'!$O$5:$O$1000,$AM190),INDEX('Cronograma R. Normativo'!$O$5:$O$1000,$AM190),INDEX('Cronograma R. Financiero'!$O$5:$O$1000,$AM190),INDEX('Cronograma Asistente Técnico'!$O$5:$O$1000,$AM190))&amp;"",IF(ISNUMBER($G190),IF(AND(ISNUMBER($AS190),$G190&gt;$AS190),"Cumplida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f>IF(NOT((COUNTA($B190:$D190)+COUNTA($G190:$H190)+COUNTA($Q190))&gt;0),"",IF($D190="","Propia",IF($V190&lt;&gt;"Macro","Solo se delegan macroactividades",IF(N($AM190)&gt;0,"✔ Recibida por "&amp;$D190,"⚠ "&amp;$D190&amp;" aún no la agrega"))))</f>
        <v/>
      </c>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IF($V190&lt;&gt;"Sub","",N($X190)*IF(AND(ISNUMBER($G190),$G190&lt;=IF($S190=MesCiclo,InicioCiclo,$S190+MOD(2-WEEKDAY($S190),7))+6),1,MIN(1,MAX(0,IF(ISNUMBER(OFFSET($A$1,ROW()-1,8)),OFFSET($A$1,ROW()-1,8),0)))))</f>
        <v/>
      </c>
      <c r="AE190" s="62">
        <f>IF($V190&lt;&gt;"Sub","",N($X190)*IF(AND(ISNUMBER($G190),$G190&lt;=IF($S190=MesCiclo,InicioCiclo,$S190+MOD(2-WEEKDAY($S190),7))+13),1,MIN(1,MAX(0,IF(ISNUMBER(OFFSET($A$1,ROW()-1,9)),OFFSET($A$1,ROW()-1,9),IF(ISNUMBER(OFFSET($A$1,ROW()-1,8)),OFFSET($A$1,ROW()-1,8),0))))))</f>
        <v/>
      </c>
      <c r="AF190" s="62">
        <f>IF($V190&lt;&gt;"Sub","",N($X190)*IF(AND(ISNUMBER($G190),$G190&lt;=IF($S190=MesCiclo,InicioCiclo,$S190+MOD(2-WEEKDAY($S190),7))+20),1,MIN(1,MAX(0,IF(ISNUMBER(OFFSET($A$1,ROW()-1,10)),OFFSET($A$1,ROW()-1,10),IF(ISNUMBER(OFFSET($A$1,ROW()-1,9)),OFFSET($A$1,ROW()-1,9),IF(ISNUMBER(OFFSET($A$1,ROW()-1,8)),OFFSET($A$1,ROW()-1,8),0)))))))</f>
        <v/>
      </c>
      <c r="AG190" s="62">
        <f>IF($V190&lt;&gt;"Sub","",N($X190)*IF(AND(ISNUMBER($G190),$G190&lt;=IF($S190=MesCiclo,InicioCiclo,$S190+MOD(2-WEEKDAY($S190),7))+27),1,MIN(1,MAX(0,IF(ISNUMBER(OFFSET($A$1,ROW()-1,11)),OFFSET($A$1,ROW()-1,11),IF(ISNUMBER(OFFSET($A$1,ROW()-1,10)),OFFSET($A$1,ROW()-1,10),IF(ISNUMBER(OFFSET($A$1,ROW()-1,9)),OFFSET($A$1,ROW()-1,9),IF(ISNUMBER(OFFSET($A$1,ROW()-1,8)),OFFSET($A$1,ROW()-1,8),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f>IF(NOT(AND($D190&lt;&gt;"",$V190="Macro")),"",IFERROR(CHOOSE(MATCH($D190,ListaPuestos,0),MATCH("[Jefatura] "&amp;$C190,'Cronograma R. Operacional'!$C$5:$C$1000,0),MATCH("[Jefatura] "&amp;$C190,'Cronograma R. Normativo'!$C$5:$C$1000,0),MATCH("[Jefatura] "&amp;$C190,'Cronograma R. Financiero'!$C$5:$C$1000,0),MATCH("[Jefatura] "&amp;$C190,'Cronograma Asistente Técnico'!$C$5:$C$1000,0)),0))</f>
        <v/>
      </c>
      <c r="AN190" s="62">
        <f>IF(AND(AND($D190&lt;&gt;"",$V190="Macro"),$S190=MesCiclo),COUNTIFS($D$5:$D190,$D190,$S$5:$S190,MesCiclo,$V$5:$V190,"Macro"),"")</f>
        <v/>
      </c>
      <c r="AO190" s="62">
        <f>IF($AN190="","",$D190&amp;"|"&amp;$AN190)</f>
        <v/>
      </c>
      <c r="AP190" s="62">
        <f>IF(AND($D190&lt;&gt;"",$V190="Macro"),$D190&amp;"|"&amp;$C190,"")</f>
        <v/>
      </c>
      <c r="AQ190" s="62">
        <f>""</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t="n"/>
      <c r="F191" s="59" t="n"/>
      <c r="G191" s="59" t="n"/>
      <c r="H191" s="60" t="n"/>
      <c r="I191" s="60">
        <f>IF(N($W191)=0,"",IF(AND($S191=MesCiclo,1&gt;SemanaActual),"",MIN(1,SUMIFS(OFFSET($A$1,ROW(),29,1000-ROW(),1),OFFSET($A$1,ROW(),20,1000-ROW(),1),ROW(),OFFSET($A$1,ROW(),21,1000-ROW(),1),"Sub"))))</f>
        <v/>
      </c>
      <c r="J191" s="60">
        <f>IF(N($W191)=0,"",IF(AND($S191=MesCiclo,2&gt;SemanaActual),"",MIN(1,SUMIFS(OFFSET($A$1,ROW(),30,1000-ROW(),1),OFFSET($A$1,ROW(),20,1000-ROW(),1),ROW(),OFFSET($A$1,ROW(),21,1000-ROW(),1),"Sub"))))</f>
        <v/>
      </c>
      <c r="K191" s="60">
        <f>IF(N($W191)=0,"",IF(AND($S191=MesCiclo,3&gt;SemanaActual),"",MIN(1,SUMIFS(OFFSET($A$1,ROW(),31,1000-ROW(),1),OFFSET($A$1,ROW(),20,1000-ROW(),1),ROW(),OFFSET($A$1,ROW(),21,1000-ROW(),1),"Sub"))))</f>
        <v/>
      </c>
      <c r="L191" s="60">
        <f>IF(N($W191)=0,"",IF(AND($S191=MesCiclo,4&gt;SemanaActual),"",MIN(1,SUMIFS(OFFSET($A$1,ROW(),32,1000-ROW(),1),OFFSET($A$1,ROW(),20,1000-ROW(),1),ROW(),OFFSET($A$1,ROW(),21,1000-ROW(),1),"Sub"))))</f>
        <v/>
      </c>
      <c r="M191" s="61">
        <f>IF(NOT((COUNTA($B191:$D191)+COUNTA($G191:$H191)+COUNTA($Q191))&gt;0),"",IF(AND($D191&lt;&gt;"",$V191="Macro"),IF(N($AM191)&gt;0,N(CHOOSE(MATCH($D191,ListaPuestos,0),INDEX('Cronograma R. Operacional'!$M$5:$M$1000,$AM191),INDEX('Cronograma R. Normativo'!$M$5:$M$1000,$AM191),INDEX('Cronograma R. Financiero'!$M$5:$M$1000,$AM191),INDEX('Cronograma Asistente Técnico'!$M$5:$M$1000,$AM191))),0),IF(ISNUMBER($G191),1,IF(N($W191)&gt;0,MIN(1,SUMIFS($Y$5:$Y$1000,$U$5:$U$1000,ROW(),$V$5:$V$1000,"Sub")),$Y191))))</f>
        <v/>
      </c>
      <c r="N191" s="56">
        <f>IF(OR($M191="",$V191="Sub"),"",IF($M191&gt;=1,"Completado",IF($M191&gt;0,"En curso","Pendiente")))</f>
        <v/>
      </c>
      <c r="O191" s="56">
        <f>IF(NOT((COUNTA($B191:$D191)+COUNTA($G191:$H191)+COUNTA($Q191))&gt;0),"",IF(AND(AND($D191&lt;&gt;"",$V191="Macro"),N($AM191)&gt;0),CHOOSE(MATCH($D191,ListaPuestos,0),INDEX('Cronograma R. Operacional'!$O$5:$O$1000,$AM191),INDEX('Cronograma R. Normativo'!$O$5:$O$1000,$AM191),INDEX('Cronograma R. Financiero'!$O$5:$O$1000,$AM191),INDEX('Cronograma Asistente Técnico'!$O$5:$O$1000,$AM191))&amp;"",IF(ISNUMBER($G191),IF(AND(ISNUMBER($AS191),$G191&gt;$AS191),"Cumplida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f>IF(NOT((COUNTA($B191:$D191)+COUNTA($G191:$H191)+COUNTA($Q191))&gt;0),"",IF($D191="","Propia",IF($V191&lt;&gt;"Macro","Solo se delegan macroactividades",IF(N($AM191)&gt;0,"✔ Recibida por "&amp;$D191,"⚠ "&amp;$D191&amp;" aún no la agrega"))))</f>
        <v/>
      </c>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IF($V191&lt;&gt;"Sub","",N($X191)*IF(AND(ISNUMBER($G191),$G191&lt;=IF($S191=MesCiclo,InicioCiclo,$S191+MOD(2-WEEKDAY($S191),7))+6),1,MIN(1,MAX(0,IF(ISNUMBER(OFFSET($A$1,ROW()-1,8)),OFFSET($A$1,ROW()-1,8),0)))))</f>
        <v/>
      </c>
      <c r="AE191" s="62">
        <f>IF($V191&lt;&gt;"Sub","",N($X191)*IF(AND(ISNUMBER($G191),$G191&lt;=IF($S191=MesCiclo,InicioCiclo,$S191+MOD(2-WEEKDAY($S191),7))+13),1,MIN(1,MAX(0,IF(ISNUMBER(OFFSET($A$1,ROW()-1,9)),OFFSET($A$1,ROW()-1,9),IF(ISNUMBER(OFFSET($A$1,ROW()-1,8)),OFFSET($A$1,ROW()-1,8),0))))))</f>
        <v/>
      </c>
      <c r="AF191" s="62">
        <f>IF($V191&lt;&gt;"Sub","",N($X191)*IF(AND(ISNUMBER($G191),$G191&lt;=IF($S191=MesCiclo,InicioCiclo,$S191+MOD(2-WEEKDAY($S191),7))+20),1,MIN(1,MAX(0,IF(ISNUMBER(OFFSET($A$1,ROW()-1,10)),OFFSET($A$1,ROW()-1,10),IF(ISNUMBER(OFFSET($A$1,ROW()-1,9)),OFFSET($A$1,ROW()-1,9),IF(ISNUMBER(OFFSET($A$1,ROW()-1,8)),OFFSET($A$1,ROW()-1,8),0)))))))</f>
        <v/>
      </c>
      <c r="AG191" s="62">
        <f>IF($V191&lt;&gt;"Sub","",N($X191)*IF(AND(ISNUMBER($G191),$G191&lt;=IF($S191=MesCiclo,InicioCiclo,$S191+MOD(2-WEEKDAY($S191),7))+27),1,MIN(1,MAX(0,IF(ISNUMBER(OFFSET($A$1,ROW()-1,11)),OFFSET($A$1,ROW()-1,11),IF(ISNUMBER(OFFSET($A$1,ROW()-1,10)),OFFSET($A$1,ROW()-1,10),IF(ISNUMBER(OFFSET($A$1,ROW()-1,9)),OFFSET($A$1,ROW()-1,9),IF(ISNUMBER(OFFSET($A$1,ROW()-1,8)),OFFSET($A$1,ROW()-1,8),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f>IF(NOT(AND($D191&lt;&gt;"",$V191="Macro")),"",IFERROR(CHOOSE(MATCH($D191,ListaPuestos,0),MATCH("[Jefatura] "&amp;$C191,'Cronograma R. Operacional'!$C$5:$C$1000,0),MATCH("[Jefatura] "&amp;$C191,'Cronograma R. Normativo'!$C$5:$C$1000,0),MATCH("[Jefatura] "&amp;$C191,'Cronograma R. Financiero'!$C$5:$C$1000,0),MATCH("[Jefatura] "&amp;$C191,'Cronograma Asistente Técnico'!$C$5:$C$1000,0)),0))</f>
        <v/>
      </c>
      <c r="AN191" s="62">
        <f>IF(AND(AND($D191&lt;&gt;"",$V191="Macro"),$S191=MesCiclo),COUNTIFS($D$5:$D191,$D191,$S$5:$S191,MesCiclo,$V$5:$V191,"Macro"),"")</f>
        <v/>
      </c>
      <c r="AO191" s="62">
        <f>IF($AN191="","",$D191&amp;"|"&amp;$AN191)</f>
        <v/>
      </c>
      <c r="AP191" s="62">
        <f>IF(AND($D191&lt;&gt;"",$V191="Macro"),$D191&amp;"|"&amp;$C191,"")</f>
        <v/>
      </c>
      <c r="AQ191" s="62">
        <f>""</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t="n"/>
      <c r="F192" s="59" t="n"/>
      <c r="G192" s="59" t="n"/>
      <c r="H192" s="60" t="n"/>
      <c r="I192" s="60">
        <f>IF(N($W192)=0,"",IF(AND($S192=MesCiclo,1&gt;SemanaActual),"",MIN(1,SUMIFS(OFFSET($A$1,ROW(),29,1000-ROW(),1),OFFSET($A$1,ROW(),20,1000-ROW(),1),ROW(),OFFSET($A$1,ROW(),21,1000-ROW(),1),"Sub"))))</f>
        <v/>
      </c>
      <c r="J192" s="60">
        <f>IF(N($W192)=0,"",IF(AND($S192=MesCiclo,2&gt;SemanaActual),"",MIN(1,SUMIFS(OFFSET($A$1,ROW(),30,1000-ROW(),1),OFFSET($A$1,ROW(),20,1000-ROW(),1),ROW(),OFFSET($A$1,ROW(),21,1000-ROW(),1),"Sub"))))</f>
        <v/>
      </c>
      <c r="K192" s="60">
        <f>IF(N($W192)=0,"",IF(AND($S192=MesCiclo,3&gt;SemanaActual),"",MIN(1,SUMIFS(OFFSET($A$1,ROW(),31,1000-ROW(),1),OFFSET($A$1,ROW(),20,1000-ROW(),1),ROW(),OFFSET($A$1,ROW(),21,1000-ROW(),1),"Sub"))))</f>
        <v/>
      </c>
      <c r="L192" s="60">
        <f>IF(N($W192)=0,"",IF(AND($S192=MesCiclo,4&gt;SemanaActual),"",MIN(1,SUMIFS(OFFSET($A$1,ROW(),32,1000-ROW(),1),OFFSET($A$1,ROW(),20,1000-ROW(),1),ROW(),OFFSET($A$1,ROW(),21,1000-ROW(),1),"Sub"))))</f>
        <v/>
      </c>
      <c r="M192" s="61">
        <f>IF(NOT((COUNTA($B192:$D192)+COUNTA($G192:$H192)+COUNTA($Q192))&gt;0),"",IF(AND($D192&lt;&gt;"",$V192="Macro"),IF(N($AM192)&gt;0,N(CHOOSE(MATCH($D192,ListaPuestos,0),INDEX('Cronograma R. Operacional'!$M$5:$M$1000,$AM192),INDEX('Cronograma R. Normativo'!$M$5:$M$1000,$AM192),INDEX('Cronograma R. Financiero'!$M$5:$M$1000,$AM192),INDEX('Cronograma Asistente Técnico'!$M$5:$M$1000,$AM192))),0),IF(ISNUMBER($G192),1,IF(N($W192)&gt;0,MIN(1,SUMIFS($Y$5:$Y$1000,$U$5:$U$1000,ROW(),$V$5:$V$1000,"Sub")),$Y192))))</f>
        <v/>
      </c>
      <c r="N192" s="56">
        <f>IF(OR($M192="",$V192="Sub"),"",IF($M192&gt;=1,"Completado",IF($M192&gt;0,"En curso","Pendiente")))</f>
        <v/>
      </c>
      <c r="O192" s="56">
        <f>IF(NOT((COUNTA($B192:$D192)+COUNTA($G192:$H192)+COUNTA($Q192))&gt;0),"",IF(AND(AND($D192&lt;&gt;"",$V192="Macro"),N($AM192)&gt;0),CHOOSE(MATCH($D192,ListaPuestos,0),INDEX('Cronograma R. Operacional'!$O$5:$O$1000,$AM192),INDEX('Cronograma R. Normativo'!$O$5:$O$1000,$AM192),INDEX('Cronograma R. Financiero'!$O$5:$O$1000,$AM192),INDEX('Cronograma Asistente Técnico'!$O$5:$O$1000,$AM192))&amp;"",IF(ISNUMBER($G192),IF(AND(ISNUMBER($AS192),$G192&gt;$AS192),"Cumplida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f>IF(NOT((COUNTA($B192:$D192)+COUNTA($G192:$H192)+COUNTA($Q192))&gt;0),"",IF($D192="","Propia",IF($V192&lt;&gt;"Macro","Solo se delegan macroactividades",IF(N($AM192)&gt;0,"✔ Recibida por "&amp;$D192,"⚠ "&amp;$D192&amp;" aún no la agrega"))))</f>
        <v/>
      </c>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IF($V192&lt;&gt;"Sub","",N($X192)*IF(AND(ISNUMBER($G192),$G192&lt;=IF($S192=MesCiclo,InicioCiclo,$S192+MOD(2-WEEKDAY($S192),7))+6),1,MIN(1,MAX(0,IF(ISNUMBER(OFFSET($A$1,ROW()-1,8)),OFFSET($A$1,ROW()-1,8),0)))))</f>
        <v/>
      </c>
      <c r="AE192" s="62">
        <f>IF($V192&lt;&gt;"Sub","",N($X192)*IF(AND(ISNUMBER($G192),$G192&lt;=IF($S192=MesCiclo,InicioCiclo,$S192+MOD(2-WEEKDAY($S192),7))+13),1,MIN(1,MAX(0,IF(ISNUMBER(OFFSET($A$1,ROW()-1,9)),OFFSET($A$1,ROW()-1,9),IF(ISNUMBER(OFFSET($A$1,ROW()-1,8)),OFFSET($A$1,ROW()-1,8),0))))))</f>
        <v/>
      </c>
      <c r="AF192" s="62">
        <f>IF($V192&lt;&gt;"Sub","",N($X192)*IF(AND(ISNUMBER($G192),$G192&lt;=IF($S192=MesCiclo,InicioCiclo,$S192+MOD(2-WEEKDAY($S192),7))+20),1,MIN(1,MAX(0,IF(ISNUMBER(OFFSET($A$1,ROW()-1,10)),OFFSET($A$1,ROW()-1,10),IF(ISNUMBER(OFFSET($A$1,ROW()-1,9)),OFFSET($A$1,ROW()-1,9),IF(ISNUMBER(OFFSET($A$1,ROW()-1,8)),OFFSET($A$1,ROW()-1,8),0)))))))</f>
        <v/>
      </c>
      <c r="AG192" s="62">
        <f>IF($V192&lt;&gt;"Sub","",N($X192)*IF(AND(ISNUMBER($G192),$G192&lt;=IF($S192=MesCiclo,InicioCiclo,$S192+MOD(2-WEEKDAY($S192),7))+27),1,MIN(1,MAX(0,IF(ISNUMBER(OFFSET($A$1,ROW()-1,11)),OFFSET($A$1,ROW()-1,11),IF(ISNUMBER(OFFSET($A$1,ROW()-1,10)),OFFSET($A$1,ROW()-1,10),IF(ISNUMBER(OFFSET($A$1,ROW()-1,9)),OFFSET($A$1,ROW()-1,9),IF(ISNUMBER(OFFSET($A$1,ROW()-1,8)),OFFSET($A$1,ROW()-1,8),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f>IF(NOT(AND($D192&lt;&gt;"",$V192="Macro")),"",IFERROR(CHOOSE(MATCH($D192,ListaPuestos,0),MATCH("[Jefatura] "&amp;$C192,'Cronograma R. Operacional'!$C$5:$C$1000,0),MATCH("[Jefatura] "&amp;$C192,'Cronograma R. Normativo'!$C$5:$C$1000,0),MATCH("[Jefatura] "&amp;$C192,'Cronograma R. Financiero'!$C$5:$C$1000,0),MATCH("[Jefatura] "&amp;$C192,'Cronograma Asistente Técnico'!$C$5:$C$1000,0)),0))</f>
        <v/>
      </c>
      <c r="AN192" s="62">
        <f>IF(AND(AND($D192&lt;&gt;"",$V192="Macro"),$S192=MesCiclo),COUNTIFS($D$5:$D192,$D192,$S$5:$S192,MesCiclo,$V$5:$V192,"Macro"),"")</f>
        <v/>
      </c>
      <c r="AO192" s="62">
        <f>IF($AN192="","",$D192&amp;"|"&amp;$AN192)</f>
        <v/>
      </c>
      <c r="AP192" s="62">
        <f>IF(AND($D192&lt;&gt;"",$V192="Macro"),$D192&amp;"|"&amp;$C192,"")</f>
        <v/>
      </c>
      <c r="AQ192" s="62">
        <f>""</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t="n"/>
      <c r="F193" s="59" t="n"/>
      <c r="G193" s="59" t="n"/>
      <c r="H193" s="60" t="n"/>
      <c r="I193" s="60">
        <f>IF(N($W193)=0,"",IF(AND($S193=MesCiclo,1&gt;SemanaActual),"",MIN(1,SUMIFS(OFFSET($A$1,ROW(),29,1000-ROW(),1),OFFSET($A$1,ROW(),20,1000-ROW(),1),ROW(),OFFSET($A$1,ROW(),21,1000-ROW(),1),"Sub"))))</f>
        <v/>
      </c>
      <c r="J193" s="60">
        <f>IF(N($W193)=0,"",IF(AND($S193=MesCiclo,2&gt;SemanaActual),"",MIN(1,SUMIFS(OFFSET($A$1,ROW(),30,1000-ROW(),1),OFFSET($A$1,ROW(),20,1000-ROW(),1),ROW(),OFFSET($A$1,ROW(),21,1000-ROW(),1),"Sub"))))</f>
        <v/>
      </c>
      <c r="K193" s="60">
        <f>IF(N($W193)=0,"",IF(AND($S193=MesCiclo,3&gt;SemanaActual),"",MIN(1,SUMIFS(OFFSET($A$1,ROW(),31,1000-ROW(),1),OFFSET($A$1,ROW(),20,1000-ROW(),1),ROW(),OFFSET($A$1,ROW(),21,1000-ROW(),1),"Sub"))))</f>
        <v/>
      </c>
      <c r="L193" s="60">
        <f>IF(N($W193)=0,"",IF(AND($S193=MesCiclo,4&gt;SemanaActual),"",MIN(1,SUMIFS(OFFSET($A$1,ROW(),32,1000-ROW(),1),OFFSET($A$1,ROW(),20,1000-ROW(),1),ROW(),OFFSET($A$1,ROW(),21,1000-ROW(),1),"Sub"))))</f>
        <v/>
      </c>
      <c r="M193" s="61">
        <f>IF(NOT((COUNTA($B193:$D193)+COUNTA($G193:$H193)+COUNTA($Q193))&gt;0),"",IF(AND($D193&lt;&gt;"",$V193="Macro"),IF(N($AM193)&gt;0,N(CHOOSE(MATCH($D193,ListaPuestos,0),INDEX('Cronograma R. Operacional'!$M$5:$M$1000,$AM193),INDEX('Cronograma R. Normativo'!$M$5:$M$1000,$AM193),INDEX('Cronograma R. Financiero'!$M$5:$M$1000,$AM193),INDEX('Cronograma Asistente Técnico'!$M$5:$M$1000,$AM193))),0),IF(ISNUMBER($G193),1,IF(N($W193)&gt;0,MIN(1,SUMIFS($Y$5:$Y$1000,$U$5:$U$1000,ROW(),$V$5:$V$1000,"Sub")),$Y193))))</f>
        <v/>
      </c>
      <c r="N193" s="56">
        <f>IF(OR($M193="",$V193="Sub"),"",IF($M193&gt;=1,"Completado",IF($M193&gt;0,"En curso","Pendiente")))</f>
        <v/>
      </c>
      <c r="O193" s="56">
        <f>IF(NOT((COUNTA($B193:$D193)+COUNTA($G193:$H193)+COUNTA($Q193))&gt;0),"",IF(AND(AND($D193&lt;&gt;"",$V193="Macro"),N($AM193)&gt;0),CHOOSE(MATCH($D193,ListaPuestos,0),INDEX('Cronograma R. Operacional'!$O$5:$O$1000,$AM193),INDEX('Cronograma R. Normativo'!$O$5:$O$1000,$AM193),INDEX('Cronograma R. Financiero'!$O$5:$O$1000,$AM193),INDEX('Cronograma Asistente Técnico'!$O$5:$O$1000,$AM193))&amp;"",IF(ISNUMBER($G193),IF(AND(ISNUMBER($AS193),$G193&gt;$AS193),"Cumplida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f>IF(NOT((COUNTA($B193:$D193)+COUNTA($G193:$H193)+COUNTA($Q193))&gt;0),"",IF($D193="","Propia",IF($V193&lt;&gt;"Macro","Solo se delegan macroactividades",IF(N($AM193)&gt;0,"✔ Recibida por "&amp;$D193,"⚠ "&amp;$D193&amp;" aún no la agrega"))))</f>
        <v/>
      </c>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IF($V193&lt;&gt;"Sub","",N($X193)*IF(AND(ISNUMBER($G193),$G193&lt;=IF($S193=MesCiclo,InicioCiclo,$S193+MOD(2-WEEKDAY($S193),7))+6),1,MIN(1,MAX(0,IF(ISNUMBER(OFFSET($A$1,ROW()-1,8)),OFFSET($A$1,ROW()-1,8),0)))))</f>
        <v/>
      </c>
      <c r="AE193" s="62">
        <f>IF($V193&lt;&gt;"Sub","",N($X193)*IF(AND(ISNUMBER($G193),$G193&lt;=IF($S193=MesCiclo,InicioCiclo,$S193+MOD(2-WEEKDAY($S193),7))+13),1,MIN(1,MAX(0,IF(ISNUMBER(OFFSET($A$1,ROW()-1,9)),OFFSET($A$1,ROW()-1,9),IF(ISNUMBER(OFFSET($A$1,ROW()-1,8)),OFFSET($A$1,ROW()-1,8),0))))))</f>
        <v/>
      </c>
      <c r="AF193" s="62">
        <f>IF($V193&lt;&gt;"Sub","",N($X193)*IF(AND(ISNUMBER($G193),$G193&lt;=IF($S193=MesCiclo,InicioCiclo,$S193+MOD(2-WEEKDAY($S193),7))+20),1,MIN(1,MAX(0,IF(ISNUMBER(OFFSET($A$1,ROW()-1,10)),OFFSET($A$1,ROW()-1,10),IF(ISNUMBER(OFFSET($A$1,ROW()-1,9)),OFFSET($A$1,ROW()-1,9),IF(ISNUMBER(OFFSET($A$1,ROW()-1,8)),OFFSET($A$1,ROW()-1,8),0)))))))</f>
        <v/>
      </c>
      <c r="AG193" s="62">
        <f>IF($V193&lt;&gt;"Sub","",N($X193)*IF(AND(ISNUMBER($G193),$G193&lt;=IF($S193=MesCiclo,InicioCiclo,$S193+MOD(2-WEEKDAY($S193),7))+27),1,MIN(1,MAX(0,IF(ISNUMBER(OFFSET($A$1,ROW()-1,11)),OFFSET($A$1,ROW()-1,11),IF(ISNUMBER(OFFSET($A$1,ROW()-1,10)),OFFSET($A$1,ROW()-1,10),IF(ISNUMBER(OFFSET($A$1,ROW()-1,9)),OFFSET($A$1,ROW()-1,9),IF(ISNUMBER(OFFSET($A$1,ROW()-1,8)),OFFSET($A$1,ROW()-1,8),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f>IF(NOT(AND($D193&lt;&gt;"",$V193="Macro")),"",IFERROR(CHOOSE(MATCH($D193,ListaPuestos,0),MATCH("[Jefatura] "&amp;$C193,'Cronograma R. Operacional'!$C$5:$C$1000,0),MATCH("[Jefatura] "&amp;$C193,'Cronograma R. Normativo'!$C$5:$C$1000,0),MATCH("[Jefatura] "&amp;$C193,'Cronograma R. Financiero'!$C$5:$C$1000,0),MATCH("[Jefatura] "&amp;$C193,'Cronograma Asistente Técnico'!$C$5:$C$1000,0)),0))</f>
        <v/>
      </c>
      <c r="AN193" s="62">
        <f>IF(AND(AND($D193&lt;&gt;"",$V193="Macro"),$S193=MesCiclo),COUNTIFS($D$5:$D193,$D193,$S$5:$S193,MesCiclo,$V$5:$V193,"Macro"),"")</f>
        <v/>
      </c>
      <c r="AO193" s="62">
        <f>IF($AN193="","",$D193&amp;"|"&amp;$AN193)</f>
        <v/>
      </c>
      <c r="AP193" s="62">
        <f>IF(AND($D193&lt;&gt;"",$V193="Macro"),$D193&amp;"|"&amp;$C193,"")</f>
        <v/>
      </c>
      <c r="AQ193" s="62">
        <f>""</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t="n"/>
      <c r="F194" s="59" t="n"/>
      <c r="G194" s="59" t="n"/>
      <c r="H194" s="60" t="n"/>
      <c r="I194" s="60">
        <f>IF(N($W194)=0,"",IF(AND($S194=MesCiclo,1&gt;SemanaActual),"",MIN(1,SUMIFS(OFFSET($A$1,ROW(),29,1000-ROW(),1),OFFSET($A$1,ROW(),20,1000-ROW(),1),ROW(),OFFSET($A$1,ROW(),21,1000-ROW(),1),"Sub"))))</f>
        <v/>
      </c>
      <c r="J194" s="60">
        <f>IF(N($W194)=0,"",IF(AND($S194=MesCiclo,2&gt;SemanaActual),"",MIN(1,SUMIFS(OFFSET($A$1,ROW(),30,1000-ROW(),1),OFFSET($A$1,ROW(),20,1000-ROW(),1),ROW(),OFFSET($A$1,ROW(),21,1000-ROW(),1),"Sub"))))</f>
        <v/>
      </c>
      <c r="K194" s="60">
        <f>IF(N($W194)=0,"",IF(AND($S194=MesCiclo,3&gt;SemanaActual),"",MIN(1,SUMIFS(OFFSET($A$1,ROW(),31,1000-ROW(),1),OFFSET($A$1,ROW(),20,1000-ROW(),1),ROW(),OFFSET($A$1,ROW(),21,1000-ROW(),1),"Sub"))))</f>
        <v/>
      </c>
      <c r="L194" s="60">
        <f>IF(N($W194)=0,"",IF(AND($S194=MesCiclo,4&gt;SemanaActual),"",MIN(1,SUMIFS(OFFSET($A$1,ROW(),32,1000-ROW(),1),OFFSET($A$1,ROW(),20,1000-ROW(),1),ROW(),OFFSET($A$1,ROW(),21,1000-ROW(),1),"Sub"))))</f>
        <v/>
      </c>
      <c r="M194" s="61">
        <f>IF(NOT((COUNTA($B194:$D194)+COUNTA($G194:$H194)+COUNTA($Q194))&gt;0),"",IF(AND($D194&lt;&gt;"",$V194="Macro"),IF(N($AM194)&gt;0,N(CHOOSE(MATCH($D194,ListaPuestos,0),INDEX('Cronograma R. Operacional'!$M$5:$M$1000,$AM194),INDEX('Cronograma R. Normativo'!$M$5:$M$1000,$AM194),INDEX('Cronograma R. Financiero'!$M$5:$M$1000,$AM194),INDEX('Cronograma Asistente Técnico'!$M$5:$M$1000,$AM194))),0),IF(ISNUMBER($G194),1,IF(N($W194)&gt;0,MIN(1,SUMIFS($Y$5:$Y$1000,$U$5:$U$1000,ROW(),$V$5:$V$1000,"Sub")),$Y194))))</f>
        <v/>
      </c>
      <c r="N194" s="56">
        <f>IF(OR($M194="",$V194="Sub"),"",IF($M194&gt;=1,"Completado",IF($M194&gt;0,"En curso","Pendiente")))</f>
        <v/>
      </c>
      <c r="O194" s="56">
        <f>IF(NOT((COUNTA($B194:$D194)+COUNTA($G194:$H194)+COUNTA($Q194))&gt;0),"",IF(AND(AND($D194&lt;&gt;"",$V194="Macro"),N($AM194)&gt;0),CHOOSE(MATCH($D194,ListaPuestos,0),INDEX('Cronograma R. Operacional'!$O$5:$O$1000,$AM194),INDEX('Cronograma R. Normativo'!$O$5:$O$1000,$AM194),INDEX('Cronograma R. Financiero'!$O$5:$O$1000,$AM194),INDEX('Cronograma Asistente Técnico'!$O$5:$O$1000,$AM194))&amp;"",IF(ISNUMBER($G194),IF(AND(ISNUMBER($AS194),$G194&gt;$AS194),"Cumplida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f>IF(NOT((COUNTA($B194:$D194)+COUNTA($G194:$H194)+COUNTA($Q194))&gt;0),"",IF($D194="","Propia",IF($V194&lt;&gt;"Macro","Solo se delegan macroactividades",IF(N($AM194)&gt;0,"✔ Recibida por "&amp;$D194,"⚠ "&amp;$D194&amp;" aún no la agrega"))))</f>
        <v/>
      </c>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IF($V194&lt;&gt;"Sub","",N($X194)*IF(AND(ISNUMBER($G194),$G194&lt;=IF($S194=MesCiclo,InicioCiclo,$S194+MOD(2-WEEKDAY($S194),7))+6),1,MIN(1,MAX(0,IF(ISNUMBER(OFFSET($A$1,ROW()-1,8)),OFFSET($A$1,ROW()-1,8),0)))))</f>
        <v/>
      </c>
      <c r="AE194" s="62">
        <f>IF($V194&lt;&gt;"Sub","",N($X194)*IF(AND(ISNUMBER($G194),$G194&lt;=IF($S194=MesCiclo,InicioCiclo,$S194+MOD(2-WEEKDAY($S194),7))+13),1,MIN(1,MAX(0,IF(ISNUMBER(OFFSET($A$1,ROW()-1,9)),OFFSET($A$1,ROW()-1,9),IF(ISNUMBER(OFFSET($A$1,ROW()-1,8)),OFFSET($A$1,ROW()-1,8),0))))))</f>
        <v/>
      </c>
      <c r="AF194" s="62">
        <f>IF($V194&lt;&gt;"Sub","",N($X194)*IF(AND(ISNUMBER($G194),$G194&lt;=IF($S194=MesCiclo,InicioCiclo,$S194+MOD(2-WEEKDAY($S194),7))+20),1,MIN(1,MAX(0,IF(ISNUMBER(OFFSET($A$1,ROW()-1,10)),OFFSET($A$1,ROW()-1,10),IF(ISNUMBER(OFFSET($A$1,ROW()-1,9)),OFFSET($A$1,ROW()-1,9),IF(ISNUMBER(OFFSET($A$1,ROW()-1,8)),OFFSET($A$1,ROW()-1,8),0)))))))</f>
        <v/>
      </c>
      <c r="AG194" s="62">
        <f>IF($V194&lt;&gt;"Sub","",N($X194)*IF(AND(ISNUMBER($G194),$G194&lt;=IF($S194=MesCiclo,InicioCiclo,$S194+MOD(2-WEEKDAY($S194),7))+27),1,MIN(1,MAX(0,IF(ISNUMBER(OFFSET($A$1,ROW()-1,11)),OFFSET($A$1,ROW()-1,11),IF(ISNUMBER(OFFSET($A$1,ROW()-1,10)),OFFSET($A$1,ROW()-1,10),IF(ISNUMBER(OFFSET($A$1,ROW()-1,9)),OFFSET($A$1,ROW()-1,9),IF(ISNUMBER(OFFSET($A$1,ROW()-1,8)),OFFSET($A$1,ROW()-1,8),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f>IF(NOT(AND($D194&lt;&gt;"",$V194="Macro")),"",IFERROR(CHOOSE(MATCH($D194,ListaPuestos,0),MATCH("[Jefatura] "&amp;$C194,'Cronograma R. Operacional'!$C$5:$C$1000,0),MATCH("[Jefatura] "&amp;$C194,'Cronograma R. Normativo'!$C$5:$C$1000,0),MATCH("[Jefatura] "&amp;$C194,'Cronograma R. Financiero'!$C$5:$C$1000,0),MATCH("[Jefatura] "&amp;$C194,'Cronograma Asistente Técnico'!$C$5:$C$1000,0)),0))</f>
        <v/>
      </c>
      <c r="AN194" s="62">
        <f>IF(AND(AND($D194&lt;&gt;"",$V194="Macro"),$S194=MesCiclo),COUNTIFS($D$5:$D194,$D194,$S$5:$S194,MesCiclo,$V$5:$V194,"Macro"),"")</f>
        <v/>
      </c>
      <c r="AO194" s="62">
        <f>IF($AN194="","",$D194&amp;"|"&amp;$AN194)</f>
        <v/>
      </c>
      <c r="AP194" s="62">
        <f>IF(AND($D194&lt;&gt;"",$V194="Macro"),$D194&amp;"|"&amp;$C194,"")</f>
        <v/>
      </c>
      <c r="AQ194" s="62">
        <f>""</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t="n"/>
      <c r="F195" s="59" t="n"/>
      <c r="G195" s="59" t="n"/>
      <c r="H195" s="60" t="n"/>
      <c r="I195" s="60">
        <f>IF(N($W195)=0,"",IF(AND($S195=MesCiclo,1&gt;SemanaActual),"",MIN(1,SUMIFS(OFFSET($A$1,ROW(),29,1000-ROW(),1),OFFSET($A$1,ROW(),20,1000-ROW(),1),ROW(),OFFSET($A$1,ROW(),21,1000-ROW(),1),"Sub"))))</f>
        <v/>
      </c>
      <c r="J195" s="60">
        <f>IF(N($W195)=0,"",IF(AND($S195=MesCiclo,2&gt;SemanaActual),"",MIN(1,SUMIFS(OFFSET($A$1,ROW(),30,1000-ROW(),1),OFFSET($A$1,ROW(),20,1000-ROW(),1),ROW(),OFFSET($A$1,ROW(),21,1000-ROW(),1),"Sub"))))</f>
        <v/>
      </c>
      <c r="K195" s="60">
        <f>IF(N($W195)=0,"",IF(AND($S195=MesCiclo,3&gt;SemanaActual),"",MIN(1,SUMIFS(OFFSET($A$1,ROW(),31,1000-ROW(),1),OFFSET($A$1,ROW(),20,1000-ROW(),1),ROW(),OFFSET($A$1,ROW(),21,1000-ROW(),1),"Sub"))))</f>
        <v/>
      </c>
      <c r="L195" s="60">
        <f>IF(N($W195)=0,"",IF(AND($S195=MesCiclo,4&gt;SemanaActual),"",MIN(1,SUMIFS(OFFSET($A$1,ROW(),32,1000-ROW(),1),OFFSET($A$1,ROW(),20,1000-ROW(),1),ROW(),OFFSET($A$1,ROW(),21,1000-ROW(),1),"Sub"))))</f>
        <v/>
      </c>
      <c r="M195" s="61">
        <f>IF(NOT((COUNTA($B195:$D195)+COUNTA($G195:$H195)+COUNTA($Q195))&gt;0),"",IF(AND($D195&lt;&gt;"",$V195="Macro"),IF(N($AM195)&gt;0,N(CHOOSE(MATCH($D195,ListaPuestos,0),INDEX('Cronograma R. Operacional'!$M$5:$M$1000,$AM195),INDEX('Cronograma R. Normativo'!$M$5:$M$1000,$AM195),INDEX('Cronograma R. Financiero'!$M$5:$M$1000,$AM195),INDEX('Cronograma Asistente Técnico'!$M$5:$M$1000,$AM195))),0),IF(ISNUMBER($G195),1,IF(N($W195)&gt;0,MIN(1,SUMIFS($Y$5:$Y$1000,$U$5:$U$1000,ROW(),$V$5:$V$1000,"Sub")),$Y195))))</f>
        <v/>
      </c>
      <c r="N195" s="56">
        <f>IF(OR($M195="",$V195="Sub"),"",IF($M195&gt;=1,"Completado",IF($M195&gt;0,"En curso","Pendiente")))</f>
        <v/>
      </c>
      <c r="O195" s="56">
        <f>IF(NOT((COUNTA($B195:$D195)+COUNTA($G195:$H195)+COUNTA($Q195))&gt;0),"",IF(AND(AND($D195&lt;&gt;"",$V195="Macro"),N($AM195)&gt;0),CHOOSE(MATCH($D195,ListaPuestos,0),INDEX('Cronograma R. Operacional'!$O$5:$O$1000,$AM195),INDEX('Cronograma R. Normativo'!$O$5:$O$1000,$AM195),INDEX('Cronograma R. Financiero'!$O$5:$O$1000,$AM195),INDEX('Cronograma Asistente Técnico'!$O$5:$O$1000,$AM195))&amp;"",IF(ISNUMBER($G195),IF(AND(ISNUMBER($AS195),$G195&gt;$AS195),"Cumplida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f>IF(NOT((COUNTA($B195:$D195)+COUNTA($G195:$H195)+COUNTA($Q195))&gt;0),"",IF($D195="","Propia",IF($V195&lt;&gt;"Macro","Solo se delegan macroactividades",IF(N($AM195)&gt;0,"✔ Recibida por "&amp;$D195,"⚠ "&amp;$D195&amp;" aún no la agrega"))))</f>
        <v/>
      </c>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IF($V195&lt;&gt;"Sub","",N($X195)*IF(AND(ISNUMBER($G195),$G195&lt;=IF($S195=MesCiclo,InicioCiclo,$S195+MOD(2-WEEKDAY($S195),7))+6),1,MIN(1,MAX(0,IF(ISNUMBER(OFFSET($A$1,ROW()-1,8)),OFFSET($A$1,ROW()-1,8),0)))))</f>
        <v/>
      </c>
      <c r="AE195" s="62">
        <f>IF($V195&lt;&gt;"Sub","",N($X195)*IF(AND(ISNUMBER($G195),$G195&lt;=IF($S195=MesCiclo,InicioCiclo,$S195+MOD(2-WEEKDAY($S195),7))+13),1,MIN(1,MAX(0,IF(ISNUMBER(OFFSET($A$1,ROW()-1,9)),OFFSET($A$1,ROW()-1,9),IF(ISNUMBER(OFFSET($A$1,ROW()-1,8)),OFFSET($A$1,ROW()-1,8),0))))))</f>
        <v/>
      </c>
      <c r="AF195" s="62">
        <f>IF($V195&lt;&gt;"Sub","",N($X195)*IF(AND(ISNUMBER($G195),$G195&lt;=IF($S195=MesCiclo,InicioCiclo,$S195+MOD(2-WEEKDAY($S195),7))+20),1,MIN(1,MAX(0,IF(ISNUMBER(OFFSET($A$1,ROW()-1,10)),OFFSET($A$1,ROW()-1,10),IF(ISNUMBER(OFFSET($A$1,ROW()-1,9)),OFFSET($A$1,ROW()-1,9),IF(ISNUMBER(OFFSET($A$1,ROW()-1,8)),OFFSET($A$1,ROW()-1,8),0)))))))</f>
        <v/>
      </c>
      <c r="AG195" s="62">
        <f>IF($V195&lt;&gt;"Sub","",N($X195)*IF(AND(ISNUMBER($G195),$G195&lt;=IF($S195=MesCiclo,InicioCiclo,$S195+MOD(2-WEEKDAY($S195),7))+27),1,MIN(1,MAX(0,IF(ISNUMBER(OFFSET($A$1,ROW()-1,11)),OFFSET($A$1,ROW()-1,11),IF(ISNUMBER(OFFSET($A$1,ROW()-1,10)),OFFSET($A$1,ROW()-1,10),IF(ISNUMBER(OFFSET($A$1,ROW()-1,9)),OFFSET($A$1,ROW()-1,9),IF(ISNUMBER(OFFSET($A$1,ROW()-1,8)),OFFSET($A$1,ROW()-1,8),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f>IF(NOT(AND($D195&lt;&gt;"",$V195="Macro")),"",IFERROR(CHOOSE(MATCH($D195,ListaPuestos,0),MATCH("[Jefatura] "&amp;$C195,'Cronograma R. Operacional'!$C$5:$C$1000,0),MATCH("[Jefatura] "&amp;$C195,'Cronograma R. Normativo'!$C$5:$C$1000,0),MATCH("[Jefatura] "&amp;$C195,'Cronograma R. Financiero'!$C$5:$C$1000,0),MATCH("[Jefatura] "&amp;$C195,'Cronograma Asistente Técnico'!$C$5:$C$1000,0)),0))</f>
        <v/>
      </c>
      <c r="AN195" s="62">
        <f>IF(AND(AND($D195&lt;&gt;"",$V195="Macro"),$S195=MesCiclo),COUNTIFS($D$5:$D195,$D195,$S$5:$S195,MesCiclo,$V$5:$V195,"Macro"),"")</f>
        <v/>
      </c>
      <c r="AO195" s="62">
        <f>IF($AN195="","",$D195&amp;"|"&amp;$AN195)</f>
        <v/>
      </c>
      <c r="AP195" s="62">
        <f>IF(AND($D195&lt;&gt;"",$V195="Macro"),$D195&amp;"|"&amp;$C195,"")</f>
        <v/>
      </c>
      <c r="AQ195" s="62">
        <f>""</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t="n"/>
      <c r="F196" s="59" t="n"/>
      <c r="G196" s="59" t="n"/>
      <c r="H196" s="60" t="n"/>
      <c r="I196" s="60">
        <f>IF(N($W196)=0,"",IF(AND($S196=MesCiclo,1&gt;SemanaActual),"",MIN(1,SUMIFS(OFFSET($A$1,ROW(),29,1000-ROW(),1),OFFSET($A$1,ROW(),20,1000-ROW(),1),ROW(),OFFSET($A$1,ROW(),21,1000-ROW(),1),"Sub"))))</f>
        <v/>
      </c>
      <c r="J196" s="60">
        <f>IF(N($W196)=0,"",IF(AND($S196=MesCiclo,2&gt;SemanaActual),"",MIN(1,SUMIFS(OFFSET($A$1,ROW(),30,1000-ROW(),1),OFFSET($A$1,ROW(),20,1000-ROW(),1),ROW(),OFFSET($A$1,ROW(),21,1000-ROW(),1),"Sub"))))</f>
        <v/>
      </c>
      <c r="K196" s="60">
        <f>IF(N($W196)=0,"",IF(AND($S196=MesCiclo,3&gt;SemanaActual),"",MIN(1,SUMIFS(OFFSET($A$1,ROW(),31,1000-ROW(),1),OFFSET($A$1,ROW(),20,1000-ROW(),1),ROW(),OFFSET($A$1,ROW(),21,1000-ROW(),1),"Sub"))))</f>
        <v/>
      </c>
      <c r="L196" s="60">
        <f>IF(N($W196)=0,"",IF(AND($S196=MesCiclo,4&gt;SemanaActual),"",MIN(1,SUMIFS(OFFSET($A$1,ROW(),32,1000-ROW(),1),OFFSET($A$1,ROW(),20,1000-ROW(),1),ROW(),OFFSET($A$1,ROW(),21,1000-ROW(),1),"Sub"))))</f>
        <v/>
      </c>
      <c r="M196" s="61">
        <f>IF(NOT((COUNTA($B196:$D196)+COUNTA($G196:$H196)+COUNTA($Q196))&gt;0),"",IF(AND($D196&lt;&gt;"",$V196="Macro"),IF(N($AM196)&gt;0,N(CHOOSE(MATCH($D196,ListaPuestos,0),INDEX('Cronograma R. Operacional'!$M$5:$M$1000,$AM196),INDEX('Cronograma R. Normativo'!$M$5:$M$1000,$AM196),INDEX('Cronograma R. Financiero'!$M$5:$M$1000,$AM196),INDEX('Cronograma Asistente Técnico'!$M$5:$M$1000,$AM196))),0),IF(ISNUMBER($G196),1,IF(N($W196)&gt;0,MIN(1,SUMIFS($Y$5:$Y$1000,$U$5:$U$1000,ROW(),$V$5:$V$1000,"Sub")),$Y196))))</f>
        <v/>
      </c>
      <c r="N196" s="56">
        <f>IF(OR($M196="",$V196="Sub"),"",IF($M196&gt;=1,"Completado",IF($M196&gt;0,"En curso","Pendiente")))</f>
        <v/>
      </c>
      <c r="O196" s="56">
        <f>IF(NOT((COUNTA($B196:$D196)+COUNTA($G196:$H196)+COUNTA($Q196))&gt;0),"",IF(AND(AND($D196&lt;&gt;"",$V196="Macro"),N($AM196)&gt;0),CHOOSE(MATCH($D196,ListaPuestos,0),INDEX('Cronograma R. Operacional'!$O$5:$O$1000,$AM196),INDEX('Cronograma R. Normativo'!$O$5:$O$1000,$AM196),INDEX('Cronograma R. Financiero'!$O$5:$O$1000,$AM196),INDEX('Cronograma Asistente Técnico'!$O$5:$O$1000,$AM196))&amp;"",IF(ISNUMBER($G196),IF(AND(ISNUMBER($AS196),$G196&gt;$AS196),"Cumplida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f>IF(NOT((COUNTA($B196:$D196)+COUNTA($G196:$H196)+COUNTA($Q196))&gt;0),"",IF($D196="","Propia",IF($V196&lt;&gt;"Macro","Solo se delegan macroactividades",IF(N($AM196)&gt;0,"✔ Recibida por "&amp;$D196,"⚠ "&amp;$D196&amp;" aún no la agrega"))))</f>
        <v/>
      </c>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IF($V196&lt;&gt;"Sub","",N($X196)*IF(AND(ISNUMBER($G196),$G196&lt;=IF($S196=MesCiclo,InicioCiclo,$S196+MOD(2-WEEKDAY($S196),7))+6),1,MIN(1,MAX(0,IF(ISNUMBER(OFFSET($A$1,ROW()-1,8)),OFFSET($A$1,ROW()-1,8),0)))))</f>
        <v/>
      </c>
      <c r="AE196" s="62">
        <f>IF($V196&lt;&gt;"Sub","",N($X196)*IF(AND(ISNUMBER($G196),$G196&lt;=IF($S196=MesCiclo,InicioCiclo,$S196+MOD(2-WEEKDAY($S196),7))+13),1,MIN(1,MAX(0,IF(ISNUMBER(OFFSET($A$1,ROW()-1,9)),OFFSET($A$1,ROW()-1,9),IF(ISNUMBER(OFFSET($A$1,ROW()-1,8)),OFFSET($A$1,ROW()-1,8),0))))))</f>
        <v/>
      </c>
      <c r="AF196" s="62">
        <f>IF($V196&lt;&gt;"Sub","",N($X196)*IF(AND(ISNUMBER($G196),$G196&lt;=IF($S196=MesCiclo,InicioCiclo,$S196+MOD(2-WEEKDAY($S196),7))+20),1,MIN(1,MAX(0,IF(ISNUMBER(OFFSET($A$1,ROW()-1,10)),OFFSET($A$1,ROW()-1,10),IF(ISNUMBER(OFFSET($A$1,ROW()-1,9)),OFFSET($A$1,ROW()-1,9),IF(ISNUMBER(OFFSET($A$1,ROW()-1,8)),OFFSET($A$1,ROW()-1,8),0)))))))</f>
        <v/>
      </c>
      <c r="AG196" s="62">
        <f>IF($V196&lt;&gt;"Sub","",N($X196)*IF(AND(ISNUMBER($G196),$G196&lt;=IF($S196=MesCiclo,InicioCiclo,$S196+MOD(2-WEEKDAY($S196),7))+27),1,MIN(1,MAX(0,IF(ISNUMBER(OFFSET($A$1,ROW()-1,11)),OFFSET($A$1,ROW()-1,11),IF(ISNUMBER(OFFSET($A$1,ROW()-1,10)),OFFSET($A$1,ROW()-1,10),IF(ISNUMBER(OFFSET($A$1,ROW()-1,9)),OFFSET($A$1,ROW()-1,9),IF(ISNUMBER(OFFSET($A$1,ROW()-1,8)),OFFSET($A$1,ROW()-1,8),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f>IF(NOT(AND($D196&lt;&gt;"",$V196="Macro")),"",IFERROR(CHOOSE(MATCH($D196,ListaPuestos,0),MATCH("[Jefatura] "&amp;$C196,'Cronograma R. Operacional'!$C$5:$C$1000,0),MATCH("[Jefatura] "&amp;$C196,'Cronograma R. Normativo'!$C$5:$C$1000,0),MATCH("[Jefatura] "&amp;$C196,'Cronograma R. Financiero'!$C$5:$C$1000,0),MATCH("[Jefatura] "&amp;$C196,'Cronograma Asistente Técnico'!$C$5:$C$1000,0)),0))</f>
        <v/>
      </c>
      <c r="AN196" s="62">
        <f>IF(AND(AND($D196&lt;&gt;"",$V196="Macro"),$S196=MesCiclo),COUNTIFS($D$5:$D196,$D196,$S$5:$S196,MesCiclo,$V$5:$V196,"Macro"),"")</f>
        <v/>
      </c>
      <c r="AO196" s="62">
        <f>IF($AN196="","",$D196&amp;"|"&amp;$AN196)</f>
        <v/>
      </c>
      <c r="AP196" s="62">
        <f>IF(AND($D196&lt;&gt;"",$V196="Macro"),$D196&amp;"|"&amp;$C196,"")</f>
        <v/>
      </c>
      <c r="AQ196" s="62">
        <f>""</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t="n"/>
      <c r="F197" s="59" t="n"/>
      <c r="G197" s="59" t="n"/>
      <c r="H197" s="60" t="n"/>
      <c r="I197" s="60">
        <f>IF(N($W197)=0,"",IF(AND($S197=MesCiclo,1&gt;SemanaActual),"",MIN(1,SUMIFS(OFFSET($A$1,ROW(),29,1000-ROW(),1),OFFSET($A$1,ROW(),20,1000-ROW(),1),ROW(),OFFSET($A$1,ROW(),21,1000-ROW(),1),"Sub"))))</f>
        <v/>
      </c>
      <c r="J197" s="60">
        <f>IF(N($W197)=0,"",IF(AND($S197=MesCiclo,2&gt;SemanaActual),"",MIN(1,SUMIFS(OFFSET($A$1,ROW(),30,1000-ROW(),1),OFFSET($A$1,ROW(),20,1000-ROW(),1),ROW(),OFFSET($A$1,ROW(),21,1000-ROW(),1),"Sub"))))</f>
        <v/>
      </c>
      <c r="K197" s="60">
        <f>IF(N($W197)=0,"",IF(AND($S197=MesCiclo,3&gt;SemanaActual),"",MIN(1,SUMIFS(OFFSET($A$1,ROW(),31,1000-ROW(),1),OFFSET($A$1,ROW(),20,1000-ROW(),1),ROW(),OFFSET($A$1,ROW(),21,1000-ROW(),1),"Sub"))))</f>
        <v/>
      </c>
      <c r="L197" s="60">
        <f>IF(N($W197)=0,"",IF(AND($S197=MesCiclo,4&gt;SemanaActual),"",MIN(1,SUMIFS(OFFSET($A$1,ROW(),32,1000-ROW(),1),OFFSET($A$1,ROW(),20,1000-ROW(),1),ROW(),OFFSET($A$1,ROW(),21,1000-ROW(),1),"Sub"))))</f>
        <v/>
      </c>
      <c r="M197" s="61">
        <f>IF(NOT((COUNTA($B197:$D197)+COUNTA($G197:$H197)+COUNTA($Q197))&gt;0),"",IF(AND($D197&lt;&gt;"",$V197="Macro"),IF(N($AM197)&gt;0,N(CHOOSE(MATCH($D197,ListaPuestos,0),INDEX('Cronograma R. Operacional'!$M$5:$M$1000,$AM197),INDEX('Cronograma R. Normativo'!$M$5:$M$1000,$AM197),INDEX('Cronograma R. Financiero'!$M$5:$M$1000,$AM197),INDEX('Cronograma Asistente Técnico'!$M$5:$M$1000,$AM197))),0),IF(ISNUMBER($G197),1,IF(N($W197)&gt;0,MIN(1,SUMIFS($Y$5:$Y$1000,$U$5:$U$1000,ROW(),$V$5:$V$1000,"Sub")),$Y197))))</f>
        <v/>
      </c>
      <c r="N197" s="56">
        <f>IF(OR($M197="",$V197="Sub"),"",IF($M197&gt;=1,"Completado",IF($M197&gt;0,"En curso","Pendiente")))</f>
        <v/>
      </c>
      <c r="O197" s="56">
        <f>IF(NOT((COUNTA($B197:$D197)+COUNTA($G197:$H197)+COUNTA($Q197))&gt;0),"",IF(AND(AND($D197&lt;&gt;"",$V197="Macro"),N($AM197)&gt;0),CHOOSE(MATCH($D197,ListaPuestos,0),INDEX('Cronograma R. Operacional'!$O$5:$O$1000,$AM197),INDEX('Cronograma R. Normativo'!$O$5:$O$1000,$AM197),INDEX('Cronograma R. Financiero'!$O$5:$O$1000,$AM197),INDEX('Cronograma Asistente Técnico'!$O$5:$O$1000,$AM197))&amp;"",IF(ISNUMBER($G197),IF(AND(ISNUMBER($AS197),$G197&gt;$AS197),"Cumplida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f>IF(NOT((COUNTA($B197:$D197)+COUNTA($G197:$H197)+COUNTA($Q197))&gt;0),"",IF($D197="","Propia",IF($V197&lt;&gt;"Macro","Solo se delegan macroactividades",IF(N($AM197)&gt;0,"✔ Recibida por "&amp;$D197,"⚠ "&amp;$D197&amp;" aún no la agrega"))))</f>
        <v/>
      </c>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IF($V197&lt;&gt;"Sub","",N($X197)*IF(AND(ISNUMBER($G197),$G197&lt;=IF($S197=MesCiclo,InicioCiclo,$S197+MOD(2-WEEKDAY($S197),7))+6),1,MIN(1,MAX(0,IF(ISNUMBER(OFFSET($A$1,ROW()-1,8)),OFFSET($A$1,ROW()-1,8),0)))))</f>
        <v/>
      </c>
      <c r="AE197" s="62">
        <f>IF($V197&lt;&gt;"Sub","",N($X197)*IF(AND(ISNUMBER($G197),$G197&lt;=IF($S197=MesCiclo,InicioCiclo,$S197+MOD(2-WEEKDAY($S197),7))+13),1,MIN(1,MAX(0,IF(ISNUMBER(OFFSET($A$1,ROW()-1,9)),OFFSET($A$1,ROW()-1,9),IF(ISNUMBER(OFFSET($A$1,ROW()-1,8)),OFFSET($A$1,ROW()-1,8),0))))))</f>
        <v/>
      </c>
      <c r="AF197" s="62">
        <f>IF($V197&lt;&gt;"Sub","",N($X197)*IF(AND(ISNUMBER($G197),$G197&lt;=IF($S197=MesCiclo,InicioCiclo,$S197+MOD(2-WEEKDAY($S197),7))+20),1,MIN(1,MAX(0,IF(ISNUMBER(OFFSET($A$1,ROW()-1,10)),OFFSET($A$1,ROW()-1,10),IF(ISNUMBER(OFFSET($A$1,ROW()-1,9)),OFFSET($A$1,ROW()-1,9),IF(ISNUMBER(OFFSET($A$1,ROW()-1,8)),OFFSET($A$1,ROW()-1,8),0)))))))</f>
        <v/>
      </c>
      <c r="AG197" s="62">
        <f>IF($V197&lt;&gt;"Sub","",N($X197)*IF(AND(ISNUMBER($G197),$G197&lt;=IF($S197=MesCiclo,InicioCiclo,$S197+MOD(2-WEEKDAY($S197),7))+27),1,MIN(1,MAX(0,IF(ISNUMBER(OFFSET($A$1,ROW()-1,11)),OFFSET($A$1,ROW()-1,11),IF(ISNUMBER(OFFSET($A$1,ROW()-1,10)),OFFSET($A$1,ROW()-1,10),IF(ISNUMBER(OFFSET($A$1,ROW()-1,9)),OFFSET($A$1,ROW()-1,9),IF(ISNUMBER(OFFSET($A$1,ROW()-1,8)),OFFSET($A$1,ROW()-1,8),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f>IF(NOT(AND($D197&lt;&gt;"",$V197="Macro")),"",IFERROR(CHOOSE(MATCH($D197,ListaPuestos,0),MATCH("[Jefatura] "&amp;$C197,'Cronograma R. Operacional'!$C$5:$C$1000,0),MATCH("[Jefatura] "&amp;$C197,'Cronograma R. Normativo'!$C$5:$C$1000,0),MATCH("[Jefatura] "&amp;$C197,'Cronograma R. Financiero'!$C$5:$C$1000,0),MATCH("[Jefatura] "&amp;$C197,'Cronograma Asistente Técnico'!$C$5:$C$1000,0)),0))</f>
        <v/>
      </c>
      <c r="AN197" s="62">
        <f>IF(AND(AND($D197&lt;&gt;"",$V197="Macro"),$S197=MesCiclo),COUNTIFS($D$5:$D197,$D197,$S$5:$S197,MesCiclo,$V$5:$V197,"Macro"),"")</f>
        <v/>
      </c>
      <c r="AO197" s="62">
        <f>IF($AN197="","",$D197&amp;"|"&amp;$AN197)</f>
        <v/>
      </c>
      <c r="AP197" s="62">
        <f>IF(AND($D197&lt;&gt;"",$V197="Macro"),$D197&amp;"|"&amp;$C197,"")</f>
        <v/>
      </c>
      <c r="AQ197" s="62">
        <f>""</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t="n"/>
      <c r="F198" s="59" t="n"/>
      <c r="G198" s="59" t="n"/>
      <c r="H198" s="60" t="n"/>
      <c r="I198" s="60">
        <f>IF(N($W198)=0,"",IF(AND($S198=MesCiclo,1&gt;SemanaActual),"",MIN(1,SUMIFS(OFFSET($A$1,ROW(),29,1000-ROW(),1),OFFSET($A$1,ROW(),20,1000-ROW(),1),ROW(),OFFSET($A$1,ROW(),21,1000-ROW(),1),"Sub"))))</f>
        <v/>
      </c>
      <c r="J198" s="60">
        <f>IF(N($W198)=0,"",IF(AND($S198=MesCiclo,2&gt;SemanaActual),"",MIN(1,SUMIFS(OFFSET($A$1,ROW(),30,1000-ROW(),1),OFFSET($A$1,ROW(),20,1000-ROW(),1),ROW(),OFFSET($A$1,ROW(),21,1000-ROW(),1),"Sub"))))</f>
        <v/>
      </c>
      <c r="K198" s="60">
        <f>IF(N($W198)=0,"",IF(AND($S198=MesCiclo,3&gt;SemanaActual),"",MIN(1,SUMIFS(OFFSET($A$1,ROW(),31,1000-ROW(),1),OFFSET($A$1,ROW(),20,1000-ROW(),1),ROW(),OFFSET($A$1,ROW(),21,1000-ROW(),1),"Sub"))))</f>
        <v/>
      </c>
      <c r="L198" s="60">
        <f>IF(N($W198)=0,"",IF(AND($S198=MesCiclo,4&gt;SemanaActual),"",MIN(1,SUMIFS(OFFSET($A$1,ROW(),32,1000-ROW(),1),OFFSET($A$1,ROW(),20,1000-ROW(),1),ROW(),OFFSET($A$1,ROW(),21,1000-ROW(),1),"Sub"))))</f>
        <v/>
      </c>
      <c r="M198" s="61">
        <f>IF(NOT((COUNTA($B198:$D198)+COUNTA($G198:$H198)+COUNTA($Q198))&gt;0),"",IF(AND($D198&lt;&gt;"",$V198="Macro"),IF(N($AM198)&gt;0,N(CHOOSE(MATCH($D198,ListaPuestos,0),INDEX('Cronograma R. Operacional'!$M$5:$M$1000,$AM198),INDEX('Cronograma R. Normativo'!$M$5:$M$1000,$AM198),INDEX('Cronograma R. Financiero'!$M$5:$M$1000,$AM198),INDEX('Cronograma Asistente Técnico'!$M$5:$M$1000,$AM198))),0),IF(ISNUMBER($G198),1,IF(N($W198)&gt;0,MIN(1,SUMIFS($Y$5:$Y$1000,$U$5:$U$1000,ROW(),$V$5:$V$1000,"Sub")),$Y198))))</f>
        <v/>
      </c>
      <c r="N198" s="56">
        <f>IF(OR($M198="",$V198="Sub"),"",IF($M198&gt;=1,"Completado",IF($M198&gt;0,"En curso","Pendiente")))</f>
        <v/>
      </c>
      <c r="O198" s="56">
        <f>IF(NOT((COUNTA($B198:$D198)+COUNTA($G198:$H198)+COUNTA($Q198))&gt;0),"",IF(AND(AND($D198&lt;&gt;"",$V198="Macro"),N($AM198)&gt;0),CHOOSE(MATCH($D198,ListaPuestos,0),INDEX('Cronograma R. Operacional'!$O$5:$O$1000,$AM198),INDEX('Cronograma R. Normativo'!$O$5:$O$1000,$AM198),INDEX('Cronograma R. Financiero'!$O$5:$O$1000,$AM198),INDEX('Cronograma Asistente Técnico'!$O$5:$O$1000,$AM198))&amp;"",IF(ISNUMBER($G198),IF(AND(ISNUMBER($AS198),$G198&gt;$AS198),"Cumplida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f>IF(NOT((COUNTA($B198:$D198)+COUNTA($G198:$H198)+COUNTA($Q198))&gt;0),"",IF($D198="","Propia",IF($V198&lt;&gt;"Macro","Solo se delegan macroactividades",IF(N($AM198)&gt;0,"✔ Recibida por "&amp;$D198,"⚠ "&amp;$D198&amp;" aún no la agrega"))))</f>
        <v/>
      </c>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IF($V198&lt;&gt;"Sub","",N($X198)*IF(AND(ISNUMBER($G198),$G198&lt;=IF($S198=MesCiclo,InicioCiclo,$S198+MOD(2-WEEKDAY($S198),7))+6),1,MIN(1,MAX(0,IF(ISNUMBER(OFFSET($A$1,ROW()-1,8)),OFFSET($A$1,ROW()-1,8),0)))))</f>
        <v/>
      </c>
      <c r="AE198" s="62">
        <f>IF($V198&lt;&gt;"Sub","",N($X198)*IF(AND(ISNUMBER($G198),$G198&lt;=IF($S198=MesCiclo,InicioCiclo,$S198+MOD(2-WEEKDAY($S198),7))+13),1,MIN(1,MAX(0,IF(ISNUMBER(OFFSET($A$1,ROW()-1,9)),OFFSET($A$1,ROW()-1,9),IF(ISNUMBER(OFFSET($A$1,ROW()-1,8)),OFFSET($A$1,ROW()-1,8),0))))))</f>
        <v/>
      </c>
      <c r="AF198" s="62">
        <f>IF($V198&lt;&gt;"Sub","",N($X198)*IF(AND(ISNUMBER($G198),$G198&lt;=IF($S198=MesCiclo,InicioCiclo,$S198+MOD(2-WEEKDAY($S198),7))+20),1,MIN(1,MAX(0,IF(ISNUMBER(OFFSET($A$1,ROW()-1,10)),OFFSET($A$1,ROW()-1,10),IF(ISNUMBER(OFFSET($A$1,ROW()-1,9)),OFFSET($A$1,ROW()-1,9),IF(ISNUMBER(OFFSET($A$1,ROW()-1,8)),OFFSET($A$1,ROW()-1,8),0)))))))</f>
        <v/>
      </c>
      <c r="AG198" s="62">
        <f>IF($V198&lt;&gt;"Sub","",N($X198)*IF(AND(ISNUMBER($G198),$G198&lt;=IF($S198=MesCiclo,InicioCiclo,$S198+MOD(2-WEEKDAY($S198),7))+27),1,MIN(1,MAX(0,IF(ISNUMBER(OFFSET($A$1,ROW()-1,11)),OFFSET($A$1,ROW()-1,11),IF(ISNUMBER(OFFSET($A$1,ROW()-1,10)),OFFSET($A$1,ROW()-1,10),IF(ISNUMBER(OFFSET($A$1,ROW()-1,9)),OFFSET($A$1,ROW()-1,9),IF(ISNUMBER(OFFSET($A$1,ROW()-1,8)),OFFSET($A$1,ROW()-1,8),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f>IF(NOT(AND($D198&lt;&gt;"",$V198="Macro")),"",IFERROR(CHOOSE(MATCH($D198,ListaPuestos,0),MATCH("[Jefatura] "&amp;$C198,'Cronograma R. Operacional'!$C$5:$C$1000,0),MATCH("[Jefatura] "&amp;$C198,'Cronograma R. Normativo'!$C$5:$C$1000,0),MATCH("[Jefatura] "&amp;$C198,'Cronograma R. Financiero'!$C$5:$C$1000,0),MATCH("[Jefatura] "&amp;$C198,'Cronograma Asistente Técnico'!$C$5:$C$1000,0)),0))</f>
        <v/>
      </c>
      <c r="AN198" s="62">
        <f>IF(AND(AND($D198&lt;&gt;"",$V198="Macro"),$S198=MesCiclo),COUNTIFS($D$5:$D198,$D198,$S$5:$S198,MesCiclo,$V$5:$V198,"Macro"),"")</f>
        <v/>
      </c>
      <c r="AO198" s="62">
        <f>IF($AN198="","",$D198&amp;"|"&amp;$AN198)</f>
        <v/>
      </c>
      <c r="AP198" s="62">
        <f>IF(AND($D198&lt;&gt;"",$V198="Macro"),$D198&amp;"|"&amp;$C198,"")</f>
        <v/>
      </c>
      <c r="AQ198" s="62">
        <f>""</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t="n"/>
      <c r="F199" s="59" t="n"/>
      <c r="G199" s="59" t="n"/>
      <c r="H199" s="60" t="n"/>
      <c r="I199" s="60">
        <f>IF(N($W199)=0,"",IF(AND($S199=MesCiclo,1&gt;SemanaActual),"",MIN(1,SUMIFS(OFFSET($A$1,ROW(),29,1000-ROW(),1),OFFSET($A$1,ROW(),20,1000-ROW(),1),ROW(),OFFSET($A$1,ROW(),21,1000-ROW(),1),"Sub"))))</f>
        <v/>
      </c>
      <c r="J199" s="60">
        <f>IF(N($W199)=0,"",IF(AND($S199=MesCiclo,2&gt;SemanaActual),"",MIN(1,SUMIFS(OFFSET($A$1,ROW(),30,1000-ROW(),1),OFFSET($A$1,ROW(),20,1000-ROW(),1),ROW(),OFFSET($A$1,ROW(),21,1000-ROW(),1),"Sub"))))</f>
        <v/>
      </c>
      <c r="K199" s="60">
        <f>IF(N($W199)=0,"",IF(AND($S199=MesCiclo,3&gt;SemanaActual),"",MIN(1,SUMIFS(OFFSET($A$1,ROW(),31,1000-ROW(),1),OFFSET($A$1,ROW(),20,1000-ROW(),1),ROW(),OFFSET($A$1,ROW(),21,1000-ROW(),1),"Sub"))))</f>
        <v/>
      </c>
      <c r="L199" s="60">
        <f>IF(N($W199)=0,"",IF(AND($S199=MesCiclo,4&gt;SemanaActual),"",MIN(1,SUMIFS(OFFSET($A$1,ROW(),32,1000-ROW(),1),OFFSET($A$1,ROW(),20,1000-ROW(),1),ROW(),OFFSET($A$1,ROW(),21,1000-ROW(),1),"Sub"))))</f>
        <v/>
      </c>
      <c r="M199" s="61">
        <f>IF(NOT((COUNTA($B199:$D199)+COUNTA($G199:$H199)+COUNTA($Q199))&gt;0),"",IF(AND($D199&lt;&gt;"",$V199="Macro"),IF(N($AM199)&gt;0,N(CHOOSE(MATCH($D199,ListaPuestos,0),INDEX('Cronograma R. Operacional'!$M$5:$M$1000,$AM199),INDEX('Cronograma R. Normativo'!$M$5:$M$1000,$AM199),INDEX('Cronograma R. Financiero'!$M$5:$M$1000,$AM199),INDEX('Cronograma Asistente Técnico'!$M$5:$M$1000,$AM199))),0),IF(ISNUMBER($G199),1,IF(N($W199)&gt;0,MIN(1,SUMIFS($Y$5:$Y$1000,$U$5:$U$1000,ROW(),$V$5:$V$1000,"Sub")),$Y199))))</f>
        <v/>
      </c>
      <c r="N199" s="56">
        <f>IF(OR($M199="",$V199="Sub"),"",IF($M199&gt;=1,"Completado",IF($M199&gt;0,"En curso","Pendiente")))</f>
        <v/>
      </c>
      <c r="O199" s="56">
        <f>IF(NOT((COUNTA($B199:$D199)+COUNTA($G199:$H199)+COUNTA($Q199))&gt;0),"",IF(AND(AND($D199&lt;&gt;"",$V199="Macro"),N($AM199)&gt;0),CHOOSE(MATCH($D199,ListaPuestos,0),INDEX('Cronograma R. Operacional'!$O$5:$O$1000,$AM199),INDEX('Cronograma R. Normativo'!$O$5:$O$1000,$AM199),INDEX('Cronograma R. Financiero'!$O$5:$O$1000,$AM199),INDEX('Cronograma Asistente Técnico'!$O$5:$O$1000,$AM199))&amp;"",IF(ISNUMBER($G199),IF(AND(ISNUMBER($AS199),$G199&gt;$AS199),"Cumplida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f>IF(NOT((COUNTA($B199:$D199)+COUNTA($G199:$H199)+COUNTA($Q199))&gt;0),"",IF($D199="","Propia",IF($V199&lt;&gt;"Macro","Solo se delegan macroactividades",IF(N($AM199)&gt;0,"✔ Recibida por "&amp;$D199,"⚠ "&amp;$D199&amp;" aún no la agrega"))))</f>
        <v/>
      </c>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IF($V199&lt;&gt;"Sub","",N($X199)*IF(AND(ISNUMBER($G199),$G199&lt;=IF($S199=MesCiclo,InicioCiclo,$S199+MOD(2-WEEKDAY($S199),7))+6),1,MIN(1,MAX(0,IF(ISNUMBER(OFFSET($A$1,ROW()-1,8)),OFFSET($A$1,ROW()-1,8),0)))))</f>
        <v/>
      </c>
      <c r="AE199" s="62">
        <f>IF($V199&lt;&gt;"Sub","",N($X199)*IF(AND(ISNUMBER($G199),$G199&lt;=IF($S199=MesCiclo,InicioCiclo,$S199+MOD(2-WEEKDAY($S199),7))+13),1,MIN(1,MAX(0,IF(ISNUMBER(OFFSET($A$1,ROW()-1,9)),OFFSET($A$1,ROW()-1,9),IF(ISNUMBER(OFFSET($A$1,ROW()-1,8)),OFFSET($A$1,ROW()-1,8),0))))))</f>
        <v/>
      </c>
      <c r="AF199" s="62">
        <f>IF($V199&lt;&gt;"Sub","",N($X199)*IF(AND(ISNUMBER($G199),$G199&lt;=IF($S199=MesCiclo,InicioCiclo,$S199+MOD(2-WEEKDAY($S199),7))+20),1,MIN(1,MAX(0,IF(ISNUMBER(OFFSET($A$1,ROW()-1,10)),OFFSET($A$1,ROW()-1,10),IF(ISNUMBER(OFFSET($A$1,ROW()-1,9)),OFFSET($A$1,ROW()-1,9),IF(ISNUMBER(OFFSET($A$1,ROW()-1,8)),OFFSET($A$1,ROW()-1,8),0)))))))</f>
        <v/>
      </c>
      <c r="AG199" s="62">
        <f>IF($V199&lt;&gt;"Sub","",N($X199)*IF(AND(ISNUMBER($G199),$G199&lt;=IF($S199=MesCiclo,InicioCiclo,$S199+MOD(2-WEEKDAY($S199),7))+27),1,MIN(1,MAX(0,IF(ISNUMBER(OFFSET($A$1,ROW()-1,11)),OFFSET($A$1,ROW()-1,11),IF(ISNUMBER(OFFSET($A$1,ROW()-1,10)),OFFSET($A$1,ROW()-1,10),IF(ISNUMBER(OFFSET($A$1,ROW()-1,9)),OFFSET($A$1,ROW()-1,9),IF(ISNUMBER(OFFSET($A$1,ROW()-1,8)),OFFSET($A$1,ROW()-1,8),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f>IF(NOT(AND($D199&lt;&gt;"",$V199="Macro")),"",IFERROR(CHOOSE(MATCH($D199,ListaPuestos,0),MATCH("[Jefatura] "&amp;$C199,'Cronograma R. Operacional'!$C$5:$C$1000,0),MATCH("[Jefatura] "&amp;$C199,'Cronograma R. Normativo'!$C$5:$C$1000,0),MATCH("[Jefatura] "&amp;$C199,'Cronograma R. Financiero'!$C$5:$C$1000,0),MATCH("[Jefatura] "&amp;$C199,'Cronograma Asistente Técnico'!$C$5:$C$1000,0)),0))</f>
        <v/>
      </c>
      <c r="AN199" s="62">
        <f>IF(AND(AND($D199&lt;&gt;"",$V199="Macro"),$S199=MesCiclo),COUNTIFS($D$5:$D199,$D199,$S$5:$S199,MesCiclo,$V$5:$V199,"Macro"),"")</f>
        <v/>
      </c>
      <c r="AO199" s="62">
        <f>IF($AN199="","",$D199&amp;"|"&amp;$AN199)</f>
        <v/>
      </c>
      <c r="AP199" s="62">
        <f>IF(AND($D199&lt;&gt;"",$V199="Macro"),$D199&amp;"|"&amp;$C199,"")</f>
        <v/>
      </c>
      <c r="AQ199" s="62">
        <f>""</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t="n"/>
      <c r="F200" s="59" t="n"/>
      <c r="G200" s="59" t="n"/>
      <c r="H200" s="60" t="n"/>
      <c r="I200" s="60">
        <f>IF(N($W200)=0,"",IF(AND($S200=MesCiclo,1&gt;SemanaActual),"",MIN(1,SUMIFS(OFFSET($A$1,ROW(),29,1000-ROW(),1),OFFSET($A$1,ROW(),20,1000-ROW(),1),ROW(),OFFSET($A$1,ROW(),21,1000-ROW(),1),"Sub"))))</f>
        <v/>
      </c>
      <c r="J200" s="60">
        <f>IF(N($W200)=0,"",IF(AND($S200=MesCiclo,2&gt;SemanaActual),"",MIN(1,SUMIFS(OFFSET($A$1,ROW(),30,1000-ROW(),1),OFFSET($A$1,ROW(),20,1000-ROW(),1),ROW(),OFFSET($A$1,ROW(),21,1000-ROW(),1),"Sub"))))</f>
        <v/>
      </c>
      <c r="K200" s="60">
        <f>IF(N($W200)=0,"",IF(AND($S200=MesCiclo,3&gt;SemanaActual),"",MIN(1,SUMIFS(OFFSET($A$1,ROW(),31,1000-ROW(),1),OFFSET($A$1,ROW(),20,1000-ROW(),1),ROW(),OFFSET($A$1,ROW(),21,1000-ROW(),1),"Sub"))))</f>
        <v/>
      </c>
      <c r="L200" s="60">
        <f>IF(N($W200)=0,"",IF(AND($S200=MesCiclo,4&gt;SemanaActual),"",MIN(1,SUMIFS(OFFSET($A$1,ROW(),32,1000-ROW(),1),OFFSET($A$1,ROW(),20,1000-ROW(),1),ROW(),OFFSET($A$1,ROW(),21,1000-ROW(),1),"Sub"))))</f>
        <v/>
      </c>
      <c r="M200" s="61">
        <f>IF(NOT((COUNTA($B200:$D200)+COUNTA($G200:$H200)+COUNTA($Q200))&gt;0),"",IF(AND($D200&lt;&gt;"",$V200="Macro"),IF(N($AM200)&gt;0,N(CHOOSE(MATCH($D200,ListaPuestos,0),INDEX('Cronograma R. Operacional'!$M$5:$M$1000,$AM200),INDEX('Cronograma R. Normativo'!$M$5:$M$1000,$AM200),INDEX('Cronograma R. Financiero'!$M$5:$M$1000,$AM200),INDEX('Cronograma Asistente Técnico'!$M$5:$M$1000,$AM200))),0),IF(ISNUMBER($G200),1,IF(N($W200)&gt;0,MIN(1,SUMIFS($Y$5:$Y$1000,$U$5:$U$1000,ROW(),$V$5:$V$1000,"Sub")),$Y200))))</f>
        <v/>
      </c>
      <c r="N200" s="56">
        <f>IF(OR($M200="",$V200="Sub"),"",IF($M200&gt;=1,"Completado",IF($M200&gt;0,"En curso","Pendiente")))</f>
        <v/>
      </c>
      <c r="O200" s="56">
        <f>IF(NOT((COUNTA($B200:$D200)+COUNTA($G200:$H200)+COUNTA($Q200))&gt;0),"",IF(AND(AND($D200&lt;&gt;"",$V200="Macro"),N($AM200)&gt;0),CHOOSE(MATCH($D200,ListaPuestos,0),INDEX('Cronograma R. Operacional'!$O$5:$O$1000,$AM200),INDEX('Cronograma R. Normativo'!$O$5:$O$1000,$AM200),INDEX('Cronograma R. Financiero'!$O$5:$O$1000,$AM200),INDEX('Cronograma Asistente Técnico'!$O$5:$O$1000,$AM200))&amp;"",IF(ISNUMBER($G200),IF(AND(ISNUMBER($AS200),$G200&gt;$AS200),"Cumplida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f>IF(NOT((COUNTA($B200:$D200)+COUNTA($G200:$H200)+COUNTA($Q200))&gt;0),"",IF($D200="","Propia",IF($V200&lt;&gt;"Macro","Solo se delegan macroactividades",IF(N($AM200)&gt;0,"✔ Recibida por "&amp;$D200,"⚠ "&amp;$D200&amp;" aún no la agrega"))))</f>
        <v/>
      </c>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IF($V200&lt;&gt;"Sub","",N($X200)*IF(AND(ISNUMBER($G200),$G200&lt;=IF($S200=MesCiclo,InicioCiclo,$S200+MOD(2-WEEKDAY($S200),7))+6),1,MIN(1,MAX(0,IF(ISNUMBER(OFFSET($A$1,ROW()-1,8)),OFFSET($A$1,ROW()-1,8),0)))))</f>
        <v/>
      </c>
      <c r="AE200" s="62">
        <f>IF($V200&lt;&gt;"Sub","",N($X200)*IF(AND(ISNUMBER($G200),$G200&lt;=IF($S200=MesCiclo,InicioCiclo,$S200+MOD(2-WEEKDAY($S200),7))+13),1,MIN(1,MAX(0,IF(ISNUMBER(OFFSET($A$1,ROW()-1,9)),OFFSET($A$1,ROW()-1,9),IF(ISNUMBER(OFFSET($A$1,ROW()-1,8)),OFFSET($A$1,ROW()-1,8),0))))))</f>
        <v/>
      </c>
      <c r="AF200" s="62">
        <f>IF($V200&lt;&gt;"Sub","",N($X200)*IF(AND(ISNUMBER($G200),$G200&lt;=IF($S200=MesCiclo,InicioCiclo,$S200+MOD(2-WEEKDAY($S200),7))+20),1,MIN(1,MAX(0,IF(ISNUMBER(OFFSET($A$1,ROW()-1,10)),OFFSET($A$1,ROW()-1,10),IF(ISNUMBER(OFFSET($A$1,ROW()-1,9)),OFFSET($A$1,ROW()-1,9),IF(ISNUMBER(OFFSET($A$1,ROW()-1,8)),OFFSET($A$1,ROW()-1,8),0)))))))</f>
        <v/>
      </c>
      <c r="AG200" s="62">
        <f>IF($V200&lt;&gt;"Sub","",N($X200)*IF(AND(ISNUMBER($G200),$G200&lt;=IF($S200=MesCiclo,InicioCiclo,$S200+MOD(2-WEEKDAY($S200),7))+27),1,MIN(1,MAX(0,IF(ISNUMBER(OFFSET($A$1,ROW()-1,11)),OFFSET($A$1,ROW()-1,11),IF(ISNUMBER(OFFSET($A$1,ROW()-1,10)),OFFSET($A$1,ROW()-1,10),IF(ISNUMBER(OFFSET($A$1,ROW()-1,9)),OFFSET($A$1,ROW()-1,9),IF(ISNUMBER(OFFSET($A$1,ROW()-1,8)),OFFSET($A$1,ROW()-1,8),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f>IF(NOT(AND($D200&lt;&gt;"",$V200="Macro")),"",IFERROR(CHOOSE(MATCH($D200,ListaPuestos,0),MATCH("[Jefatura] "&amp;$C200,'Cronograma R. Operacional'!$C$5:$C$1000,0),MATCH("[Jefatura] "&amp;$C200,'Cronograma R. Normativo'!$C$5:$C$1000,0),MATCH("[Jefatura] "&amp;$C200,'Cronograma R. Financiero'!$C$5:$C$1000,0),MATCH("[Jefatura] "&amp;$C200,'Cronograma Asistente Técnico'!$C$5:$C$1000,0)),0))</f>
        <v/>
      </c>
      <c r="AN200" s="62">
        <f>IF(AND(AND($D200&lt;&gt;"",$V200="Macro"),$S200=MesCiclo),COUNTIFS($D$5:$D200,$D200,$S$5:$S200,MesCiclo,$V$5:$V200,"Macro"),"")</f>
        <v/>
      </c>
      <c r="AO200" s="62">
        <f>IF($AN200="","",$D200&amp;"|"&amp;$AN200)</f>
        <v/>
      </c>
      <c r="AP200" s="62">
        <f>IF(AND($D200&lt;&gt;"",$V200="Macro"),$D200&amp;"|"&amp;$C200,"")</f>
        <v/>
      </c>
      <c r="AQ200" s="62">
        <f>""</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t="n"/>
      <c r="F201" s="59" t="n"/>
      <c r="G201" s="59" t="n"/>
      <c r="H201" s="60" t="n"/>
      <c r="I201" s="60">
        <f>IF(N($W201)=0,"",IF(AND($S201=MesCiclo,1&gt;SemanaActual),"",MIN(1,SUMIFS(OFFSET($A$1,ROW(),29,1000-ROW(),1),OFFSET($A$1,ROW(),20,1000-ROW(),1),ROW(),OFFSET($A$1,ROW(),21,1000-ROW(),1),"Sub"))))</f>
        <v/>
      </c>
      <c r="J201" s="60">
        <f>IF(N($W201)=0,"",IF(AND($S201=MesCiclo,2&gt;SemanaActual),"",MIN(1,SUMIFS(OFFSET($A$1,ROW(),30,1000-ROW(),1),OFFSET($A$1,ROW(),20,1000-ROW(),1),ROW(),OFFSET($A$1,ROW(),21,1000-ROW(),1),"Sub"))))</f>
        <v/>
      </c>
      <c r="K201" s="60">
        <f>IF(N($W201)=0,"",IF(AND($S201=MesCiclo,3&gt;SemanaActual),"",MIN(1,SUMIFS(OFFSET($A$1,ROW(),31,1000-ROW(),1),OFFSET($A$1,ROW(),20,1000-ROW(),1),ROW(),OFFSET($A$1,ROW(),21,1000-ROW(),1),"Sub"))))</f>
        <v/>
      </c>
      <c r="L201" s="60">
        <f>IF(N($W201)=0,"",IF(AND($S201=MesCiclo,4&gt;SemanaActual),"",MIN(1,SUMIFS(OFFSET($A$1,ROW(),32,1000-ROW(),1),OFFSET($A$1,ROW(),20,1000-ROW(),1),ROW(),OFFSET($A$1,ROW(),21,1000-ROW(),1),"Sub"))))</f>
        <v/>
      </c>
      <c r="M201" s="61">
        <f>IF(NOT((COUNTA($B201:$D201)+COUNTA($G201:$H201)+COUNTA($Q201))&gt;0),"",IF(AND($D201&lt;&gt;"",$V201="Macro"),IF(N($AM201)&gt;0,N(CHOOSE(MATCH($D201,ListaPuestos,0),INDEX('Cronograma R. Operacional'!$M$5:$M$1000,$AM201),INDEX('Cronograma R. Normativo'!$M$5:$M$1000,$AM201),INDEX('Cronograma R. Financiero'!$M$5:$M$1000,$AM201),INDEX('Cronograma Asistente Técnico'!$M$5:$M$1000,$AM201))),0),IF(ISNUMBER($G201),1,IF(N($W201)&gt;0,MIN(1,SUMIFS($Y$5:$Y$1000,$U$5:$U$1000,ROW(),$V$5:$V$1000,"Sub")),$Y201))))</f>
        <v/>
      </c>
      <c r="N201" s="56">
        <f>IF(OR($M201="",$V201="Sub"),"",IF($M201&gt;=1,"Completado",IF($M201&gt;0,"En curso","Pendiente")))</f>
        <v/>
      </c>
      <c r="O201" s="56">
        <f>IF(NOT((COUNTA($B201:$D201)+COUNTA($G201:$H201)+COUNTA($Q201))&gt;0),"",IF(AND(AND($D201&lt;&gt;"",$V201="Macro"),N($AM201)&gt;0),CHOOSE(MATCH($D201,ListaPuestos,0),INDEX('Cronograma R. Operacional'!$O$5:$O$1000,$AM201),INDEX('Cronograma R. Normativo'!$O$5:$O$1000,$AM201),INDEX('Cronograma R. Financiero'!$O$5:$O$1000,$AM201),INDEX('Cronograma Asistente Técnico'!$O$5:$O$1000,$AM201))&amp;"",IF(ISNUMBER($G201),IF(AND(ISNUMBER($AS201),$G201&gt;$AS201),"Cumplida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f>IF(NOT((COUNTA($B201:$D201)+COUNTA($G201:$H201)+COUNTA($Q201))&gt;0),"",IF($D201="","Propia",IF($V201&lt;&gt;"Macro","Solo se delegan macroactividades",IF(N($AM201)&gt;0,"✔ Recibida por "&amp;$D201,"⚠ "&amp;$D201&amp;" aún no la agrega"))))</f>
        <v/>
      </c>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IF($V201&lt;&gt;"Sub","",N($X201)*IF(AND(ISNUMBER($G201),$G201&lt;=IF($S201=MesCiclo,InicioCiclo,$S201+MOD(2-WEEKDAY($S201),7))+6),1,MIN(1,MAX(0,IF(ISNUMBER(OFFSET($A$1,ROW()-1,8)),OFFSET($A$1,ROW()-1,8),0)))))</f>
        <v/>
      </c>
      <c r="AE201" s="62">
        <f>IF($V201&lt;&gt;"Sub","",N($X201)*IF(AND(ISNUMBER($G201),$G201&lt;=IF($S201=MesCiclo,InicioCiclo,$S201+MOD(2-WEEKDAY($S201),7))+13),1,MIN(1,MAX(0,IF(ISNUMBER(OFFSET($A$1,ROW()-1,9)),OFFSET($A$1,ROW()-1,9),IF(ISNUMBER(OFFSET($A$1,ROW()-1,8)),OFFSET($A$1,ROW()-1,8),0))))))</f>
        <v/>
      </c>
      <c r="AF201" s="62">
        <f>IF($V201&lt;&gt;"Sub","",N($X201)*IF(AND(ISNUMBER($G201),$G201&lt;=IF($S201=MesCiclo,InicioCiclo,$S201+MOD(2-WEEKDAY($S201),7))+20),1,MIN(1,MAX(0,IF(ISNUMBER(OFFSET($A$1,ROW()-1,10)),OFFSET($A$1,ROW()-1,10),IF(ISNUMBER(OFFSET($A$1,ROW()-1,9)),OFFSET($A$1,ROW()-1,9),IF(ISNUMBER(OFFSET($A$1,ROW()-1,8)),OFFSET($A$1,ROW()-1,8),0)))))))</f>
        <v/>
      </c>
      <c r="AG201" s="62">
        <f>IF($V201&lt;&gt;"Sub","",N($X201)*IF(AND(ISNUMBER($G201),$G201&lt;=IF($S201=MesCiclo,InicioCiclo,$S201+MOD(2-WEEKDAY($S201),7))+27),1,MIN(1,MAX(0,IF(ISNUMBER(OFFSET($A$1,ROW()-1,11)),OFFSET($A$1,ROW()-1,11),IF(ISNUMBER(OFFSET($A$1,ROW()-1,10)),OFFSET($A$1,ROW()-1,10),IF(ISNUMBER(OFFSET($A$1,ROW()-1,9)),OFFSET($A$1,ROW()-1,9),IF(ISNUMBER(OFFSET($A$1,ROW()-1,8)),OFFSET($A$1,ROW()-1,8),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f>IF(NOT(AND($D201&lt;&gt;"",$V201="Macro")),"",IFERROR(CHOOSE(MATCH($D201,ListaPuestos,0),MATCH("[Jefatura] "&amp;$C201,'Cronograma R. Operacional'!$C$5:$C$1000,0),MATCH("[Jefatura] "&amp;$C201,'Cronograma R. Normativo'!$C$5:$C$1000,0),MATCH("[Jefatura] "&amp;$C201,'Cronograma R. Financiero'!$C$5:$C$1000,0),MATCH("[Jefatura] "&amp;$C201,'Cronograma Asistente Técnico'!$C$5:$C$1000,0)),0))</f>
        <v/>
      </c>
      <c r="AN201" s="62">
        <f>IF(AND(AND($D201&lt;&gt;"",$V201="Macro"),$S201=MesCiclo),COUNTIFS($D$5:$D201,$D201,$S$5:$S201,MesCiclo,$V$5:$V201,"Macro"),"")</f>
        <v/>
      </c>
      <c r="AO201" s="62">
        <f>IF($AN201="","",$D201&amp;"|"&amp;$AN201)</f>
        <v/>
      </c>
      <c r="AP201" s="62">
        <f>IF(AND($D201&lt;&gt;"",$V201="Macro"),$D201&amp;"|"&amp;$C201,"")</f>
        <v/>
      </c>
      <c r="AQ201" s="62">
        <f>""</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t="n"/>
      <c r="F202" s="59" t="n"/>
      <c r="G202" s="59" t="n"/>
      <c r="H202" s="60" t="n"/>
      <c r="I202" s="60">
        <f>IF(N($W202)=0,"",IF(AND($S202=MesCiclo,1&gt;SemanaActual),"",MIN(1,SUMIFS(OFFSET($A$1,ROW(),29,1000-ROW(),1),OFFSET($A$1,ROW(),20,1000-ROW(),1),ROW(),OFFSET($A$1,ROW(),21,1000-ROW(),1),"Sub"))))</f>
        <v/>
      </c>
      <c r="J202" s="60">
        <f>IF(N($W202)=0,"",IF(AND($S202=MesCiclo,2&gt;SemanaActual),"",MIN(1,SUMIFS(OFFSET($A$1,ROW(),30,1000-ROW(),1),OFFSET($A$1,ROW(),20,1000-ROW(),1),ROW(),OFFSET($A$1,ROW(),21,1000-ROW(),1),"Sub"))))</f>
        <v/>
      </c>
      <c r="K202" s="60">
        <f>IF(N($W202)=0,"",IF(AND($S202=MesCiclo,3&gt;SemanaActual),"",MIN(1,SUMIFS(OFFSET($A$1,ROW(),31,1000-ROW(),1),OFFSET($A$1,ROW(),20,1000-ROW(),1),ROW(),OFFSET($A$1,ROW(),21,1000-ROW(),1),"Sub"))))</f>
        <v/>
      </c>
      <c r="L202" s="60">
        <f>IF(N($W202)=0,"",IF(AND($S202=MesCiclo,4&gt;SemanaActual),"",MIN(1,SUMIFS(OFFSET($A$1,ROW(),32,1000-ROW(),1),OFFSET($A$1,ROW(),20,1000-ROW(),1),ROW(),OFFSET($A$1,ROW(),21,1000-ROW(),1),"Sub"))))</f>
        <v/>
      </c>
      <c r="M202" s="61">
        <f>IF(NOT((COUNTA($B202:$D202)+COUNTA($G202:$H202)+COUNTA($Q202))&gt;0),"",IF(AND($D202&lt;&gt;"",$V202="Macro"),IF(N($AM202)&gt;0,N(CHOOSE(MATCH($D202,ListaPuestos,0),INDEX('Cronograma R. Operacional'!$M$5:$M$1000,$AM202),INDEX('Cronograma R. Normativo'!$M$5:$M$1000,$AM202),INDEX('Cronograma R. Financiero'!$M$5:$M$1000,$AM202),INDEX('Cronograma Asistente Técnico'!$M$5:$M$1000,$AM202))),0),IF(ISNUMBER($G202),1,IF(N($W202)&gt;0,MIN(1,SUMIFS($Y$5:$Y$1000,$U$5:$U$1000,ROW(),$V$5:$V$1000,"Sub")),$Y202))))</f>
        <v/>
      </c>
      <c r="N202" s="56">
        <f>IF(OR($M202="",$V202="Sub"),"",IF($M202&gt;=1,"Completado",IF($M202&gt;0,"En curso","Pendiente")))</f>
        <v/>
      </c>
      <c r="O202" s="56">
        <f>IF(NOT((COUNTA($B202:$D202)+COUNTA($G202:$H202)+COUNTA($Q202))&gt;0),"",IF(AND(AND($D202&lt;&gt;"",$V202="Macro"),N($AM202)&gt;0),CHOOSE(MATCH($D202,ListaPuestos,0),INDEX('Cronograma R. Operacional'!$O$5:$O$1000,$AM202),INDEX('Cronograma R. Normativo'!$O$5:$O$1000,$AM202),INDEX('Cronograma R. Financiero'!$O$5:$O$1000,$AM202),INDEX('Cronograma Asistente Técnico'!$O$5:$O$1000,$AM202))&amp;"",IF(ISNUMBER($G202),IF(AND(ISNUMBER($AS202),$G202&gt;$AS202),"Cumplida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f>IF(NOT((COUNTA($B202:$D202)+COUNTA($G202:$H202)+COUNTA($Q202))&gt;0),"",IF($D202="","Propia",IF($V202&lt;&gt;"Macro","Solo se delegan macroactividades",IF(N($AM202)&gt;0,"✔ Recibida por "&amp;$D202,"⚠ "&amp;$D202&amp;" aún no la agrega"))))</f>
        <v/>
      </c>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IF($V202&lt;&gt;"Sub","",N($X202)*IF(AND(ISNUMBER($G202),$G202&lt;=IF($S202=MesCiclo,InicioCiclo,$S202+MOD(2-WEEKDAY($S202),7))+6),1,MIN(1,MAX(0,IF(ISNUMBER(OFFSET($A$1,ROW()-1,8)),OFFSET($A$1,ROW()-1,8),0)))))</f>
        <v/>
      </c>
      <c r="AE202" s="62">
        <f>IF($V202&lt;&gt;"Sub","",N($X202)*IF(AND(ISNUMBER($G202),$G202&lt;=IF($S202=MesCiclo,InicioCiclo,$S202+MOD(2-WEEKDAY($S202),7))+13),1,MIN(1,MAX(0,IF(ISNUMBER(OFFSET($A$1,ROW()-1,9)),OFFSET($A$1,ROW()-1,9),IF(ISNUMBER(OFFSET($A$1,ROW()-1,8)),OFFSET($A$1,ROW()-1,8),0))))))</f>
        <v/>
      </c>
      <c r="AF202" s="62">
        <f>IF($V202&lt;&gt;"Sub","",N($X202)*IF(AND(ISNUMBER($G202),$G202&lt;=IF($S202=MesCiclo,InicioCiclo,$S202+MOD(2-WEEKDAY($S202),7))+20),1,MIN(1,MAX(0,IF(ISNUMBER(OFFSET($A$1,ROW()-1,10)),OFFSET($A$1,ROW()-1,10),IF(ISNUMBER(OFFSET($A$1,ROW()-1,9)),OFFSET($A$1,ROW()-1,9),IF(ISNUMBER(OFFSET($A$1,ROW()-1,8)),OFFSET($A$1,ROW()-1,8),0)))))))</f>
        <v/>
      </c>
      <c r="AG202" s="62">
        <f>IF($V202&lt;&gt;"Sub","",N($X202)*IF(AND(ISNUMBER($G202),$G202&lt;=IF($S202=MesCiclo,InicioCiclo,$S202+MOD(2-WEEKDAY($S202),7))+27),1,MIN(1,MAX(0,IF(ISNUMBER(OFFSET($A$1,ROW()-1,11)),OFFSET($A$1,ROW()-1,11),IF(ISNUMBER(OFFSET($A$1,ROW()-1,10)),OFFSET($A$1,ROW()-1,10),IF(ISNUMBER(OFFSET($A$1,ROW()-1,9)),OFFSET($A$1,ROW()-1,9),IF(ISNUMBER(OFFSET($A$1,ROW()-1,8)),OFFSET($A$1,ROW()-1,8),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f>IF(NOT(AND($D202&lt;&gt;"",$V202="Macro")),"",IFERROR(CHOOSE(MATCH($D202,ListaPuestos,0),MATCH("[Jefatura] "&amp;$C202,'Cronograma R. Operacional'!$C$5:$C$1000,0),MATCH("[Jefatura] "&amp;$C202,'Cronograma R. Normativo'!$C$5:$C$1000,0),MATCH("[Jefatura] "&amp;$C202,'Cronograma R. Financiero'!$C$5:$C$1000,0),MATCH("[Jefatura] "&amp;$C202,'Cronograma Asistente Técnico'!$C$5:$C$1000,0)),0))</f>
        <v/>
      </c>
      <c r="AN202" s="62">
        <f>IF(AND(AND($D202&lt;&gt;"",$V202="Macro"),$S202=MesCiclo),COUNTIFS($D$5:$D202,$D202,$S$5:$S202,MesCiclo,$V$5:$V202,"Macro"),"")</f>
        <v/>
      </c>
      <c r="AO202" s="62">
        <f>IF($AN202="","",$D202&amp;"|"&amp;$AN202)</f>
        <v/>
      </c>
      <c r="AP202" s="62">
        <f>IF(AND($D202&lt;&gt;"",$V202="Macro"),$D202&amp;"|"&amp;$C202,"")</f>
        <v/>
      </c>
      <c r="AQ202" s="62">
        <f>""</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t="n"/>
      <c r="F203" s="59" t="n"/>
      <c r="G203" s="59" t="n"/>
      <c r="H203" s="60" t="n"/>
      <c r="I203" s="60">
        <f>IF(N($W203)=0,"",IF(AND($S203=MesCiclo,1&gt;SemanaActual),"",MIN(1,SUMIFS(OFFSET($A$1,ROW(),29,1000-ROW(),1),OFFSET($A$1,ROW(),20,1000-ROW(),1),ROW(),OFFSET($A$1,ROW(),21,1000-ROW(),1),"Sub"))))</f>
        <v/>
      </c>
      <c r="J203" s="60">
        <f>IF(N($W203)=0,"",IF(AND($S203=MesCiclo,2&gt;SemanaActual),"",MIN(1,SUMIFS(OFFSET($A$1,ROW(),30,1000-ROW(),1),OFFSET($A$1,ROW(),20,1000-ROW(),1),ROW(),OFFSET($A$1,ROW(),21,1000-ROW(),1),"Sub"))))</f>
        <v/>
      </c>
      <c r="K203" s="60">
        <f>IF(N($W203)=0,"",IF(AND($S203=MesCiclo,3&gt;SemanaActual),"",MIN(1,SUMIFS(OFFSET($A$1,ROW(),31,1000-ROW(),1),OFFSET($A$1,ROW(),20,1000-ROW(),1),ROW(),OFFSET($A$1,ROW(),21,1000-ROW(),1),"Sub"))))</f>
        <v/>
      </c>
      <c r="L203" s="60">
        <f>IF(N($W203)=0,"",IF(AND($S203=MesCiclo,4&gt;SemanaActual),"",MIN(1,SUMIFS(OFFSET($A$1,ROW(),32,1000-ROW(),1),OFFSET($A$1,ROW(),20,1000-ROW(),1),ROW(),OFFSET($A$1,ROW(),21,1000-ROW(),1),"Sub"))))</f>
        <v/>
      </c>
      <c r="M203" s="61">
        <f>IF(NOT((COUNTA($B203:$D203)+COUNTA($G203:$H203)+COUNTA($Q203))&gt;0),"",IF(AND($D203&lt;&gt;"",$V203="Macro"),IF(N($AM203)&gt;0,N(CHOOSE(MATCH($D203,ListaPuestos,0),INDEX('Cronograma R. Operacional'!$M$5:$M$1000,$AM203),INDEX('Cronograma R. Normativo'!$M$5:$M$1000,$AM203),INDEX('Cronograma R. Financiero'!$M$5:$M$1000,$AM203),INDEX('Cronograma Asistente Técnico'!$M$5:$M$1000,$AM203))),0),IF(ISNUMBER($G203),1,IF(N($W203)&gt;0,MIN(1,SUMIFS($Y$5:$Y$1000,$U$5:$U$1000,ROW(),$V$5:$V$1000,"Sub")),$Y203))))</f>
        <v/>
      </c>
      <c r="N203" s="56">
        <f>IF(OR($M203="",$V203="Sub"),"",IF($M203&gt;=1,"Completado",IF($M203&gt;0,"En curso","Pendiente")))</f>
        <v/>
      </c>
      <c r="O203" s="56">
        <f>IF(NOT((COUNTA($B203:$D203)+COUNTA($G203:$H203)+COUNTA($Q203))&gt;0),"",IF(AND(AND($D203&lt;&gt;"",$V203="Macro"),N($AM203)&gt;0),CHOOSE(MATCH($D203,ListaPuestos,0),INDEX('Cronograma R. Operacional'!$O$5:$O$1000,$AM203),INDEX('Cronograma R. Normativo'!$O$5:$O$1000,$AM203),INDEX('Cronograma R. Financiero'!$O$5:$O$1000,$AM203),INDEX('Cronograma Asistente Técnico'!$O$5:$O$1000,$AM203))&amp;"",IF(ISNUMBER($G203),IF(AND(ISNUMBER($AS203),$G203&gt;$AS203),"Cumplida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f>IF(NOT((COUNTA($B203:$D203)+COUNTA($G203:$H203)+COUNTA($Q203))&gt;0),"",IF($D203="","Propia",IF($V203&lt;&gt;"Macro","Solo se delegan macroactividades",IF(N($AM203)&gt;0,"✔ Recibida por "&amp;$D203,"⚠ "&amp;$D203&amp;" aún no la agrega"))))</f>
        <v/>
      </c>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IF($V203&lt;&gt;"Sub","",N($X203)*IF(AND(ISNUMBER($G203),$G203&lt;=IF($S203=MesCiclo,InicioCiclo,$S203+MOD(2-WEEKDAY($S203),7))+6),1,MIN(1,MAX(0,IF(ISNUMBER(OFFSET($A$1,ROW()-1,8)),OFFSET($A$1,ROW()-1,8),0)))))</f>
        <v/>
      </c>
      <c r="AE203" s="62">
        <f>IF($V203&lt;&gt;"Sub","",N($X203)*IF(AND(ISNUMBER($G203),$G203&lt;=IF($S203=MesCiclo,InicioCiclo,$S203+MOD(2-WEEKDAY($S203),7))+13),1,MIN(1,MAX(0,IF(ISNUMBER(OFFSET($A$1,ROW()-1,9)),OFFSET($A$1,ROW()-1,9),IF(ISNUMBER(OFFSET($A$1,ROW()-1,8)),OFFSET($A$1,ROW()-1,8),0))))))</f>
        <v/>
      </c>
      <c r="AF203" s="62">
        <f>IF($V203&lt;&gt;"Sub","",N($X203)*IF(AND(ISNUMBER($G203),$G203&lt;=IF($S203=MesCiclo,InicioCiclo,$S203+MOD(2-WEEKDAY($S203),7))+20),1,MIN(1,MAX(0,IF(ISNUMBER(OFFSET($A$1,ROW()-1,10)),OFFSET($A$1,ROW()-1,10),IF(ISNUMBER(OFFSET($A$1,ROW()-1,9)),OFFSET($A$1,ROW()-1,9),IF(ISNUMBER(OFFSET($A$1,ROW()-1,8)),OFFSET($A$1,ROW()-1,8),0)))))))</f>
        <v/>
      </c>
      <c r="AG203" s="62">
        <f>IF($V203&lt;&gt;"Sub","",N($X203)*IF(AND(ISNUMBER($G203),$G203&lt;=IF($S203=MesCiclo,InicioCiclo,$S203+MOD(2-WEEKDAY($S203),7))+27),1,MIN(1,MAX(0,IF(ISNUMBER(OFFSET($A$1,ROW()-1,11)),OFFSET($A$1,ROW()-1,11),IF(ISNUMBER(OFFSET($A$1,ROW()-1,10)),OFFSET($A$1,ROW()-1,10),IF(ISNUMBER(OFFSET($A$1,ROW()-1,9)),OFFSET($A$1,ROW()-1,9),IF(ISNUMBER(OFFSET($A$1,ROW()-1,8)),OFFSET($A$1,ROW()-1,8),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f>IF(NOT(AND($D203&lt;&gt;"",$V203="Macro")),"",IFERROR(CHOOSE(MATCH($D203,ListaPuestos,0),MATCH("[Jefatura] "&amp;$C203,'Cronograma R. Operacional'!$C$5:$C$1000,0),MATCH("[Jefatura] "&amp;$C203,'Cronograma R. Normativo'!$C$5:$C$1000,0),MATCH("[Jefatura] "&amp;$C203,'Cronograma R. Financiero'!$C$5:$C$1000,0),MATCH("[Jefatura] "&amp;$C203,'Cronograma Asistente Técnico'!$C$5:$C$1000,0)),0))</f>
        <v/>
      </c>
      <c r="AN203" s="62">
        <f>IF(AND(AND($D203&lt;&gt;"",$V203="Macro"),$S203=MesCiclo),COUNTIFS($D$5:$D203,$D203,$S$5:$S203,MesCiclo,$V$5:$V203,"Macro"),"")</f>
        <v/>
      </c>
      <c r="AO203" s="62">
        <f>IF($AN203="","",$D203&amp;"|"&amp;$AN203)</f>
        <v/>
      </c>
      <c r="AP203" s="62">
        <f>IF(AND($D203&lt;&gt;"",$V203="Macro"),$D203&amp;"|"&amp;$C203,"")</f>
        <v/>
      </c>
      <c r="AQ203" s="62">
        <f>""</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t="n"/>
      <c r="F204" s="59" t="n"/>
      <c r="G204" s="59" t="n"/>
      <c r="H204" s="60" t="n"/>
      <c r="I204" s="60">
        <f>IF(N($W204)=0,"",IF(AND($S204=MesCiclo,1&gt;SemanaActual),"",MIN(1,SUMIFS(OFFSET($A$1,ROW(),29,1000-ROW(),1),OFFSET($A$1,ROW(),20,1000-ROW(),1),ROW(),OFFSET($A$1,ROW(),21,1000-ROW(),1),"Sub"))))</f>
        <v/>
      </c>
      <c r="J204" s="60">
        <f>IF(N($W204)=0,"",IF(AND($S204=MesCiclo,2&gt;SemanaActual),"",MIN(1,SUMIFS(OFFSET($A$1,ROW(),30,1000-ROW(),1),OFFSET($A$1,ROW(),20,1000-ROW(),1),ROW(),OFFSET($A$1,ROW(),21,1000-ROW(),1),"Sub"))))</f>
        <v/>
      </c>
      <c r="K204" s="60">
        <f>IF(N($W204)=0,"",IF(AND($S204=MesCiclo,3&gt;SemanaActual),"",MIN(1,SUMIFS(OFFSET($A$1,ROW(),31,1000-ROW(),1),OFFSET($A$1,ROW(),20,1000-ROW(),1),ROW(),OFFSET($A$1,ROW(),21,1000-ROW(),1),"Sub"))))</f>
        <v/>
      </c>
      <c r="L204" s="60">
        <f>IF(N($W204)=0,"",IF(AND($S204=MesCiclo,4&gt;SemanaActual),"",MIN(1,SUMIFS(OFFSET($A$1,ROW(),32,1000-ROW(),1),OFFSET($A$1,ROW(),20,1000-ROW(),1),ROW(),OFFSET($A$1,ROW(),21,1000-ROW(),1),"Sub"))))</f>
        <v/>
      </c>
      <c r="M204" s="61">
        <f>IF(NOT((COUNTA($B204:$D204)+COUNTA($G204:$H204)+COUNTA($Q204))&gt;0),"",IF(AND($D204&lt;&gt;"",$V204="Macro"),IF(N($AM204)&gt;0,N(CHOOSE(MATCH($D204,ListaPuestos,0),INDEX('Cronograma R. Operacional'!$M$5:$M$1000,$AM204),INDEX('Cronograma R. Normativo'!$M$5:$M$1000,$AM204),INDEX('Cronograma R. Financiero'!$M$5:$M$1000,$AM204),INDEX('Cronograma Asistente Técnico'!$M$5:$M$1000,$AM204))),0),IF(ISNUMBER($G204),1,IF(N($W204)&gt;0,MIN(1,SUMIFS($Y$5:$Y$1000,$U$5:$U$1000,ROW(),$V$5:$V$1000,"Sub")),$Y204))))</f>
        <v/>
      </c>
      <c r="N204" s="56">
        <f>IF(OR($M204="",$V204="Sub"),"",IF($M204&gt;=1,"Completado",IF($M204&gt;0,"En curso","Pendiente")))</f>
        <v/>
      </c>
      <c r="O204" s="56">
        <f>IF(NOT((COUNTA($B204:$D204)+COUNTA($G204:$H204)+COUNTA($Q204))&gt;0),"",IF(AND(AND($D204&lt;&gt;"",$V204="Macro"),N($AM204)&gt;0),CHOOSE(MATCH($D204,ListaPuestos,0),INDEX('Cronograma R. Operacional'!$O$5:$O$1000,$AM204),INDEX('Cronograma R. Normativo'!$O$5:$O$1000,$AM204),INDEX('Cronograma R. Financiero'!$O$5:$O$1000,$AM204),INDEX('Cronograma Asistente Técnico'!$O$5:$O$1000,$AM204))&amp;"",IF(ISNUMBER($G204),IF(AND(ISNUMBER($AS204),$G204&gt;$AS204),"Cumplida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f>IF(NOT((COUNTA($B204:$D204)+COUNTA($G204:$H204)+COUNTA($Q204))&gt;0),"",IF($D204="","Propia",IF($V204&lt;&gt;"Macro","Solo se delegan macroactividades",IF(N($AM204)&gt;0,"✔ Recibida por "&amp;$D204,"⚠ "&amp;$D204&amp;" aún no la agrega"))))</f>
        <v/>
      </c>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IF($V204&lt;&gt;"Sub","",N($X204)*IF(AND(ISNUMBER($G204),$G204&lt;=IF($S204=MesCiclo,InicioCiclo,$S204+MOD(2-WEEKDAY($S204),7))+6),1,MIN(1,MAX(0,IF(ISNUMBER(OFFSET($A$1,ROW()-1,8)),OFFSET($A$1,ROW()-1,8),0)))))</f>
        <v/>
      </c>
      <c r="AE204" s="62">
        <f>IF($V204&lt;&gt;"Sub","",N($X204)*IF(AND(ISNUMBER($G204),$G204&lt;=IF($S204=MesCiclo,InicioCiclo,$S204+MOD(2-WEEKDAY($S204),7))+13),1,MIN(1,MAX(0,IF(ISNUMBER(OFFSET($A$1,ROW()-1,9)),OFFSET($A$1,ROW()-1,9),IF(ISNUMBER(OFFSET($A$1,ROW()-1,8)),OFFSET($A$1,ROW()-1,8),0))))))</f>
        <v/>
      </c>
      <c r="AF204" s="62">
        <f>IF($V204&lt;&gt;"Sub","",N($X204)*IF(AND(ISNUMBER($G204),$G204&lt;=IF($S204=MesCiclo,InicioCiclo,$S204+MOD(2-WEEKDAY($S204),7))+20),1,MIN(1,MAX(0,IF(ISNUMBER(OFFSET($A$1,ROW()-1,10)),OFFSET($A$1,ROW()-1,10),IF(ISNUMBER(OFFSET($A$1,ROW()-1,9)),OFFSET($A$1,ROW()-1,9),IF(ISNUMBER(OFFSET($A$1,ROW()-1,8)),OFFSET($A$1,ROW()-1,8),0)))))))</f>
        <v/>
      </c>
      <c r="AG204" s="62">
        <f>IF($V204&lt;&gt;"Sub","",N($X204)*IF(AND(ISNUMBER($G204),$G204&lt;=IF($S204=MesCiclo,InicioCiclo,$S204+MOD(2-WEEKDAY($S204),7))+27),1,MIN(1,MAX(0,IF(ISNUMBER(OFFSET($A$1,ROW()-1,11)),OFFSET($A$1,ROW()-1,11),IF(ISNUMBER(OFFSET($A$1,ROW()-1,10)),OFFSET($A$1,ROW()-1,10),IF(ISNUMBER(OFFSET($A$1,ROW()-1,9)),OFFSET($A$1,ROW()-1,9),IF(ISNUMBER(OFFSET($A$1,ROW()-1,8)),OFFSET($A$1,ROW()-1,8),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f>IF(NOT(AND($D204&lt;&gt;"",$V204="Macro")),"",IFERROR(CHOOSE(MATCH($D204,ListaPuestos,0),MATCH("[Jefatura] "&amp;$C204,'Cronograma R. Operacional'!$C$5:$C$1000,0),MATCH("[Jefatura] "&amp;$C204,'Cronograma R. Normativo'!$C$5:$C$1000,0),MATCH("[Jefatura] "&amp;$C204,'Cronograma R. Financiero'!$C$5:$C$1000,0),MATCH("[Jefatura] "&amp;$C204,'Cronograma Asistente Técnico'!$C$5:$C$1000,0)),0))</f>
        <v/>
      </c>
      <c r="AN204" s="62">
        <f>IF(AND(AND($D204&lt;&gt;"",$V204="Macro"),$S204=MesCiclo),COUNTIFS($D$5:$D204,$D204,$S$5:$S204,MesCiclo,$V$5:$V204,"Macro"),"")</f>
        <v/>
      </c>
      <c r="AO204" s="62">
        <f>IF($AN204="","",$D204&amp;"|"&amp;$AN204)</f>
        <v/>
      </c>
      <c r="AP204" s="62">
        <f>IF(AND($D204&lt;&gt;"",$V204="Macro"),$D204&amp;"|"&amp;$C204,"")</f>
        <v/>
      </c>
      <c r="AQ204" s="62">
        <f>""</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t="n"/>
      <c r="F205" s="59" t="n"/>
      <c r="G205" s="59" t="n"/>
      <c r="H205" s="60" t="n"/>
      <c r="I205" s="60">
        <f>IF(N($W205)=0,"",IF(AND($S205=MesCiclo,1&gt;SemanaActual),"",MIN(1,SUMIFS(OFFSET($A$1,ROW(),29,1000-ROW(),1),OFFSET($A$1,ROW(),20,1000-ROW(),1),ROW(),OFFSET($A$1,ROW(),21,1000-ROW(),1),"Sub"))))</f>
        <v/>
      </c>
      <c r="J205" s="60">
        <f>IF(N($W205)=0,"",IF(AND($S205=MesCiclo,2&gt;SemanaActual),"",MIN(1,SUMIFS(OFFSET($A$1,ROW(),30,1000-ROW(),1),OFFSET($A$1,ROW(),20,1000-ROW(),1),ROW(),OFFSET($A$1,ROW(),21,1000-ROW(),1),"Sub"))))</f>
        <v/>
      </c>
      <c r="K205" s="60">
        <f>IF(N($W205)=0,"",IF(AND($S205=MesCiclo,3&gt;SemanaActual),"",MIN(1,SUMIFS(OFFSET($A$1,ROW(),31,1000-ROW(),1),OFFSET($A$1,ROW(),20,1000-ROW(),1),ROW(),OFFSET($A$1,ROW(),21,1000-ROW(),1),"Sub"))))</f>
        <v/>
      </c>
      <c r="L205" s="60">
        <f>IF(N($W205)=0,"",IF(AND($S205=MesCiclo,4&gt;SemanaActual),"",MIN(1,SUMIFS(OFFSET($A$1,ROW(),32,1000-ROW(),1),OFFSET($A$1,ROW(),20,1000-ROW(),1),ROW(),OFFSET($A$1,ROW(),21,1000-ROW(),1),"Sub"))))</f>
        <v/>
      </c>
      <c r="M205" s="61">
        <f>IF(NOT((COUNTA($B205:$D205)+COUNTA($G205:$H205)+COUNTA($Q205))&gt;0),"",IF(AND($D205&lt;&gt;"",$V205="Macro"),IF(N($AM205)&gt;0,N(CHOOSE(MATCH($D205,ListaPuestos,0),INDEX('Cronograma R. Operacional'!$M$5:$M$1000,$AM205),INDEX('Cronograma R. Normativo'!$M$5:$M$1000,$AM205),INDEX('Cronograma R. Financiero'!$M$5:$M$1000,$AM205),INDEX('Cronograma Asistente Técnico'!$M$5:$M$1000,$AM205))),0),IF(ISNUMBER($G205),1,IF(N($W205)&gt;0,MIN(1,SUMIFS($Y$5:$Y$1000,$U$5:$U$1000,ROW(),$V$5:$V$1000,"Sub")),$Y205))))</f>
        <v/>
      </c>
      <c r="N205" s="56">
        <f>IF(OR($M205="",$V205="Sub"),"",IF($M205&gt;=1,"Completado",IF($M205&gt;0,"En curso","Pendiente")))</f>
        <v/>
      </c>
      <c r="O205" s="56">
        <f>IF(NOT((COUNTA($B205:$D205)+COUNTA($G205:$H205)+COUNTA($Q205))&gt;0),"",IF(AND(AND($D205&lt;&gt;"",$V205="Macro"),N($AM205)&gt;0),CHOOSE(MATCH($D205,ListaPuestos,0),INDEX('Cronograma R. Operacional'!$O$5:$O$1000,$AM205),INDEX('Cronograma R. Normativo'!$O$5:$O$1000,$AM205),INDEX('Cronograma R. Financiero'!$O$5:$O$1000,$AM205),INDEX('Cronograma Asistente Técnico'!$O$5:$O$1000,$AM205))&amp;"",IF(ISNUMBER($G205),IF(AND(ISNUMBER($AS205),$G205&gt;$AS205),"Cumplida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f>IF(NOT((COUNTA($B205:$D205)+COUNTA($G205:$H205)+COUNTA($Q205))&gt;0),"",IF($D205="","Propia",IF($V205&lt;&gt;"Macro","Solo se delegan macroactividades",IF(N($AM205)&gt;0,"✔ Recibida por "&amp;$D205,"⚠ "&amp;$D205&amp;" aún no la agrega"))))</f>
        <v/>
      </c>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IF($V205&lt;&gt;"Sub","",N($X205)*IF(AND(ISNUMBER($G205),$G205&lt;=IF($S205=MesCiclo,InicioCiclo,$S205+MOD(2-WEEKDAY($S205),7))+6),1,MIN(1,MAX(0,IF(ISNUMBER(OFFSET($A$1,ROW()-1,8)),OFFSET($A$1,ROW()-1,8),0)))))</f>
        <v/>
      </c>
      <c r="AE205" s="62">
        <f>IF($V205&lt;&gt;"Sub","",N($X205)*IF(AND(ISNUMBER($G205),$G205&lt;=IF($S205=MesCiclo,InicioCiclo,$S205+MOD(2-WEEKDAY($S205),7))+13),1,MIN(1,MAX(0,IF(ISNUMBER(OFFSET($A$1,ROW()-1,9)),OFFSET($A$1,ROW()-1,9),IF(ISNUMBER(OFFSET($A$1,ROW()-1,8)),OFFSET($A$1,ROW()-1,8),0))))))</f>
        <v/>
      </c>
      <c r="AF205" s="62">
        <f>IF($V205&lt;&gt;"Sub","",N($X205)*IF(AND(ISNUMBER($G205),$G205&lt;=IF($S205=MesCiclo,InicioCiclo,$S205+MOD(2-WEEKDAY($S205),7))+20),1,MIN(1,MAX(0,IF(ISNUMBER(OFFSET($A$1,ROW()-1,10)),OFFSET($A$1,ROW()-1,10),IF(ISNUMBER(OFFSET($A$1,ROW()-1,9)),OFFSET($A$1,ROW()-1,9),IF(ISNUMBER(OFFSET($A$1,ROW()-1,8)),OFFSET($A$1,ROW()-1,8),0)))))))</f>
        <v/>
      </c>
      <c r="AG205" s="62">
        <f>IF($V205&lt;&gt;"Sub","",N($X205)*IF(AND(ISNUMBER($G205),$G205&lt;=IF($S205=MesCiclo,InicioCiclo,$S205+MOD(2-WEEKDAY($S205),7))+27),1,MIN(1,MAX(0,IF(ISNUMBER(OFFSET($A$1,ROW()-1,11)),OFFSET($A$1,ROW()-1,11),IF(ISNUMBER(OFFSET($A$1,ROW()-1,10)),OFFSET($A$1,ROW()-1,10),IF(ISNUMBER(OFFSET($A$1,ROW()-1,9)),OFFSET($A$1,ROW()-1,9),IF(ISNUMBER(OFFSET($A$1,ROW()-1,8)),OFFSET($A$1,ROW()-1,8),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f>IF(NOT(AND($D205&lt;&gt;"",$V205="Macro")),"",IFERROR(CHOOSE(MATCH($D205,ListaPuestos,0),MATCH("[Jefatura] "&amp;$C205,'Cronograma R. Operacional'!$C$5:$C$1000,0),MATCH("[Jefatura] "&amp;$C205,'Cronograma R. Normativo'!$C$5:$C$1000,0),MATCH("[Jefatura] "&amp;$C205,'Cronograma R. Financiero'!$C$5:$C$1000,0),MATCH("[Jefatura] "&amp;$C205,'Cronograma Asistente Técnico'!$C$5:$C$1000,0)),0))</f>
        <v/>
      </c>
      <c r="AN205" s="62">
        <f>IF(AND(AND($D205&lt;&gt;"",$V205="Macro"),$S205=MesCiclo),COUNTIFS($D$5:$D205,$D205,$S$5:$S205,MesCiclo,$V$5:$V205,"Macro"),"")</f>
        <v/>
      </c>
      <c r="AO205" s="62">
        <f>IF($AN205="","",$D205&amp;"|"&amp;$AN205)</f>
        <v/>
      </c>
      <c r="AP205" s="62">
        <f>IF(AND($D205&lt;&gt;"",$V205="Macro"),$D205&amp;"|"&amp;$C205,"")</f>
        <v/>
      </c>
      <c r="AQ205" s="62">
        <f>""</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t="n"/>
      <c r="F206" s="59" t="n"/>
      <c r="G206" s="59" t="n"/>
      <c r="H206" s="60" t="n"/>
      <c r="I206" s="60">
        <f>IF(N($W206)=0,"",IF(AND($S206=MesCiclo,1&gt;SemanaActual),"",MIN(1,SUMIFS(OFFSET($A$1,ROW(),29,1000-ROW(),1),OFFSET($A$1,ROW(),20,1000-ROW(),1),ROW(),OFFSET($A$1,ROW(),21,1000-ROW(),1),"Sub"))))</f>
        <v/>
      </c>
      <c r="J206" s="60">
        <f>IF(N($W206)=0,"",IF(AND($S206=MesCiclo,2&gt;SemanaActual),"",MIN(1,SUMIFS(OFFSET($A$1,ROW(),30,1000-ROW(),1),OFFSET($A$1,ROW(),20,1000-ROW(),1),ROW(),OFFSET($A$1,ROW(),21,1000-ROW(),1),"Sub"))))</f>
        <v/>
      </c>
      <c r="K206" s="60">
        <f>IF(N($W206)=0,"",IF(AND($S206=MesCiclo,3&gt;SemanaActual),"",MIN(1,SUMIFS(OFFSET($A$1,ROW(),31,1000-ROW(),1),OFFSET($A$1,ROW(),20,1000-ROW(),1),ROW(),OFFSET($A$1,ROW(),21,1000-ROW(),1),"Sub"))))</f>
        <v/>
      </c>
      <c r="L206" s="60">
        <f>IF(N($W206)=0,"",IF(AND($S206=MesCiclo,4&gt;SemanaActual),"",MIN(1,SUMIFS(OFFSET($A$1,ROW(),32,1000-ROW(),1),OFFSET($A$1,ROW(),20,1000-ROW(),1),ROW(),OFFSET($A$1,ROW(),21,1000-ROW(),1),"Sub"))))</f>
        <v/>
      </c>
      <c r="M206" s="61">
        <f>IF(NOT((COUNTA($B206:$D206)+COUNTA($G206:$H206)+COUNTA($Q206))&gt;0),"",IF(AND($D206&lt;&gt;"",$V206="Macro"),IF(N($AM206)&gt;0,N(CHOOSE(MATCH($D206,ListaPuestos,0),INDEX('Cronograma R. Operacional'!$M$5:$M$1000,$AM206),INDEX('Cronograma R. Normativo'!$M$5:$M$1000,$AM206),INDEX('Cronograma R. Financiero'!$M$5:$M$1000,$AM206),INDEX('Cronograma Asistente Técnico'!$M$5:$M$1000,$AM206))),0),IF(ISNUMBER($G206),1,IF(N($W206)&gt;0,MIN(1,SUMIFS($Y$5:$Y$1000,$U$5:$U$1000,ROW(),$V$5:$V$1000,"Sub")),$Y206))))</f>
        <v/>
      </c>
      <c r="N206" s="56">
        <f>IF(OR($M206="",$V206="Sub"),"",IF($M206&gt;=1,"Completado",IF($M206&gt;0,"En curso","Pendiente")))</f>
        <v/>
      </c>
      <c r="O206" s="56">
        <f>IF(NOT((COUNTA($B206:$D206)+COUNTA($G206:$H206)+COUNTA($Q206))&gt;0),"",IF(AND(AND($D206&lt;&gt;"",$V206="Macro"),N($AM206)&gt;0),CHOOSE(MATCH($D206,ListaPuestos,0),INDEX('Cronograma R. Operacional'!$O$5:$O$1000,$AM206),INDEX('Cronograma R. Normativo'!$O$5:$O$1000,$AM206),INDEX('Cronograma R. Financiero'!$O$5:$O$1000,$AM206),INDEX('Cronograma Asistente Técnico'!$O$5:$O$1000,$AM206))&amp;"",IF(ISNUMBER($G206),IF(AND(ISNUMBER($AS206),$G206&gt;$AS206),"Cumplida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f>IF(NOT((COUNTA($B206:$D206)+COUNTA($G206:$H206)+COUNTA($Q206))&gt;0),"",IF($D206="","Propia",IF($V206&lt;&gt;"Macro","Solo se delegan macroactividades",IF(N($AM206)&gt;0,"✔ Recibida por "&amp;$D206,"⚠ "&amp;$D206&amp;" aún no la agrega"))))</f>
        <v/>
      </c>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IF($V206&lt;&gt;"Sub","",N($X206)*IF(AND(ISNUMBER($G206),$G206&lt;=IF($S206=MesCiclo,InicioCiclo,$S206+MOD(2-WEEKDAY($S206),7))+6),1,MIN(1,MAX(0,IF(ISNUMBER(OFFSET($A$1,ROW()-1,8)),OFFSET($A$1,ROW()-1,8),0)))))</f>
        <v/>
      </c>
      <c r="AE206" s="62">
        <f>IF($V206&lt;&gt;"Sub","",N($X206)*IF(AND(ISNUMBER($G206),$G206&lt;=IF($S206=MesCiclo,InicioCiclo,$S206+MOD(2-WEEKDAY($S206),7))+13),1,MIN(1,MAX(0,IF(ISNUMBER(OFFSET($A$1,ROW()-1,9)),OFFSET($A$1,ROW()-1,9),IF(ISNUMBER(OFFSET($A$1,ROW()-1,8)),OFFSET($A$1,ROW()-1,8),0))))))</f>
        <v/>
      </c>
      <c r="AF206" s="62">
        <f>IF($V206&lt;&gt;"Sub","",N($X206)*IF(AND(ISNUMBER($G206),$G206&lt;=IF($S206=MesCiclo,InicioCiclo,$S206+MOD(2-WEEKDAY($S206),7))+20),1,MIN(1,MAX(0,IF(ISNUMBER(OFFSET($A$1,ROW()-1,10)),OFFSET($A$1,ROW()-1,10),IF(ISNUMBER(OFFSET($A$1,ROW()-1,9)),OFFSET($A$1,ROW()-1,9),IF(ISNUMBER(OFFSET($A$1,ROW()-1,8)),OFFSET($A$1,ROW()-1,8),0)))))))</f>
        <v/>
      </c>
      <c r="AG206" s="62">
        <f>IF($V206&lt;&gt;"Sub","",N($X206)*IF(AND(ISNUMBER($G206),$G206&lt;=IF($S206=MesCiclo,InicioCiclo,$S206+MOD(2-WEEKDAY($S206),7))+27),1,MIN(1,MAX(0,IF(ISNUMBER(OFFSET($A$1,ROW()-1,11)),OFFSET($A$1,ROW()-1,11),IF(ISNUMBER(OFFSET($A$1,ROW()-1,10)),OFFSET($A$1,ROW()-1,10),IF(ISNUMBER(OFFSET($A$1,ROW()-1,9)),OFFSET($A$1,ROW()-1,9),IF(ISNUMBER(OFFSET($A$1,ROW()-1,8)),OFFSET($A$1,ROW()-1,8),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f>IF(NOT(AND($D206&lt;&gt;"",$V206="Macro")),"",IFERROR(CHOOSE(MATCH($D206,ListaPuestos,0),MATCH("[Jefatura] "&amp;$C206,'Cronograma R. Operacional'!$C$5:$C$1000,0),MATCH("[Jefatura] "&amp;$C206,'Cronograma R. Normativo'!$C$5:$C$1000,0),MATCH("[Jefatura] "&amp;$C206,'Cronograma R. Financiero'!$C$5:$C$1000,0),MATCH("[Jefatura] "&amp;$C206,'Cronograma Asistente Técnico'!$C$5:$C$1000,0)),0))</f>
        <v/>
      </c>
      <c r="AN206" s="62">
        <f>IF(AND(AND($D206&lt;&gt;"",$V206="Macro"),$S206=MesCiclo),COUNTIFS($D$5:$D206,$D206,$S$5:$S206,MesCiclo,$V$5:$V206,"Macro"),"")</f>
        <v/>
      </c>
      <c r="AO206" s="62">
        <f>IF($AN206="","",$D206&amp;"|"&amp;$AN206)</f>
        <v/>
      </c>
      <c r="AP206" s="62">
        <f>IF(AND($D206&lt;&gt;"",$V206="Macro"),$D206&amp;"|"&amp;$C206,"")</f>
        <v/>
      </c>
      <c r="AQ206" s="62">
        <f>""</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t="n"/>
      <c r="F207" s="59" t="n"/>
      <c r="G207" s="59" t="n"/>
      <c r="H207" s="60" t="n"/>
      <c r="I207" s="60">
        <f>IF(N($W207)=0,"",IF(AND($S207=MesCiclo,1&gt;SemanaActual),"",MIN(1,SUMIFS(OFFSET($A$1,ROW(),29,1000-ROW(),1),OFFSET($A$1,ROW(),20,1000-ROW(),1),ROW(),OFFSET($A$1,ROW(),21,1000-ROW(),1),"Sub"))))</f>
        <v/>
      </c>
      <c r="J207" s="60">
        <f>IF(N($W207)=0,"",IF(AND($S207=MesCiclo,2&gt;SemanaActual),"",MIN(1,SUMIFS(OFFSET($A$1,ROW(),30,1000-ROW(),1),OFFSET($A$1,ROW(),20,1000-ROW(),1),ROW(),OFFSET($A$1,ROW(),21,1000-ROW(),1),"Sub"))))</f>
        <v/>
      </c>
      <c r="K207" s="60">
        <f>IF(N($W207)=0,"",IF(AND($S207=MesCiclo,3&gt;SemanaActual),"",MIN(1,SUMIFS(OFFSET($A$1,ROW(),31,1000-ROW(),1),OFFSET($A$1,ROW(),20,1000-ROW(),1),ROW(),OFFSET($A$1,ROW(),21,1000-ROW(),1),"Sub"))))</f>
        <v/>
      </c>
      <c r="L207" s="60">
        <f>IF(N($W207)=0,"",IF(AND($S207=MesCiclo,4&gt;SemanaActual),"",MIN(1,SUMIFS(OFFSET($A$1,ROW(),32,1000-ROW(),1),OFFSET($A$1,ROW(),20,1000-ROW(),1),ROW(),OFFSET($A$1,ROW(),21,1000-ROW(),1),"Sub"))))</f>
        <v/>
      </c>
      <c r="M207" s="61">
        <f>IF(NOT((COUNTA($B207:$D207)+COUNTA($G207:$H207)+COUNTA($Q207))&gt;0),"",IF(AND($D207&lt;&gt;"",$V207="Macro"),IF(N($AM207)&gt;0,N(CHOOSE(MATCH($D207,ListaPuestos,0),INDEX('Cronograma R. Operacional'!$M$5:$M$1000,$AM207),INDEX('Cronograma R. Normativo'!$M$5:$M$1000,$AM207),INDEX('Cronograma R. Financiero'!$M$5:$M$1000,$AM207),INDEX('Cronograma Asistente Técnico'!$M$5:$M$1000,$AM207))),0),IF(ISNUMBER($G207),1,IF(N($W207)&gt;0,MIN(1,SUMIFS($Y$5:$Y$1000,$U$5:$U$1000,ROW(),$V$5:$V$1000,"Sub")),$Y207))))</f>
        <v/>
      </c>
      <c r="N207" s="56">
        <f>IF(OR($M207="",$V207="Sub"),"",IF($M207&gt;=1,"Completado",IF($M207&gt;0,"En curso","Pendiente")))</f>
        <v/>
      </c>
      <c r="O207" s="56">
        <f>IF(NOT((COUNTA($B207:$D207)+COUNTA($G207:$H207)+COUNTA($Q207))&gt;0),"",IF(AND(AND($D207&lt;&gt;"",$V207="Macro"),N($AM207)&gt;0),CHOOSE(MATCH($D207,ListaPuestos,0),INDEX('Cronograma R. Operacional'!$O$5:$O$1000,$AM207),INDEX('Cronograma R. Normativo'!$O$5:$O$1000,$AM207),INDEX('Cronograma R. Financiero'!$O$5:$O$1000,$AM207),INDEX('Cronograma Asistente Técnico'!$O$5:$O$1000,$AM207))&amp;"",IF(ISNUMBER($G207),IF(AND(ISNUMBER($AS207),$G207&gt;$AS207),"Cumplida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f>IF(NOT((COUNTA($B207:$D207)+COUNTA($G207:$H207)+COUNTA($Q207))&gt;0),"",IF($D207="","Propia",IF($V207&lt;&gt;"Macro","Solo se delegan macroactividades",IF(N($AM207)&gt;0,"✔ Recibida por "&amp;$D207,"⚠ "&amp;$D207&amp;" aún no la agrega"))))</f>
        <v/>
      </c>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IF($V207&lt;&gt;"Sub","",N($X207)*IF(AND(ISNUMBER($G207),$G207&lt;=IF($S207=MesCiclo,InicioCiclo,$S207+MOD(2-WEEKDAY($S207),7))+6),1,MIN(1,MAX(0,IF(ISNUMBER(OFFSET($A$1,ROW()-1,8)),OFFSET($A$1,ROW()-1,8),0)))))</f>
        <v/>
      </c>
      <c r="AE207" s="62">
        <f>IF($V207&lt;&gt;"Sub","",N($X207)*IF(AND(ISNUMBER($G207),$G207&lt;=IF($S207=MesCiclo,InicioCiclo,$S207+MOD(2-WEEKDAY($S207),7))+13),1,MIN(1,MAX(0,IF(ISNUMBER(OFFSET($A$1,ROW()-1,9)),OFFSET($A$1,ROW()-1,9),IF(ISNUMBER(OFFSET($A$1,ROW()-1,8)),OFFSET($A$1,ROW()-1,8),0))))))</f>
        <v/>
      </c>
      <c r="AF207" s="62">
        <f>IF($V207&lt;&gt;"Sub","",N($X207)*IF(AND(ISNUMBER($G207),$G207&lt;=IF($S207=MesCiclo,InicioCiclo,$S207+MOD(2-WEEKDAY($S207),7))+20),1,MIN(1,MAX(0,IF(ISNUMBER(OFFSET($A$1,ROW()-1,10)),OFFSET($A$1,ROW()-1,10),IF(ISNUMBER(OFFSET($A$1,ROW()-1,9)),OFFSET($A$1,ROW()-1,9),IF(ISNUMBER(OFFSET($A$1,ROW()-1,8)),OFFSET($A$1,ROW()-1,8),0)))))))</f>
        <v/>
      </c>
      <c r="AG207" s="62">
        <f>IF($V207&lt;&gt;"Sub","",N($X207)*IF(AND(ISNUMBER($G207),$G207&lt;=IF($S207=MesCiclo,InicioCiclo,$S207+MOD(2-WEEKDAY($S207),7))+27),1,MIN(1,MAX(0,IF(ISNUMBER(OFFSET($A$1,ROW()-1,11)),OFFSET($A$1,ROW()-1,11),IF(ISNUMBER(OFFSET($A$1,ROW()-1,10)),OFFSET($A$1,ROW()-1,10),IF(ISNUMBER(OFFSET($A$1,ROW()-1,9)),OFFSET($A$1,ROW()-1,9),IF(ISNUMBER(OFFSET($A$1,ROW()-1,8)),OFFSET($A$1,ROW()-1,8),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f>IF(NOT(AND($D207&lt;&gt;"",$V207="Macro")),"",IFERROR(CHOOSE(MATCH($D207,ListaPuestos,0),MATCH("[Jefatura] "&amp;$C207,'Cronograma R. Operacional'!$C$5:$C$1000,0),MATCH("[Jefatura] "&amp;$C207,'Cronograma R. Normativo'!$C$5:$C$1000,0),MATCH("[Jefatura] "&amp;$C207,'Cronograma R. Financiero'!$C$5:$C$1000,0),MATCH("[Jefatura] "&amp;$C207,'Cronograma Asistente Técnico'!$C$5:$C$1000,0)),0))</f>
        <v/>
      </c>
      <c r="AN207" s="62">
        <f>IF(AND(AND($D207&lt;&gt;"",$V207="Macro"),$S207=MesCiclo),COUNTIFS($D$5:$D207,$D207,$S$5:$S207,MesCiclo,$V$5:$V207,"Macro"),"")</f>
        <v/>
      </c>
      <c r="AO207" s="62">
        <f>IF($AN207="","",$D207&amp;"|"&amp;$AN207)</f>
        <v/>
      </c>
      <c r="AP207" s="62">
        <f>IF(AND($D207&lt;&gt;"",$V207="Macro"),$D207&amp;"|"&amp;$C207,"")</f>
        <v/>
      </c>
      <c r="AQ207" s="62">
        <f>""</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t="n"/>
      <c r="F208" s="59" t="n"/>
      <c r="G208" s="59" t="n"/>
      <c r="H208" s="60" t="n"/>
      <c r="I208" s="60">
        <f>IF(N($W208)=0,"",IF(AND($S208=MesCiclo,1&gt;SemanaActual),"",MIN(1,SUMIFS(OFFSET($A$1,ROW(),29,1000-ROW(),1),OFFSET($A$1,ROW(),20,1000-ROW(),1),ROW(),OFFSET($A$1,ROW(),21,1000-ROW(),1),"Sub"))))</f>
        <v/>
      </c>
      <c r="J208" s="60">
        <f>IF(N($W208)=0,"",IF(AND($S208=MesCiclo,2&gt;SemanaActual),"",MIN(1,SUMIFS(OFFSET($A$1,ROW(),30,1000-ROW(),1),OFFSET($A$1,ROW(),20,1000-ROW(),1),ROW(),OFFSET($A$1,ROW(),21,1000-ROW(),1),"Sub"))))</f>
        <v/>
      </c>
      <c r="K208" s="60">
        <f>IF(N($W208)=0,"",IF(AND($S208=MesCiclo,3&gt;SemanaActual),"",MIN(1,SUMIFS(OFFSET($A$1,ROW(),31,1000-ROW(),1),OFFSET($A$1,ROW(),20,1000-ROW(),1),ROW(),OFFSET($A$1,ROW(),21,1000-ROW(),1),"Sub"))))</f>
        <v/>
      </c>
      <c r="L208" s="60">
        <f>IF(N($W208)=0,"",IF(AND($S208=MesCiclo,4&gt;SemanaActual),"",MIN(1,SUMIFS(OFFSET($A$1,ROW(),32,1000-ROW(),1),OFFSET($A$1,ROW(),20,1000-ROW(),1),ROW(),OFFSET($A$1,ROW(),21,1000-ROW(),1),"Sub"))))</f>
        <v/>
      </c>
      <c r="M208" s="61">
        <f>IF(NOT((COUNTA($B208:$D208)+COUNTA($G208:$H208)+COUNTA($Q208))&gt;0),"",IF(AND($D208&lt;&gt;"",$V208="Macro"),IF(N($AM208)&gt;0,N(CHOOSE(MATCH($D208,ListaPuestos,0),INDEX('Cronograma R. Operacional'!$M$5:$M$1000,$AM208),INDEX('Cronograma R. Normativo'!$M$5:$M$1000,$AM208),INDEX('Cronograma R. Financiero'!$M$5:$M$1000,$AM208),INDEX('Cronograma Asistente Técnico'!$M$5:$M$1000,$AM208))),0),IF(ISNUMBER($G208),1,IF(N($W208)&gt;0,MIN(1,SUMIFS($Y$5:$Y$1000,$U$5:$U$1000,ROW(),$V$5:$V$1000,"Sub")),$Y208))))</f>
        <v/>
      </c>
      <c r="N208" s="56">
        <f>IF(OR($M208="",$V208="Sub"),"",IF($M208&gt;=1,"Completado",IF($M208&gt;0,"En curso","Pendiente")))</f>
        <v/>
      </c>
      <c r="O208" s="56">
        <f>IF(NOT((COUNTA($B208:$D208)+COUNTA($G208:$H208)+COUNTA($Q208))&gt;0),"",IF(AND(AND($D208&lt;&gt;"",$V208="Macro"),N($AM208)&gt;0),CHOOSE(MATCH($D208,ListaPuestos,0),INDEX('Cronograma R. Operacional'!$O$5:$O$1000,$AM208),INDEX('Cronograma R. Normativo'!$O$5:$O$1000,$AM208),INDEX('Cronograma R. Financiero'!$O$5:$O$1000,$AM208),INDEX('Cronograma Asistente Técnico'!$O$5:$O$1000,$AM208))&amp;"",IF(ISNUMBER($G208),IF(AND(ISNUMBER($AS208),$G208&gt;$AS208),"Cumplida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f>IF(NOT((COUNTA($B208:$D208)+COUNTA($G208:$H208)+COUNTA($Q208))&gt;0),"",IF($D208="","Propia",IF($V208&lt;&gt;"Macro","Solo se delegan macroactividades",IF(N($AM208)&gt;0,"✔ Recibida por "&amp;$D208,"⚠ "&amp;$D208&amp;" aún no la agrega"))))</f>
        <v/>
      </c>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IF($V208&lt;&gt;"Sub","",N($X208)*IF(AND(ISNUMBER($G208),$G208&lt;=IF($S208=MesCiclo,InicioCiclo,$S208+MOD(2-WEEKDAY($S208),7))+6),1,MIN(1,MAX(0,IF(ISNUMBER(OFFSET($A$1,ROW()-1,8)),OFFSET($A$1,ROW()-1,8),0)))))</f>
        <v/>
      </c>
      <c r="AE208" s="62">
        <f>IF($V208&lt;&gt;"Sub","",N($X208)*IF(AND(ISNUMBER($G208),$G208&lt;=IF($S208=MesCiclo,InicioCiclo,$S208+MOD(2-WEEKDAY($S208),7))+13),1,MIN(1,MAX(0,IF(ISNUMBER(OFFSET($A$1,ROW()-1,9)),OFFSET($A$1,ROW()-1,9),IF(ISNUMBER(OFFSET($A$1,ROW()-1,8)),OFFSET($A$1,ROW()-1,8),0))))))</f>
        <v/>
      </c>
      <c r="AF208" s="62">
        <f>IF($V208&lt;&gt;"Sub","",N($X208)*IF(AND(ISNUMBER($G208),$G208&lt;=IF($S208=MesCiclo,InicioCiclo,$S208+MOD(2-WEEKDAY($S208),7))+20),1,MIN(1,MAX(0,IF(ISNUMBER(OFFSET($A$1,ROW()-1,10)),OFFSET($A$1,ROW()-1,10),IF(ISNUMBER(OFFSET($A$1,ROW()-1,9)),OFFSET($A$1,ROW()-1,9),IF(ISNUMBER(OFFSET($A$1,ROW()-1,8)),OFFSET($A$1,ROW()-1,8),0)))))))</f>
        <v/>
      </c>
      <c r="AG208" s="62">
        <f>IF($V208&lt;&gt;"Sub","",N($X208)*IF(AND(ISNUMBER($G208),$G208&lt;=IF($S208=MesCiclo,InicioCiclo,$S208+MOD(2-WEEKDAY($S208),7))+27),1,MIN(1,MAX(0,IF(ISNUMBER(OFFSET($A$1,ROW()-1,11)),OFFSET($A$1,ROW()-1,11),IF(ISNUMBER(OFFSET($A$1,ROW()-1,10)),OFFSET($A$1,ROW()-1,10),IF(ISNUMBER(OFFSET($A$1,ROW()-1,9)),OFFSET($A$1,ROW()-1,9),IF(ISNUMBER(OFFSET($A$1,ROW()-1,8)),OFFSET($A$1,ROW()-1,8),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f>IF(NOT(AND($D208&lt;&gt;"",$V208="Macro")),"",IFERROR(CHOOSE(MATCH($D208,ListaPuestos,0),MATCH("[Jefatura] "&amp;$C208,'Cronograma R. Operacional'!$C$5:$C$1000,0),MATCH("[Jefatura] "&amp;$C208,'Cronograma R. Normativo'!$C$5:$C$1000,0),MATCH("[Jefatura] "&amp;$C208,'Cronograma R. Financiero'!$C$5:$C$1000,0),MATCH("[Jefatura] "&amp;$C208,'Cronograma Asistente Técnico'!$C$5:$C$1000,0)),0))</f>
        <v/>
      </c>
      <c r="AN208" s="62">
        <f>IF(AND(AND($D208&lt;&gt;"",$V208="Macro"),$S208=MesCiclo),COUNTIFS($D$5:$D208,$D208,$S$5:$S208,MesCiclo,$V$5:$V208,"Macro"),"")</f>
        <v/>
      </c>
      <c r="AO208" s="62">
        <f>IF($AN208="","",$D208&amp;"|"&amp;$AN208)</f>
        <v/>
      </c>
      <c r="AP208" s="62">
        <f>IF(AND($D208&lt;&gt;"",$V208="Macro"),$D208&amp;"|"&amp;$C208,"")</f>
        <v/>
      </c>
      <c r="AQ208" s="62">
        <f>""</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t="n"/>
      <c r="F209" s="59" t="n"/>
      <c r="G209" s="59" t="n"/>
      <c r="H209" s="60" t="n"/>
      <c r="I209" s="60">
        <f>IF(N($W209)=0,"",IF(AND($S209=MesCiclo,1&gt;SemanaActual),"",MIN(1,SUMIFS(OFFSET($A$1,ROW(),29,1000-ROW(),1),OFFSET($A$1,ROW(),20,1000-ROW(),1),ROW(),OFFSET($A$1,ROW(),21,1000-ROW(),1),"Sub"))))</f>
        <v/>
      </c>
      <c r="J209" s="60">
        <f>IF(N($W209)=0,"",IF(AND($S209=MesCiclo,2&gt;SemanaActual),"",MIN(1,SUMIFS(OFFSET($A$1,ROW(),30,1000-ROW(),1),OFFSET($A$1,ROW(),20,1000-ROW(),1),ROW(),OFFSET($A$1,ROW(),21,1000-ROW(),1),"Sub"))))</f>
        <v/>
      </c>
      <c r="K209" s="60">
        <f>IF(N($W209)=0,"",IF(AND($S209=MesCiclo,3&gt;SemanaActual),"",MIN(1,SUMIFS(OFFSET($A$1,ROW(),31,1000-ROW(),1),OFFSET($A$1,ROW(),20,1000-ROW(),1),ROW(),OFFSET($A$1,ROW(),21,1000-ROW(),1),"Sub"))))</f>
        <v/>
      </c>
      <c r="L209" s="60">
        <f>IF(N($W209)=0,"",IF(AND($S209=MesCiclo,4&gt;SemanaActual),"",MIN(1,SUMIFS(OFFSET($A$1,ROW(),32,1000-ROW(),1),OFFSET($A$1,ROW(),20,1000-ROW(),1),ROW(),OFFSET($A$1,ROW(),21,1000-ROW(),1),"Sub"))))</f>
        <v/>
      </c>
      <c r="M209" s="61">
        <f>IF(NOT((COUNTA($B209:$D209)+COUNTA($G209:$H209)+COUNTA($Q209))&gt;0),"",IF(AND($D209&lt;&gt;"",$V209="Macro"),IF(N($AM209)&gt;0,N(CHOOSE(MATCH($D209,ListaPuestos,0),INDEX('Cronograma R. Operacional'!$M$5:$M$1000,$AM209),INDEX('Cronograma R. Normativo'!$M$5:$M$1000,$AM209),INDEX('Cronograma R. Financiero'!$M$5:$M$1000,$AM209),INDEX('Cronograma Asistente Técnico'!$M$5:$M$1000,$AM209))),0),IF(ISNUMBER($G209),1,IF(N($W209)&gt;0,MIN(1,SUMIFS($Y$5:$Y$1000,$U$5:$U$1000,ROW(),$V$5:$V$1000,"Sub")),$Y209))))</f>
        <v/>
      </c>
      <c r="N209" s="56">
        <f>IF(OR($M209="",$V209="Sub"),"",IF($M209&gt;=1,"Completado",IF($M209&gt;0,"En curso","Pendiente")))</f>
        <v/>
      </c>
      <c r="O209" s="56">
        <f>IF(NOT((COUNTA($B209:$D209)+COUNTA($G209:$H209)+COUNTA($Q209))&gt;0),"",IF(AND(AND($D209&lt;&gt;"",$V209="Macro"),N($AM209)&gt;0),CHOOSE(MATCH($D209,ListaPuestos,0),INDEX('Cronograma R. Operacional'!$O$5:$O$1000,$AM209),INDEX('Cronograma R. Normativo'!$O$5:$O$1000,$AM209),INDEX('Cronograma R. Financiero'!$O$5:$O$1000,$AM209),INDEX('Cronograma Asistente Técnico'!$O$5:$O$1000,$AM209))&amp;"",IF(ISNUMBER($G209),IF(AND(ISNUMBER($AS209),$G209&gt;$AS209),"Cumplida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f>IF(NOT((COUNTA($B209:$D209)+COUNTA($G209:$H209)+COUNTA($Q209))&gt;0),"",IF($D209="","Propia",IF($V209&lt;&gt;"Macro","Solo se delegan macroactividades",IF(N($AM209)&gt;0,"✔ Recibida por "&amp;$D209,"⚠ "&amp;$D209&amp;" aún no la agrega"))))</f>
        <v/>
      </c>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IF($V209&lt;&gt;"Sub","",N($X209)*IF(AND(ISNUMBER($G209),$G209&lt;=IF($S209=MesCiclo,InicioCiclo,$S209+MOD(2-WEEKDAY($S209),7))+6),1,MIN(1,MAX(0,IF(ISNUMBER(OFFSET($A$1,ROW()-1,8)),OFFSET($A$1,ROW()-1,8),0)))))</f>
        <v/>
      </c>
      <c r="AE209" s="62">
        <f>IF($V209&lt;&gt;"Sub","",N($X209)*IF(AND(ISNUMBER($G209),$G209&lt;=IF($S209=MesCiclo,InicioCiclo,$S209+MOD(2-WEEKDAY($S209),7))+13),1,MIN(1,MAX(0,IF(ISNUMBER(OFFSET($A$1,ROW()-1,9)),OFFSET($A$1,ROW()-1,9),IF(ISNUMBER(OFFSET($A$1,ROW()-1,8)),OFFSET($A$1,ROW()-1,8),0))))))</f>
        <v/>
      </c>
      <c r="AF209" s="62">
        <f>IF($V209&lt;&gt;"Sub","",N($X209)*IF(AND(ISNUMBER($G209),$G209&lt;=IF($S209=MesCiclo,InicioCiclo,$S209+MOD(2-WEEKDAY($S209),7))+20),1,MIN(1,MAX(0,IF(ISNUMBER(OFFSET($A$1,ROW()-1,10)),OFFSET($A$1,ROW()-1,10),IF(ISNUMBER(OFFSET($A$1,ROW()-1,9)),OFFSET($A$1,ROW()-1,9),IF(ISNUMBER(OFFSET($A$1,ROW()-1,8)),OFFSET($A$1,ROW()-1,8),0)))))))</f>
        <v/>
      </c>
      <c r="AG209" s="62">
        <f>IF($V209&lt;&gt;"Sub","",N($X209)*IF(AND(ISNUMBER($G209),$G209&lt;=IF($S209=MesCiclo,InicioCiclo,$S209+MOD(2-WEEKDAY($S209),7))+27),1,MIN(1,MAX(0,IF(ISNUMBER(OFFSET($A$1,ROW()-1,11)),OFFSET($A$1,ROW()-1,11),IF(ISNUMBER(OFFSET($A$1,ROW()-1,10)),OFFSET($A$1,ROW()-1,10),IF(ISNUMBER(OFFSET($A$1,ROW()-1,9)),OFFSET($A$1,ROW()-1,9),IF(ISNUMBER(OFFSET($A$1,ROW()-1,8)),OFFSET($A$1,ROW()-1,8),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f>IF(NOT(AND($D209&lt;&gt;"",$V209="Macro")),"",IFERROR(CHOOSE(MATCH($D209,ListaPuestos,0),MATCH("[Jefatura] "&amp;$C209,'Cronograma R. Operacional'!$C$5:$C$1000,0),MATCH("[Jefatura] "&amp;$C209,'Cronograma R. Normativo'!$C$5:$C$1000,0),MATCH("[Jefatura] "&amp;$C209,'Cronograma R. Financiero'!$C$5:$C$1000,0),MATCH("[Jefatura] "&amp;$C209,'Cronograma Asistente Técnico'!$C$5:$C$1000,0)),0))</f>
        <v/>
      </c>
      <c r="AN209" s="62">
        <f>IF(AND(AND($D209&lt;&gt;"",$V209="Macro"),$S209=MesCiclo),COUNTIFS($D$5:$D209,$D209,$S$5:$S209,MesCiclo,$V$5:$V209,"Macro"),"")</f>
        <v/>
      </c>
      <c r="AO209" s="62">
        <f>IF($AN209="","",$D209&amp;"|"&amp;$AN209)</f>
        <v/>
      </c>
      <c r="AP209" s="62">
        <f>IF(AND($D209&lt;&gt;"",$V209="Macro"),$D209&amp;"|"&amp;$C209,"")</f>
        <v/>
      </c>
      <c r="AQ209" s="62">
        <f>""</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t="n"/>
      <c r="F210" s="59" t="n"/>
      <c r="G210" s="59" t="n"/>
      <c r="H210" s="60" t="n"/>
      <c r="I210" s="60">
        <f>IF(N($W210)=0,"",IF(AND($S210=MesCiclo,1&gt;SemanaActual),"",MIN(1,SUMIFS(OFFSET($A$1,ROW(),29,1000-ROW(),1),OFFSET($A$1,ROW(),20,1000-ROW(),1),ROW(),OFFSET($A$1,ROW(),21,1000-ROW(),1),"Sub"))))</f>
        <v/>
      </c>
      <c r="J210" s="60">
        <f>IF(N($W210)=0,"",IF(AND($S210=MesCiclo,2&gt;SemanaActual),"",MIN(1,SUMIFS(OFFSET($A$1,ROW(),30,1000-ROW(),1),OFFSET($A$1,ROW(),20,1000-ROW(),1),ROW(),OFFSET($A$1,ROW(),21,1000-ROW(),1),"Sub"))))</f>
        <v/>
      </c>
      <c r="K210" s="60">
        <f>IF(N($W210)=0,"",IF(AND($S210=MesCiclo,3&gt;SemanaActual),"",MIN(1,SUMIFS(OFFSET($A$1,ROW(),31,1000-ROW(),1),OFFSET($A$1,ROW(),20,1000-ROW(),1),ROW(),OFFSET($A$1,ROW(),21,1000-ROW(),1),"Sub"))))</f>
        <v/>
      </c>
      <c r="L210" s="60">
        <f>IF(N($W210)=0,"",IF(AND($S210=MesCiclo,4&gt;SemanaActual),"",MIN(1,SUMIFS(OFFSET($A$1,ROW(),32,1000-ROW(),1),OFFSET($A$1,ROW(),20,1000-ROW(),1),ROW(),OFFSET($A$1,ROW(),21,1000-ROW(),1),"Sub"))))</f>
        <v/>
      </c>
      <c r="M210" s="61">
        <f>IF(NOT((COUNTA($B210:$D210)+COUNTA($G210:$H210)+COUNTA($Q210))&gt;0),"",IF(AND($D210&lt;&gt;"",$V210="Macro"),IF(N($AM210)&gt;0,N(CHOOSE(MATCH($D210,ListaPuestos,0),INDEX('Cronograma R. Operacional'!$M$5:$M$1000,$AM210),INDEX('Cronograma R. Normativo'!$M$5:$M$1000,$AM210),INDEX('Cronograma R. Financiero'!$M$5:$M$1000,$AM210),INDEX('Cronograma Asistente Técnico'!$M$5:$M$1000,$AM210))),0),IF(ISNUMBER($G210),1,IF(N($W210)&gt;0,MIN(1,SUMIFS($Y$5:$Y$1000,$U$5:$U$1000,ROW(),$V$5:$V$1000,"Sub")),$Y210))))</f>
        <v/>
      </c>
      <c r="N210" s="56">
        <f>IF(OR($M210="",$V210="Sub"),"",IF($M210&gt;=1,"Completado",IF($M210&gt;0,"En curso","Pendiente")))</f>
        <v/>
      </c>
      <c r="O210" s="56">
        <f>IF(NOT((COUNTA($B210:$D210)+COUNTA($G210:$H210)+COUNTA($Q210))&gt;0),"",IF(AND(AND($D210&lt;&gt;"",$V210="Macro"),N($AM210)&gt;0),CHOOSE(MATCH($D210,ListaPuestos,0),INDEX('Cronograma R. Operacional'!$O$5:$O$1000,$AM210),INDEX('Cronograma R. Normativo'!$O$5:$O$1000,$AM210),INDEX('Cronograma R. Financiero'!$O$5:$O$1000,$AM210),INDEX('Cronograma Asistente Técnico'!$O$5:$O$1000,$AM210))&amp;"",IF(ISNUMBER($G210),IF(AND(ISNUMBER($AS210),$G210&gt;$AS210),"Cumplida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f>IF(NOT((COUNTA($B210:$D210)+COUNTA($G210:$H210)+COUNTA($Q210))&gt;0),"",IF($D210="","Propia",IF($V210&lt;&gt;"Macro","Solo se delegan macroactividades",IF(N($AM210)&gt;0,"✔ Recibida por "&amp;$D210,"⚠ "&amp;$D210&amp;" aún no la agrega"))))</f>
        <v/>
      </c>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IF($V210&lt;&gt;"Sub","",N($X210)*IF(AND(ISNUMBER($G210),$G210&lt;=IF($S210=MesCiclo,InicioCiclo,$S210+MOD(2-WEEKDAY($S210),7))+6),1,MIN(1,MAX(0,IF(ISNUMBER(OFFSET($A$1,ROW()-1,8)),OFFSET($A$1,ROW()-1,8),0)))))</f>
        <v/>
      </c>
      <c r="AE210" s="62">
        <f>IF($V210&lt;&gt;"Sub","",N($X210)*IF(AND(ISNUMBER($G210),$G210&lt;=IF($S210=MesCiclo,InicioCiclo,$S210+MOD(2-WEEKDAY($S210),7))+13),1,MIN(1,MAX(0,IF(ISNUMBER(OFFSET($A$1,ROW()-1,9)),OFFSET($A$1,ROW()-1,9),IF(ISNUMBER(OFFSET($A$1,ROW()-1,8)),OFFSET($A$1,ROW()-1,8),0))))))</f>
        <v/>
      </c>
      <c r="AF210" s="62">
        <f>IF($V210&lt;&gt;"Sub","",N($X210)*IF(AND(ISNUMBER($G210),$G210&lt;=IF($S210=MesCiclo,InicioCiclo,$S210+MOD(2-WEEKDAY($S210),7))+20),1,MIN(1,MAX(0,IF(ISNUMBER(OFFSET($A$1,ROW()-1,10)),OFFSET($A$1,ROW()-1,10),IF(ISNUMBER(OFFSET($A$1,ROW()-1,9)),OFFSET($A$1,ROW()-1,9),IF(ISNUMBER(OFFSET($A$1,ROW()-1,8)),OFFSET($A$1,ROW()-1,8),0)))))))</f>
        <v/>
      </c>
      <c r="AG210" s="62">
        <f>IF($V210&lt;&gt;"Sub","",N($X210)*IF(AND(ISNUMBER($G210),$G210&lt;=IF($S210=MesCiclo,InicioCiclo,$S210+MOD(2-WEEKDAY($S210),7))+27),1,MIN(1,MAX(0,IF(ISNUMBER(OFFSET($A$1,ROW()-1,11)),OFFSET($A$1,ROW()-1,11),IF(ISNUMBER(OFFSET($A$1,ROW()-1,10)),OFFSET($A$1,ROW()-1,10),IF(ISNUMBER(OFFSET($A$1,ROW()-1,9)),OFFSET($A$1,ROW()-1,9),IF(ISNUMBER(OFFSET($A$1,ROW()-1,8)),OFFSET($A$1,ROW()-1,8),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f>IF(NOT(AND($D210&lt;&gt;"",$V210="Macro")),"",IFERROR(CHOOSE(MATCH($D210,ListaPuestos,0),MATCH("[Jefatura] "&amp;$C210,'Cronograma R. Operacional'!$C$5:$C$1000,0),MATCH("[Jefatura] "&amp;$C210,'Cronograma R. Normativo'!$C$5:$C$1000,0),MATCH("[Jefatura] "&amp;$C210,'Cronograma R. Financiero'!$C$5:$C$1000,0),MATCH("[Jefatura] "&amp;$C210,'Cronograma Asistente Técnico'!$C$5:$C$1000,0)),0))</f>
        <v/>
      </c>
      <c r="AN210" s="62">
        <f>IF(AND(AND($D210&lt;&gt;"",$V210="Macro"),$S210=MesCiclo),COUNTIFS($D$5:$D210,$D210,$S$5:$S210,MesCiclo,$V$5:$V210,"Macro"),"")</f>
        <v/>
      </c>
      <c r="AO210" s="62">
        <f>IF($AN210="","",$D210&amp;"|"&amp;$AN210)</f>
        <v/>
      </c>
      <c r="AP210" s="62">
        <f>IF(AND($D210&lt;&gt;"",$V210="Macro"),$D210&amp;"|"&amp;$C210,"")</f>
        <v/>
      </c>
      <c r="AQ210" s="62">
        <f>""</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t="n"/>
      <c r="F211" s="59" t="n"/>
      <c r="G211" s="59" t="n"/>
      <c r="H211" s="60" t="n"/>
      <c r="I211" s="60">
        <f>IF(N($W211)=0,"",IF(AND($S211=MesCiclo,1&gt;SemanaActual),"",MIN(1,SUMIFS(OFFSET($A$1,ROW(),29,1000-ROW(),1),OFFSET($A$1,ROW(),20,1000-ROW(),1),ROW(),OFFSET($A$1,ROW(),21,1000-ROW(),1),"Sub"))))</f>
        <v/>
      </c>
      <c r="J211" s="60">
        <f>IF(N($W211)=0,"",IF(AND($S211=MesCiclo,2&gt;SemanaActual),"",MIN(1,SUMIFS(OFFSET($A$1,ROW(),30,1000-ROW(),1),OFFSET($A$1,ROW(),20,1000-ROW(),1),ROW(),OFFSET($A$1,ROW(),21,1000-ROW(),1),"Sub"))))</f>
        <v/>
      </c>
      <c r="K211" s="60">
        <f>IF(N($W211)=0,"",IF(AND($S211=MesCiclo,3&gt;SemanaActual),"",MIN(1,SUMIFS(OFFSET($A$1,ROW(),31,1000-ROW(),1),OFFSET($A$1,ROW(),20,1000-ROW(),1),ROW(),OFFSET($A$1,ROW(),21,1000-ROW(),1),"Sub"))))</f>
        <v/>
      </c>
      <c r="L211" s="60">
        <f>IF(N($W211)=0,"",IF(AND($S211=MesCiclo,4&gt;SemanaActual),"",MIN(1,SUMIFS(OFFSET($A$1,ROW(),32,1000-ROW(),1),OFFSET($A$1,ROW(),20,1000-ROW(),1),ROW(),OFFSET($A$1,ROW(),21,1000-ROW(),1),"Sub"))))</f>
        <v/>
      </c>
      <c r="M211" s="61">
        <f>IF(NOT((COUNTA($B211:$D211)+COUNTA($G211:$H211)+COUNTA($Q211))&gt;0),"",IF(AND($D211&lt;&gt;"",$V211="Macro"),IF(N($AM211)&gt;0,N(CHOOSE(MATCH($D211,ListaPuestos,0),INDEX('Cronograma R. Operacional'!$M$5:$M$1000,$AM211),INDEX('Cronograma R. Normativo'!$M$5:$M$1000,$AM211),INDEX('Cronograma R. Financiero'!$M$5:$M$1000,$AM211),INDEX('Cronograma Asistente Técnico'!$M$5:$M$1000,$AM211))),0),IF(ISNUMBER($G211),1,IF(N($W211)&gt;0,MIN(1,SUMIFS($Y$5:$Y$1000,$U$5:$U$1000,ROW(),$V$5:$V$1000,"Sub")),$Y211))))</f>
        <v/>
      </c>
      <c r="N211" s="56">
        <f>IF(OR($M211="",$V211="Sub"),"",IF($M211&gt;=1,"Completado",IF($M211&gt;0,"En curso","Pendiente")))</f>
        <v/>
      </c>
      <c r="O211" s="56">
        <f>IF(NOT((COUNTA($B211:$D211)+COUNTA($G211:$H211)+COUNTA($Q211))&gt;0),"",IF(AND(AND($D211&lt;&gt;"",$V211="Macro"),N($AM211)&gt;0),CHOOSE(MATCH($D211,ListaPuestos,0),INDEX('Cronograma R. Operacional'!$O$5:$O$1000,$AM211),INDEX('Cronograma R. Normativo'!$O$5:$O$1000,$AM211),INDEX('Cronograma R. Financiero'!$O$5:$O$1000,$AM211),INDEX('Cronograma Asistente Técnico'!$O$5:$O$1000,$AM211))&amp;"",IF(ISNUMBER($G211),IF(AND(ISNUMBER($AS211),$G211&gt;$AS211),"Cumplida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f>IF(NOT((COUNTA($B211:$D211)+COUNTA($G211:$H211)+COUNTA($Q211))&gt;0),"",IF($D211="","Propia",IF($V211&lt;&gt;"Macro","Solo se delegan macroactividades",IF(N($AM211)&gt;0,"✔ Recibida por "&amp;$D211,"⚠ "&amp;$D211&amp;" aún no la agrega"))))</f>
        <v/>
      </c>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IF($V211&lt;&gt;"Sub","",N($X211)*IF(AND(ISNUMBER($G211),$G211&lt;=IF($S211=MesCiclo,InicioCiclo,$S211+MOD(2-WEEKDAY($S211),7))+6),1,MIN(1,MAX(0,IF(ISNUMBER(OFFSET($A$1,ROW()-1,8)),OFFSET($A$1,ROW()-1,8),0)))))</f>
        <v/>
      </c>
      <c r="AE211" s="62">
        <f>IF($V211&lt;&gt;"Sub","",N($X211)*IF(AND(ISNUMBER($G211),$G211&lt;=IF($S211=MesCiclo,InicioCiclo,$S211+MOD(2-WEEKDAY($S211),7))+13),1,MIN(1,MAX(0,IF(ISNUMBER(OFFSET($A$1,ROW()-1,9)),OFFSET($A$1,ROW()-1,9),IF(ISNUMBER(OFFSET($A$1,ROW()-1,8)),OFFSET($A$1,ROW()-1,8),0))))))</f>
        <v/>
      </c>
      <c r="AF211" s="62">
        <f>IF($V211&lt;&gt;"Sub","",N($X211)*IF(AND(ISNUMBER($G211),$G211&lt;=IF($S211=MesCiclo,InicioCiclo,$S211+MOD(2-WEEKDAY($S211),7))+20),1,MIN(1,MAX(0,IF(ISNUMBER(OFFSET($A$1,ROW()-1,10)),OFFSET($A$1,ROW()-1,10),IF(ISNUMBER(OFFSET($A$1,ROW()-1,9)),OFFSET($A$1,ROW()-1,9),IF(ISNUMBER(OFFSET($A$1,ROW()-1,8)),OFFSET($A$1,ROW()-1,8),0)))))))</f>
        <v/>
      </c>
      <c r="AG211" s="62">
        <f>IF($V211&lt;&gt;"Sub","",N($X211)*IF(AND(ISNUMBER($G211),$G211&lt;=IF($S211=MesCiclo,InicioCiclo,$S211+MOD(2-WEEKDAY($S211),7))+27),1,MIN(1,MAX(0,IF(ISNUMBER(OFFSET($A$1,ROW()-1,11)),OFFSET($A$1,ROW()-1,11),IF(ISNUMBER(OFFSET($A$1,ROW()-1,10)),OFFSET($A$1,ROW()-1,10),IF(ISNUMBER(OFFSET($A$1,ROW()-1,9)),OFFSET($A$1,ROW()-1,9),IF(ISNUMBER(OFFSET($A$1,ROW()-1,8)),OFFSET($A$1,ROW()-1,8),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f>IF(NOT(AND($D211&lt;&gt;"",$V211="Macro")),"",IFERROR(CHOOSE(MATCH($D211,ListaPuestos,0),MATCH("[Jefatura] "&amp;$C211,'Cronograma R. Operacional'!$C$5:$C$1000,0),MATCH("[Jefatura] "&amp;$C211,'Cronograma R. Normativo'!$C$5:$C$1000,0),MATCH("[Jefatura] "&amp;$C211,'Cronograma R. Financiero'!$C$5:$C$1000,0),MATCH("[Jefatura] "&amp;$C211,'Cronograma Asistente Técnico'!$C$5:$C$1000,0)),0))</f>
        <v/>
      </c>
      <c r="AN211" s="62">
        <f>IF(AND(AND($D211&lt;&gt;"",$V211="Macro"),$S211=MesCiclo),COUNTIFS($D$5:$D211,$D211,$S$5:$S211,MesCiclo,$V$5:$V211,"Macro"),"")</f>
        <v/>
      </c>
      <c r="AO211" s="62">
        <f>IF($AN211="","",$D211&amp;"|"&amp;$AN211)</f>
        <v/>
      </c>
      <c r="AP211" s="62">
        <f>IF(AND($D211&lt;&gt;"",$V211="Macro"),$D211&amp;"|"&amp;$C211,"")</f>
        <v/>
      </c>
      <c r="AQ211" s="62">
        <f>""</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t="n"/>
      <c r="F212" s="59" t="n"/>
      <c r="G212" s="59" t="n"/>
      <c r="H212" s="60" t="n"/>
      <c r="I212" s="60">
        <f>IF(N($W212)=0,"",IF(AND($S212=MesCiclo,1&gt;SemanaActual),"",MIN(1,SUMIFS(OFFSET($A$1,ROW(),29,1000-ROW(),1),OFFSET($A$1,ROW(),20,1000-ROW(),1),ROW(),OFFSET($A$1,ROW(),21,1000-ROW(),1),"Sub"))))</f>
        <v/>
      </c>
      <c r="J212" s="60">
        <f>IF(N($W212)=0,"",IF(AND($S212=MesCiclo,2&gt;SemanaActual),"",MIN(1,SUMIFS(OFFSET($A$1,ROW(),30,1000-ROW(),1),OFFSET($A$1,ROW(),20,1000-ROW(),1),ROW(),OFFSET($A$1,ROW(),21,1000-ROW(),1),"Sub"))))</f>
        <v/>
      </c>
      <c r="K212" s="60">
        <f>IF(N($W212)=0,"",IF(AND($S212=MesCiclo,3&gt;SemanaActual),"",MIN(1,SUMIFS(OFFSET($A$1,ROW(),31,1000-ROW(),1),OFFSET($A$1,ROW(),20,1000-ROW(),1),ROW(),OFFSET($A$1,ROW(),21,1000-ROW(),1),"Sub"))))</f>
        <v/>
      </c>
      <c r="L212" s="60">
        <f>IF(N($W212)=0,"",IF(AND($S212=MesCiclo,4&gt;SemanaActual),"",MIN(1,SUMIFS(OFFSET($A$1,ROW(),32,1000-ROW(),1),OFFSET($A$1,ROW(),20,1000-ROW(),1),ROW(),OFFSET($A$1,ROW(),21,1000-ROW(),1),"Sub"))))</f>
        <v/>
      </c>
      <c r="M212" s="61">
        <f>IF(NOT((COUNTA($B212:$D212)+COUNTA($G212:$H212)+COUNTA($Q212))&gt;0),"",IF(AND($D212&lt;&gt;"",$V212="Macro"),IF(N($AM212)&gt;0,N(CHOOSE(MATCH($D212,ListaPuestos,0),INDEX('Cronograma R. Operacional'!$M$5:$M$1000,$AM212),INDEX('Cronograma R. Normativo'!$M$5:$M$1000,$AM212),INDEX('Cronograma R. Financiero'!$M$5:$M$1000,$AM212),INDEX('Cronograma Asistente Técnico'!$M$5:$M$1000,$AM212))),0),IF(ISNUMBER($G212),1,IF(N($W212)&gt;0,MIN(1,SUMIFS($Y$5:$Y$1000,$U$5:$U$1000,ROW(),$V$5:$V$1000,"Sub")),$Y212))))</f>
        <v/>
      </c>
      <c r="N212" s="56">
        <f>IF(OR($M212="",$V212="Sub"),"",IF($M212&gt;=1,"Completado",IF($M212&gt;0,"En curso","Pendiente")))</f>
        <v/>
      </c>
      <c r="O212" s="56">
        <f>IF(NOT((COUNTA($B212:$D212)+COUNTA($G212:$H212)+COUNTA($Q212))&gt;0),"",IF(AND(AND($D212&lt;&gt;"",$V212="Macro"),N($AM212)&gt;0),CHOOSE(MATCH($D212,ListaPuestos,0),INDEX('Cronograma R. Operacional'!$O$5:$O$1000,$AM212),INDEX('Cronograma R. Normativo'!$O$5:$O$1000,$AM212),INDEX('Cronograma R. Financiero'!$O$5:$O$1000,$AM212),INDEX('Cronograma Asistente Técnico'!$O$5:$O$1000,$AM212))&amp;"",IF(ISNUMBER($G212),IF(AND(ISNUMBER($AS212),$G212&gt;$AS212),"Cumplida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f>IF(NOT((COUNTA($B212:$D212)+COUNTA($G212:$H212)+COUNTA($Q212))&gt;0),"",IF($D212="","Propia",IF($V212&lt;&gt;"Macro","Solo se delegan macroactividades",IF(N($AM212)&gt;0,"✔ Recibida por "&amp;$D212,"⚠ "&amp;$D212&amp;" aún no la agrega"))))</f>
        <v/>
      </c>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IF($V212&lt;&gt;"Sub","",N($X212)*IF(AND(ISNUMBER($G212),$G212&lt;=IF($S212=MesCiclo,InicioCiclo,$S212+MOD(2-WEEKDAY($S212),7))+6),1,MIN(1,MAX(0,IF(ISNUMBER(OFFSET($A$1,ROW()-1,8)),OFFSET($A$1,ROW()-1,8),0)))))</f>
        <v/>
      </c>
      <c r="AE212" s="62">
        <f>IF($V212&lt;&gt;"Sub","",N($X212)*IF(AND(ISNUMBER($G212),$G212&lt;=IF($S212=MesCiclo,InicioCiclo,$S212+MOD(2-WEEKDAY($S212),7))+13),1,MIN(1,MAX(0,IF(ISNUMBER(OFFSET($A$1,ROW()-1,9)),OFFSET($A$1,ROW()-1,9),IF(ISNUMBER(OFFSET($A$1,ROW()-1,8)),OFFSET($A$1,ROW()-1,8),0))))))</f>
        <v/>
      </c>
      <c r="AF212" s="62">
        <f>IF($V212&lt;&gt;"Sub","",N($X212)*IF(AND(ISNUMBER($G212),$G212&lt;=IF($S212=MesCiclo,InicioCiclo,$S212+MOD(2-WEEKDAY($S212),7))+20),1,MIN(1,MAX(0,IF(ISNUMBER(OFFSET($A$1,ROW()-1,10)),OFFSET($A$1,ROW()-1,10),IF(ISNUMBER(OFFSET($A$1,ROW()-1,9)),OFFSET($A$1,ROW()-1,9),IF(ISNUMBER(OFFSET($A$1,ROW()-1,8)),OFFSET($A$1,ROW()-1,8),0)))))))</f>
        <v/>
      </c>
      <c r="AG212" s="62">
        <f>IF($V212&lt;&gt;"Sub","",N($X212)*IF(AND(ISNUMBER($G212),$G212&lt;=IF($S212=MesCiclo,InicioCiclo,$S212+MOD(2-WEEKDAY($S212),7))+27),1,MIN(1,MAX(0,IF(ISNUMBER(OFFSET($A$1,ROW()-1,11)),OFFSET($A$1,ROW()-1,11),IF(ISNUMBER(OFFSET($A$1,ROW()-1,10)),OFFSET($A$1,ROW()-1,10),IF(ISNUMBER(OFFSET($A$1,ROW()-1,9)),OFFSET($A$1,ROW()-1,9),IF(ISNUMBER(OFFSET($A$1,ROW()-1,8)),OFFSET($A$1,ROW()-1,8),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f>IF(NOT(AND($D212&lt;&gt;"",$V212="Macro")),"",IFERROR(CHOOSE(MATCH($D212,ListaPuestos,0),MATCH("[Jefatura] "&amp;$C212,'Cronograma R. Operacional'!$C$5:$C$1000,0),MATCH("[Jefatura] "&amp;$C212,'Cronograma R. Normativo'!$C$5:$C$1000,0),MATCH("[Jefatura] "&amp;$C212,'Cronograma R. Financiero'!$C$5:$C$1000,0),MATCH("[Jefatura] "&amp;$C212,'Cronograma Asistente Técnico'!$C$5:$C$1000,0)),0))</f>
        <v/>
      </c>
      <c r="AN212" s="62">
        <f>IF(AND(AND($D212&lt;&gt;"",$V212="Macro"),$S212=MesCiclo),COUNTIFS($D$5:$D212,$D212,$S$5:$S212,MesCiclo,$V$5:$V212,"Macro"),"")</f>
        <v/>
      </c>
      <c r="AO212" s="62">
        <f>IF($AN212="","",$D212&amp;"|"&amp;$AN212)</f>
        <v/>
      </c>
      <c r="AP212" s="62">
        <f>IF(AND($D212&lt;&gt;"",$V212="Macro"),$D212&amp;"|"&amp;$C212,"")</f>
        <v/>
      </c>
      <c r="AQ212" s="62">
        <f>""</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t="n"/>
      <c r="F213" s="59" t="n"/>
      <c r="G213" s="59" t="n"/>
      <c r="H213" s="60" t="n"/>
      <c r="I213" s="60">
        <f>IF(N($W213)=0,"",IF(AND($S213=MesCiclo,1&gt;SemanaActual),"",MIN(1,SUMIFS(OFFSET($A$1,ROW(),29,1000-ROW(),1),OFFSET($A$1,ROW(),20,1000-ROW(),1),ROW(),OFFSET($A$1,ROW(),21,1000-ROW(),1),"Sub"))))</f>
        <v/>
      </c>
      <c r="J213" s="60">
        <f>IF(N($W213)=0,"",IF(AND($S213=MesCiclo,2&gt;SemanaActual),"",MIN(1,SUMIFS(OFFSET($A$1,ROW(),30,1000-ROW(),1),OFFSET($A$1,ROW(),20,1000-ROW(),1),ROW(),OFFSET($A$1,ROW(),21,1000-ROW(),1),"Sub"))))</f>
        <v/>
      </c>
      <c r="K213" s="60">
        <f>IF(N($W213)=0,"",IF(AND($S213=MesCiclo,3&gt;SemanaActual),"",MIN(1,SUMIFS(OFFSET($A$1,ROW(),31,1000-ROW(),1),OFFSET($A$1,ROW(),20,1000-ROW(),1),ROW(),OFFSET($A$1,ROW(),21,1000-ROW(),1),"Sub"))))</f>
        <v/>
      </c>
      <c r="L213" s="60">
        <f>IF(N($W213)=0,"",IF(AND($S213=MesCiclo,4&gt;SemanaActual),"",MIN(1,SUMIFS(OFFSET($A$1,ROW(),32,1000-ROW(),1),OFFSET($A$1,ROW(),20,1000-ROW(),1),ROW(),OFFSET($A$1,ROW(),21,1000-ROW(),1),"Sub"))))</f>
        <v/>
      </c>
      <c r="M213" s="61">
        <f>IF(NOT((COUNTA($B213:$D213)+COUNTA($G213:$H213)+COUNTA($Q213))&gt;0),"",IF(AND($D213&lt;&gt;"",$V213="Macro"),IF(N($AM213)&gt;0,N(CHOOSE(MATCH($D213,ListaPuestos,0),INDEX('Cronograma R. Operacional'!$M$5:$M$1000,$AM213),INDEX('Cronograma R. Normativo'!$M$5:$M$1000,$AM213),INDEX('Cronograma R. Financiero'!$M$5:$M$1000,$AM213),INDEX('Cronograma Asistente Técnico'!$M$5:$M$1000,$AM213))),0),IF(ISNUMBER($G213),1,IF(N($W213)&gt;0,MIN(1,SUMIFS($Y$5:$Y$1000,$U$5:$U$1000,ROW(),$V$5:$V$1000,"Sub")),$Y213))))</f>
        <v/>
      </c>
      <c r="N213" s="56">
        <f>IF(OR($M213="",$V213="Sub"),"",IF($M213&gt;=1,"Completado",IF($M213&gt;0,"En curso","Pendiente")))</f>
        <v/>
      </c>
      <c r="O213" s="56">
        <f>IF(NOT((COUNTA($B213:$D213)+COUNTA($G213:$H213)+COUNTA($Q213))&gt;0),"",IF(AND(AND($D213&lt;&gt;"",$V213="Macro"),N($AM213)&gt;0),CHOOSE(MATCH($D213,ListaPuestos,0),INDEX('Cronograma R. Operacional'!$O$5:$O$1000,$AM213),INDEX('Cronograma R. Normativo'!$O$5:$O$1000,$AM213),INDEX('Cronograma R. Financiero'!$O$5:$O$1000,$AM213),INDEX('Cronograma Asistente Técnico'!$O$5:$O$1000,$AM213))&amp;"",IF(ISNUMBER($G213),IF(AND(ISNUMBER($AS213),$G213&gt;$AS213),"Cumplida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f>IF(NOT((COUNTA($B213:$D213)+COUNTA($G213:$H213)+COUNTA($Q213))&gt;0),"",IF($D213="","Propia",IF($V213&lt;&gt;"Macro","Solo se delegan macroactividades",IF(N($AM213)&gt;0,"✔ Recibida por "&amp;$D213,"⚠ "&amp;$D213&amp;" aún no la agrega"))))</f>
        <v/>
      </c>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IF($V213&lt;&gt;"Sub","",N($X213)*IF(AND(ISNUMBER($G213),$G213&lt;=IF($S213=MesCiclo,InicioCiclo,$S213+MOD(2-WEEKDAY($S213),7))+6),1,MIN(1,MAX(0,IF(ISNUMBER(OFFSET($A$1,ROW()-1,8)),OFFSET($A$1,ROW()-1,8),0)))))</f>
        <v/>
      </c>
      <c r="AE213" s="62">
        <f>IF($V213&lt;&gt;"Sub","",N($X213)*IF(AND(ISNUMBER($G213),$G213&lt;=IF($S213=MesCiclo,InicioCiclo,$S213+MOD(2-WEEKDAY($S213),7))+13),1,MIN(1,MAX(0,IF(ISNUMBER(OFFSET($A$1,ROW()-1,9)),OFFSET($A$1,ROW()-1,9),IF(ISNUMBER(OFFSET($A$1,ROW()-1,8)),OFFSET($A$1,ROW()-1,8),0))))))</f>
        <v/>
      </c>
      <c r="AF213" s="62">
        <f>IF($V213&lt;&gt;"Sub","",N($X213)*IF(AND(ISNUMBER($G213),$G213&lt;=IF($S213=MesCiclo,InicioCiclo,$S213+MOD(2-WEEKDAY($S213),7))+20),1,MIN(1,MAX(0,IF(ISNUMBER(OFFSET($A$1,ROW()-1,10)),OFFSET($A$1,ROW()-1,10),IF(ISNUMBER(OFFSET($A$1,ROW()-1,9)),OFFSET($A$1,ROW()-1,9),IF(ISNUMBER(OFFSET($A$1,ROW()-1,8)),OFFSET($A$1,ROW()-1,8),0)))))))</f>
        <v/>
      </c>
      <c r="AG213" s="62">
        <f>IF($V213&lt;&gt;"Sub","",N($X213)*IF(AND(ISNUMBER($G213),$G213&lt;=IF($S213=MesCiclo,InicioCiclo,$S213+MOD(2-WEEKDAY($S213),7))+27),1,MIN(1,MAX(0,IF(ISNUMBER(OFFSET($A$1,ROW()-1,11)),OFFSET($A$1,ROW()-1,11),IF(ISNUMBER(OFFSET($A$1,ROW()-1,10)),OFFSET($A$1,ROW()-1,10),IF(ISNUMBER(OFFSET($A$1,ROW()-1,9)),OFFSET($A$1,ROW()-1,9),IF(ISNUMBER(OFFSET($A$1,ROW()-1,8)),OFFSET($A$1,ROW()-1,8),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f>IF(NOT(AND($D213&lt;&gt;"",$V213="Macro")),"",IFERROR(CHOOSE(MATCH($D213,ListaPuestos,0),MATCH("[Jefatura] "&amp;$C213,'Cronograma R. Operacional'!$C$5:$C$1000,0),MATCH("[Jefatura] "&amp;$C213,'Cronograma R. Normativo'!$C$5:$C$1000,0),MATCH("[Jefatura] "&amp;$C213,'Cronograma R. Financiero'!$C$5:$C$1000,0),MATCH("[Jefatura] "&amp;$C213,'Cronograma Asistente Técnico'!$C$5:$C$1000,0)),0))</f>
        <v/>
      </c>
      <c r="AN213" s="62">
        <f>IF(AND(AND($D213&lt;&gt;"",$V213="Macro"),$S213=MesCiclo),COUNTIFS($D$5:$D213,$D213,$S$5:$S213,MesCiclo,$V$5:$V213,"Macro"),"")</f>
        <v/>
      </c>
      <c r="AO213" s="62">
        <f>IF($AN213="","",$D213&amp;"|"&amp;$AN213)</f>
        <v/>
      </c>
      <c r="AP213" s="62">
        <f>IF(AND($D213&lt;&gt;"",$V213="Macro"),$D213&amp;"|"&amp;$C213,"")</f>
        <v/>
      </c>
      <c r="AQ213" s="62">
        <f>""</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t="n"/>
      <c r="F214" s="59" t="n"/>
      <c r="G214" s="59" t="n"/>
      <c r="H214" s="60" t="n"/>
      <c r="I214" s="60">
        <f>IF(N($W214)=0,"",IF(AND($S214=MesCiclo,1&gt;SemanaActual),"",MIN(1,SUMIFS(OFFSET($A$1,ROW(),29,1000-ROW(),1),OFFSET($A$1,ROW(),20,1000-ROW(),1),ROW(),OFFSET($A$1,ROW(),21,1000-ROW(),1),"Sub"))))</f>
        <v/>
      </c>
      <c r="J214" s="60">
        <f>IF(N($W214)=0,"",IF(AND($S214=MesCiclo,2&gt;SemanaActual),"",MIN(1,SUMIFS(OFFSET($A$1,ROW(),30,1000-ROW(),1),OFFSET($A$1,ROW(),20,1000-ROW(),1),ROW(),OFFSET($A$1,ROW(),21,1000-ROW(),1),"Sub"))))</f>
        <v/>
      </c>
      <c r="K214" s="60">
        <f>IF(N($W214)=0,"",IF(AND($S214=MesCiclo,3&gt;SemanaActual),"",MIN(1,SUMIFS(OFFSET($A$1,ROW(),31,1000-ROW(),1),OFFSET($A$1,ROW(),20,1000-ROW(),1),ROW(),OFFSET($A$1,ROW(),21,1000-ROW(),1),"Sub"))))</f>
        <v/>
      </c>
      <c r="L214" s="60">
        <f>IF(N($W214)=0,"",IF(AND($S214=MesCiclo,4&gt;SemanaActual),"",MIN(1,SUMIFS(OFFSET($A$1,ROW(),32,1000-ROW(),1),OFFSET($A$1,ROW(),20,1000-ROW(),1),ROW(),OFFSET($A$1,ROW(),21,1000-ROW(),1),"Sub"))))</f>
        <v/>
      </c>
      <c r="M214" s="61">
        <f>IF(NOT((COUNTA($B214:$D214)+COUNTA($G214:$H214)+COUNTA($Q214))&gt;0),"",IF(AND($D214&lt;&gt;"",$V214="Macro"),IF(N($AM214)&gt;0,N(CHOOSE(MATCH($D214,ListaPuestos,0),INDEX('Cronograma R. Operacional'!$M$5:$M$1000,$AM214),INDEX('Cronograma R. Normativo'!$M$5:$M$1000,$AM214),INDEX('Cronograma R. Financiero'!$M$5:$M$1000,$AM214),INDEX('Cronograma Asistente Técnico'!$M$5:$M$1000,$AM214))),0),IF(ISNUMBER($G214),1,IF(N($W214)&gt;0,MIN(1,SUMIFS($Y$5:$Y$1000,$U$5:$U$1000,ROW(),$V$5:$V$1000,"Sub")),$Y214))))</f>
        <v/>
      </c>
      <c r="N214" s="56">
        <f>IF(OR($M214="",$V214="Sub"),"",IF($M214&gt;=1,"Completado",IF($M214&gt;0,"En curso","Pendiente")))</f>
        <v/>
      </c>
      <c r="O214" s="56">
        <f>IF(NOT((COUNTA($B214:$D214)+COUNTA($G214:$H214)+COUNTA($Q214))&gt;0),"",IF(AND(AND($D214&lt;&gt;"",$V214="Macro"),N($AM214)&gt;0),CHOOSE(MATCH($D214,ListaPuestos,0),INDEX('Cronograma R. Operacional'!$O$5:$O$1000,$AM214),INDEX('Cronograma R. Normativo'!$O$5:$O$1000,$AM214),INDEX('Cronograma R. Financiero'!$O$5:$O$1000,$AM214),INDEX('Cronograma Asistente Técnico'!$O$5:$O$1000,$AM214))&amp;"",IF(ISNUMBER($G214),IF(AND(ISNUMBER($AS214),$G214&gt;$AS214),"Cumplida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f>IF(NOT((COUNTA($B214:$D214)+COUNTA($G214:$H214)+COUNTA($Q214))&gt;0),"",IF($D214="","Propia",IF($V214&lt;&gt;"Macro","Solo se delegan macroactividades",IF(N($AM214)&gt;0,"✔ Recibida por "&amp;$D214,"⚠ "&amp;$D214&amp;" aún no la agrega"))))</f>
        <v/>
      </c>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IF($V214&lt;&gt;"Sub","",N($X214)*IF(AND(ISNUMBER($G214),$G214&lt;=IF($S214=MesCiclo,InicioCiclo,$S214+MOD(2-WEEKDAY($S214),7))+6),1,MIN(1,MAX(0,IF(ISNUMBER(OFFSET($A$1,ROW()-1,8)),OFFSET($A$1,ROW()-1,8),0)))))</f>
        <v/>
      </c>
      <c r="AE214" s="62">
        <f>IF($V214&lt;&gt;"Sub","",N($X214)*IF(AND(ISNUMBER($G214),$G214&lt;=IF($S214=MesCiclo,InicioCiclo,$S214+MOD(2-WEEKDAY($S214),7))+13),1,MIN(1,MAX(0,IF(ISNUMBER(OFFSET($A$1,ROW()-1,9)),OFFSET($A$1,ROW()-1,9),IF(ISNUMBER(OFFSET($A$1,ROW()-1,8)),OFFSET($A$1,ROW()-1,8),0))))))</f>
        <v/>
      </c>
      <c r="AF214" s="62">
        <f>IF($V214&lt;&gt;"Sub","",N($X214)*IF(AND(ISNUMBER($G214),$G214&lt;=IF($S214=MesCiclo,InicioCiclo,$S214+MOD(2-WEEKDAY($S214),7))+20),1,MIN(1,MAX(0,IF(ISNUMBER(OFFSET($A$1,ROW()-1,10)),OFFSET($A$1,ROW()-1,10),IF(ISNUMBER(OFFSET($A$1,ROW()-1,9)),OFFSET($A$1,ROW()-1,9),IF(ISNUMBER(OFFSET($A$1,ROW()-1,8)),OFFSET($A$1,ROW()-1,8),0)))))))</f>
        <v/>
      </c>
      <c r="AG214" s="62">
        <f>IF($V214&lt;&gt;"Sub","",N($X214)*IF(AND(ISNUMBER($G214),$G214&lt;=IF($S214=MesCiclo,InicioCiclo,$S214+MOD(2-WEEKDAY($S214),7))+27),1,MIN(1,MAX(0,IF(ISNUMBER(OFFSET($A$1,ROW()-1,11)),OFFSET($A$1,ROW()-1,11),IF(ISNUMBER(OFFSET($A$1,ROW()-1,10)),OFFSET($A$1,ROW()-1,10),IF(ISNUMBER(OFFSET($A$1,ROW()-1,9)),OFFSET($A$1,ROW()-1,9),IF(ISNUMBER(OFFSET($A$1,ROW()-1,8)),OFFSET($A$1,ROW()-1,8),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f>IF(NOT(AND($D214&lt;&gt;"",$V214="Macro")),"",IFERROR(CHOOSE(MATCH($D214,ListaPuestos,0),MATCH("[Jefatura] "&amp;$C214,'Cronograma R. Operacional'!$C$5:$C$1000,0),MATCH("[Jefatura] "&amp;$C214,'Cronograma R. Normativo'!$C$5:$C$1000,0),MATCH("[Jefatura] "&amp;$C214,'Cronograma R. Financiero'!$C$5:$C$1000,0),MATCH("[Jefatura] "&amp;$C214,'Cronograma Asistente Técnico'!$C$5:$C$1000,0)),0))</f>
        <v/>
      </c>
      <c r="AN214" s="62">
        <f>IF(AND(AND($D214&lt;&gt;"",$V214="Macro"),$S214=MesCiclo),COUNTIFS($D$5:$D214,$D214,$S$5:$S214,MesCiclo,$V$5:$V214,"Macro"),"")</f>
        <v/>
      </c>
      <c r="AO214" s="62">
        <f>IF($AN214="","",$D214&amp;"|"&amp;$AN214)</f>
        <v/>
      </c>
      <c r="AP214" s="62">
        <f>IF(AND($D214&lt;&gt;"",$V214="Macro"),$D214&amp;"|"&amp;$C214,"")</f>
        <v/>
      </c>
      <c r="AQ214" s="62">
        <f>""</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t="n"/>
      <c r="F215" s="59" t="n"/>
      <c r="G215" s="59" t="n"/>
      <c r="H215" s="60" t="n"/>
      <c r="I215" s="60">
        <f>IF(N($W215)=0,"",IF(AND($S215=MesCiclo,1&gt;SemanaActual),"",MIN(1,SUMIFS(OFFSET($A$1,ROW(),29,1000-ROW(),1),OFFSET($A$1,ROW(),20,1000-ROW(),1),ROW(),OFFSET($A$1,ROW(),21,1000-ROW(),1),"Sub"))))</f>
        <v/>
      </c>
      <c r="J215" s="60">
        <f>IF(N($W215)=0,"",IF(AND($S215=MesCiclo,2&gt;SemanaActual),"",MIN(1,SUMIFS(OFFSET($A$1,ROW(),30,1000-ROW(),1),OFFSET($A$1,ROW(),20,1000-ROW(),1),ROW(),OFFSET($A$1,ROW(),21,1000-ROW(),1),"Sub"))))</f>
        <v/>
      </c>
      <c r="K215" s="60">
        <f>IF(N($W215)=0,"",IF(AND($S215=MesCiclo,3&gt;SemanaActual),"",MIN(1,SUMIFS(OFFSET($A$1,ROW(),31,1000-ROW(),1),OFFSET($A$1,ROW(),20,1000-ROW(),1),ROW(),OFFSET($A$1,ROW(),21,1000-ROW(),1),"Sub"))))</f>
        <v/>
      </c>
      <c r="L215" s="60">
        <f>IF(N($W215)=0,"",IF(AND($S215=MesCiclo,4&gt;SemanaActual),"",MIN(1,SUMIFS(OFFSET($A$1,ROW(),32,1000-ROW(),1),OFFSET($A$1,ROW(),20,1000-ROW(),1),ROW(),OFFSET($A$1,ROW(),21,1000-ROW(),1),"Sub"))))</f>
        <v/>
      </c>
      <c r="M215" s="61">
        <f>IF(NOT((COUNTA($B215:$D215)+COUNTA($G215:$H215)+COUNTA($Q215))&gt;0),"",IF(AND($D215&lt;&gt;"",$V215="Macro"),IF(N($AM215)&gt;0,N(CHOOSE(MATCH($D215,ListaPuestos,0),INDEX('Cronograma R. Operacional'!$M$5:$M$1000,$AM215),INDEX('Cronograma R. Normativo'!$M$5:$M$1000,$AM215),INDEX('Cronograma R. Financiero'!$M$5:$M$1000,$AM215),INDEX('Cronograma Asistente Técnico'!$M$5:$M$1000,$AM215))),0),IF(ISNUMBER($G215),1,IF(N($W215)&gt;0,MIN(1,SUMIFS($Y$5:$Y$1000,$U$5:$U$1000,ROW(),$V$5:$V$1000,"Sub")),$Y215))))</f>
        <v/>
      </c>
      <c r="N215" s="56">
        <f>IF(OR($M215="",$V215="Sub"),"",IF($M215&gt;=1,"Completado",IF($M215&gt;0,"En curso","Pendiente")))</f>
        <v/>
      </c>
      <c r="O215" s="56">
        <f>IF(NOT((COUNTA($B215:$D215)+COUNTA($G215:$H215)+COUNTA($Q215))&gt;0),"",IF(AND(AND($D215&lt;&gt;"",$V215="Macro"),N($AM215)&gt;0),CHOOSE(MATCH($D215,ListaPuestos,0),INDEX('Cronograma R. Operacional'!$O$5:$O$1000,$AM215),INDEX('Cronograma R. Normativo'!$O$5:$O$1000,$AM215),INDEX('Cronograma R. Financiero'!$O$5:$O$1000,$AM215),INDEX('Cronograma Asistente Técnico'!$O$5:$O$1000,$AM215))&amp;"",IF(ISNUMBER($G215),IF(AND(ISNUMBER($AS215),$G215&gt;$AS215),"Cumplida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f>IF(NOT((COUNTA($B215:$D215)+COUNTA($G215:$H215)+COUNTA($Q215))&gt;0),"",IF($D215="","Propia",IF($V215&lt;&gt;"Macro","Solo se delegan macroactividades",IF(N($AM215)&gt;0,"✔ Recibida por "&amp;$D215,"⚠ "&amp;$D215&amp;" aún no la agrega"))))</f>
        <v/>
      </c>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IF($V215&lt;&gt;"Sub","",N($X215)*IF(AND(ISNUMBER($G215),$G215&lt;=IF($S215=MesCiclo,InicioCiclo,$S215+MOD(2-WEEKDAY($S215),7))+6),1,MIN(1,MAX(0,IF(ISNUMBER(OFFSET($A$1,ROW()-1,8)),OFFSET($A$1,ROW()-1,8),0)))))</f>
        <v/>
      </c>
      <c r="AE215" s="62">
        <f>IF($V215&lt;&gt;"Sub","",N($X215)*IF(AND(ISNUMBER($G215),$G215&lt;=IF($S215=MesCiclo,InicioCiclo,$S215+MOD(2-WEEKDAY($S215),7))+13),1,MIN(1,MAX(0,IF(ISNUMBER(OFFSET($A$1,ROW()-1,9)),OFFSET($A$1,ROW()-1,9),IF(ISNUMBER(OFFSET($A$1,ROW()-1,8)),OFFSET($A$1,ROW()-1,8),0))))))</f>
        <v/>
      </c>
      <c r="AF215" s="62">
        <f>IF($V215&lt;&gt;"Sub","",N($X215)*IF(AND(ISNUMBER($G215),$G215&lt;=IF($S215=MesCiclo,InicioCiclo,$S215+MOD(2-WEEKDAY($S215),7))+20),1,MIN(1,MAX(0,IF(ISNUMBER(OFFSET($A$1,ROW()-1,10)),OFFSET($A$1,ROW()-1,10),IF(ISNUMBER(OFFSET($A$1,ROW()-1,9)),OFFSET($A$1,ROW()-1,9),IF(ISNUMBER(OFFSET($A$1,ROW()-1,8)),OFFSET($A$1,ROW()-1,8),0)))))))</f>
        <v/>
      </c>
      <c r="AG215" s="62">
        <f>IF($V215&lt;&gt;"Sub","",N($X215)*IF(AND(ISNUMBER($G215),$G215&lt;=IF($S215=MesCiclo,InicioCiclo,$S215+MOD(2-WEEKDAY($S215),7))+27),1,MIN(1,MAX(0,IF(ISNUMBER(OFFSET($A$1,ROW()-1,11)),OFFSET($A$1,ROW()-1,11),IF(ISNUMBER(OFFSET($A$1,ROW()-1,10)),OFFSET($A$1,ROW()-1,10),IF(ISNUMBER(OFFSET($A$1,ROW()-1,9)),OFFSET($A$1,ROW()-1,9),IF(ISNUMBER(OFFSET($A$1,ROW()-1,8)),OFFSET($A$1,ROW()-1,8),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f>IF(NOT(AND($D215&lt;&gt;"",$V215="Macro")),"",IFERROR(CHOOSE(MATCH($D215,ListaPuestos,0),MATCH("[Jefatura] "&amp;$C215,'Cronograma R. Operacional'!$C$5:$C$1000,0),MATCH("[Jefatura] "&amp;$C215,'Cronograma R. Normativo'!$C$5:$C$1000,0),MATCH("[Jefatura] "&amp;$C215,'Cronograma R. Financiero'!$C$5:$C$1000,0),MATCH("[Jefatura] "&amp;$C215,'Cronograma Asistente Técnico'!$C$5:$C$1000,0)),0))</f>
        <v/>
      </c>
      <c r="AN215" s="62">
        <f>IF(AND(AND($D215&lt;&gt;"",$V215="Macro"),$S215=MesCiclo),COUNTIFS($D$5:$D215,$D215,$S$5:$S215,MesCiclo,$V$5:$V215,"Macro"),"")</f>
        <v/>
      </c>
      <c r="AO215" s="62">
        <f>IF($AN215="","",$D215&amp;"|"&amp;$AN215)</f>
        <v/>
      </c>
      <c r="AP215" s="62">
        <f>IF(AND($D215&lt;&gt;"",$V215="Macro"),$D215&amp;"|"&amp;$C215,"")</f>
        <v/>
      </c>
      <c r="AQ215" s="62">
        <f>""</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t="n"/>
      <c r="F216" s="59" t="n"/>
      <c r="G216" s="59" t="n"/>
      <c r="H216" s="60" t="n"/>
      <c r="I216" s="60">
        <f>IF(N($W216)=0,"",IF(AND($S216=MesCiclo,1&gt;SemanaActual),"",MIN(1,SUMIFS(OFFSET($A$1,ROW(),29,1000-ROW(),1),OFFSET($A$1,ROW(),20,1000-ROW(),1),ROW(),OFFSET($A$1,ROW(),21,1000-ROW(),1),"Sub"))))</f>
        <v/>
      </c>
      <c r="J216" s="60">
        <f>IF(N($W216)=0,"",IF(AND($S216=MesCiclo,2&gt;SemanaActual),"",MIN(1,SUMIFS(OFFSET($A$1,ROW(),30,1000-ROW(),1),OFFSET($A$1,ROW(),20,1000-ROW(),1),ROW(),OFFSET($A$1,ROW(),21,1000-ROW(),1),"Sub"))))</f>
        <v/>
      </c>
      <c r="K216" s="60">
        <f>IF(N($W216)=0,"",IF(AND($S216=MesCiclo,3&gt;SemanaActual),"",MIN(1,SUMIFS(OFFSET($A$1,ROW(),31,1000-ROW(),1),OFFSET($A$1,ROW(),20,1000-ROW(),1),ROW(),OFFSET($A$1,ROW(),21,1000-ROW(),1),"Sub"))))</f>
        <v/>
      </c>
      <c r="L216" s="60">
        <f>IF(N($W216)=0,"",IF(AND($S216=MesCiclo,4&gt;SemanaActual),"",MIN(1,SUMIFS(OFFSET($A$1,ROW(),32,1000-ROW(),1),OFFSET($A$1,ROW(),20,1000-ROW(),1),ROW(),OFFSET($A$1,ROW(),21,1000-ROW(),1),"Sub"))))</f>
        <v/>
      </c>
      <c r="M216" s="61">
        <f>IF(NOT((COUNTA($B216:$D216)+COUNTA($G216:$H216)+COUNTA($Q216))&gt;0),"",IF(AND($D216&lt;&gt;"",$V216="Macro"),IF(N($AM216)&gt;0,N(CHOOSE(MATCH($D216,ListaPuestos,0),INDEX('Cronograma R. Operacional'!$M$5:$M$1000,$AM216),INDEX('Cronograma R. Normativo'!$M$5:$M$1000,$AM216),INDEX('Cronograma R. Financiero'!$M$5:$M$1000,$AM216),INDEX('Cronograma Asistente Técnico'!$M$5:$M$1000,$AM216))),0),IF(ISNUMBER($G216),1,IF(N($W216)&gt;0,MIN(1,SUMIFS($Y$5:$Y$1000,$U$5:$U$1000,ROW(),$V$5:$V$1000,"Sub")),$Y216))))</f>
        <v/>
      </c>
      <c r="N216" s="56">
        <f>IF(OR($M216="",$V216="Sub"),"",IF($M216&gt;=1,"Completado",IF($M216&gt;0,"En curso","Pendiente")))</f>
        <v/>
      </c>
      <c r="O216" s="56">
        <f>IF(NOT((COUNTA($B216:$D216)+COUNTA($G216:$H216)+COUNTA($Q216))&gt;0),"",IF(AND(AND($D216&lt;&gt;"",$V216="Macro"),N($AM216)&gt;0),CHOOSE(MATCH($D216,ListaPuestos,0),INDEX('Cronograma R. Operacional'!$O$5:$O$1000,$AM216),INDEX('Cronograma R. Normativo'!$O$5:$O$1000,$AM216),INDEX('Cronograma R. Financiero'!$O$5:$O$1000,$AM216),INDEX('Cronograma Asistente Técnico'!$O$5:$O$1000,$AM216))&amp;"",IF(ISNUMBER($G216),IF(AND(ISNUMBER($AS216),$G216&gt;$AS216),"Cumplida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f>IF(NOT((COUNTA($B216:$D216)+COUNTA($G216:$H216)+COUNTA($Q216))&gt;0),"",IF($D216="","Propia",IF($V216&lt;&gt;"Macro","Solo se delegan macroactividades",IF(N($AM216)&gt;0,"✔ Recibida por "&amp;$D216,"⚠ "&amp;$D216&amp;" aún no la agrega"))))</f>
        <v/>
      </c>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IF($V216&lt;&gt;"Sub","",N($X216)*IF(AND(ISNUMBER($G216),$G216&lt;=IF($S216=MesCiclo,InicioCiclo,$S216+MOD(2-WEEKDAY($S216),7))+6),1,MIN(1,MAX(0,IF(ISNUMBER(OFFSET($A$1,ROW()-1,8)),OFFSET($A$1,ROW()-1,8),0)))))</f>
        <v/>
      </c>
      <c r="AE216" s="62">
        <f>IF($V216&lt;&gt;"Sub","",N($X216)*IF(AND(ISNUMBER($G216),$G216&lt;=IF($S216=MesCiclo,InicioCiclo,$S216+MOD(2-WEEKDAY($S216),7))+13),1,MIN(1,MAX(0,IF(ISNUMBER(OFFSET($A$1,ROW()-1,9)),OFFSET($A$1,ROW()-1,9),IF(ISNUMBER(OFFSET($A$1,ROW()-1,8)),OFFSET($A$1,ROW()-1,8),0))))))</f>
        <v/>
      </c>
      <c r="AF216" s="62">
        <f>IF($V216&lt;&gt;"Sub","",N($X216)*IF(AND(ISNUMBER($G216),$G216&lt;=IF($S216=MesCiclo,InicioCiclo,$S216+MOD(2-WEEKDAY($S216),7))+20),1,MIN(1,MAX(0,IF(ISNUMBER(OFFSET($A$1,ROW()-1,10)),OFFSET($A$1,ROW()-1,10),IF(ISNUMBER(OFFSET($A$1,ROW()-1,9)),OFFSET($A$1,ROW()-1,9),IF(ISNUMBER(OFFSET($A$1,ROW()-1,8)),OFFSET($A$1,ROW()-1,8),0)))))))</f>
        <v/>
      </c>
      <c r="AG216" s="62">
        <f>IF($V216&lt;&gt;"Sub","",N($X216)*IF(AND(ISNUMBER($G216),$G216&lt;=IF($S216=MesCiclo,InicioCiclo,$S216+MOD(2-WEEKDAY($S216),7))+27),1,MIN(1,MAX(0,IF(ISNUMBER(OFFSET($A$1,ROW()-1,11)),OFFSET($A$1,ROW()-1,11),IF(ISNUMBER(OFFSET($A$1,ROW()-1,10)),OFFSET($A$1,ROW()-1,10),IF(ISNUMBER(OFFSET($A$1,ROW()-1,9)),OFFSET($A$1,ROW()-1,9),IF(ISNUMBER(OFFSET($A$1,ROW()-1,8)),OFFSET($A$1,ROW()-1,8),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f>IF(NOT(AND($D216&lt;&gt;"",$V216="Macro")),"",IFERROR(CHOOSE(MATCH($D216,ListaPuestos,0),MATCH("[Jefatura] "&amp;$C216,'Cronograma R. Operacional'!$C$5:$C$1000,0),MATCH("[Jefatura] "&amp;$C216,'Cronograma R. Normativo'!$C$5:$C$1000,0),MATCH("[Jefatura] "&amp;$C216,'Cronograma R. Financiero'!$C$5:$C$1000,0),MATCH("[Jefatura] "&amp;$C216,'Cronograma Asistente Técnico'!$C$5:$C$1000,0)),0))</f>
        <v/>
      </c>
      <c r="AN216" s="62">
        <f>IF(AND(AND($D216&lt;&gt;"",$V216="Macro"),$S216=MesCiclo),COUNTIFS($D$5:$D216,$D216,$S$5:$S216,MesCiclo,$V$5:$V216,"Macro"),"")</f>
        <v/>
      </c>
      <c r="AO216" s="62">
        <f>IF($AN216="","",$D216&amp;"|"&amp;$AN216)</f>
        <v/>
      </c>
      <c r="AP216" s="62">
        <f>IF(AND($D216&lt;&gt;"",$V216="Macro"),$D216&amp;"|"&amp;$C216,"")</f>
        <v/>
      </c>
      <c r="AQ216" s="62">
        <f>""</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t="n"/>
      <c r="F217" s="59" t="n"/>
      <c r="G217" s="59" t="n"/>
      <c r="H217" s="60" t="n"/>
      <c r="I217" s="60">
        <f>IF(N($W217)=0,"",IF(AND($S217=MesCiclo,1&gt;SemanaActual),"",MIN(1,SUMIFS(OFFSET($A$1,ROW(),29,1000-ROW(),1),OFFSET($A$1,ROW(),20,1000-ROW(),1),ROW(),OFFSET($A$1,ROW(),21,1000-ROW(),1),"Sub"))))</f>
        <v/>
      </c>
      <c r="J217" s="60">
        <f>IF(N($W217)=0,"",IF(AND($S217=MesCiclo,2&gt;SemanaActual),"",MIN(1,SUMIFS(OFFSET($A$1,ROW(),30,1000-ROW(),1),OFFSET($A$1,ROW(),20,1000-ROW(),1),ROW(),OFFSET($A$1,ROW(),21,1000-ROW(),1),"Sub"))))</f>
        <v/>
      </c>
      <c r="K217" s="60">
        <f>IF(N($W217)=0,"",IF(AND($S217=MesCiclo,3&gt;SemanaActual),"",MIN(1,SUMIFS(OFFSET($A$1,ROW(),31,1000-ROW(),1),OFFSET($A$1,ROW(),20,1000-ROW(),1),ROW(),OFFSET($A$1,ROW(),21,1000-ROW(),1),"Sub"))))</f>
        <v/>
      </c>
      <c r="L217" s="60">
        <f>IF(N($W217)=0,"",IF(AND($S217=MesCiclo,4&gt;SemanaActual),"",MIN(1,SUMIFS(OFFSET($A$1,ROW(),32,1000-ROW(),1),OFFSET($A$1,ROW(),20,1000-ROW(),1),ROW(),OFFSET($A$1,ROW(),21,1000-ROW(),1),"Sub"))))</f>
        <v/>
      </c>
      <c r="M217" s="61">
        <f>IF(NOT((COUNTA($B217:$D217)+COUNTA($G217:$H217)+COUNTA($Q217))&gt;0),"",IF(AND($D217&lt;&gt;"",$V217="Macro"),IF(N($AM217)&gt;0,N(CHOOSE(MATCH($D217,ListaPuestos,0),INDEX('Cronograma R. Operacional'!$M$5:$M$1000,$AM217),INDEX('Cronograma R. Normativo'!$M$5:$M$1000,$AM217),INDEX('Cronograma R. Financiero'!$M$5:$M$1000,$AM217),INDEX('Cronograma Asistente Técnico'!$M$5:$M$1000,$AM217))),0),IF(ISNUMBER($G217),1,IF(N($W217)&gt;0,MIN(1,SUMIFS($Y$5:$Y$1000,$U$5:$U$1000,ROW(),$V$5:$V$1000,"Sub")),$Y217))))</f>
        <v/>
      </c>
      <c r="N217" s="56">
        <f>IF(OR($M217="",$V217="Sub"),"",IF($M217&gt;=1,"Completado",IF($M217&gt;0,"En curso","Pendiente")))</f>
        <v/>
      </c>
      <c r="O217" s="56">
        <f>IF(NOT((COUNTA($B217:$D217)+COUNTA($G217:$H217)+COUNTA($Q217))&gt;0),"",IF(AND(AND($D217&lt;&gt;"",$V217="Macro"),N($AM217)&gt;0),CHOOSE(MATCH($D217,ListaPuestos,0),INDEX('Cronograma R. Operacional'!$O$5:$O$1000,$AM217),INDEX('Cronograma R. Normativo'!$O$5:$O$1000,$AM217),INDEX('Cronograma R. Financiero'!$O$5:$O$1000,$AM217),INDEX('Cronograma Asistente Técnico'!$O$5:$O$1000,$AM217))&amp;"",IF(ISNUMBER($G217),IF(AND(ISNUMBER($AS217),$G217&gt;$AS217),"Cumplida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f>IF(NOT((COUNTA($B217:$D217)+COUNTA($G217:$H217)+COUNTA($Q217))&gt;0),"",IF($D217="","Propia",IF($V217&lt;&gt;"Macro","Solo se delegan macroactividades",IF(N($AM217)&gt;0,"✔ Recibida por "&amp;$D217,"⚠ "&amp;$D217&amp;" aún no la agrega"))))</f>
        <v/>
      </c>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IF($V217&lt;&gt;"Sub","",N($X217)*IF(AND(ISNUMBER($G217),$G217&lt;=IF($S217=MesCiclo,InicioCiclo,$S217+MOD(2-WEEKDAY($S217),7))+6),1,MIN(1,MAX(0,IF(ISNUMBER(OFFSET($A$1,ROW()-1,8)),OFFSET($A$1,ROW()-1,8),0)))))</f>
        <v/>
      </c>
      <c r="AE217" s="62">
        <f>IF($V217&lt;&gt;"Sub","",N($X217)*IF(AND(ISNUMBER($G217),$G217&lt;=IF($S217=MesCiclo,InicioCiclo,$S217+MOD(2-WEEKDAY($S217),7))+13),1,MIN(1,MAX(0,IF(ISNUMBER(OFFSET($A$1,ROW()-1,9)),OFFSET($A$1,ROW()-1,9),IF(ISNUMBER(OFFSET($A$1,ROW()-1,8)),OFFSET($A$1,ROW()-1,8),0))))))</f>
        <v/>
      </c>
      <c r="AF217" s="62">
        <f>IF($V217&lt;&gt;"Sub","",N($X217)*IF(AND(ISNUMBER($G217),$G217&lt;=IF($S217=MesCiclo,InicioCiclo,$S217+MOD(2-WEEKDAY($S217),7))+20),1,MIN(1,MAX(0,IF(ISNUMBER(OFFSET($A$1,ROW()-1,10)),OFFSET($A$1,ROW()-1,10),IF(ISNUMBER(OFFSET($A$1,ROW()-1,9)),OFFSET($A$1,ROW()-1,9),IF(ISNUMBER(OFFSET($A$1,ROW()-1,8)),OFFSET($A$1,ROW()-1,8),0)))))))</f>
        <v/>
      </c>
      <c r="AG217" s="62">
        <f>IF($V217&lt;&gt;"Sub","",N($X217)*IF(AND(ISNUMBER($G217),$G217&lt;=IF($S217=MesCiclo,InicioCiclo,$S217+MOD(2-WEEKDAY($S217),7))+27),1,MIN(1,MAX(0,IF(ISNUMBER(OFFSET($A$1,ROW()-1,11)),OFFSET($A$1,ROW()-1,11),IF(ISNUMBER(OFFSET($A$1,ROW()-1,10)),OFFSET($A$1,ROW()-1,10),IF(ISNUMBER(OFFSET($A$1,ROW()-1,9)),OFFSET($A$1,ROW()-1,9),IF(ISNUMBER(OFFSET($A$1,ROW()-1,8)),OFFSET($A$1,ROW()-1,8),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f>IF(NOT(AND($D217&lt;&gt;"",$V217="Macro")),"",IFERROR(CHOOSE(MATCH($D217,ListaPuestos,0),MATCH("[Jefatura] "&amp;$C217,'Cronograma R. Operacional'!$C$5:$C$1000,0),MATCH("[Jefatura] "&amp;$C217,'Cronograma R. Normativo'!$C$5:$C$1000,0),MATCH("[Jefatura] "&amp;$C217,'Cronograma R. Financiero'!$C$5:$C$1000,0),MATCH("[Jefatura] "&amp;$C217,'Cronograma Asistente Técnico'!$C$5:$C$1000,0)),0))</f>
        <v/>
      </c>
      <c r="AN217" s="62">
        <f>IF(AND(AND($D217&lt;&gt;"",$V217="Macro"),$S217=MesCiclo),COUNTIFS($D$5:$D217,$D217,$S$5:$S217,MesCiclo,$V$5:$V217,"Macro"),"")</f>
        <v/>
      </c>
      <c r="AO217" s="62">
        <f>IF($AN217="","",$D217&amp;"|"&amp;$AN217)</f>
        <v/>
      </c>
      <c r="AP217" s="62">
        <f>IF(AND($D217&lt;&gt;"",$V217="Macro"),$D217&amp;"|"&amp;$C217,"")</f>
        <v/>
      </c>
      <c r="AQ217" s="62">
        <f>""</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t="n"/>
      <c r="F218" s="59" t="n"/>
      <c r="G218" s="59" t="n"/>
      <c r="H218" s="60" t="n"/>
      <c r="I218" s="60">
        <f>IF(N($W218)=0,"",IF(AND($S218=MesCiclo,1&gt;SemanaActual),"",MIN(1,SUMIFS(OFFSET($A$1,ROW(),29,1000-ROW(),1),OFFSET($A$1,ROW(),20,1000-ROW(),1),ROW(),OFFSET($A$1,ROW(),21,1000-ROW(),1),"Sub"))))</f>
        <v/>
      </c>
      <c r="J218" s="60">
        <f>IF(N($W218)=0,"",IF(AND($S218=MesCiclo,2&gt;SemanaActual),"",MIN(1,SUMIFS(OFFSET($A$1,ROW(),30,1000-ROW(),1),OFFSET($A$1,ROW(),20,1000-ROW(),1),ROW(),OFFSET($A$1,ROW(),21,1000-ROW(),1),"Sub"))))</f>
        <v/>
      </c>
      <c r="K218" s="60">
        <f>IF(N($W218)=0,"",IF(AND($S218=MesCiclo,3&gt;SemanaActual),"",MIN(1,SUMIFS(OFFSET($A$1,ROW(),31,1000-ROW(),1),OFFSET($A$1,ROW(),20,1000-ROW(),1),ROW(),OFFSET($A$1,ROW(),21,1000-ROW(),1),"Sub"))))</f>
        <v/>
      </c>
      <c r="L218" s="60">
        <f>IF(N($W218)=0,"",IF(AND($S218=MesCiclo,4&gt;SemanaActual),"",MIN(1,SUMIFS(OFFSET($A$1,ROW(),32,1000-ROW(),1),OFFSET($A$1,ROW(),20,1000-ROW(),1),ROW(),OFFSET($A$1,ROW(),21,1000-ROW(),1),"Sub"))))</f>
        <v/>
      </c>
      <c r="M218" s="61">
        <f>IF(NOT((COUNTA($B218:$D218)+COUNTA($G218:$H218)+COUNTA($Q218))&gt;0),"",IF(AND($D218&lt;&gt;"",$V218="Macro"),IF(N($AM218)&gt;0,N(CHOOSE(MATCH($D218,ListaPuestos,0),INDEX('Cronograma R. Operacional'!$M$5:$M$1000,$AM218),INDEX('Cronograma R. Normativo'!$M$5:$M$1000,$AM218),INDEX('Cronograma R. Financiero'!$M$5:$M$1000,$AM218),INDEX('Cronograma Asistente Técnico'!$M$5:$M$1000,$AM218))),0),IF(ISNUMBER($G218),1,IF(N($W218)&gt;0,MIN(1,SUMIFS($Y$5:$Y$1000,$U$5:$U$1000,ROW(),$V$5:$V$1000,"Sub")),$Y218))))</f>
        <v/>
      </c>
      <c r="N218" s="56">
        <f>IF(OR($M218="",$V218="Sub"),"",IF($M218&gt;=1,"Completado",IF($M218&gt;0,"En curso","Pendiente")))</f>
        <v/>
      </c>
      <c r="O218" s="56">
        <f>IF(NOT((COUNTA($B218:$D218)+COUNTA($G218:$H218)+COUNTA($Q218))&gt;0),"",IF(AND(AND($D218&lt;&gt;"",$V218="Macro"),N($AM218)&gt;0),CHOOSE(MATCH($D218,ListaPuestos,0),INDEX('Cronograma R. Operacional'!$O$5:$O$1000,$AM218),INDEX('Cronograma R. Normativo'!$O$5:$O$1000,$AM218),INDEX('Cronograma R. Financiero'!$O$5:$O$1000,$AM218),INDEX('Cronograma Asistente Técnico'!$O$5:$O$1000,$AM218))&amp;"",IF(ISNUMBER($G218),IF(AND(ISNUMBER($AS218),$G218&gt;$AS218),"Cumplida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f>IF(NOT((COUNTA($B218:$D218)+COUNTA($G218:$H218)+COUNTA($Q218))&gt;0),"",IF($D218="","Propia",IF($V218&lt;&gt;"Macro","Solo se delegan macroactividades",IF(N($AM218)&gt;0,"✔ Recibida por "&amp;$D218,"⚠ "&amp;$D218&amp;" aún no la agrega"))))</f>
        <v/>
      </c>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IF($V218&lt;&gt;"Sub","",N($X218)*IF(AND(ISNUMBER($G218),$G218&lt;=IF($S218=MesCiclo,InicioCiclo,$S218+MOD(2-WEEKDAY($S218),7))+6),1,MIN(1,MAX(0,IF(ISNUMBER(OFFSET($A$1,ROW()-1,8)),OFFSET($A$1,ROW()-1,8),0)))))</f>
        <v/>
      </c>
      <c r="AE218" s="62">
        <f>IF($V218&lt;&gt;"Sub","",N($X218)*IF(AND(ISNUMBER($G218),$G218&lt;=IF($S218=MesCiclo,InicioCiclo,$S218+MOD(2-WEEKDAY($S218),7))+13),1,MIN(1,MAX(0,IF(ISNUMBER(OFFSET($A$1,ROW()-1,9)),OFFSET($A$1,ROW()-1,9),IF(ISNUMBER(OFFSET($A$1,ROW()-1,8)),OFFSET($A$1,ROW()-1,8),0))))))</f>
        <v/>
      </c>
      <c r="AF218" s="62">
        <f>IF($V218&lt;&gt;"Sub","",N($X218)*IF(AND(ISNUMBER($G218),$G218&lt;=IF($S218=MesCiclo,InicioCiclo,$S218+MOD(2-WEEKDAY($S218),7))+20),1,MIN(1,MAX(0,IF(ISNUMBER(OFFSET($A$1,ROW()-1,10)),OFFSET($A$1,ROW()-1,10),IF(ISNUMBER(OFFSET($A$1,ROW()-1,9)),OFFSET($A$1,ROW()-1,9),IF(ISNUMBER(OFFSET($A$1,ROW()-1,8)),OFFSET($A$1,ROW()-1,8),0)))))))</f>
        <v/>
      </c>
      <c r="AG218" s="62">
        <f>IF($V218&lt;&gt;"Sub","",N($X218)*IF(AND(ISNUMBER($G218),$G218&lt;=IF($S218=MesCiclo,InicioCiclo,$S218+MOD(2-WEEKDAY($S218),7))+27),1,MIN(1,MAX(0,IF(ISNUMBER(OFFSET($A$1,ROW()-1,11)),OFFSET($A$1,ROW()-1,11),IF(ISNUMBER(OFFSET($A$1,ROW()-1,10)),OFFSET($A$1,ROW()-1,10),IF(ISNUMBER(OFFSET($A$1,ROW()-1,9)),OFFSET($A$1,ROW()-1,9),IF(ISNUMBER(OFFSET($A$1,ROW()-1,8)),OFFSET($A$1,ROW()-1,8),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f>IF(NOT(AND($D218&lt;&gt;"",$V218="Macro")),"",IFERROR(CHOOSE(MATCH($D218,ListaPuestos,0),MATCH("[Jefatura] "&amp;$C218,'Cronograma R. Operacional'!$C$5:$C$1000,0),MATCH("[Jefatura] "&amp;$C218,'Cronograma R. Normativo'!$C$5:$C$1000,0),MATCH("[Jefatura] "&amp;$C218,'Cronograma R. Financiero'!$C$5:$C$1000,0),MATCH("[Jefatura] "&amp;$C218,'Cronograma Asistente Técnico'!$C$5:$C$1000,0)),0))</f>
        <v/>
      </c>
      <c r="AN218" s="62">
        <f>IF(AND(AND($D218&lt;&gt;"",$V218="Macro"),$S218=MesCiclo),COUNTIFS($D$5:$D218,$D218,$S$5:$S218,MesCiclo,$V$5:$V218,"Macro"),"")</f>
        <v/>
      </c>
      <c r="AO218" s="62">
        <f>IF($AN218="","",$D218&amp;"|"&amp;$AN218)</f>
        <v/>
      </c>
      <c r="AP218" s="62">
        <f>IF(AND($D218&lt;&gt;"",$V218="Macro"),$D218&amp;"|"&amp;$C218,"")</f>
        <v/>
      </c>
      <c r="AQ218" s="62">
        <f>""</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t="n"/>
      <c r="F219" s="59" t="n"/>
      <c r="G219" s="59" t="n"/>
      <c r="H219" s="60" t="n"/>
      <c r="I219" s="60">
        <f>IF(N($W219)=0,"",IF(AND($S219=MesCiclo,1&gt;SemanaActual),"",MIN(1,SUMIFS(OFFSET($A$1,ROW(),29,1000-ROW(),1),OFFSET($A$1,ROW(),20,1000-ROW(),1),ROW(),OFFSET($A$1,ROW(),21,1000-ROW(),1),"Sub"))))</f>
        <v/>
      </c>
      <c r="J219" s="60">
        <f>IF(N($W219)=0,"",IF(AND($S219=MesCiclo,2&gt;SemanaActual),"",MIN(1,SUMIFS(OFFSET($A$1,ROW(),30,1000-ROW(),1),OFFSET($A$1,ROW(),20,1000-ROW(),1),ROW(),OFFSET($A$1,ROW(),21,1000-ROW(),1),"Sub"))))</f>
        <v/>
      </c>
      <c r="K219" s="60">
        <f>IF(N($W219)=0,"",IF(AND($S219=MesCiclo,3&gt;SemanaActual),"",MIN(1,SUMIFS(OFFSET($A$1,ROW(),31,1000-ROW(),1),OFFSET($A$1,ROW(),20,1000-ROW(),1),ROW(),OFFSET($A$1,ROW(),21,1000-ROW(),1),"Sub"))))</f>
        <v/>
      </c>
      <c r="L219" s="60">
        <f>IF(N($W219)=0,"",IF(AND($S219=MesCiclo,4&gt;SemanaActual),"",MIN(1,SUMIFS(OFFSET($A$1,ROW(),32,1000-ROW(),1),OFFSET($A$1,ROW(),20,1000-ROW(),1),ROW(),OFFSET($A$1,ROW(),21,1000-ROW(),1),"Sub"))))</f>
        <v/>
      </c>
      <c r="M219" s="61">
        <f>IF(NOT((COUNTA($B219:$D219)+COUNTA($G219:$H219)+COUNTA($Q219))&gt;0),"",IF(AND($D219&lt;&gt;"",$V219="Macro"),IF(N($AM219)&gt;0,N(CHOOSE(MATCH($D219,ListaPuestos,0),INDEX('Cronograma R. Operacional'!$M$5:$M$1000,$AM219),INDEX('Cronograma R. Normativo'!$M$5:$M$1000,$AM219),INDEX('Cronograma R. Financiero'!$M$5:$M$1000,$AM219),INDEX('Cronograma Asistente Técnico'!$M$5:$M$1000,$AM219))),0),IF(ISNUMBER($G219),1,IF(N($W219)&gt;0,MIN(1,SUMIFS($Y$5:$Y$1000,$U$5:$U$1000,ROW(),$V$5:$V$1000,"Sub")),$Y219))))</f>
        <v/>
      </c>
      <c r="N219" s="56">
        <f>IF(OR($M219="",$V219="Sub"),"",IF($M219&gt;=1,"Completado",IF($M219&gt;0,"En curso","Pendiente")))</f>
        <v/>
      </c>
      <c r="O219" s="56">
        <f>IF(NOT((COUNTA($B219:$D219)+COUNTA($G219:$H219)+COUNTA($Q219))&gt;0),"",IF(AND(AND($D219&lt;&gt;"",$V219="Macro"),N($AM219)&gt;0),CHOOSE(MATCH($D219,ListaPuestos,0),INDEX('Cronograma R. Operacional'!$O$5:$O$1000,$AM219),INDEX('Cronograma R. Normativo'!$O$5:$O$1000,$AM219),INDEX('Cronograma R. Financiero'!$O$5:$O$1000,$AM219),INDEX('Cronograma Asistente Técnico'!$O$5:$O$1000,$AM219))&amp;"",IF(ISNUMBER($G219),IF(AND(ISNUMBER($AS219),$G219&gt;$AS219),"Cumplida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f>IF(NOT((COUNTA($B219:$D219)+COUNTA($G219:$H219)+COUNTA($Q219))&gt;0),"",IF($D219="","Propia",IF($V219&lt;&gt;"Macro","Solo se delegan macroactividades",IF(N($AM219)&gt;0,"✔ Recibida por "&amp;$D219,"⚠ "&amp;$D219&amp;" aún no la agrega"))))</f>
        <v/>
      </c>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IF($V219&lt;&gt;"Sub","",N($X219)*IF(AND(ISNUMBER($G219),$G219&lt;=IF($S219=MesCiclo,InicioCiclo,$S219+MOD(2-WEEKDAY($S219),7))+6),1,MIN(1,MAX(0,IF(ISNUMBER(OFFSET($A$1,ROW()-1,8)),OFFSET($A$1,ROW()-1,8),0)))))</f>
        <v/>
      </c>
      <c r="AE219" s="62">
        <f>IF($V219&lt;&gt;"Sub","",N($X219)*IF(AND(ISNUMBER($G219),$G219&lt;=IF($S219=MesCiclo,InicioCiclo,$S219+MOD(2-WEEKDAY($S219),7))+13),1,MIN(1,MAX(0,IF(ISNUMBER(OFFSET($A$1,ROW()-1,9)),OFFSET($A$1,ROW()-1,9),IF(ISNUMBER(OFFSET($A$1,ROW()-1,8)),OFFSET($A$1,ROW()-1,8),0))))))</f>
        <v/>
      </c>
      <c r="AF219" s="62">
        <f>IF($V219&lt;&gt;"Sub","",N($X219)*IF(AND(ISNUMBER($G219),$G219&lt;=IF($S219=MesCiclo,InicioCiclo,$S219+MOD(2-WEEKDAY($S219),7))+20),1,MIN(1,MAX(0,IF(ISNUMBER(OFFSET($A$1,ROW()-1,10)),OFFSET($A$1,ROW()-1,10),IF(ISNUMBER(OFFSET($A$1,ROW()-1,9)),OFFSET($A$1,ROW()-1,9),IF(ISNUMBER(OFFSET($A$1,ROW()-1,8)),OFFSET($A$1,ROW()-1,8),0)))))))</f>
        <v/>
      </c>
      <c r="AG219" s="62">
        <f>IF($V219&lt;&gt;"Sub","",N($X219)*IF(AND(ISNUMBER($G219),$G219&lt;=IF($S219=MesCiclo,InicioCiclo,$S219+MOD(2-WEEKDAY($S219),7))+27),1,MIN(1,MAX(0,IF(ISNUMBER(OFFSET($A$1,ROW()-1,11)),OFFSET($A$1,ROW()-1,11),IF(ISNUMBER(OFFSET($A$1,ROW()-1,10)),OFFSET($A$1,ROW()-1,10),IF(ISNUMBER(OFFSET($A$1,ROW()-1,9)),OFFSET($A$1,ROW()-1,9),IF(ISNUMBER(OFFSET($A$1,ROW()-1,8)),OFFSET($A$1,ROW()-1,8),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f>IF(NOT(AND($D219&lt;&gt;"",$V219="Macro")),"",IFERROR(CHOOSE(MATCH($D219,ListaPuestos,0),MATCH("[Jefatura] "&amp;$C219,'Cronograma R. Operacional'!$C$5:$C$1000,0),MATCH("[Jefatura] "&amp;$C219,'Cronograma R. Normativo'!$C$5:$C$1000,0),MATCH("[Jefatura] "&amp;$C219,'Cronograma R. Financiero'!$C$5:$C$1000,0),MATCH("[Jefatura] "&amp;$C219,'Cronograma Asistente Técnico'!$C$5:$C$1000,0)),0))</f>
        <v/>
      </c>
      <c r="AN219" s="62">
        <f>IF(AND(AND($D219&lt;&gt;"",$V219="Macro"),$S219=MesCiclo),COUNTIFS($D$5:$D219,$D219,$S$5:$S219,MesCiclo,$V$5:$V219,"Macro"),"")</f>
        <v/>
      </c>
      <c r="AO219" s="62">
        <f>IF($AN219="","",$D219&amp;"|"&amp;$AN219)</f>
        <v/>
      </c>
      <c r="AP219" s="62">
        <f>IF(AND($D219&lt;&gt;"",$V219="Macro"),$D219&amp;"|"&amp;$C219,"")</f>
        <v/>
      </c>
      <c r="AQ219" s="62">
        <f>""</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t="n"/>
      <c r="F220" s="59" t="n"/>
      <c r="G220" s="59" t="n"/>
      <c r="H220" s="60" t="n"/>
      <c r="I220" s="60">
        <f>IF(N($W220)=0,"",IF(AND($S220=MesCiclo,1&gt;SemanaActual),"",MIN(1,SUMIFS(OFFSET($A$1,ROW(),29,1000-ROW(),1),OFFSET($A$1,ROW(),20,1000-ROW(),1),ROW(),OFFSET($A$1,ROW(),21,1000-ROW(),1),"Sub"))))</f>
        <v/>
      </c>
      <c r="J220" s="60">
        <f>IF(N($W220)=0,"",IF(AND($S220=MesCiclo,2&gt;SemanaActual),"",MIN(1,SUMIFS(OFFSET($A$1,ROW(),30,1000-ROW(),1),OFFSET($A$1,ROW(),20,1000-ROW(),1),ROW(),OFFSET($A$1,ROW(),21,1000-ROW(),1),"Sub"))))</f>
        <v/>
      </c>
      <c r="K220" s="60">
        <f>IF(N($W220)=0,"",IF(AND($S220=MesCiclo,3&gt;SemanaActual),"",MIN(1,SUMIFS(OFFSET($A$1,ROW(),31,1000-ROW(),1),OFFSET($A$1,ROW(),20,1000-ROW(),1),ROW(),OFFSET($A$1,ROW(),21,1000-ROW(),1),"Sub"))))</f>
        <v/>
      </c>
      <c r="L220" s="60">
        <f>IF(N($W220)=0,"",IF(AND($S220=MesCiclo,4&gt;SemanaActual),"",MIN(1,SUMIFS(OFFSET($A$1,ROW(),32,1000-ROW(),1),OFFSET($A$1,ROW(),20,1000-ROW(),1),ROW(),OFFSET($A$1,ROW(),21,1000-ROW(),1),"Sub"))))</f>
        <v/>
      </c>
      <c r="M220" s="61">
        <f>IF(NOT((COUNTA($B220:$D220)+COUNTA($G220:$H220)+COUNTA($Q220))&gt;0),"",IF(AND($D220&lt;&gt;"",$V220="Macro"),IF(N($AM220)&gt;0,N(CHOOSE(MATCH($D220,ListaPuestos,0),INDEX('Cronograma R. Operacional'!$M$5:$M$1000,$AM220),INDEX('Cronograma R. Normativo'!$M$5:$M$1000,$AM220),INDEX('Cronograma R. Financiero'!$M$5:$M$1000,$AM220),INDEX('Cronograma Asistente Técnico'!$M$5:$M$1000,$AM220))),0),IF(ISNUMBER($G220),1,IF(N($W220)&gt;0,MIN(1,SUMIFS($Y$5:$Y$1000,$U$5:$U$1000,ROW(),$V$5:$V$1000,"Sub")),$Y220))))</f>
        <v/>
      </c>
      <c r="N220" s="56">
        <f>IF(OR($M220="",$V220="Sub"),"",IF($M220&gt;=1,"Completado",IF($M220&gt;0,"En curso","Pendiente")))</f>
        <v/>
      </c>
      <c r="O220" s="56">
        <f>IF(NOT((COUNTA($B220:$D220)+COUNTA($G220:$H220)+COUNTA($Q220))&gt;0),"",IF(AND(AND($D220&lt;&gt;"",$V220="Macro"),N($AM220)&gt;0),CHOOSE(MATCH($D220,ListaPuestos,0),INDEX('Cronograma R. Operacional'!$O$5:$O$1000,$AM220),INDEX('Cronograma R. Normativo'!$O$5:$O$1000,$AM220),INDEX('Cronograma R. Financiero'!$O$5:$O$1000,$AM220),INDEX('Cronograma Asistente Técnico'!$O$5:$O$1000,$AM220))&amp;"",IF(ISNUMBER($G220),IF(AND(ISNUMBER($AS220),$G220&gt;$AS220),"Cumplida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f>IF(NOT((COUNTA($B220:$D220)+COUNTA($G220:$H220)+COUNTA($Q220))&gt;0),"",IF($D220="","Propia",IF($V220&lt;&gt;"Macro","Solo se delegan macroactividades",IF(N($AM220)&gt;0,"✔ Recibida por "&amp;$D220,"⚠ "&amp;$D220&amp;" aún no la agrega"))))</f>
        <v/>
      </c>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IF($V220&lt;&gt;"Sub","",N($X220)*IF(AND(ISNUMBER($G220),$G220&lt;=IF($S220=MesCiclo,InicioCiclo,$S220+MOD(2-WEEKDAY($S220),7))+6),1,MIN(1,MAX(0,IF(ISNUMBER(OFFSET($A$1,ROW()-1,8)),OFFSET($A$1,ROW()-1,8),0)))))</f>
        <v/>
      </c>
      <c r="AE220" s="62">
        <f>IF($V220&lt;&gt;"Sub","",N($X220)*IF(AND(ISNUMBER($G220),$G220&lt;=IF($S220=MesCiclo,InicioCiclo,$S220+MOD(2-WEEKDAY($S220),7))+13),1,MIN(1,MAX(0,IF(ISNUMBER(OFFSET($A$1,ROW()-1,9)),OFFSET($A$1,ROW()-1,9),IF(ISNUMBER(OFFSET($A$1,ROW()-1,8)),OFFSET($A$1,ROW()-1,8),0))))))</f>
        <v/>
      </c>
      <c r="AF220" s="62">
        <f>IF($V220&lt;&gt;"Sub","",N($X220)*IF(AND(ISNUMBER($G220),$G220&lt;=IF($S220=MesCiclo,InicioCiclo,$S220+MOD(2-WEEKDAY($S220),7))+20),1,MIN(1,MAX(0,IF(ISNUMBER(OFFSET($A$1,ROW()-1,10)),OFFSET($A$1,ROW()-1,10),IF(ISNUMBER(OFFSET($A$1,ROW()-1,9)),OFFSET($A$1,ROW()-1,9),IF(ISNUMBER(OFFSET($A$1,ROW()-1,8)),OFFSET($A$1,ROW()-1,8),0)))))))</f>
        <v/>
      </c>
      <c r="AG220" s="62">
        <f>IF($V220&lt;&gt;"Sub","",N($X220)*IF(AND(ISNUMBER($G220),$G220&lt;=IF($S220=MesCiclo,InicioCiclo,$S220+MOD(2-WEEKDAY($S220),7))+27),1,MIN(1,MAX(0,IF(ISNUMBER(OFFSET($A$1,ROW()-1,11)),OFFSET($A$1,ROW()-1,11),IF(ISNUMBER(OFFSET($A$1,ROW()-1,10)),OFFSET($A$1,ROW()-1,10),IF(ISNUMBER(OFFSET($A$1,ROW()-1,9)),OFFSET($A$1,ROW()-1,9),IF(ISNUMBER(OFFSET($A$1,ROW()-1,8)),OFFSET($A$1,ROW()-1,8),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f>IF(NOT(AND($D220&lt;&gt;"",$V220="Macro")),"",IFERROR(CHOOSE(MATCH($D220,ListaPuestos,0),MATCH("[Jefatura] "&amp;$C220,'Cronograma R. Operacional'!$C$5:$C$1000,0),MATCH("[Jefatura] "&amp;$C220,'Cronograma R. Normativo'!$C$5:$C$1000,0),MATCH("[Jefatura] "&amp;$C220,'Cronograma R. Financiero'!$C$5:$C$1000,0),MATCH("[Jefatura] "&amp;$C220,'Cronograma Asistente Técnico'!$C$5:$C$1000,0)),0))</f>
        <v/>
      </c>
      <c r="AN220" s="62">
        <f>IF(AND(AND($D220&lt;&gt;"",$V220="Macro"),$S220=MesCiclo),COUNTIFS($D$5:$D220,$D220,$S$5:$S220,MesCiclo,$V$5:$V220,"Macro"),"")</f>
        <v/>
      </c>
      <c r="AO220" s="62">
        <f>IF($AN220="","",$D220&amp;"|"&amp;$AN220)</f>
        <v/>
      </c>
      <c r="AP220" s="62">
        <f>IF(AND($D220&lt;&gt;"",$V220="Macro"),$D220&amp;"|"&amp;$C220,"")</f>
        <v/>
      </c>
      <c r="AQ220" s="62">
        <f>""</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t="n"/>
      <c r="F221" s="59" t="n"/>
      <c r="G221" s="59" t="n"/>
      <c r="H221" s="60" t="n"/>
      <c r="I221" s="60">
        <f>IF(N($W221)=0,"",IF(AND($S221=MesCiclo,1&gt;SemanaActual),"",MIN(1,SUMIFS(OFFSET($A$1,ROW(),29,1000-ROW(),1),OFFSET($A$1,ROW(),20,1000-ROW(),1),ROW(),OFFSET($A$1,ROW(),21,1000-ROW(),1),"Sub"))))</f>
        <v/>
      </c>
      <c r="J221" s="60">
        <f>IF(N($W221)=0,"",IF(AND($S221=MesCiclo,2&gt;SemanaActual),"",MIN(1,SUMIFS(OFFSET($A$1,ROW(),30,1000-ROW(),1),OFFSET($A$1,ROW(),20,1000-ROW(),1),ROW(),OFFSET($A$1,ROW(),21,1000-ROW(),1),"Sub"))))</f>
        <v/>
      </c>
      <c r="K221" s="60">
        <f>IF(N($W221)=0,"",IF(AND($S221=MesCiclo,3&gt;SemanaActual),"",MIN(1,SUMIFS(OFFSET($A$1,ROW(),31,1000-ROW(),1),OFFSET($A$1,ROW(),20,1000-ROW(),1),ROW(),OFFSET($A$1,ROW(),21,1000-ROW(),1),"Sub"))))</f>
        <v/>
      </c>
      <c r="L221" s="60">
        <f>IF(N($W221)=0,"",IF(AND($S221=MesCiclo,4&gt;SemanaActual),"",MIN(1,SUMIFS(OFFSET($A$1,ROW(),32,1000-ROW(),1),OFFSET($A$1,ROW(),20,1000-ROW(),1),ROW(),OFFSET($A$1,ROW(),21,1000-ROW(),1),"Sub"))))</f>
        <v/>
      </c>
      <c r="M221" s="61">
        <f>IF(NOT((COUNTA($B221:$D221)+COUNTA($G221:$H221)+COUNTA($Q221))&gt;0),"",IF(AND($D221&lt;&gt;"",$V221="Macro"),IF(N($AM221)&gt;0,N(CHOOSE(MATCH($D221,ListaPuestos,0),INDEX('Cronograma R. Operacional'!$M$5:$M$1000,$AM221),INDEX('Cronograma R. Normativo'!$M$5:$M$1000,$AM221),INDEX('Cronograma R. Financiero'!$M$5:$M$1000,$AM221),INDEX('Cronograma Asistente Técnico'!$M$5:$M$1000,$AM221))),0),IF(ISNUMBER($G221),1,IF(N($W221)&gt;0,MIN(1,SUMIFS($Y$5:$Y$1000,$U$5:$U$1000,ROW(),$V$5:$V$1000,"Sub")),$Y221))))</f>
        <v/>
      </c>
      <c r="N221" s="56">
        <f>IF(OR($M221="",$V221="Sub"),"",IF($M221&gt;=1,"Completado",IF($M221&gt;0,"En curso","Pendiente")))</f>
        <v/>
      </c>
      <c r="O221" s="56">
        <f>IF(NOT((COUNTA($B221:$D221)+COUNTA($G221:$H221)+COUNTA($Q221))&gt;0),"",IF(AND(AND($D221&lt;&gt;"",$V221="Macro"),N($AM221)&gt;0),CHOOSE(MATCH($D221,ListaPuestos,0),INDEX('Cronograma R. Operacional'!$O$5:$O$1000,$AM221),INDEX('Cronograma R. Normativo'!$O$5:$O$1000,$AM221),INDEX('Cronograma R. Financiero'!$O$5:$O$1000,$AM221),INDEX('Cronograma Asistente Técnico'!$O$5:$O$1000,$AM221))&amp;"",IF(ISNUMBER($G221),IF(AND(ISNUMBER($AS221),$G221&gt;$AS221),"Cumplida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f>IF(NOT((COUNTA($B221:$D221)+COUNTA($G221:$H221)+COUNTA($Q221))&gt;0),"",IF($D221="","Propia",IF($V221&lt;&gt;"Macro","Solo se delegan macroactividades",IF(N($AM221)&gt;0,"✔ Recibida por "&amp;$D221,"⚠ "&amp;$D221&amp;" aún no la agrega"))))</f>
        <v/>
      </c>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IF($V221&lt;&gt;"Sub","",N($X221)*IF(AND(ISNUMBER($G221),$G221&lt;=IF($S221=MesCiclo,InicioCiclo,$S221+MOD(2-WEEKDAY($S221),7))+6),1,MIN(1,MAX(0,IF(ISNUMBER(OFFSET($A$1,ROW()-1,8)),OFFSET($A$1,ROW()-1,8),0)))))</f>
        <v/>
      </c>
      <c r="AE221" s="62">
        <f>IF($V221&lt;&gt;"Sub","",N($X221)*IF(AND(ISNUMBER($G221),$G221&lt;=IF($S221=MesCiclo,InicioCiclo,$S221+MOD(2-WEEKDAY($S221),7))+13),1,MIN(1,MAX(0,IF(ISNUMBER(OFFSET($A$1,ROW()-1,9)),OFFSET($A$1,ROW()-1,9),IF(ISNUMBER(OFFSET($A$1,ROW()-1,8)),OFFSET($A$1,ROW()-1,8),0))))))</f>
        <v/>
      </c>
      <c r="AF221" s="62">
        <f>IF($V221&lt;&gt;"Sub","",N($X221)*IF(AND(ISNUMBER($G221),$G221&lt;=IF($S221=MesCiclo,InicioCiclo,$S221+MOD(2-WEEKDAY($S221),7))+20),1,MIN(1,MAX(0,IF(ISNUMBER(OFFSET($A$1,ROW()-1,10)),OFFSET($A$1,ROW()-1,10),IF(ISNUMBER(OFFSET($A$1,ROW()-1,9)),OFFSET($A$1,ROW()-1,9),IF(ISNUMBER(OFFSET($A$1,ROW()-1,8)),OFFSET($A$1,ROW()-1,8),0)))))))</f>
        <v/>
      </c>
      <c r="AG221" s="62">
        <f>IF($V221&lt;&gt;"Sub","",N($X221)*IF(AND(ISNUMBER($G221),$G221&lt;=IF($S221=MesCiclo,InicioCiclo,$S221+MOD(2-WEEKDAY($S221),7))+27),1,MIN(1,MAX(0,IF(ISNUMBER(OFFSET($A$1,ROW()-1,11)),OFFSET($A$1,ROW()-1,11),IF(ISNUMBER(OFFSET($A$1,ROW()-1,10)),OFFSET($A$1,ROW()-1,10),IF(ISNUMBER(OFFSET($A$1,ROW()-1,9)),OFFSET($A$1,ROW()-1,9),IF(ISNUMBER(OFFSET($A$1,ROW()-1,8)),OFFSET($A$1,ROW()-1,8),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f>IF(NOT(AND($D221&lt;&gt;"",$V221="Macro")),"",IFERROR(CHOOSE(MATCH($D221,ListaPuestos,0),MATCH("[Jefatura] "&amp;$C221,'Cronograma R. Operacional'!$C$5:$C$1000,0),MATCH("[Jefatura] "&amp;$C221,'Cronograma R. Normativo'!$C$5:$C$1000,0),MATCH("[Jefatura] "&amp;$C221,'Cronograma R. Financiero'!$C$5:$C$1000,0),MATCH("[Jefatura] "&amp;$C221,'Cronograma Asistente Técnico'!$C$5:$C$1000,0)),0))</f>
        <v/>
      </c>
      <c r="AN221" s="62">
        <f>IF(AND(AND($D221&lt;&gt;"",$V221="Macro"),$S221=MesCiclo),COUNTIFS($D$5:$D221,$D221,$S$5:$S221,MesCiclo,$V$5:$V221,"Macro"),"")</f>
        <v/>
      </c>
      <c r="AO221" s="62">
        <f>IF($AN221="","",$D221&amp;"|"&amp;$AN221)</f>
        <v/>
      </c>
      <c r="AP221" s="62">
        <f>IF(AND($D221&lt;&gt;"",$V221="Macro"),$D221&amp;"|"&amp;$C221,"")</f>
        <v/>
      </c>
      <c r="AQ221" s="62">
        <f>""</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t="n"/>
      <c r="F222" s="59" t="n"/>
      <c r="G222" s="59" t="n"/>
      <c r="H222" s="60" t="n"/>
      <c r="I222" s="60">
        <f>IF(N($W222)=0,"",IF(AND($S222=MesCiclo,1&gt;SemanaActual),"",MIN(1,SUMIFS(OFFSET($A$1,ROW(),29,1000-ROW(),1),OFFSET($A$1,ROW(),20,1000-ROW(),1),ROW(),OFFSET($A$1,ROW(),21,1000-ROW(),1),"Sub"))))</f>
        <v/>
      </c>
      <c r="J222" s="60">
        <f>IF(N($W222)=0,"",IF(AND($S222=MesCiclo,2&gt;SemanaActual),"",MIN(1,SUMIFS(OFFSET($A$1,ROW(),30,1000-ROW(),1),OFFSET($A$1,ROW(),20,1000-ROW(),1),ROW(),OFFSET($A$1,ROW(),21,1000-ROW(),1),"Sub"))))</f>
        <v/>
      </c>
      <c r="K222" s="60">
        <f>IF(N($W222)=0,"",IF(AND($S222=MesCiclo,3&gt;SemanaActual),"",MIN(1,SUMIFS(OFFSET($A$1,ROW(),31,1000-ROW(),1),OFFSET($A$1,ROW(),20,1000-ROW(),1),ROW(),OFFSET($A$1,ROW(),21,1000-ROW(),1),"Sub"))))</f>
        <v/>
      </c>
      <c r="L222" s="60">
        <f>IF(N($W222)=0,"",IF(AND($S222=MesCiclo,4&gt;SemanaActual),"",MIN(1,SUMIFS(OFFSET($A$1,ROW(),32,1000-ROW(),1),OFFSET($A$1,ROW(),20,1000-ROW(),1),ROW(),OFFSET($A$1,ROW(),21,1000-ROW(),1),"Sub"))))</f>
        <v/>
      </c>
      <c r="M222" s="61">
        <f>IF(NOT((COUNTA($B222:$D222)+COUNTA($G222:$H222)+COUNTA($Q222))&gt;0),"",IF(AND($D222&lt;&gt;"",$V222="Macro"),IF(N($AM222)&gt;0,N(CHOOSE(MATCH($D222,ListaPuestos,0),INDEX('Cronograma R. Operacional'!$M$5:$M$1000,$AM222),INDEX('Cronograma R. Normativo'!$M$5:$M$1000,$AM222),INDEX('Cronograma R. Financiero'!$M$5:$M$1000,$AM222),INDEX('Cronograma Asistente Técnico'!$M$5:$M$1000,$AM222))),0),IF(ISNUMBER($G222),1,IF(N($W222)&gt;0,MIN(1,SUMIFS($Y$5:$Y$1000,$U$5:$U$1000,ROW(),$V$5:$V$1000,"Sub")),$Y222))))</f>
        <v/>
      </c>
      <c r="N222" s="56">
        <f>IF(OR($M222="",$V222="Sub"),"",IF($M222&gt;=1,"Completado",IF($M222&gt;0,"En curso","Pendiente")))</f>
        <v/>
      </c>
      <c r="O222" s="56">
        <f>IF(NOT((COUNTA($B222:$D222)+COUNTA($G222:$H222)+COUNTA($Q222))&gt;0),"",IF(AND(AND($D222&lt;&gt;"",$V222="Macro"),N($AM222)&gt;0),CHOOSE(MATCH($D222,ListaPuestos,0),INDEX('Cronograma R. Operacional'!$O$5:$O$1000,$AM222),INDEX('Cronograma R. Normativo'!$O$5:$O$1000,$AM222),INDEX('Cronograma R. Financiero'!$O$5:$O$1000,$AM222),INDEX('Cronograma Asistente Técnico'!$O$5:$O$1000,$AM222))&amp;"",IF(ISNUMBER($G222),IF(AND(ISNUMBER($AS222),$G222&gt;$AS222),"Cumplida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f>IF(NOT((COUNTA($B222:$D222)+COUNTA($G222:$H222)+COUNTA($Q222))&gt;0),"",IF($D222="","Propia",IF($V222&lt;&gt;"Macro","Solo se delegan macroactividades",IF(N($AM222)&gt;0,"✔ Recibida por "&amp;$D222,"⚠ "&amp;$D222&amp;" aún no la agrega"))))</f>
        <v/>
      </c>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IF($V222&lt;&gt;"Sub","",N($X222)*IF(AND(ISNUMBER($G222),$G222&lt;=IF($S222=MesCiclo,InicioCiclo,$S222+MOD(2-WEEKDAY($S222),7))+6),1,MIN(1,MAX(0,IF(ISNUMBER(OFFSET($A$1,ROW()-1,8)),OFFSET($A$1,ROW()-1,8),0)))))</f>
        <v/>
      </c>
      <c r="AE222" s="62">
        <f>IF($V222&lt;&gt;"Sub","",N($X222)*IF(AND(ISNUMBER($G222),$G222&lt;=IF($S222=MesCiclo,InicioCiclo,$S222+MOD(2-WEEKDAY($S222),7))+13),1,MIN(1,MAX(0,IF(ISNUMBER(OFFSET($A$1,ROW()-1,9)),OFFSET($A$1,ROW()-1,9),IF(ISNUMBER(OFFSET($A$1,ROW()-1,8)),OFFSET($A$1,ROW()-1,8),0))))))</f>
        <v/>
      </c>
      <c r="AF222" s="62">
        <f>IF($V222&lt;&gt;"Sub","",N($X222)*IF(AND(ISNUMBER($G222),$G222&lt;=IF($S222=MesCiclo,InicioCiclo,$S222+MOD(2-WEEKDAY($S222),7))+20),1,MIN(1,MAX(0,IF(ISNUMBER(OFFSET($A$1,ROW()-1,10)),OFFSET($A$1,ROW()-1,10),IF(ISNUMBER(OFFSET($A$1,ROW()-1,9)),OFFSET($A$1,ROW()-1,9),IF(ISNUMBER(OFFSET($A$1,ROW()-1,8)),OFFSET($A$1,ROW()-1,8),0)))))))</f>
        <v/>
      </c>
      <c r="AG222" s="62">
        <f>IF($V222&lt;&gt;"Sub","",N($X222)*IF(AND(ISNUMBER($G222),$G222&lt;=IF($S222=MesCiclo,InicioCiclo,$S222+MOD(2-WEEKDAY($S222),7))+27),1,MIN(1,MAX(0,IF(ISNUMBER(OFFSET($A$1,ROW()-1,11)),OFFSET($A$1,ROW()-1,11),IF(ISNUMBER(OFFSET($A$1,ROW()-1,10)),OFFSET($A$1,ROW()-1,10),IF(ISNUMBER(OFFSET($A$1,ROW()-1,9)),OFFSET($A$1,ROW()-1,9),IF(ISNUMBER(OFFSET($A$1,ROW()-1,8)),OFFSET($A$1,ROW()-1,8),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f>IF(NOT(AND($D222&lt;&gt;"",$V222="Macro")),"",IFERROR(CHOOSE(MATCH($D222,ListaPuestos,0),MATCH("[Jefatura] "&amp;$C222,'Cronograma R. Operacional'!$C$5:$C$1000,0),MATCH("[Jefatura] "&amp;$C222,'Cronograma R. Normativo'!$C$5:$C$1000,0),MATCH("[Jefatura] "&amp;$C222,'Cronograma R. Financiero'!$C$5:$C$1000,0),MATCH("[Jefatura] "&amp;$C222,'Cronograma Asistente Técnico'!$C$5:$C$1000,0)),0))</f>
        <v/>
      </c>
      <c r="AN222" s="62">
        <f>IF(AND(AND($D222&lt;&gt;"",$V222="Macro"),$S222=MesCiclo),COUNTIFS($D$5:$D222,$D222,$S$5:$S222,MesCiclo,$V$5:$V222,"Macro"),"")</f>
        <v/>
      </c>
      <c r="AO222" s="62">
        <f>IF($AN222="","",$D222&amp;"|"&amp;$AN222)</f>
        <v/>
      </c>
      <c r="AP222" s="62">
        <f>IF(AND($D222&lt;&gt;"",$V222="Macro"),$D222&amp;"|"&amp;$C222,"")</f>
        <v/>
      </c>
      <c r="AQ222" s="62">
        <f>""</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t="n"/>
      <c r="F223" s="59" t="n"/>
      <c r="G223" s="59" t="n"/>
      <c r="H223" s="60" t="n"/>
      <c r="I223" s="60">
        <f>IF(N($W223)=0,"",IF(AND($S223=MesCiclo,1&gt;SemanaActual),"",MIN(1,SUMIFS(OFFSET($A$1,ROW(),29,1000-ROW(),1),OFFSET($A$1,ROW(),20,1000-ROW(),1),ROW(),OFFSET($A$1,ROW(),21,1000-ROW(),1),"Sub"))))</f>
        <v/>
      </c>
      <c r="J223" s="60">
        <f>IF(N($W223)=0,"",IF(AND($S223=MesCiclo,2&gt;SemanaActual),"",MIN(1,SUMIFS(OFFSET($A$1,ROW(),30,1000-ROW(),1),OFFSET($A$1,ROW(),20,1000-ROW(),1),ROW(),OFFSET($A$1,ROW(),21,1000-ROW(),1),"Sub"))))</f>
        <v/>
      </c>
      <c r="K223" s="60">
        <f>IF(N($W223)=0,"",IF(AND($S223=MesCiclo,3&gt;SemanaActual),"",MIN(1,SUMIFS(OFFSET($A$1,ROW(),31,1000-ROW(),1),OFFSET($A$1,ROW(),20,1000-ROW(),1),ROW(),OFFSET($A$1,ROW(),21,1000-ROW(),1),"Sub"))))</f>
        <v/>
      </c>
      <c r="L223" s="60">
        <f>IF(N($W223)=0,"",IF(AND($S223=MesCiclo,4&gt;SemanaActual),"",MIN(1,SUMIFS(OFFSET($A$1,ROW(),32,1000-ROW(),1),OFFSET($A$1,ROW(),20,1000-ROW(),1),ROW(),OFFSET($A$1,ROW(),21,1000-ROW(),1),"Sub"))))</f>
        <v/>
      </c>
      <c r="M223" s="61">
        <f>IF(NOT((COUNTA($B223:$D223)+COUNTA($G223:$H223)+COUNTA($Q223))&gt;0),"",IF(AND($D223&lt;&gt;"",$V223="Macro"),IF(N($AM223)&gt;0,N(CHOOSE(MATCH($D223,ListaPuestos,0),INDEX('Cronograma R. Operacional'!$M$5:$M$1000,$AM223),INDEX('Cronograma R. Normativo'!$M$5:$M$1000,$AM223),INDEX('Cronograma R. Financiero'!$M$5:$M$1000,$AM223),INDEX('Cronograma Asistente Técnico'!$M$5:$M$1000,$AM223))),0),IF(ISNUMBER($G223),1,IF(N($W223)&gt;0,MIN(1,SUMIFS($Y$5:$Y$1000,$U$5:$U$1000,ROW(),$V$5:$V$1000,"Sub")),$Y223))))</f>
        <v/>
      </c>
      <c r="N223" s="56">
        <f>IF(OR($M223="",$V223="Sub"),"",IF($M223&gt;=1,"Completado",IF($M223&gt;0,"En curso","Pendiente")))</f>
        <v/>
      </c>
      <c r="O223" s="56">
        <f>IF(NOT((COUNTA($B223:$D223)+COUNTA($G223:$H223)+COUNTA($Q223))&gt;0),"",IF(AND(AND($D223&lt;&gt;"",$V223="Macro"),N($AM223)&gt;0),CHOOSE(MATCH($D223,ListaPuestos,0),INDEX('Cronograma R. Operacional'!$O$5:$O$1000,$AM223),INDEX('Cronograma R. Normativo'!$O$5:$O$1000,$AM223),INDEX('Cronograma R. Financiero'!$O$5:$O$1000,$AM223),INDEX('Cronograma Asistente Técnico'!$O$5:$O$1000,$AM223))&amp;"",IF(ISNUMBER($G223),IF(AND(ISNUMBER($AS223),$G223&gt;$AS223),"Cumplida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f>IF(NOT((COUNTA($B223:$D223)+COUNTA($G223:$H223)+COUNTA($Q223))&gt;0),"",IF($D223="","Propia",IF($V223&lt;&gt;"Macro","Solo se delegan macroactividades",IF(N($AM223)&gt;0,"✔ Recibida por "&amp;$D223,"⚠ "&amp;$D223&amp;" aún no la agrega"))))</f>
        <v/>
      </c>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IF($V223&lt;&gt;"Sub","",N($X223)*IF(AND(ISNUMBER($G223),$G223&lt;=IF($S223=MesCiclo,InicioCiclo,$S223+MOD(2-WEEKDAY($S223),7))+6),1,MIN(1,MAX(0,IF(ISNUMBER(OFFSET($A$1,ROW()-1,8)),OFFSET($A$1,ROW()-1,8),0)))))</f>
        <v/>
      </c>
      <c r="AE223" s="62">
        <f>IF($V223&lt;&gt;"Sub","",N($X223)*IF(AND(ISNUMBER($G223),$G223&lt;=IF($S223=MesCiclo,InicioCiclo,$S223+MOD(2-WEEKDAY($S223),7))+13),1,MIN(1,MAX(0,IF(ISNUMBER(OFFSET($A$1,ROW()-1,9)),OFFSET($A$1,ROW()-1,9),IF(ISNUMBER(OFFSET($A$1,ROW()-1,8)),OFFSET($A$1,ROW()-1,8),0))))))</f>
        <v/>
      </c>
      <c r="AF223" s="62">
        <f>IF($V223&lt;&gt;"Sub","",N($X223)*IF(AND(ISNUMBER($G223),$G223&lt;=IF($S223=MesCiclo,InicioCiclo,$S223+MOD(2-WEEKDAY($S223),7))+20),1,MIN(1,MAX(0,IF(ISNUMBER(OFFSET($A$1,ROW()-1,10)),OFFSET($A$1,ROW()-1,10),IF(ISNUMBER(OFFSET($A$1,ROW()-1,9)),OFFSET($A$1,ROW()-1,9),IF(ISNUMBER(OFFSET($A$1,ROW()-1,8)),OFFSET($A$1,ROW()-1,8),0)))))))</f>
        <v/>
      </c>
      <c r="AG223" s="62">
        <f>IF($V223&lt;&gt;"Sub","",N($X223)*IF(AND(ISNUMBER($G223),$G223&lt;=IF($S223=MesCiclo,InicioCiclo,$S223+MOD(2-WEEKDAY($S223),7))+27),1,MIN(1,MAX(0,IF(ISNUMBER(OFFSET($A$1,ROW()-1,11)),OFFSET($A$1,ROW()-1,11),IF(ISNUMBER(OFFSET($A$1,ROW()-1,10)),OFFSET($A$1,ROW()-1,10),IF(ISNUMBER(OFFSET($A$1,ROW()-1,9)),OFFSET($A$1,ROW()-1,9),IF(ISNUMBER(OFFSET($A$1,ROW()-1,8)),OFFSET($A$1,ROW()-1,8),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f>IF(NOT(AND($D223&lt;&gt;"",$V223="Macro")),"",IFERROR(CHOOSE(MATCH($D223,ListaPuestos,0),MATCH("[Jefatura] "&amp;$C223,'Cronograma R. Operacional'!$C$5:$C$1000,0),MATCH("[Jefatura] "&amp;$C223,'Cronograma R. Normativo'!$C$5:$C$1000,0),MATCH("[Jefatura] "&amp;$C223,'Cronograma R. Financiero'!$C$5:$C$1000,0),MATCH("[Jefatura] "&amp;$C223,'Cronograma Asistente Técnico'!$C$5:$C$1000,0)),0))</f>
        <v/>
      </c>
      <c r="AN223" s="62">
        <f>IF(AND(AND($D223&lt;&gt;"",$V223="Macro"),$S223=MesCiclo),COUNTIFS($D$5:$D223,$D223,$S$5:$S223,MesCiclo,$V$5:$V223,"Macro"),"")</f>
        <v/>
      </c>
      <c r="AO223" s="62">
        <f>IF($AN223="","",$D223&amp;"|"&amp;$AN223)</f>
        <v/>
      </c>
      <c r="AP223" s="62">
        <f>IF(AND($D223&lt;&gt;"",$V223="Macro"),$D223&amp;"|"&amp;$C223,"")</f>
        <v/>
      </c>
      <c r="AQ223" s="62">
        <f>""</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t="n"/>
      <c r="F224" s="59" t="n"/>
      <c r="G224" s="59" t="n"/>
      <c r="H224" s="60" t="n"/>
      <c r="I224" s="60">
        <f>IF(N($W224)=0,"",IF(AND($S224=MesCiclo,1&gt;SemanaActual),"",MIN(1,SUMIFS(OFFSET($A$1,ROW(),29,1000-ROW(),1),OFFSET($A$1,ROW(),20,1000-ROW(),1),ROW(),OFFSET($A$1,ROW(),21,1000-ROW(),1),"Sub"))))</f>
        <v/>
      </c>
      <c r="J224" s="60">
        <f>IF(N($W224)=0,"",IF(AND($S224=MesCiclo,2&gt;SemanaActual),"",MIN(1,SUMIFS(OFFSET($A$1,ROW(),30,1000-ROW(),1),OFFSET($A$1,ROW(),20,1000-ROW(),1),ROW(),OFFSET($A$1,ROW(),21,1000-ROW(),1),"Sub"))))</f>
        <v/>
      </c>
      <c r="K224" s="60">
        <f>IF(N($W224)=0,"",IF(AND($S224=MesCiclo,3&gt;SemanaActual),"",MIN(1,SUMIFS(OFFSET($A$1,ROW(),31,1000-ROW(),1),OFFSET($A$1,ROW(),20,1000-ROW(),1),ROW(),OFFSET($A$1,ROW(),21,1000-ROW(),1),"Sub"))))</f>
        <v/>
      </c>
      <c r="L224" s="60">
        <f>IF(N($W224)=0,"",IF(AND($S224=MesCiclo,4&gt;SemanaActual),"",MIN(1,SUMIFS(OFFSET($A$1,ROW(),32,1000-ROW(),1),OFFSET($A$1,ROW(),20,1000-ROW(),1),ROW(),OFFSET($A$1,ROW(),21,1000-ROW(),1),"Sub"))))</f>
        <v/>
      </c>
      <c r="M224" s="61">
        <f>IF(NOT((COUNTA($B224:$D224)+COUNTA($G224:$H224)+COUNTA($Q224))&gt;0),"",IF(AND($D224&lt;&gt;"",$V224="Macro"),IF(N($AM224)&gt;0,N(CHOOSE(MATCH($D224,ListaPuestos,0),INDEX('Cronograma R. Operacional'!$M$5:$M$1000,$AM224),INDEX('Cronograma R. Normativo'!$M$5:$M$1000,$AM224),INDEX('Cronograma R. Financiero'!$M$5:$M$1000,$AM224),INDEX('Cronograma Asistente Técnico'!$M$5:$M$1000,$AM224))),0),IF(ISNUMBER($G224),1,IF(N($W224)&gt;0,MIN(1,SUMIFS($Y$5:$Y$1000,$U$5:$U$1000,ROW(),$V$5:$V$1000,"Sub")),$Y224))))</f>
        <v/>
      </c>
      <c r="N224" s="56">
        <f>IF(OR($M224="",$V224="Sub"),"",IF($M224&gt;=1,"Completado",IF($M224&gt;0,"En curso","Pendiente")))</f>
        <v/>
      </c>
      <c r="O224" s="56">
        <f>IF(NOT((COUNTA($B224:$D224)+COUNTA($G224:$H224)+COUNTA($Q224))&gt;0),"",IF(AND(AND($D224&lt;&gt;"",$V224="Macro"),N($AM224)&gt;0),CHOOSE(MATCH($D224,ListaPuestos,0),INDEX('Cronograma R. Operacional'!$O$5:$O$1000,$AM224),INDEX('Cronograma R. Normativo'!$O$5:$O$1000,$AM224),INDEX('Cronograma R. Financiero'!$O$5:$O$1000,$AM224),INDEX('Cronograma Asistente Técnico'!$O$5:$O$1000,$AM224))&amp;"",IF(ISNUMBER($G224),IF(AND(ISNUMBER($AS224),$G224&gt;$AS224),"Cumplida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f>IF(NOT((COUNTA($B224:$D224)+COUNTA($G224:$H224)+COUNTA($Q224))&gt;0),"",IF($D224="","Propia",IF($V224&lt;&gt;"Macro","Solo se delegan macroactividades",IF(N($AM224)&gt;0,"✔ Recibida por "&amp;$D224,"⚠ "&amp;$D224&amp;" aún no la agrega"))))</f>
        <v/>
      </c>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IF($V224&lt;&gt;"Sub","",N($X224)*IF(AND(ISNUMBER($G224),$G224&lt;=IF($S224=MesCiclo,InicioCiclo,$S224+MOD(2-WEEKDAY($S224),7))+6),1,MIN(1,MAX(0,IF(ISNUMBER(OFFSET($A$1,ROW()-1,8)),OFFSET($A$1,ROW()-1,8),0)))))</f>
        <v/>
      </c>
      <c r="AE224" s="62">
        <f>IF($V224&lt;&gt;"Sub","",N($X224)*IF(AND(ISNUMBER($G224),$G224&lt;=IF($S224=MesCiclo,InicioCiclo,$S224+MOD(2-WEEKDAY($S224),7))+13),1,MIN(1,MAX(0,IF(ISNUMBER(OFFSET($A$1,ROW()-1,9)),OFFSET($A$1,ROW()-1,9),IF(ISNUMBER(OFFSET($A$1,ROW()-1,8)),OFFSET($A$1,ROW()-1,8),0))))))</f>
        <v/>
      </c>
      <c r="AF224" s="62">
        <f>IF($V224&lt;&gt;"Sub","",N($X224)*IF(AND(ISNUMBER($G224),$G224&lt;=IF($S224=MesCiclo,InicioCiclo,$S224+MOD(2-WEEKDAY($S224),7))+20),1,MIN(1,MAX(0,IF(ISNUMBER(OFFSET($A$1,ROW()-1,10)),OFFSET($A$1,ROW()-1,10),IF(ISNUMBER(OFFSET($A$1,ROW()-1,9)),OFFSET($A$1,ROW()-1,9),IF(ISNUMBER(OFFSET($A$1,ROW()-1,8)),OFFSET($A$1,ROW()-1,8),0)))))))</f>
        <v/>
      </c>
      <c r="AG224" s="62">
        <f>IF($V224&lt;&gt;"Sub","",N($X224)*IF(AND(ISNUMBER($G224),$G224&lt;=IF($S224=MesCiclo,InicioCiclo,$S224+MOD(2-WEEKDAY($S224),7))+27),1,MIN(1,MAX(0,IF(ISNUMBER(OFFSET($A$1,ROW()-1,11)),OFFSET($A$1,ROW()-1,11),IF(ISNUMBER(OFFSET($A$1,ROW()-1,10)),OFFSET($A$1,ROW()-1,10),IF(ISNUMBER(OFFSET($A$1,ROW()-1,9)),OFFSET($A$1,ROW()-1,9),IF(ISNUMBER(OFFSET($A$1,ROW()-1,8)),OFFSET($A$1,ROW()-1,8),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f>IF(NOT(AND($D224&lt;&gt;"",$V224="Macro")),"",IFERROR(CHOOSE(MATCH($D224,ListaPuestos,0),MATCH("[Jefatura] "&amp;$C224,'Cronograma R. Operacional'!$C$5:$C$1000,0),MATCH("[Jefatura] "&amp;$C224,'Cronograma R. Normativo'!$C$5:$C$1000,0),MATCH("[Jefatura] "&amp;$C224,'Cronograma R. Financiero'!$C$5:$C$1000,0),MATCH("[Jefatura] "&amp;$C224,'Cronograma Asistente Técnico'!$C$5:$C$1000,0)),0))</f>
        <v/>
      </c>
      <c r="AN224" s="62">
        <f>IF(AND(AND($D224&lt;&gt;"",$V224="Macro"),$S224=MesCiclo),COUNTIFS($D$5:$D224,$D224,$S$5:$S224,MesCiclo,$V$5:$V224,"Macro"),"")</f>
        <v/>
      </c>
      <c r="AO224" s="62">
        <f>IF($AN224="","",$D224&amp;"|"&amp;$AN224)</f>
        <v/>
      </c>
      <c r="AP224" s="62">
        <f>IF(AND($D224&lt;&gt;"",$V224="Macro"),$D224&amp;"|"&amp;$C224,"")</f>
        <v/>
      </c>
      <c r="AQ224" s="62">
        <f>""</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t="n"/>
      <c r="F225" s="59" t="n"/>
      <c r="G225" s="59" t="n"/>
      <c r="H225" s="60" t="n"/>
      <c r="I225" s="60">
        <f>IF(N($W225)=0,"",IF(AND($S225=MesCiclo,1&gt;SemanaActual),"",MIN(1,SUMIFS(OFFSET($A$1,ROW(),29,1000-ROW(),1),OFFSET($A$1,ROW(),20,1000-ROW(),1),ROW(),OFFSET($A$1,ROW(),21,1000-ROW(),1),"Sub"))))</f>
        <v/>
      </c>
      <c r="J225" s="60">
        <f>IF(N($W225)=0,"",IF(AND($S225=MesCiclo,2&gt;SemanaActual),"",MIN(1,SUMIFS(OFFSET($A$1,ROW(),30,1000-ROW(),1),OFFSET($A$1,ROW(),20,1000-ROW(),1),ROW(),OFFSET($A$1,ROW(),21,1000-ROW(),1),"Sub"))))</f>
        <v/>
      </c>
      <c r="K225" s="60">
        <f>IF(N($W225)=0,"",IF(AND($S225=MesCiclo,3&gt;SemanaActual),"",MIN(1,SUMIFS(OFFSET($A$1,ROW(),31,1000-ROW(),1),OFFSET($A$1,ROW(),20,1000-ROW(),1),ROW(),OFFSET($A$1,ROW(),21,1000-ROW(),1),"Sub"))))</f>
        <v/>
      </c>
      <c r="L225" s="60">
        <f>IF(N($W225)=0,"",IF(AND($S225=MesCiclo,4&gt;SemanaActual),"",MIN(1,SUMIFS(OFFSET($A$1,ROW(),32,1000-ROW(),1),OFFSET($A$1,ROW(),20,1000-ROW(),1),ROW(),OFFSET($A$1,ROW(),21,1000-ROW(),1),"Sub"))))</f>
        <v/>
      </c>
      <c r="M225" s="61">
        <f>IF(NOT((COUNTA($B225:$D225)+COUNTA($G225:$H225)+COUNTA($Q225))&gt;0),"",IF(AND($D225&lt;&gt;"",$V225="Macro"),IF(N($AM225)&gt;0,N(CHOOSE(MATCH($D225,ListaPuestos,0),INDEX('Cronograma R. Operacional'!$M$5:$M$1000,$AM225),INDEX('Cronograma R. Normativo'!$M$5:$M$1000,$AM225),INDEX('Cronograma R. Financiero'!$M$5:$M$1000,$AM225),INDEX('Cronograma Asistente Técnico'!$M$5:$M$1000,$AM225))),0),IF(ISNUMBER($G225),1,IF(N($W225)&gt;0,MIN(1,SUMIFS($Y$5:$Y$1000,$U$5:$U$1000,ROW(),$V$5:$V$1000,"Sub")),$Y225))))</f>
        <v/>
      </c>
      <c r="N225" s="56">
        <f>IF(OR($M225="",$V225="Sub"),"",IF($M225&gt;=1,"Completado",IF($M225&gt;0,"En curso","Pendiente")))</f>
        <v/>
      </c>
      <c r="O225" s="56">
        <f>IF(NOT((COUNTA($B225:$D225)+COUNTA($G225:$H225)+COUNTA($Q225))&gt;0),"",IF(AND(AND($D225&lt;&gt;"",$V225="Macro"),N($AM225)&gt;0),CHOOSE(MATCH($D225,ListaPuestos,0),INDEX('Cronograma R. Operacional'!$O$5:$O$1000,$AM225),INDEX('Cronograma R. Normativo'!$O$5:$O$1000,$AM225),INDEX('Cronograma R. Financiero'!$O$5:$O$1000,$AM225),INDEX('Cronograma Asistente Técnico'!$O$5:$O$1000,$AM225))&amp;"",IF(ISNUMBER($G225),IF(AND(ISNUMBER($AS225),$G225&gt;$AS225),"Cumplida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f>IF(NOT((COUNTA($B225:$D225)+COUNTA($G225:$H225)+COUNTA($Q225))&gt;0),"",IF($D225="","Propia",IF($V225&lt;&gt;"Macro","Solo se delegan macroactividades",IF(N($AM225)&gt;0,"✔ Recibida por "&amp;$D225,"⚠ "&amp;$D225&amp;" aún no la agrega"))))</f>
        <v/>
      </c>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IF($V225&lt;&gt;"Sub","",N($X225)*IF(AND(ISNUMBER($G225),$G225&lt;=IF($S225=MesCiclo,InicioCiclo,$S225+MOD(2-WEEKDAY($S225),7))+6),1,MIN(1,MAX(0,IF(ISNUMBER(OFFSET($A$1,ROW()-1,8)),OFFSET($A$1,ROW()-1,8),0)))))</f>
        <v/>
      </c>
      <c r="AE225" s="62">
        <f>IF($V225&lt;&gt;"Sub","",N($X225)*IF(AND(ISNUMBER($G225),$G225&lt;=IF($S225=MesCiclo,InicioCiclo,$S225+MOD(2-WEEKDAY($S225),7))+13),1,MIN(1,MAX(0,IF(ISNUMBER(OFFSET($A$1,ROW()-1,9)),OFFSET($A$1,ROW()-1,9),IF(ISNUMBER(OFFSET($A$1,ROW()-1,8)),OFFSET($A$1,ROW()-1,8),0))))))</f>
        <v/>
      </c>
      <c r="AF225" s="62">
        <f>IF($V225&lt;&gt;"Sub","",N($X225)*IF(AND(ISNUMBER($G225),$G225&lt;=IF($S225=MesCiclo,InicioCiclo,$S225+MOD(2-WEEKDAY($S225),7))+20),1,MIN(1,MAX(0,IF(ISNUMBER(OFFSET($A$1,ROW()-1,10)),OFFSET($A$1,ROW()-1,10),IF(ISNUMBER(OFFSET($A$1,ROW()-1,9)),OFFSET($A$1,ROW()-1,9),IF(ISNUMBER(OFFSET($A$1,ROW()-1,8)),OFFSET($A$1,ROW()-1,8),0)))))))</f>
        <v/>
      </c>
      <c r="AG225" s="62">
        <f>IF($V225&lt;&gt;"Sub","",N($X225)*IF(AND(ISNUMBER($G225),$G225&lt;=IF($S225=MesCiclo,InicioCiclo,$S225+MOD(2-WEEKDAY($S225),7))+27),1,MIN(1,MAX(0,IF(ISNUMBER(OFFSET($A$1,ROW()-1,11)),OFFSET($A$1,ROW()-1,11),IF(ISNUMBER(OFFSET($A$1,ROW()-1,10)),OFFSET($A$1,ROW()-1,10),IF(ISNUMBER(OFFSET($A$1,ROW()-1,9)),OFFSET($A$1,ROW()-1,9),IF(ISNUMBER(OFFSET($A$1,ROW()-1,8)),OFFSET($A$1,ROW()-1,8),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f>IF(NOT(AND($D225&lt;&gt;"",$V225="Macro")),"",IFERROR(CHOOSE(MATCH($D225,ListaPuestos,0),MATCH("[Jefatura] "&amp;$C225,'Cronograma R. Operacional'!$C$5:$C$1000,0),MATCH("[Jefatura] "&amp;$C225,'Cronograma R. Normativo'!$C$5:$C$1000,0),MATCH("[Jefatura] "&amp;$C225,'Cronograma R. Financiero'!$C$5:$C$1000,0),MATCH("[Jefatura] "&amp;$C225,'Cronograma Asistente Técnico'!$C$5:$C$1000,0)),0))</f>
        <v/>
      </c>
      <c r="AN225" s="62">
        <f>IF(AND(AND($D225&lt;&gt;"",$V225="Macro"),$S225=MesCiclo),COUNTIFS($D$5:$D225,$D225,$S$5:$S225,MesCiclo,$V$5:$V225,"Macro"),"")</f>
        <v/>
      </c>
      <c r="AO225" s="62">
        <f>IF($AN225="","",$D225&amp;"|"&amp;$AN225)</f>
        <v/>
      </c>
      <c r="AP225" s="62">
        <f>IF(AND($D225&lt;&gt;"",$V225="Macro"),$D225&amp;"|"&amp;$C225,"")</f>
        <v/>
      </c>
      <c r="AQ225" s="62">
        <f>""</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t="n"/>
      <c r="F226" s="59" t="n"/>
      <c r="G226" s="59" t="n"/>
      <c r="H226" s="60" t="n"/>
      <c r="I226" s="60">
        <f>IF(N($W226)=0,"",IF(AND($S226=MesCiclo,1&gt;SemanaActual),"",MIN(1,SUMIFS(OFFSET($A$1,ROW(),29,1000-ROW(),1),OFFSET($A$1,ROW(),20,1000-ROW(),1),ROW(),OFFSET($A$1,ROW(),21,1000-ROW(),1),"Sub"))))</f>
        <v/>
      </c>
      <c r="J226" s="60">
        <f>IF(N($W226)=0,"",IF(AND($S226=MesCiclo,2&gt;SemanaActual),"",MIN(1,SUMIFS(OFFSET($A$1,ROW(),30,1000-ROW(),1),OFFSET($A$1,ROW(),20,1000-ROW(),1),ROW(),OFFSET($A$1,ROW(),21,1000-ROW(),1),"Sub"))))</f>
        <v/>
      </c>
      <c r="K226" s="60">
        <f>IF(N($W226)=0,"",IF(AND($S226=MesCiclo,3&gt;SemanaActual),"",MIN(1,SUMIFS(OFFSET($A$1,ROW(),31,1000-ROW(),1),OFFSET($A$1,ROW(),20,1000-ROW(),1),ROW(),OFFSET($A$1,ROW(),21,1000-ROW(),1),"Sub"))))</f>
        <v/>
      </c>
      <c r="L226" s="60">
        <f>IF(N($W226)=0,"",IF(AND($S226=MesCiclo,4&gt;SemanaActual),"",MIN(1,SUMIFS(OFFSET($A$1,ROW(),32,1000-ROW(),1),OFFSET($A$1,ROW(),20,1000-ROW(),1),ROW(),OFFSET($A$1,ROW(),21,1000-ROW(),1),"Sub"))))</f>
        <v/>
      </c>
      <c r="M226" s="61">
        <f>IF(NOT((COUNTA($B226:$D226)+COUNTA($G226:$H226)+COUNTA($Q226))&gt;0),"",IF(AND($D226&lt;&gt;"",$V226="Macro"),IF(N($AM226)&gt;0,N(CHOOSE(MATCH($D226,ListaPuestos,0),INDEX('Cronograma R. Operacional'!$M$5:$M$1000,$AM226),INDEX('Cronograma R. Normativo'!$M$5:$M$1000,$AM226),INDEX('Cronograma R. Financiero'!$M$5:$M$1000,$AM226),INDEX('Cronograma Asistente Técnico'!$M$5:$M$1000,$AM226))),0),IF(ISNUMBER($G226),1,IF(N($W226)&gt;0,MIN(1,SUMIFS($Y$5:$Y$1000,$U$5:$U$1000,ROW(),$V$5:$V$1000,"Sub")),$Y226))))</f>
        <v/>
      </c>
      <c r="N226" s="56">
        <f>IF(OR($M226="",$V226="Sub"),"",IF($M226&gt;=1,"Completado",IF($M226&gt;0,"En curso","Pendiente")))</f>
        <v/>
      </c>
      <c r="O226" s="56">
        <f>IF(NOT((COUNTA($B226:$D226)+COUNTA($G226:$H226)+COUNTA($Q226))&gt;0),"",IF(AND(AND($D226&lt;&gt;"",$V226="Macro"),N($AM226)&gt;0),CHOOSE(MATCH($D226,ListaPuestos,0),INDEX('Cronograma R. Operacional'!$O$5:$O$1000,$AM226),INDEX('Cronograma R. Normativo'!$O$5:$O$1000,$AM226),INDEX('Cronograma R. Financiero'!$O$5:$O$1000,$AM226),INDEX('Cronograma Asistente Técnico'!$O$5:$O$1000,$AM226))&amp;"",IF(ISNUMBER($G226),IF(AND(ISNUMBER($AS226),$G226&gt;$AS226),"Cumplida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f>IF(NOT((COUNTA($B226:$D226)+COUNTA($G226:$H226)+COUNTA($Q226))&gt;0),"",IF($D226="","Propia",IF($V226&lt;&gt;"Macro","Solo se delegan macroactividades",IF(N($AM226)&gt;0,"✔ Recibida por "&amp;$D226,"⚠ "&amp;$D226&amp;" aún no la agrega"))))</f>
        <v/>
      </c>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IF($V226&lt;&gt;"Sub","",N($X226)*IF(AND(ISNUMBER($G226),$G226&lt;=IF($S226=MesCiclo,InicioCiclo,$S226+MOD(2-WEEKDAY($S226),7))+6),1,MIN(1,MAX(0,IF(ISNUMBER(OFFSET($A$1,ROW()-1,8)),OFFSET($A$1,ROW()-1,8),0)))))</f>
        <v/>
      </c>
      <c r="AE226" s="62">
        <f>IF($V226&lt;&gt;"Sub","",N($X226)*IF(AND(ISNUMBER($G226),$G226&lt;=IF($S226=MesCiclo,InicioCiclo,$S226+MOD(2-WEEKDAY($S226),7))+13),1,MIN(1,MAX(0,IF(ISNUMBER(OFFSET($A$1,ROW()-1,9)),OFFSET($A$1,ROW()-1,9),IF(ISNUMBER(OFFSET($A$1,ROW()-1,8)),OFFSET($A$1,ROW()-1,8),0))))))</f>
        <v/>
      </c>
      <c r="AF226" s="62">
        <f>IF($V226&lt;&gt;"Sub","",N($X226)*IF(AND(ISNUMBER($G226),$G226&lt;=IF($S226=MesCiclo,InicioCiclo,$S226+MOD(2-WEEKDAY($S226),7))+20),1,MIN(1,MAX(0,IF(ISNUMBER(OFFSET($A$1,ROW()-1,10)),OFFSET($A$1,ROW()-1,10),IF(ISNUMBER(OFFSET($A$1,ROW()-1,9)),OFFSET($A$1,ROW()-1,9),IF(ISNUMBER(OFFSET($A$1,ROW()-1,8)),OFFSET($A$1,ROW()-1,8),0)))))))</f>
        <v/>
      </c>
      <c r="AG226" s="62">
        <f>IF($V226&lt;&gt;"Sub","",N($X226)*IF(AND(ISNUMBER($G226),$G226&lt;=IF($S226=MesCiclo,InicioCiclo,$S226+MOD(2-WEEKDAY($S226),7))+27),1,MIN(1,MAX(0,IF(ISNUMBER(OFFSET($A$1,ROW()-1,11)),OFFSET($A$1,ROW()-1,11),IF(ISNUMBER(OFFSET($A$1,ROW()-1,10)),OFFSET($A$1,ROW()-1,10),IF(ISNUMBER(OFFSET($A$1,ROW()-1,9)),OFFSET($A$1,ROW()-1,9),IF(ISNUMBER(OFFSET($A$1,ROW()-1,8)),OFFSET($A$1,ROW()-1,8),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f>IF(NOT(AND($D226&lt;&gt;"",$V226="Macro")),"",IFERROR(CHOOSE(MATCH($D226,ListaPuestos,0),MATCH("[Jefatura] "&amp;$C226,'Cronograma R. Operacional'!$C$5:$C$1000,0),MATCH("[Jefatura] "&amp;$C226,'Cronograma R. Normativo'!$C$5:$C$1000,0),MATCH("[Jefatura] "&amp;$C226,'Cronograma R. Financiero'!$C$5:$C$1000,0),MATCH("[Jefatura] "&amp;$C226,'Cronograma Asistente Técnico'!$C$5:$C$1000,0)),0))</f>
        <v/>
      </c>
      <c r="AN226" s="62">
        <f>IF(AND(AND($D226&lt;&gt;"",$V226="Macro"),$S226=MesCiclo),COUNTIFS($D$5:$D226,$D226,$S$5:$S226,MesCiclo,$V$5:$V226,"Macro"),"")</f>
        <v/>
      </c>
      <c r="AO226" s="62">
        <f>IF($AN226="","",$D226&amp;"|"&amp;$AN226)</f>
        <v/>
      </c>
      <c r="AP226" s="62">
        <f>IF(AND($D226&lt;&gt;"",$V226="Macro"),$D226&amp;"|"&amp;$C226,"")</f>
        <v/>
      </c>
      <c r="AQ226" s="62">
        <f>""</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t="n"/>
      <c r="F227" s="59" t="n"/>
      <c r="G227" s="59" t="n"/>
      <c r="H227" s="60" t="n"/>
      <c r="I227" s="60">
        <f>IF(N($W227)=0,"",IF(AND($S227=MesCiclo,1&gt;SemanaActual),"",MIN(1,SUMIFS(OFFSET($A$1,ROW(),29,1000-ROW(),1),OFFSET($A$1,ROW(),20,1000-ROW(),1),ROW(),OFFSET($A$1,ROW(),21,1000-ROW(),1),"Sub"))))</f>
        <v/>
      </c>
      <c r="J227" s="60">
        <f>IF(N($W227)=0,"",IF(AND($S227=MesCiclo,2&gt;SemanaActual),"",MIN(1,SUMIFS(OFFSET($A$1,ROW(),30,1000-ROW(),1),OFFSET($A$1,ROW(),20,1000-ROW(),1),ROW(),OFFSET($A$1,ROW(),21,1000-ROW(),1),"Sub"))))</f>
        <v/>
      </c>
      <c r="K227" s="60">
        <f>IF(N($W227)=0,"",IF(AND($S227=MesCiclo,3&gt;SemanaActual),"",MIN(1,SUMIFS(OFFSET($A$1,ROW(),31,1000-ROW(),1),OFFSET($A$1,ROW(),20,1000-ROW(),1),ROW(),OFFSET($A$1,ROW(),21,1000-ROW(),1),"Sub"))))</f>
        <v/>
      </c>
      <c r="L227" s="60">
        <f>IF(N($W227)=0,"",IF(AND($S227=MesCiclo,4&gt;SemanaActual),"",MIN(1,SUMIFS(OFFSET($A$1,ROW(),32,1000-ROW(),1),OFFSET($A$1,ROW(),20,1000-ROW(),1),ROW(),OFFSET($A$1,ROW(),21,1000-ROW(),1),"Sub"))))</f>
        <v/>
      </c>
      <c r="M227" s="61">
        <f>IF(NOT((COUNTA($B227:$D227)+COUNTA($G227:$H227)+COUNTA($Q227))&gt;0),"",IF(AND($D227&lt;&gt;"",$V227="Macro"),IF(N($AM227)&gt;0,N(CHOOSE(MATCH($D227,ListaPuestos,0),INDEX('Cronograma R. Operacional'!$M$5:$M$1000,$AM227),INDEX('Cronograma R. Normativo'!$M$5:$M$1000,$AM227),INDEX('Cronograma R. Financiero'!$M$5:$M$1000,$AM227),INDEX('Cronograma Asistente Técnico'!$M$5:$M$1000,$AM227))),0),IF(ISNUMBER($G227),1,IF(N($W227)&gt;0,MIN(1,SUMIFS($Y$5:$Y$1000,$U$5:$U$1000,ROW(),$V$5:$V$1000,"Sub")),$Y227))))</f>
        <v/>
      </c>
      <c r="N227" s="56">
        <f>IF(OR($M227="",$V227="Sub"),"",IF($M227&gt;=1,"Completado",IF($M227&gt;0,"En curso","Pendiente")))</f>
        <v/>
      </c>
      <c r="O227" s="56">
        <f>IF(NOT((COUNTA($B227:$D227)+COUNTA($G227:$H227)+COUNTA($Q227))&gt;0),"",IF(AND(AND($D227&lt;&gt;"",$V227="Macro"),N($AM227)&gt;0),CHOOSE(MATCH($D227,ListaPuestos,0),INDEX('Cronograma R. Operacional'!$O$5:$O$1000,$AM227),INDEX('Cronograma R. Normativo'!$O$5:$O$1000,$AM227),INDEX('Cronograma R. Financiero'!$O$5:$O$1000,$AM227),INDEX('Cronograma Asistente Técnico'!$O$5:$O$1000,$AM227))&amp;"",IF(ISNUMBER($G227),IF(AND(ISNUMBER($AS227),$G227&gt;$AS227),"Cumplida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f>IF(NOT((COUNTA($B227:$D227)+COUNTA($G227:$H227)+COUNTA($Q227))&gt;0),"",IF($D227="","Propia",IF($V227&lt;&gt;"Macro","Solo se delegan macroactividades",IF(N($AM227)&gt;0,"✔ Recibida por "&amp;$D227,"⚠ "&amp;$D227&amp;" aún no la agrega"))))</f>
        <v/>
      </c>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IF($V227&lt;&gt;"Sub","",N($X227)*IF(AND(ISNUMBER($G227),$G227&lt;=IF($S227=MesCiclo,InicioCiclo,$S227+MOD(2-WEEKDAY($S227),7))+6),1,MIN(1,MAX(0,IF(ISNUMBER(OFFSET($A$1,ROW()-1,8)),OFFSET($A$1,ROW()-1,8),0)))))</f>
        <v/>
      </c>
      <c r="AE227" s="62">
        <f>IF($V227&lt;&gt;"Sub","",N($X227)*IF(AND(ISNUMBER($G227),$G227&lt;=IF($S227=MesCiclo,InicioCiclo,$S227+MOD(2-WEEKDAY($S227),7))+13),1,MIN(1,MAX(0,IF(ISNUMBER(OFFSET($A$1,ROW()-1,9)),OFFSET($A$1,ROW()-1,9),IF(ISNUMBER(OFFSET($A$1,ROW()-1,8)),OFFSET($A$1,ROW()-1,8),0))))))</f>
        <v/>
      </c>
      <c r="AF227" s="62">
        <f>IF($V227&lt;&gt;"Sub","",N($X227)*IF(AND(ISNUMBER($G227),$G227&lt;=IF($S227=MesCiclo,InicioCiclo,$S227+MOD(2-WEEKDAY($S227),7))+20),1,MIN(1,MAX(0,IF(ISNUMBER(OFFSET($A$1,ROW()-1,10)),OFFSET($A$1,ROW()-1,10),IF(ISNUMBER(OFFSET($A$1,ROW()-1,9)),OFFSET($A$1,ROW()-1,9),IF(ISNUMBER(OFFSET($A$1,ROW()-1,8)),OFFSET($A$1,ROW()-1,8),0)))))))</f>
        <v/>
      </c>
      <c r="AG227" s="62">
        <f>IF($V227&lt;&gt;"Sub","",N($X227)*IF(AND(ISNUMBER($G227),$G227&lt;=IF($S227=MesCiclo,InicioCiclo,$S227+MOD(2-WEEKDAY($S227),7))+27),1,MIN(1,MAX(0,IF(ISNUMBER(OFFSET($A$1,ROW()-1,11)),OFFSET($A$1,ROW()-1,11),IF(ISNUMBER(OFFSET($A$1,ROW()-1,10)),OFFSET($A$1,ROW()-1,10),IF(ISNUMBER(OFFSET($A$1,ROW()-1,9)),OFFSET($A$1,ROW()-1,9),IF(ISNUMBER(OFFSET($A$1,ROW()-1,8)),OFFSET($A$1,ROW()-1,8),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f>IF(NOT(AND($D227&lt;&gt;"",$V227="Macro")),"",IFERROR(CHOOSE(MATCH($D227,ListaPuestos,0),MATCH("[Jefatura] "&amp;$C227,'Cronograma R. Operacional'!$C$5:$C$1000,0),MATCH("[Jefatura] "&amp;$C227,'Cronograma R. Normativo'!$C$5:$C$1000,0),MATCH("[Jefatura] "&amp;$C227,'Cronograma R. Financiero'!$C$5:$C$1000,0),MATCH("[Jefatura] "&amp;$C227,'Cronograma Asistente Técnico'!$C$5:$C$1000,0)),0))</f>
        <v/>
      </c>
      <c r="AN227" s="62">
        <f>IF(AND(AND($D227&lt;&gt;"",$V227="Macro"),$S227=MesCiclo),COUNTIFS($D$5:$D227,$D227,$S$5:$S227,MesCiclo,$V$5:$V227,"Macro"),"")</f>
        <v/>
      </c>
      <c r="AO227" s="62">
        <f>IF($AN227="","",$D227&amp;"|"&amp;$AN227)</f>
        <v/>
      </c>
      <c r="AP227" s="62">
        <f>IF(AND($D227&lt;&gt;"",$V227="Macro"),$D227&amp;"|"&amp;$C227,"")</f>
        <v/>
      </c>
      <c r="AQ227" s="62">
        <f>""</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t="n"/>
      <c r="F228" s="59" t="n"/>
      <c r="G228" s="59" t="n"/>
      <c r="H228" s="60" t="n"/>
      <c r="I228" s="60">
        <f>IF(N($W228)=0,"",IF(AND($S228=MesCiclo,1&gt;SemanaActual),"",MIN(1,SUMIFS(OFFSET($A$1,ROW(),29,1000-ROW(),1),OFFSET($A$1,ROW(),20,1000-ROW(),1),ROW(),OFFSET($A$1,ROW(),21,1000-ROW(),1),"Sub"))))</f>
        <v/>
      </c>
      <c r="J228" s="60">
        <f>IF(N($W228)=0,"",IF(AND($S228=MesCiclo,2&gt;SemanaActual),"",MIN(1,SUMIFS(OFFSET($A$1,ROW(),30,1000-ROW(),1),OFFSET($A$1,ROW(),20,1000-ROW(),1),ROW(),OFFSET($A$1,ROW(),21,1000-ROW(),1),"Sub"))))</f>
        <v/>
      </c>
      <c r="K228" s="60">
        <f>IF(N($W228)=0,"",IF(AND($S228=MesCiclo,3&gt;SemanaActual),"",MIN(1,SUMIFS(OFFSET($A$1,ROW(),31,1000-ROW(),1),OFFSET($A$1,ROW(),20,1000-ROW(),1),ROW(),OFFSET($A$1,ROW(),21,1000-ROW(),1),"Sub"))))</f>
        <v/>
      </c>
      <c r="L228" s="60">
        <f>IF(N($W228)=0,"",IF(AND($S228=MesCiclo,4&gt;SemanaActual),"",MIN(1,SUMIFS(OFFSET($A$1,ROW(),32,1000-ROW(),1),OFFSET($A$1,ROW(),20,1000-ROW(),1),ROW(),OFFSET($A$1,ROW(),21,1000-ROW(),1),"Sub"))))</f>
        <v/>
      </c>
      <c r="M228" s="61">
        <f>IF(NOT((COUNTA($B228:$D228)+COUNTA($G228:$H228)+COUNTA($Q228))&gt;0),"",IF(AND($D228&lt;&gt;"",$V228="Macro"),IF(N($AM228)&gt;0,N(CHOOSE(MATCH($D228,ListaPuestos,0),INDEX('Cronograma R. Operacional'!$M$5:$M$1000,$AM228),INDEX('Cronograma R. Normativo'!$M$5:$M$1000,$AM228),INDEX('Cronograma R. Financiero'!$M$5:$M$1000,$AM228),INDEX('Cronograma Asistente Técnico'!$M$5:$M$1000,$AM228))),0),IF(ISNUMBER($G228),1,IF(N($W228)&gt;0,MIN(1,SUMIFS($Y$5:$Y$1000,$U$5:$U$1000,ROW(),$V$5:$V$1000,"Sub")),$Y228))))</f>
        <v/>
      </c>
      <c r="N228" s="56">
        <f>IF(OR($M228="",$V228="Sub"),"",IF($M228&gt;=1,"Completado",IF($M228&gt;0,"En curso","Pendiente")))</f>
        <v/>
      </c>
      <c r="O228" s="56">
        <f>IF(NOT((COUNTA($B228:$D228)+COUNTA($G228:$H228)+COUNTA($Q228))&gt;0),"",IF(AND(AND($D228&lt;&gt;"",$V228="Macro"),N($AM228)&gt;0),CHOOSE(MATCH($D228,ListaPuestos,0),INDEX('Cronograma R. Operacional'!$O$5:$O$1000,$AM228),INDEX('Cronograma R. Normativo'!$O$5:$O$1000,$AM228),INDEX('Cronograma R. Financiero'!$O$5:$O$1000,$AM228),INDEX('Cronograma Asistente Técnico'!$O$5:$O$1000,$AM228))&amp;"",IF(ISNUMBER($G228),IF(AND(ISNUMBER($AS228),$G228&gt;$AS228),"Cumplida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f>IF(NOT((COUNTA($B228:$D228)+COUNTA($G228:$H228)+COUNTA($Q228))&gt;0),"",IF($D228="","Propia",IF($V228&lt;&gt;"Macro","Solo se delegan macroactividades",IF(N($AM228)&gt;0,"✔ Recibida por "&amp;$D228,"⚠ "&amp;$D228&amp;" aún no la agrega"))))</f>
        <v/>
      </c>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IF($V228&lt;&gt;"Sub","",N($X228)*IF(AND(ISNUMBER($G228),$G228&lt;=IF($S228=MesCiclo,InicioCiclo,$S228+MOD(2-WEEKDAY($S228),7))+6),1,MIN(1,MAX(0,IF(ISNUMBER(OFFSET($A$1,ROW()-1,8)),OFFSET($A$1,ROW()-1,8),0)))))</f>
        <v/>
      </c>
      <c r="AE228" s="62">
        <f>IF($V228&lt;&gt;"Sub","",N($X228)*IF(AND(ISNUMBER($G228),$G228&lt;=IF($S228=MesCiclo,InicioCiclo,$S228+MOD(2-WEEKDAY($S228),7))+13),1,MIN(1,MAX(0,IF(ISNUMBER(OFFSET($A$1,ROW()-1,9)),OFFSET($A$1,ROW()-1,9),IF(ISNUMBER(OFFSET($A$1,ROW()-1,8)),OFFSET($A$1,ROW()-1,8),0))))))</f>
        <v/>
      </c>
      <c r="AF228" s="62">
        <f>IF($V228&lt;&gt;"Sub","",N($X228)*IF(AND(ISNUMBER($G228),$G228&lt;=IF($S228=MesCiclo,InicioCiclo,$S228+MOD(2-WEEKDAY($S228),7))+20),1,MIN(1,MAX(0,IF(ISNUMBER(OFFSET($A$1,ROW()-1,10)),OFFSET($A$1,ROW()-1,10),IF(ISNUMBER(OFFSET($A$1,ROW()-1,9)),OFFSET($A$1,ROW()-1,9),IF(ISNUMBER(OFFSET($A$1,ROW()-1,8)),OFFSET($A$1,ROW()-1,8),0)))))))</f>
        <v/>
      </c>
      <c r="AG228" s="62">
        <f>IF($V228&lt;&gt;"Sub","",N($X228)*IF(AND(ISNUMBER($G228),$G228&lt;=IF($S228=MesCiclo,InicioCiclo,$S228+MOD(2-WEEKDAY($S228),7))+27),1,MIN(1,MAX(0,IF(ISNUMBER(OFFSET($A$1,ROW()-1,11)),OFFSET($A$1,ROW()-1,11),IF(ISNUMBER(OFFSET($A$1,ROW()-1,10)),OFFSET($A$1,ROW()-1,10),IF(ISNUMBER(OFFSET($A$1,ROW()-1,9)),OFFSET($A$1,ROW()-1,9),IF(ISNUMBER(OFFSET($A$1,ROW()-1,8)),OFFSET($A$1,ROW()-1,8),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f>IF(NOT(AND($D228&lt;&gt;"",$V228="Macro")),"",IFERROR(CHOOSE(MATCH($D228,ListaPuestos,0),MATCH("[Jefatura] "&amp;$C228,'Cronograma R. Operacional'!$C$5:$C$1000,0),MATCH("[Jefatura] "&amp;$C228,'Cronograma R. Normativo'!$C$5:$C$1000,0),MATCH("[Jefatura] "&amp;$C228,'Cronograma R. Financiero'!$C$5:$C$1000,0),MATCH("[Jefatura] "&amp;$C228,'Cronograma Asistente Técnico'!$C$5:$C$1000,0)),0))</f>
        <v/>
      </c>
      <c r="AN228" s="62">
        <f>IF(AND(AND($D228&lt;&gt;"",$V228="Macro"),$S228=MesCiclo),COUNTIFS($D$5:$D228,$D228,$S$5:$S228,MesCiclo,$V$5:$V228,"Macro"),"")</f>
        <v/>
      </c>
      <c r="AO228" s="62">
        <f>IF($AN228="","",$D228&amp;"|"&amp;$AN228)</f>
        <v/>
      </c>
      <c r="AP228" s="62">
        <f>IF(AND($D228&lt;&gt;"",$V228="Macro"),$D228&amp;"|"&amp;$C228,"")</f>
        <v/>
      </c>
      <c r="AQ228" s="62">
        <f>""</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t="n"/>
      <c r="F229" s="59" t="n"/>
      <c r="G229" s="59" t="n"/>
      <c r="H229" s="60" t="n"/>
      <c r="I229" s="60">
        <f>IF(N($W229)=0,"",IF(AND($S229=MesCiclo,1&gt;SemanaActual),"",MIN(1,SUMIFS(OFFSET($A$1,ROW(),29,1000-ROW(),1),OFFSET($A$1,ROW(),20,1000-ROW(),1),ROW(),OFFSET($A$1,ROW(),21,1000-ROW(),1),"Sub"))))</f>
        <v/>
      </c>
      <c r="J229" s="60">
        <f>IF(N($W229)=0,"",IF(AND($S229=MesCiclo,2&gt;SemanaActual),"",MIN(1,SUMIFS(OFFSET($A$1,ROW(),30,1000-ROW(),1),OFFSET($A$1,ROW(),20,1000-ROW(),1),ROW(),OFFSET($A$1,ROW(),21,1000-ROW(),1),"Sub"))))</f>
        <v/>
      </c>
      <c r="K229" s="60">
        <f>IF(N($W229)=0,"",IF(AND($S229=MesCiclo,3&gt;SemanaActual),"",MIN(1,SUMIFS(OFFSET($A$1,ROW(),31,1000-ROW(),1),OFFSET($A$1,ROW(),20,1000-ROW(),1),ROW(),OFFSET($A$1,ROW(),21,1000-ROW(),1),"Sub"))))</f>
        <v/>
      </c>
      <c r="L229" s="60">
        <f>IF(N($W229)=0,"",IF(AND($S229=MesCiclo,4&gt;SemanaActual),"",MIN(1,SUMIFS(OFFSET($A$1,ROW(),32,1000-ROW(),1),OFFSET($A$1,ROW(),20,1000-ROW(),1),ROW(),OFFSET($A$1,ROW(),21,1000-ROW(),1),"Sub"))))</f>
        <v/>
      </c>
      <c r="M229" s="61">
        <f>IF(NOT((COUNTA($B229:$D229)+COUNTA($G229:$H229)+COUNTA($Q229))&gt;0),"",IF(AND($D229&lt;&gt;"",$V229="Macro"),IF(N($AM229)&gt;0,N(CHOOSE(MATCH($D229,ListaPuestos,0),INDEX('Cronograma R. Operacional'!$M$5:$M$1000,$AM229),INDEX('Cronograma R. Normativo'!$M$5:$M$1000,$AM229),INDEX('Cronograma R. Financiero'!$M$5:$M$1000,$AM229),INDEX('Cronograma Asistente Técnico'!$M$5:$M$1000,$AM229))),0),IF(ISNUMBER($G229),1,IF(N($W229)&gt;0,MIN(1,SUMIFS($Y$5:$Y$1000,$U$5:$U$1000,ROW(),$V$5:$V$1000,"Sub")),$Y229))))</f>
        <v/>
      </c>
      <c r="N229" s="56">
        <f>IF(OR($M229="",$V229="Sub"),"",IF($M229&gt;=1,"Completado",IF($M229&gt;0,"En curso","Pendiente")))</f>
        <v/>
      </c>
      <c r="O229" s="56">
        <f>IF(NOT((COUNTA($B229:$D229)+COUNTA($G229:$H229)+COUNTA($Q229))&gt;0),"",IF(AND(AND($D229&lt;&gt;"",$V229="Macro"),N($AM229)&gt;0),CHOOSE(MATCH($D229,ListaPuestos,0),INDEX('Cronograma R. Operacional'!$O$5:$O$1000,$AM229),INDEX('Cronograma R. Normativo'!$O$5:$O$1000,$AM229),INDEX('Cronograma R. Financiero'!$O$5:$O$1000,$AM229),INDEX('Cronograma Asistente Técnico'!$O$5:$O$1000,$AM229))&amp;"",IF(ISNUMBER($G229),IF(AND(ISNUMBER($AS229),$G229&gt;$AS229),"Cumplida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f>IF(NOT((COUNTA($B229:$D229)+COUNTA($G229:$H229)+COUNTA($Q229))&gt;0),"",IF($D229="","Propia",IF($V229&lt;&gt;"Macro","Solo se delegan macroactividades",IF(N($AM229)&gt;0,"✔ Recibida por "&amp;$D229,"⚠ "&amp;$D229&amp;" aún no la agrega"))))</f>
        <v/>
      </c>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IF($V229&lt;&gt;"Sub","",N($X229)*IF(AND(ISNUMBER($G229),$G229&lt;=IF($S229=MesCiclo,InicioCiclo,$S229+MOD(2-WEEKDAY($S229),7))+6),1,MIN(1,MAX(0,IF(ISNUMBER(OFFSET($A$1,ROW()-1,8)),OFFSET($A$1,ROW()-1,8),0)))))</f>
        <v/>
      </c>
      <c r="AE229" s="62">
        <f>IF($V229&lt;&gt;"Sub","",N($X229)*IF(AND(ISNUMBER($G229),$G229&lt;=IF($S229=MesCiclo,InicioCiclo,$S229+MOD(2-WEEKDAY($S229),7))+13),1,MIN(1,MAX(0,IF(ISNUMBER(OFFSET($A$1,ROW()-1,9)),OFFSET($A$1,ROW()-1,9),IF(ISNUMBER(OFFSET($A$1,ROW()-1,8)),OFFSET($A$1,ROW()-1,8),0))))))</f>
        <v/>
      </c>
      <c r="AF229" s="62">
        <f>IF($V229&lt;&gt;"Sub","",N($X229)*IF(AND(ISNUMBER($G229),$G229&lt;=IF($S229=MesCiclo,InicioCiclo,$S229+MOD(2-WEEKDAY($S229),7))+20),1,MIN(1,MAX(0,IF(ISNUMBER(OFFSET($A$1,ROW()-1,10)),OFFSET($A$1,ROW()-1,10),IF(ISNUMBER(OFFSET($A$1,ROW()-1,9)),OFFSET($A$1,ROW()-1,9),IF(ISNUMBER(OFFSET($A$1,ROW()-1,8)),OFFSET($A$1,ROW()-1,8),0)))))))</f>
        <v/>
      </c>
      <c r="AG229" s="62">
        <f>IF($V229&lt;&gt;"Sub","",N($X229)*IF(AND(ISNUMBER($G229),$G229&lt;=IF($S229=MesCiclo,InicioCiclo,$S229+MOD(2-WEEKDAY($S229),7))+27),1,MIN(1,MAX(0,IF(ISNUMBER(OFFSET($A$1,ROW()-1,11)),OFFSET($A$1,ROW()-1,11),IF(ISNUMBER(OFFSET($A$1,ROW()-1,10)),OFFSET($A$1,ROW()-1,10),IF(ISNUMBER(OFFSET($A$1,ROW()-1,9)),OFFSET($A$1,ROW()-1,9),IF(ISNUMBER(OFFSET($A$1,ROW()-1,8)),OFFSET($A$1,ROW()-1,8),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f>IF(NOT(AND($D229&lt;&gt;"",$V229="Macro")),"",IFERROR(CHOOSE(MATCH($D229,ListaPuestos,0),MATCH("[Jefatura] "&amp;$C229,'Cronograma R. Operacional'!$C$5:$C$1000,0),MATCH("[Jefatura] "&amp;$C229,'Cronograma R. Normativo'!$C$5:$C$1000,0),MATCH("[Jefatura] "&amp;$C229,'Cronograma R. Financiero'!$C$5:$C$1000,0),MATCH("[Jefatura] "&amp;$C229,'Cronograma Asistente Técnico'!$C$5:$C$1000,0)),0))</f>
        <v/>
      </c>
      <c r="AN229" s="62">
        <f>IF(AND(AND($D229&lt;&gt;"",$V229="Macro"),$S229=MesCiclo),COUNTIFS($D$5:$D229,$D229,$S$5:$S229,MesCiclo,$V$5:$V229,"Macro"),"")</f>
        <v/>
      </c>
      <c r="AO229" s="62">
        <f>IF($AN229="","",$D229&amp;"|"&amp;$AN229)</f>
        <v/>
      </c>
      <c r="AP229" s="62">
        <f>IF(AND($D229&lt;&gt;"",$V229="Macro"),$D229&amp;"|"&amp;$C229,"")</f>
        <v/>
      </c>
      <c r="AQ229" s="62">
        <f>""</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t="n"/>
      <c r="F230" s="59" t="n"/>
      <c r="G230" s="59" t="n"/>
      <c r="H230" s="60" t="n"/>
      <c r="I230" s="60">
        <f>IF(N($W230)=0,"",IF(AND($S230=MesCiclo,1&gt;SemanaActual),"",MIN(1,SUMIFS(OFFSET($A$1,ROW(),29,1000-ROW(),1),OFFSET($A$1,ROW(),20,1000-ROW(),1),ROW(),OFFSET($A$1,ROW(),21,1000-ROW(),1),"Sub"))))</f>
        <v/>
      </c>
      <c r="J230" s="60">
        <f>IF(N($W230)=0,"",IF(AND($S230=MesCiclo,2&gt;SemanaActual),"",MIN(1,SUMIFS(OFFSET($A$1,ROW(),30,1000-ROW(),1),OFFSET($A$1,ROW(),20,1000-ROW(),1),ROW(),OFFSET($A$1,ROW(),21,1000-ROW(),1),"Sub"))))</f>
        <v/>
      </c>
      <c r="K230" s="60">
        <f>IF(N($W230)=0,"",IF(AND($S230=MesCiclo,3&gt;SemanaActual),"",MIN(1,SUMIFS(OFFSET($A$1,ROW(),31,1000-ROW(),1),OFFSET($A$1,ROW(),20,1000-ROW(),1),ROW(),OFFSET($A$1,ROW(),21,1000-ROW(),1),"Sub"))))</f>
        <v/>
      </c>
      <c r="L230" s="60">
        <f>IF(N($W230)=0,"",IF(AND($S230=MesCiclo,4&gt;SemanaActual),"",MIN(1,SUMIFS(OFFSET($A$1,ROW(),32,1000-ROW(),1),OFFSET($A$1,ROW(),20,1000-ROW(),1),ROW(),OFFSET($A$1,ROW(),21,1000-ROW(),1),"Sub"))))</f>
        <v/>
      </c>
      <c r="M230" s="61">
        <f>IF(NOT((COUNTA($B230:$D230)+COUNTA($G230:$H230)+COUNTA($Q230))&gt;0),"",IF(AND($D230&lt;&gt;"",$V230="Macro"),IF(N($AM230)&gt;0,N(CHOOSE(MATCH($D230,ListaPuestos,0),INDEX('Cronograma R. Operacional'!$M$5:$M$1000,$AM230),INDEX('Cronograma R. Normativo'!$M$5:$M$1000,$AM230),INDEX('Cronograma R. Financiero'!$M$5:$M$1000,$AM230),INDEX('Cronograma Asistente Técnico'!$M$5:$M$1000,$AM230))),0),IF(ISNUMBER($G230),1,IF(N($W230)&gt;0,MIN(1,SUMIFS($Y$5:$Y$1000,$U$5:$U$1000,ROW(),$V$5:$V$1000,"Sub")),$Y230))))</f>
        <v/>
      </c>
      <c r="N230" s="56">
        <f>IF(OR($M230="",$V230="Sub"),"",IF($M230&gt;=1,"Completado",IF($M230&gt;0,"En curso","Pendiente")))</f>
        <v/>
      </c>
      <c r="O230" s="56">
        <f>IF(NOT((COUNTA($B230:$D230)+COUNTA($G230:$H230)+COUNTA($Q230))&gt;0),"",IF(AND(AND($D230&lt;&gt;"",$V230="Macro"),N($AM230)&gt;0),CHOOSE(MATCH($D230,ListaPuestos,0),INDEX('Cronograma R. Operacional'!$O$5:$O$1000,$AM230),INDEX('Cronograma R. Normativo'!$O$5:$O$1000,$AM230),INDEX('Cronograma R. Financiero'!$O$5:$O$1000,$AM230),INDEX('Cronograma Asistente Técnico'!$O$5:$O$1000,$AM230))&amp;"",IF(ISNUMBER($G230),IF(AND(ISNUMBER($AS230),$G230&gt;$AS230),"Cumplida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f>IF(NOT((COUNTA($B230:$D230)+COUNTA($G230:$H230)+COUNTA($Q230))&gt;0),"",IF($D230="","Propia",IF($V230&lt;&gt;"Macro","Solo se delegan macroactividades",IF(N($AM230)&gt;0,"✔ Recibida por "&amp;$D230,"⚠ "&amp;$D230&amp;" aún no la agrega"))))</f>
        <v/>
      </c>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IF($V230&lt;&gt;"Sub","",N($X230)*IF(AND(ISNUMBER($G230),$G230&lt;=IF($S230=MesCiclo,InicioCiclo,$S230+MOD(2-WEEKDAY($S230),7))+6),1,MIN(1,MAX(0,IF(ISNUMBER(OFFSET($A$1,ROW()-1,8)),OFFSET($A$1,ROW()-1,8),0)))))</f>
        <v/>
      </c>
      <c r="AE230" s="62">
        <f>IF($V230&lt;&gt;"Sub","",N($X230)*IF(AND(ISNUMBER($G230),$G230&lt;=IF($S230=MesCiclo,InicioCiclo,$S230+MOD(2-WEEKDAY($S230),7))+13),1,MIN(1,MAX(0,IF(ISNUMBER(OFFSET($A$1,ROW()-1,9)),OFFSET($A$1,ROW()-1,9),IF(ISNUMBER(OFFSET($A$1,ROW()-1,8)),OFFSET($A$1,ROW()-1,8),0))))))</f>
        <v/>
      </c>
      <c r="AF230" s="62">
        <f>IF($V230&lt;&gt;"Sub","",N($X230)*IF(AND(ISNUMBER($G230),$G230&lt;=IF($S230=MesCiclo,InicioCiclo,$S230+MOD(2-WEEKDAY($S230),7))+20),1,MIN(1,MAX(0,IF(ISNUMBER(OFFSET($A$1,ROW()-1,10)),OFFSET($A$1,ROW()-1,10),IF(ISNUMBER(OFFSET($A$1,ROW()-1,9)),OFFSET($A$1,ROW()-1,9),IF(ISNUMBER(OFFSET($A$1,ROW()-1,8)),OFFSET($A$1,ROW()-1,8),0)))))))</f>
        <v/>
      </c>
      <c r="AG230" s="62">
        <f>IF($V230&lt;&gt;"Sub","",N($X230)*IF(AND(ISNUMBER($G230),$G230&lt;=IF($S230=MesCiclo,InicioCiclo,$S230+MOD(2-WEEKDAY($S230),7))+27),1,MIN(1,MAX(0,IF(ISNUMBER(OFFSET($A$1,ROW()-1,11)),OFFSET($A$1,ROW()-1,11),IF(ISNUMBER(OFFSET($A$1,ROW()-1,10)),OFFSET($A$1,ROW()-1,10),IF(ISNUMBER(OFFSET($A$1,ROW()-1,9)),OFFSET($A$1,ROW()-1,9),IF(ISNUMBER(OFFSET($A$1,ROW()-1,8)),OFFSET($A$1,ROW()-1,8),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f>IF(NOT(AND($D230&lt;&gt;"",$V230="Macro")),"",IFERROR(CHOOSE(MATCH($D230,ListaPuestos,0),MATCH("[Jefatura] "&amp;$C230,'Cronograma R. Operacional'!$C$5:$C$1000,0),MATCH("[Jefatura] "&amp;$C230,'Cronograma R. Normativo'!$C$5:$C$1000,0),MATCH("[Jefatura] "&amp;$C230,'Cronograma R. Financiero'!$C$5:$C$1000,0),MATCH("[Jefatura] "&amp;$C230,'Cronograma Asistente Técnico'!$C$5:$C$1000,0)),0))</f>
        <v/>
      </c>
      <c r="AN230" s="62">
        <f>IF(AND(AND($D230&lt;&gt;"",$V230="Macro"),$S230=MesCiclo),COUNTIFS($D$5:$D230,$D230,$S$5:$S230,MesCiclo,$V$5:$V230,"Macro"),"")</f>
        <v/>
      </c>
      <c r="AO230" s="62">
        <f>IF($AN230="","",$D230&amp;"|"&amp;$AN230)</f>
        <v/>
      </c>
      <c r="AP230" s="62">
        <f>IF(AND($D230&lt;&gt;"",$V230="Macro"),$D230&amp;"|"&amp;$C230,"")</f>
        <v/>
      </c>
      <c r="AQ230" s="62">
        <f>""</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t="n"/>
      <c r="F231" s="59" t="n"/>
      <c r="G231" s="59" t="n"/>
      <c r="H231" s="60" t="n"/>
      <c r="I231" s="60">
        <f>IF(N($W231)=0,"",IF(AND($S231=MesCiclo,1&gt;SemanaActual),"",MIN(1,SUMIFS(OFFSET($A$1,ROW(),29,1000-ROW(),1),OFFSET($A$1,ROW(),20,1000-ROW(),1),ROW(),OFFSET($A$1,ROW(),21,1000-ROW(),1),"Sub"))))</f>
        <v/>
      </c>
      <c r="J231" s="60">
        <f>IF(N($W231)=0,"",IF(AND($S231=MesCiclo,2&gt;SemanaActual),"",MIN(1,SUMIFS(OFFSET($A$1,ROW(),30,1000-ROW(),1),OFFSET($A$1,ROW(),20,1000-ROW(),1),ROW(),OFFSET($A$1,ROW(),21,1000-ROW(),1),"Sub"))))</f>
        <v/>
      </c>
      <c r="K231" s="60">
        <f>IF(N($W231)=0,"",IF(AND($S231=MesCiclo,3&gt;SemanaActual),"",MIN(1,SUMIFS(OFFSET($A$1,ROW(),31,1000-ROW(),1),OFFSET($A$1,ROW(),20,1000-ROW(),1),ROW(),OFFSET($A$1,ROW(),21,1000-ROW(),1),"Sub"))))</f>
        <v/>
      </c>
      <c r="L231" s="60">
        <f>IF(N($W231)=0,"",IF(AND($S231=MesCiclo,4&gt;SemanaActual),"",MIN(1,SUMIFS(OFFSET($A$1,ROW(),32,1000-ROW(),1),OFFSET($A$1,ROW(),20,1000-ROW(),1),ROW(),OFFSET($A$1,ROW(),21,1000-ROW(),1),"Sub"))))</f>
        <v/>
      </c>
      <c r="M231" s="61">
        <f>IF(NOT((COUNTA($B231:$D231)+COUNTA($G231:$H231)+COUNTA($Q231))&gt;0),"",IF(AND($D231&lt;&gt;"",$V231="Macro"),IF(N($AM231)&gt;0,N(CHOOSE(MATCH($D231,ListaPuestos,0),INDEX('Cronograma R. Operacional'!$M$5:$M$1000,$AM231),INDEX('Cronograma R. Normativo'!$M$5:$M$1000,$AM231),INDEX('Cronograma R. Financiero'!$M$5:$M$1000,$AM231),INDEX('Cronograma Asistente Técnico'!$M$5:$M$1000,$AM231))),0),IF(ISNUMBER($G231),1,IF(N($W231)&gt;0,MIN(1,SUMIFS($Y$5:$Y$1000,$U$5:$U$1000,ROW(),$V$5:$V$1000,"Sub")),$Y231))))</f>
        <v/>
      </c>
      <c r="N231" s="56">
        <f>IF(OR($M231="",$V231="Sub"),"",IF($M231&gt;=1,"Completado",IF($M231&gt;0,"En curso","Pendiente")))</f>
        <v/>
      </c>
      <c r="O231" s="56">
        <f>IF(NOT((COUNTA($B231:$D231)+COUNTA($G231:$H231)+COUNTA($Q231))&gt;0),"",IF(AND(AND($D231&lt;&gt;"",$V231="Macro"),N($AM231)&gt;0),CHOOSE(MATCH($D231,ListaPuestos,0),INDEX('Cronograma R. Operacional'!$O$5:$O$1000,$AM231),INDEX('Cronograma R. Normativo'!$O$5:$O$1000,$AM231),INDEX('Cronograma R. Financiero'!$O$5:$O$1000,$AM231),INDEX('Cronograma Asistente Técnico'!$O$5:$O$1000,$AM231))&amp;"",IF(ISNUMBER($G231),IF(AND(ISNUMBER($AS231),$G231&gt;$AS231),"Cumplida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f>IF(NOT((COUNTA($B231:$D231)+COUNTA($G231:$H231)+COUNTA($Q231))&gt;0),"",IF($D231="","Propia",IF($V231&lt;&gt;"Macro","Solo se delegan macroactividades",IF(N($AM231)&gt;0,"✔ Recibida por "&amp;$D231,"⚠ "&amp;$D231&amp;" aún no la agrega"))))</f>
        <v/>
      </c>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IF($V231&lt;&gt;"Sub","",N($X231)*IF(AND(ISNUMBER($G231),$G231&lt;=IF($S231=MesCiclo,InicioCiclo,$S231+MOD(2-WEEKDAY($S231),7))+6),1,MIN(1,MAX(0,IF(ISNUMBER(OFFSET($A$1,ROW()-1,8)),OFFSET($A$1,ROW()-1,8),0)))))</f>
        <v/>
      </c>
      <c r="AE231" s="62">
        <f>IF($V231&lt;&gt;"Sub","",N($X231)*IF(AND(ISNUMBER($G231),$G231&lt;=IF($S231=MesCiclo,InicioCiclo,$S231+MOD(2-WEEKDAY($S231),7))+13),1,MIN(1,MAX(0,IF(ISNUMBER(OFFSET($A$1,ROW()-1,9)),OFFSET($A$1,ROW()-1,9),IF(ISNUMBER(OFFSET($A$1,ROW()-1,8)),OFFSET($A$1,ROW()-1,8),0))))))</f>
        <v/>
      </c>
      <c r="AF231" s="62">
        <f>IF($V231&lt;&gt;"Sub","",N($X231)*IF(AND(ISNUMBER($G231),$G231&lt;=IF($S231=MesCiclo,InicioCiclo,$S231+MOD(2-WEEKDAY($S231),7))+20),1,MIN(1,MAX(0,IF(ISNUMBER(OFFSET($A$1,ROW()-1,10)),OFFSET($A$1,ROW()-1,10),IF(ISNUMBER(OFFSET($A$1,ROW()-1,9)),OFFSET($A$1,ROW()-1,9),IF(ISNUMBER(OFFSET($A$1,ROW()-1,8)),OFFSET($A$1,ROW()-1,8),0)))))))</f>
        <v/>
      </c>
      <c r="AG231" s="62">
        <f>IF($V231&lt;&gt;"Sub","",N($X231)*IF(AND(ISNUMBER($G231),$G231&lt;=IF($S231=MesCiclo,InicioCiclo,$S231+MOD(2-WEEKDAY($S231),7))+27),1,MIN(1,MAX(0,IF(ISNUMBER(OFFSET($A$1,ROW()-1,11)),OFFSET($A$1,ROW()-1,11),IF(ISNUMBER(OFFSET($A$1,ROW()-1,10)),OFFSET($A$1,ROW()-1,10),IF(ISNUMBER(OFFSET($A$1,ROW()-1,9)),OFFSET($A$1,ROW()-1,9),IF(ISNUMBER(OFFSET($A$1,ROW()-1,8)),OFFSET($A$1,ROW()-1,8),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f>IF(NOT(AND($D231&lt;&gt;"",$V231="Macro")),"",IFERROR(CHOOSE(MATCH($D231,ListaPuestos,0),MATCH("[Jefatura] "&amp;$C231,'Cronograma R. Operacional'!$C$5:$C$1000,0),MATCH("[Jefatura] "&amp;$C231,'Cronograma R. Normativo'!$C$5:$C$1000,0),MATCH("[Jefatura] "&amp;$C231,'Cronograma R. Financiero'!$C$5:$C$1000,0),MATCH("[Jefatura] "&amp;$C231,'Cronograma Asistente Técnico'!$C$5:$C$1000,0)),0))</f>
        <v/>
      </c>
      <c r="AN231" s="62">
        <f>IF(AND(AND($D231&lt;&gt;"",$V231="Macro"),$S231=MesCiclo),COUNTIFS($D$5:$D231,$D231,$S$5:$S231,MesCiclo,$V$5:$V231,"Macro"),"")</f>
        <v/>
      </c>
      <c r="AO231" s="62">
        <f>IF($AN231="","",$D231&amp;"|"&amp;$AN231)</f>
        <v/>
      </c>
      <c r="AP231" s="62">
        <f>IF(AND($D231&lt;&gt;"",$V231="Macro"),$D231&amp;"|"&amp;$C231,"")</f>
        <v/>
      </c>
      <c r="AQ231" s="62">
        <f>""</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t="n"/>
      <c r="F232" s="59" t="n"/>
      <c r="G232" s="59" t="n"/>
      <c r="H232" s="60" t="n"/>
      <c r="I232" s="60">
        <f>IF(N($W232)=0,"",IF(AND($S232=MesCiclo,1&gt;SemanaActual),"",MIN(1,SUMIFS(OFFSET($A$1,ROW(),29,1000-ROW(),1),OFFSET($A$1,ROW(),20,1000-ROW(),1),ROW(),OFFSET($A$1,ROW(),21,1000-ROW(),1),"Sub"))))</f>
        <v/>
      </c>
      <c r="J232" s="60">
        <f>IF(N($W232)=0,"",IF(AND($S232=MesCiclo,2&gt;SemanaActual),"",MIN(1,SUMIFS(OFFSET($A$1,ROW(),30,1000-ROW(),1),OFFSET($A$1,ROW(),20,1000-ROW(),1),ROW(),OFFSET($A$1,ROW(),21,1000-ROW(),1),"Sub"))))</f>
        <v/>
      </c>
      <c r="K232" s="60">
        <f>IF(N($W232)=0,"",IF(AND($S232=MesCiclo,3&gt;SemanaActual),"",MIN(1,SUMIFS(OFFSET($A$1,ROW(),31,1000-ROW(),1),OFFSET($A$1,ROW(),20,1000-ROW(),1),ROW(),OFFSET($A$1,ROW(),21,1000-ROW(),1),"Sub"))))</f>
        <v/>
      </c>
      <c r="L232" s="60">
        <f>IF(N($W232)=0,"",IF(AND($S232=MesCiclo,4&gt;SemanaActual),"",MIN(1,SUMIFS(OFFSET($A$1,ROW(),32,1000-ROW(),1),OFFSET($A$1,ROW(),20,1000-ROW(),1),ROW(),OFFSET($A$1,ROW(),21,1000-ROW(),1),"Sub"))))</f>
        <v/>
      </c>
      <c r="M232" s="61">
        <f>IF(NOT((COUNTA($B232:$D232)+COUNTA($G232:$H232)+COUNTA($Q232))&gt;0),"",IF(AND($D232&lt;&gt;"",$V232="Macro"),IF(N($AM232)&gt;0,N(CHOOSE(MATCH($D232,ListaPuestos,0),INDEX('Cronograma R. Operacional'!$M$5:$M$1000,$AM232),INDEX('Cronograma R. Normativo'!$M$5:$M$1000,$AM232),INDEX('Cronograma R. Financiero'!$M$5:$M$1000,$AM232),INDEX('Cronograma Asistente Técnico'!$M$5:$M$1000,$AM232))),0),IF(ISNUMBER($G232),1,IF(N($W232)&gt;0,MIN(1,SUMIFS($Y$5:$Y$1000,$U$5:$U$1000,ROW(),$V$5:$V$1000,"Sub")),$Y232))))</f>
        <v/>
      </c>
      <c r="N232" s="56">
        <f>IF(OR($M232="",$V232="Sub"),"",IF($M232&gt;=1,"Completado",IF($M232&gt;0,"En curso","Pendiente")))</f>
        <v/>
      </c>
      <c r="O232" s="56">
        <f>IF(NOT((COUNTA($B232:$D232)+COUNTA($G232:$H232)+COUNTA($Q232))&gt;0),"",IF(AND(AND($D232&lt;&gt;"",$V232="Macro"),N($AM232)&gt;0),CHOOSE(MATCH($D232,ListaPuestos,0),INDEX('Cronograma R. Operacional'!$O$5:$O$1000,$AM232),INDEX('Cronograma R. Normativo'!$O$5:$O$1000,$AM232),INDEX('Cronograma R. Financiero'!$O$5:$O$1000,$AM232),INDEX('Cronograma Asistente Técnico'!$O$5:$O$1000,$AM232))&amp;"",IF(ISNUMBER($G232),IF(AND(ISNUMBER($AS232),$G232&gt;$AS232),"Cumplida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f>IF(NOT((COUNTA($B232:$D232)+COUNTA($G232:$H232)+COUNTA($Q232))&gt;0),"",IF($D232="","Propia",IF($V232&lt;&gt;"Macro","Solo se delegan macroactividades",IF(N($AM232)&gt;0,"✔ Recibida por "&amp;$D232,"⚠ "&amp;$D232&amp;" aún no la agrega"))))</f>
        <v/>
      </c>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IF($V232&lt;&gt;"Sub","",N($X232)*IF(AND(ISNUMBER($G232),$G232&lt;=IF($S232=MesCiclo,InicioCiclo,$S232+MOD(2-WEEKDAY($S232),7))+6),1,MIN(1,MAX(0,IF(ISNUMBER(OFFSET($A$1,ROW()-1,8)),OFFSET($A$1,ROW()-1,8),0)))))</f>
        <v/>
      </c>
      <c r="AE232" s="62">
        <f>IF($V232&lt;&gt;"Sub","",N($X232)*IF(AND(ISNUMBER($G232),$G232&lt;=IF($S232=MesCiclo,InicioCiclo,$S232+MOD(2-WEEKDAY($S232),7))+13),1,MIN(1,MAX(0,IF(ISNUMBER(OFFSET($A$1,ROW()-1,9)),OFFSET($A$1,ROW()-1,9),IF(ISNUMBER(OFFSET($A$1,ROW()-1,8)),OFFSET($A$1,ROW()-1,8),0))))))</f>
        <v/>
      </c>
      <c r="AF232" s="62">
        <f>IF($V232&lt;&gt;"Sub","",N($X232)*IF(AND(ISNUMBER($G232),$G232&lt;=IF($S232=MesCiclo,InicioCiclo,$S232+MOD(2-WEEKDAY($S232),7))+20),1,MIN(1,MAX(0,IF(ISNUMBER(OFFSET($A$1,ROW()-1,10)),OFFSET($A$1,ROW()-1,10),IF(ISNUMBER(OFFSET($A$1,ROW()-1,9)),OFFSET($A$1,ROW()-1,9),IF(ISNUMBER(OFFSET($A$1,ROW()-1,8)),OFFSET($A$1,ROW()-1,8),0)))))))</f>
        <v/>
      </c>
      <c r="AG232" s="62">
        <f>IF($V232&lt;&gt;"Sub","",N($X232)*IF(AND(ISNUMBER($G232),$G232&lt;=IF($S232=MesCiclo,InicioCiclo,$S232+MOD(2-WEEKDAY($S232),7))+27),1,MIN(1,MAX(0,IF(ISNUMBER(OFFSET($A$1,ROW()-1,11)),OFFSET($A$1,ROW()-1,11),IF(ISNUMBER(OFFSET($A$1,ROW()-1,10)),OFFSET($A$1,ROW()-1,10),IF(ISNUMBER(OFFSET($A$1,ROW()-1,9)),OFFSET($A$1,ROW()-1,9),IF(ISNUMBER(OFFSET($A$1,ROW()-1,8)),OFFSET($A$1,ROW()-1,8),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f>IF(NOT(AND($D232&lt;&gt;"",$V232="Macro")),"",IFERROR(CHOOSE(MATCH($D232,ListaPuestos,0),MATCH("[Jefatura] "&amp;$C232,'Cronograma R. Operacional'!$C$5:$C$1000,0),MATCH("[Jefatura] "&amp;$C232,'Cronograma R. Normativo'!$C$5:$C$1000,0),MATCH("[Jefatura] "&amp;$C232,'Cronograma R. Financiero'!$C$5:$C$1000,0),MATCH("[Jefatura] "&amp;$C232,'Cronograma Asistente Técnico'!$C$5:$C$1000,0)),0))</f>
        <v/>
      </c>
      <c r="AN232" s="62">
        <f>IF(AND(AND($D232&lt;&gt;"",$V232="Macro"),$S232=MesCiclo),COUNTIFS($D$5:$D232,$D232,$S$5:$S232,MesCiclo,$V$5:$V232,"Macro"),"")</f>
        <v/>
      </c>
      <c r="AO232" s="62">
        <f>IF($AN232="","",$D232&amp;"|"&amp;$AN232)</f>
        <v/>
      </c>
      <c r="AP232" s="62">
        <f>IF(AND($D232&lt;&gt;"",$V232="Macro"),$D232&amp;"|"&amp;$C232,"")</f>
        <v/>
      </c>
      <c r="AQ232" s="62">
        <f>""</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t="n"/>
      <c r="F233" s="59" t="n"/>
      <c r="G233" s="59" t="n"/>
      <c r="H233" s="60" t="n"/>
      <c r="I233" s="60">
        <f>IF(N($W233)=0,"",IF(AND($S233=MesCiclo,1&gt;SemanaActual),"",MIN(1,SUMIFS(OFFSET($A$1,ROW(),29,1000-ROW(),1),OFFSET($A$1,ROW(),20,1000-ROW(),1),ROW(),OFFSET($A$1,ROW(),21,1000-ROW(),1),"Sub"))))</f>
        <v/>
      </c>
      <c r="J233" s="60">
        <f>IF(N($W233)=0,"",IF(AND($S233=MesCiclo,2&gt;SemanaActual),"",MIN(1,SUMIFS(OFFSET($A$1,ROW(),30,1000-ROW(),1),OFFSET($A$1,ROW(),20,1000-ROW(),1),ROW(),OFFSET($A$1,ROW(),21,1000-ROW(),1),"Sub"))))</f>
        <v/>
      </c>
      <c r="K233" s="60">
        <f>IF(N($W233)=0,"",IF(AND($S233=MesCiclo,3&gt;SemanaActual),"",MIN(1,SUMIFS(OFFSET($A$1,ROW(),31,1000-ROW(),1),OFFSET($A$1,ROW(),20,1000-ROW(),1),ROW(),OFFSET($A$1,ROW(),21,1000-ROW(),1),"Sub"))))</f>
        <v/>
      </c>
      <c r="L233" s="60">
        <f>IF(N($W233)=0,"",IF(AND($S233=MesCiclo,4&gt;SemanaActual),"",MIN(1,SUMIFS(OFFSET($A$1,ROW(),32,1000-ROW(),1),OFFSET($A$1,ROW(),20,1000-ROW(),1),ROW(),OFFSET($A$1,ROW(),21,1000-ROW(),1),"Sub"))))</f>
        <v/>
      </c>
      <c r="M233" s="61">
        <f>IF(NOT((COUNTA($B233:$D233)+COUNTA($G233:$H233)+COUNTA($Q233))&gt;0),"",IF(AND($D233&lt;&gt;"",$V233="Macro"),IF(N($AM233)&gt;0,N(CHOOSE(MATCH($D233,ListaPuestos,0),INDEX('Cronograma R. Operacional'!$M$5:$M$1000,$AM233),INDEX('Cronograma R. Normativo'!$M$5:$M$1000,$AM233),INDEX('Cronograma R. Financiero'!$M$5:$M$1000,$AM233),INDEX('Cronograma Asistente Técnico'!$M$5:$M$1000,$AM233))),0),IF(ISNUMBER($G233),1,IF(N($W233)&gt;0,MIN(1,SUMIFS($Y$5:$Y$1000,$U$5:$U$1000,ROW(),$V$5:$V$1000,"Sub")),$Y233))))</f>
        <v/>
      </c>
      <c r="N233" s="56">
        <f>IF(OR($M233="",$V233="Sub"),"",IF($M233&gt;=1,"Completado",IF($M233&gt;0,"En curso","Pendiente")))</f>
        <v/>
      </c>
      <c r="O233" s="56">
        <f>IF(NOT((COUNTA($B233:$D233)+COUNTA($G233:$H233)+COUNTA($Q233))&gt;0),"",IF(AND(AND($D233&lt;&gt;"",$V233="Macro"),N($AM233)&gt;0),CHOOSE(MATCH($D233,ListaPuestos,0),INDEX('Cronograma R. Operacional'!$O$5:$O$1000,$AM233),INDEX('Cronograma R. Normativo'!$O$5:$O$1000,$AM233),INDEX('Cronograma R. Financiero'!$O$5:$O$1000,$AM233),INDEX('Cronograma Asistente Técnico'!$O$5:$O$1000,$AM233))&amp;"",IF(ISNUMBER($G233),IF(AND(ISNUMBER($AS233),$G233&gt;$AS233),"Cumplida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f>IF(NOT((COUNTA($B233:$D233)+COUNTA($G233:$H233)+COUNTA($Q233))&gt;0),"",IF($D233="","Propia",IF($V233&lt;&gt;"Macro","Solo se delegan macroactividades",IF(N($AM233)&gt;0,"✔ Recibida por "&amp;$D233,"⚠ "&amp;$D233&amp;" aún no la agrega"))))</f>
        <v/>
      </c>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IF($V233&lt;&gt;"Sub","",N($X233)*IF(AND(ISNUMBER($G233),$G233&lt;=IF($S233=MesCiclo,InicioCiclo,$S233+MOD(2-WEEKDAY($S233),7))+6),1,MIN(1,MAX(0,IF(ISNUMBER(OFFSET($A$1,ROW()-1,8)),OFFSET($A$1,ROW()-1,8),0)))))</f>
        <v/>
      </c>
      <c r="AE233" s="62">
        <f>IF($V233&lt;&gt;"Sub","",N($X233)*IF(AND(ISNUMBER($G233),$G233&lt;=IF($S233=MesCiclo,InicioCiclo,$S233+MOD(2-WEEKDAY($S233),7))+13),1,MIN(1,MAX(0,IF(ISNUMBER(OFFSET($A$1,ROW()-1,9)),OFFSET($A$1,ROW()-1,9),IF(ISNUMBER(OFFSET($A$1,ROW()-1,8)),OFFSET($A$1,ROW()-1,8),0))))))</f>
        <v/>
      </c>
      <c r="AF233" s="62">
        <f>IF($V233&lt;&gt;"Sub","",N($X233)*IF(AND(ISNUMBER($G233),$G233&lt;=IF($S233=MesCiclo,InicioCiclo,$S233+MOD(2-WEEKDAY($S233),7))+20),1,MIN(1,MAX(0,IF(ISNUMBER(OFFSET($A$1,ROW()-1,10)),OFFSET($A$1,ROW()-1,10),IF(ISNUMBER(OFFSET($A$1,ROW()-1,9)),OFFSET($A$1,ROW()-1,9),IF(ISNUMBER(OFFSET($A$1,ROW()-1,8)),OFFSET($A$1,ROW()-1,8),0)))))))</f>
        <v/>
      </c>
      <c r="AG233" s="62">
        <f>IF($V233&lt;&gt;"Sub","",N($X233)*IF(AND(ISNUMBER($G233),$G233&lt;=IF($S233=MesCiclo,InicioCiclo,$S233+MOD(2-WEEKDAY($S233),7))+27),1,MIN(1,MAX(0,IF(ISNUMBER(OFFSET($A$1,ROW()-1,11)),OFFSET($A$1,ROW()-1,11),IF(ISNUMBER(OFFSET($A$1,ROW()-1,10)),OFFSET($A$1,ROW()-1,10),IF(ISNUMBER(OFFSET($A$1,ROW()-1,9)),OFFSET($A$1,ROW()-1,9),IF(ISNUMBER(OFFSET($A$1,ROW()-1,8)),OFFSET($A$1,ROW()-1,8),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f>IF(NOT(AND($D233&lt;&gt;"",$V233="Macro")),"",IFERROR(CHOOSE(MATCH($D233,ListaPuestos,0),MATCH("[Jefatura] "&amp;$C233,'Cronograma R. Operacional'!$C$5:$C$1000,0),MATCH("[Jefatura] "&amp;$C233,'Cronograma R. Normativo'!$C$5:$C$1000,0),MATCH("[Jefatura] "&amp;$C233,'Cronograma R. Financiero'!$C$5:$C$1000,0),MATCH("[Jefatura] "&amp;$C233,'Cronograma Asistente Técnico'!$C$5:$C$1000,0)),0))</f>
        <v/>
      </c>
      <c r="AN233" s="62">
        <f>IF(AND(AND($D233&lt;&gt;"",$V233="Macro"),$S233=MesCiclo),COUNTIFS($D$5:$D233,$D233,$S$5:$S233,MesCiclo,$V$5:$V233,"Macro"),"")</f>
        <v/>
      </c>
      <c r="AO233" s="62">
        <f>IF($AN233="","",$D233&amp;"|"&amp;$AN233)</f>
        <v/>
      </c>
      <c r="AP233" s="62">
        <f>IF(AND($D233&lt;&gt;"",$V233="Macro"),$D233&amp;"|"&amp;$C233,"")</f>
        <v/>
      </c>
      <c r="AQ233" s="62">
        <f>""</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t="n"/>
      <c r="F234" s="59" t="n"/>
      <c r="G234" s="59" t="n"/>
      <c r="H234" s="60" t="n"/>
      <c r="I234" s="60">
        <f>IF(N($W234)=0,"",IF(AND($S234=MesCiclo,1&gt;SemanaActual),"",MIN(1,SUMIFS(OFFSET($A$1,ROW(),29,1000-ROW(),1),OFFSET($A$1,ROW(),20,1000-ROW(),1),ROW(),OFFSET($A$1,ROW(),21,1000-ROW(),1),"Sub"))))</f>
        <v/>
      </c>
      <c r="J234" s="60">
        <f>IF(N($W234)=0,"",IF(AND($S234=MesCiclo,2&gt;SemanaActual),"",MIN(1,SUMIFS(OFFSET($A$1,ROW(),30,1000-ROW(),1),OFFSET($A$1,ROW(),20,1000-ROW(),1),ROW(),OFFSET($A$1,ROW(),21,1000-ROW(),1),"Sub"))))</f>
        <v/>
      </c>
      <c r="K234" s="60">
        <f>IF(N($W234)=0,"",IF(AND($S234=MesCiclo,3&gt;SemanaActual),"",MIN(1,SUMIFS(OFFSET($A$1,ROW(),31,1000-ROW(),1),OFFSET($A$1,ROW(),20,1000-ROW(),1),ROW(),OFFSET($A$1,ROW(),21,1000-ROW(),1),"Sub"))))</f>
        <v/>
      </c>
      <c r="L234" s="60">
        <f>IF(N($W234)=0,"",IF(AND($S234=MesCiclo,4&gt;SemanaActual),"",MIN(1,SUMIFS(OFFSET($A$1,ROW(),32,1000-ROW(),1),OFFSET($A$1,ROW(),20,1000-ROW(),1),ROW(),OFFSET($A$1,ROW(),21,1000-ROW(),1),"Sub"))))</f>
        <v/>
      </c>
      <c r="M234" s="61">
        <f>IF(NOT((COUNTA($B234:$D234)+COUNTA($G234:$H234)+COUNTA($Q234))&gt;0),"",IF(AND($D234&lt;&gt;"",$V234="Macro"),IF(N($AM234)&gt;0,N(CHOOSE(MATCH($D234,ListaPuestos,0),INDEX('Cronograma R. Operacional'!$M$5:$M$1000,$AM234),INDEX('Cronograma R. Normativo'!$M$5:$M$1000,$AM234),INDEX('Cronograma R. Financiero'!$M$5:$M$1000,$AM234),INDEX('Cronograma Asistente Técnico'!$M$5:$M$1000,$AM234))),0),IF(ISNUMBER($G234),1,IF(N($W234)&gt;0,MIN(1,SUMIFS($Y$5:$Y$1000,$U$5:$U$1000,ROW(),$V$5:$V$1000,"Sub")),$Y234))))</f>
        <v/>
      </c>
      <c r="N234" s="56">
        <f>IF(OR($M234="",$V234="Sub"),"",IF($M234&gt;=1,"Completado",IF($M234&gt;0,"En curso","Pendiente")))</f>
        <v/>
      </c>
      <c r="O234" s="56">
        <f>IF(NOT((COUNTA($B234:$D234)+COUNTA($G234:$H234)+COUNTA($Q234))&gt;0),"",IF(AND(AND($D234&lt;&gt;"",$V234="Macro"),N($AM234)&gt;0),CHOOSE(MATCH($D234,ListaPuestos,0),INDEX('Cronograma R. Operacional'!$O$5:$O$1000,$AM234),INDEX('Cronograma R. Normativo'!$O$5:$O$1000,$AM234),INDEX('Cronograma R. Financiero'!$O$5:$O$1000,$AM234),INDEX('Cronograma Asistente Técnico'!$O$5:$O$1000,$AM234))&amp;"",IF(ISNUMBER($G234),IF(AND(ISNUMBER($AS234),$G234&gt;$AS234),"Cumplida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f>IF(NOT((COUNTA($B234:$D234)+COUNTA($G234:$H234)+COUNTA($Q234))&gt;0),"",IF($D234="","Propia",IF($V234&lt;&gt;"Macro","Solo se delegan macroactividades",IF(N($AM234)&gt;0,"✔ Recibida por "&amp;$D234,"⚠ "&amp;$D234&amp;" aún no la agrega"))))</f>
        <v/>
      </c>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IF($V234&lt;&gt;"Sub","",N($X234)*IF(AND(ISNUMBER($G234),$G234&lt;=IF($S234=MesCiclo,InicioCiclo,$S234+MOD(2-WEEKDAY($S234),7))+6),1,MIN(1,MAX(0,IF(ISNUMBER(OFFSET($A$1,ROW()-1,8)),OFFSET($A$1,ROW()-1,8),0)))))</f>
        <v/>
      </c>
      <c r="AE234" s="62">
        <f>IF($V234&lt;&gt;"Sub","",N($X234)*IF(AND(ISNUMBER($G234),$G234&lt;=IF($S234=MesCiclo,InicioCiclo,$S234+MOD(2-WEEKDAY($S234),7))+13),1,MIN(1,MAX(0,IF(ISNUMBER(OFFSET($A$1,ROW()-1,9)),OFFSET($A$1,ROW()-1,9),IF(ISNUMBER(OFFSET($A$1,ROW()-1,8)),OFFSET($A$1,ROW()-1,8),0))))))</f>
        <v/>
      </c>
      <c r="AF234" s="62">
        <f>IF($V234&lt;&gt;"Sub","",N($X234)*IF(AND(ISNUMBER($G234),$G234&lt;=IF($S234=MesCiclo,InicioCiclo,$S234+MOD(2-WEEKDAY($S234),7))+20),1,MIN(1,MAX(0,IF(ISNUMBER(OFFSET($A$1,ROW()-1,10)),OFFSET($A$1,ROW()-1,10),IF(ISNUMBER(OFFSET($A$1,ROW()-1,9)),OFFSET($A$1,ROW()-1,9),IF(ISNUMBER(OFFSET($A$1,ROW()-1,8)),OFFSET($A$1,ROW()-1,8),0)))))))</f>
        <v/>
      </c>
      <c r="AG234" s="62">
        <f>IF($V234&lt;&gt;"Sub","",N($X234)*IF(AND(ISNUMBER($G234),$G234&lt;=IF($S234=MesCiclo,InicioCiclo,$S234+MOD(2-WEEKDAY($S234),7))+27),1,MIN(1,MAX(0,IF(ISNUMBER(OFFSET($A$1,ROW()-1,11)),OFFSET($A$1,ROW()-1,11),IF(ISNUMBER(OFFSET($A$1,ROW()-1,10)),OFFSET($A$1,ROW()-1,10),IF(ISNUMBER(OFFSET($A$1,ROW()-1,9)),OFFSET($A$1,ROW()-1,9),IF(ISNUMBER(OFFSET($A$1,ROW()-1,8)),OFFSET($A$1,ROW()-1,8),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f>IF(NOT(AND($D234&lt;&gt;"",$V234="Macro")),"",IFERROR(CHOOSE(MATCH($D234,ListaPuestos,0),MATCH("[Jefatura] "&amp;$C234,'Cronograma R. Operacional'!$C$5:$C$1000,0),MATCH("[Jefatura] "&amp;$C234,'Cronograma R. Normativo'!$C$5:$C$1000,0),MATCH("[Jefatura] "&amp;$C234,'Cronograma R. Financiero'!$C$5:$C$1000,0),MATCH("[Jefatura] "&amp;$C234,'Cronograma Asistente Técnico'!$C$5:$C$1000,0)),0))</f>
        <v/>
      </c>
      <c r="AN234" s="62">
        <f>IF(AND(AND($D234&lt;&gt;"",$V234="Macro"),$S234=MesCiclo),COUNTIFS($D$5:$D234,$D234,$S$5:$S234,MesCiclo,$V$5:$V234,"Macro"),"")</f>
        <v/>
      </c>
      <c r="AO234" s="62">
        <f>IF($AN234="","",$D234&amp;"|"&amp;$AN234)</f>
        <v/>
      </c>
      <c r="AP234" s="62">
        <f>IF(AND($D234&lt;&gt;"",$V234="Macro"),$D234&amp;"|"&amp;$C234,"")</f>
        <v/>
      </c>
      <c r="AQ234" s="62">
        <f>""</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t="n"/>
      <c r="F235" s="59" t="n"/>
      <c r="G235" s="59" t="n"/>
      <c r="H235" s="60" t="n"/>
      <c r="I235" s="60">
        <f>IF(N($W235)=0,"",IF(AND($S235=MesCiclo,1&gt;SemanaActual),"",MIN(1,SUMIFS(OFFSET($A$1,ROW(),29,1000-ROW(),1),OFFSET($A$1,ROW(),20,1000-ROW(),1),ROW(),OFFSET($A$1,ROW(),21,1000-ROW(),1),"Sub"))))</f>
        <v/>
      </c>
      <c r="J235" s="60">
        <f>IF(N($W235)=0,"",IF(AND($S235=MesCiclo,2&gt;SemanaActual),"",MIN(1,SUMIFS(OFFSET($A$1,ROW(),30,1000-ROW(),1),OFFSET($A$1,ROW(),20,1000-ROW(),1),ROW(),OFFSET($A$1,ROW(),21,1000-ROW(),1),"Sub"))))</f>
        <v/>
      </c>
      <c r="K235" s="60">
        <f>IF(N($W235)=0,"",IF(AND($S235=MesCiclo,3&gt;SemanaActual),"",MIN(1,SUMIFS(OFFSET($A$1,ROW(),31,1000-ROW(),1),OFFSET($A$1,ROW(),20,1000-ROW(),1),ROW(),OFFSET($A$1,ROW(),21,1000-ROW(),1),"Sub"))))</f>
        <v/>
      </c>
      <c r="L235" s="60">
        <f>IF(N($W235)=0,"",IF(AND($S235=MesCiclo,4&gt;SemanaActual),"",MIN(1,SUMIFS(OFFSET($A$1,ROW(),32,1000-ROW(),1),OFFSET($A$1,ROW(),20,1000-ROW(),1),ROW(),OFFSET($A$1,ROW(),21,1000-ROW(),1),"Sub"))))</f>
        <v/>
      </c>
      <c r="M235" s="61">
        <f>IF(NOT((COUNTA($B235:$D235)+COUNTA($G235:$H235)+COUNTA($Q235))&gt;0),"",IF(AND($D235&lt;&gt;"",$V235="Macro"),IF(N($AM235)&gt;0,N(CHOOSE(MATCH($D235,ListaPuestos,0),INDEX('Cronograma R. Operacional'!$M$5:$M$1000,$AM235),INDEX('Cronograma R. Normativo'!$M$5:$M$1000,$AM235),INDEX('Cronograma R. Financiero'!$M$5:$M$1000,$AM235),INDEX('Cronograma Asistente Técnico'!$M$5:$M$1000,$AM235))),0),IF(ISNUMBER($G235),1,IF(N($W235)&gt;0,MIN(1,SUMIFS($Y$5:$Y$1000,$U$5:$U$1000,ROW(),$V$5:$V$1000,"Sub")),$Y235))))</f>
        <v/>
      </c>
      <c r="N235" s="56">
        <f>IF(OR($M235="",$V235="Sub"),"",IF($M235&gt;=1,"Completado",IF($M235&gt;0,"En curso","Pendiente")))</f>
        <v/>
      </c>
      <c r="O235" s="56">
        <f>IF(NOT((COUNTA($B235:$D235)+COUNTA($G235:$H235)+COUNTA($Q235))&gt;0),"",IF(AND(AND($D235&lt;&gt;"",$V235="Macro"),N($AM235)&gt;0),CHOOSE(MATCH($D235,ListaPuestos,0),INDEX('Cronograma R. Operacional'!$O$5:$O$1000,$AM235),INDEX('Cronograma R. Normativo'!$O$5:$O$1000,$AM235),INDEX('Cronograma R. Financiero'!$O$5:$O$1000,$AM235),INDEX('Cronograma Asistente Técnico'!$O$5:$O$1000,$AM235))&amp;"",IF(ISNUMBER($G235),IF(AND(ISNUMBER($AS235),$G235&gt;$AS235),"Cumplida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f>IF(NOT((COUNTA($B235:$D235)+COUNTA($G235:$H235)+COUNTA($Q235))&gt;0),"",IF($D235="","Propia",IF($V235&lt;&gt;"Macro","Solo se delegan macroactividades",IF(N($AM235)&gt;0,"✔ Recibida por "&amp;$D235,"⚠ "&amp;$D235&amp;" aún no la agrega"))))</f>
        <v/>
      </c>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IF($V235&lt;&gt;"Sub","",N($X235)*IF(AND(ISNUMBER($G235),$G235&lt;=IF($S235=MesCiclo,InicioCiclo,$S235+MOD(2-WEEKDAY($S235),7))+6),1,MIN(1,MAX(0,IF(ISNUMBER(OFFSET($A$1,ROW()-1,8)),OFFSET($A$1,ROW()-1,8),0)))))</f>
        <v/>
      </c>
      <c r="AE235" s="62">
        <f>IF($V235&lt;&gt;"Sub","",N($X235)*IF(AND(ISNUMBER($G235),$G235&lt;=IF($S235=MesCiclo,InicioCiclo,$S235+MOD(2-WEEKDAY($S235),7))+13),1,MIN(1,MAX(0,IF(ISNUMBER(OFFSET($A$1,ROW()-1,9)),OFFSET($A$1,ROW()-1,9),IF(ISNUMBER(OFFSET($A$1,ROW()-1,8)),OFFSET($A$1,ROW()-1,8),0))))))</f>
        <v/>
      </c>
      <c r="AF235" s="62">
        <f>IF($V235&lt;&gt;"Sub","",N($X235)*IF(AND(ISNUMBER($G235),$G235&lt;=IF($S235=MesCiclo,InicioCiclo,$S235+MOD(2-WEEKDAY($S235),7))+20),1,MIN(1,MAX(0,IF(ISNUMBER(OFFSET($A$1,ROW()-1,10)),OFFSET($A$1,ROW()-1,10),IF(ISNUMBER(OFFSET($A$1,ROW()-1,9)),OFFSET($A$1,ROW()-1,9),IF(ISNUMBER(OFFSET($A$1,ROW()-1,8)),OFFSET($A$1,ROW()-1,8),0)))))))</f>
        <v/>
      </c>
      <c r="AG235" s="62">
        <f>IF($V235&lt;&gt;"Sub","",N($X235)*IF(AND(ISNUMBER($G235),$G235&lt;=IF($S235=MesCiclo,InicioCiclo,$S235+MOD(2-WEEKDAY($S235),7))+27),1,MIN(1,MAX(0,IF(ISNUMBER(OFFSET($A$1,ROW()-1,11)),OFFSET($A$1,ROW()-1,11),IF(ISNUMBER(OFFSET($A$1,ROW()-1,10)),OFFSET($A$1,ROW()-1,10),IF(ISNUMBER(OFFSET($A$1,ROW()-1,9)),OFFSET($A$1,ROW()-1,9),IF(ISNUMBER(OFFSET($A$1,ROW()-1,8)),OFFSET($A$1,ROW()-1,8),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f>IF(NOT(AND($D235&lt;&gt;"",$V235="Macro")),"",IFERROR(CHOOSE(MATCH($D235,ListaPuestos,0),MATCH("[Jefatura] "&amp;$C235,'Cronograma R. Operacional'!$C$5:$C$1000,0),MATCH("[Jefatura] "&amp;$C235,'Cronograma R. Normativo'!$C$5:$C$1000,0),MATCH("[Jefatura] "&amp;$C235,'Cronograma R. Financiero'!$C$5:$C$1000,0),MATCH("[Jefatura] "&amp;$C235,'Cronograma Asistente Técnico'!$C$5:$C$1000,0)),0))</f>
        <v/>
      </c>
      <c r="AN235" s="62">
        <f>IF(AND(AND($D235&lt;&gt;"",$V235="Macro"),$S235=MesCiclo),COUNTIFS($D$5:$D235,$D235,$S$5:$S235,MesCiclo,$V$5:$V235,"Macro"),"")</f>
        <v/>
      </c>
      <c r="AO235" s="62">
        <f>IF($AN235="","",$D235&amp;"|"&amp;$AN235)</f>
        <v/>
      </c>
      <c r="AP235" s="62">
        <f>IF(AND($D235&lt;&gt;"",$V235="Macro"),$D235&amp;"|"&amp;$C235,"")</f>
        <v/>
      </c>
      <c r="AQ235" s="62">
        <f>""</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t="n"/>
      <c r="F236" s="59" t="n"/>
      <c r="G236" s="59" t="n"/>
      <c r="H236" s="60" t="n"/>
      <c r="I236" s="60">
        <f>IF(N($W236)=0,"",IF(AND($S236=MesCiclo,1&gt;SemanaActual),"",MIN(1,SUMIFS(OFFSET($A$1,ROW(),29,1000-ROW(),1),OFFSET($A$1,ROW(),20,1000-ROW(),1),ROW(),OFFSET($A$1,ROW(),21,1000-ROW(),1),"Sub"))))</f>
        <v/>
      </c>
      <c r="J236" s="60">
        <f>IF(N($W236)=0,"",IF(AND($S236=MesCiclo,2&gt;SemanaActual),"",MIN(1,SUMIFS(OFFSET($A$1,ROW(),30,1000-ROW(),1),OFFSET($A$1,ROW(),20,1000-ROW(),1),ROW(),OFFSET($A$1,ROW(),21,1000-ROW(),1),"Sub"))))</f>
        <v/>
      </c>
      <c r="K236" s="60">
        <f>IF(N($W236)=0,"",IF(AND($S236=MesCiclo,3&gt;SemanaActual),"",MIN(1,SUMIFS(OFFSET($A$1,ROW(),31,1000-ROW(),1),OFFSET($A$1,ROW(),20,1000-ROW(),1),ROW(),OFFSET($A$1,ROW(),21,1000-ROW(),1),"Sub"))))</f>
        <v/>
      </c>
      <c r="L236" s="60">
        <f>IF(N($W236)=0,"",IF(AND($S236=MesCiclo,4&gt;SemanaActual),"",MIN(1,SUMIFS(OFFSET($A$1,ROW(),32,1000-ROW(),1),OFFSET($A$1,ROW(),20,1000-ROW(),1),ROW(),OFFSET($A$1,ROW(),21,1000-ROW(),1),"Sub"))))</f>
        <v/>
      </c>
      <c r="M236" s="61">
        <f>IF(NOT((COUNTA($B236:$D236)+COUNTA($G236:$H236)+COUNTA($Q236))&gt;0),"",IF(AND($D236&lt;&gt;"",$V236="Macro"),IF(N($AM236)&gt;0,N(CHOOSE(MATCH($D236,ListaPuestos,0),INDEX('Cronograma R. Operacional'!$M$5:$M$1000,$AM236),INDEX('Cronograma R. Normativo'!$M$5:$M$1000,$AM236),INDEX('Cronograma R. Financiero'!$M$5:$M$1000,$AM236),INDEX('Cronograma Asistente Técnico'!$M$5:$M$1000,$AM236))),0),IF(ISNUMBER($G236),1,IF(N($W236)&gt;0,MIN(1,SUMIFS($Y$5:$Y$1000,$U$5:$U$1000,ROW(),$V$5:$V$1000,"Sub")),$Y236))))</f>
        <v/>
      </c>
      <c r="N236" s="56">
        <f>IF(OR($M236="",$V236="Sub"),"",IF($M236&gt;=1,"Completado",IF($M236&gt;0,"En curso","Pendiente")))</f>
        <v/>
      </c>
      <c r="O236" s="56">
        <f>IF(NOT((COUNTA($B236:$D236)+COUNTA($G236:$H236)+COUNTA($Q236))&gt;0),"",IF(AND(AND($D236&lt;&gt;"",$V236="Macro"),N($AM236)&gt;0),CHOOSE(MATCH($D236,ListaPuestos,0),INDEX('Cronograma R. Operacional'!$O$5:$O$1000,$AM236),INDEX('Cronograma R. Normativo'!$O$5:$O$1000,$AM236),INDEX('Cronograma R. Financiero'!$O$5:$O$1000,$AM236),INDEX('Cronograma Asistente Técnico'!$O$5:$O$1000,$AM236))&amp;"",IF(ISNUMBER($G236),IF(AND(ISNUMBER($AS236),$G236&gt;$AS236),"Cumplida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f>IF(NOT((COUNTA($B236:$D236)+COUNTA($G236:$H236)+COUNTA($Q236))&gt;0),"",IF($D236="","Propia",IF($V236&lt;&gt;"Macro","Solo se delegan macroactividades",IF(N($AM236)&gt;0,"✔ Recibida por "&amp;$D236,"⚠ "&amp;$D236&amp;" aún no la agrega"))))</f>
        <v/>
      </c>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IF($V236&lt;&gt;"Sub","",N($X236)*IF(AND(ISNUMBER($G236),$G236&lt;=IF($S236=MesCiclo,InicioCiclo,$S236+MOD(2-WEEKDAY($S236),7))+6),1,MIN(1,MAX(0,IF(ISNUMBER(OFFSET($A$1,ROW()-1,8)),OFFSET($A$1,ROW()-1,8),0)))))</f>
        <v/>
      </c>
      <c r="AE236" s="62">
        <f>IF($V236&lt;&gt;"Sub","",N($X236)*IF(AND(ISNUMBER($G236),$G236&lt;=IF($S236=MesCiclo,InicioCiclo,$S236+MOD(2-WEEKDAY($S236),7))+13),1,MIN(1,MAX(0,IF(ISNUMBER(OFFSET($A$1,ROW()-1,9)),OFFSET($A$1,ROW()-1,9),IF(ISNUMBER(OFFSET($A$1,ROW()-1,8)),OFFSET($A$1,ROW()-1,8),0))))))</f>
        <v/>
      </c>
      <c r="AF236" s="62">
        <f>IF($V236&lt;&gt;"Sub","",N($X236)*IF(AND(ISNUMBER($G236),$G236&lt;=IF($S236=MesCiclo,InicioCiclo,$S236+MOD(2-WEEKDAY($S236),7))+20),1,MIN(1,MAX(0,IF(ISNUMBER(OFFSET($A$1,ROW()-1,10)),OFFSET($A$1,ROW()-1,10),IF(ISNUMBER(OFFSET($A$1,ROW()-1,9)),OFFSET($A$1,ROW()-1,9),IF(ISNUMBER(OFFSET($A$1,ROW()-1,8)),OFFSET($A$1,ROW()-1,8),0)))))))</f>
        <v/>
      </c>
      <c r="AG236" s="62">
        <f>IF($V236&lt;&gt;"Sub","",N($X236)*IF(AND(ISNUMBER($G236),$G236&lt;=IF($S236=MesCiclo,InicioCiclo,$S236+MOD(2-WEEKDAY($S236),7))+27),1,MIN(1,MAX(0,IF(ISNUMBER(OFFSET($A$1,ROW()-1,11)),OFFSET($A$1,ROW()-1,11),IF(ISNUMBER(OFFSET($A$1,ROW()-1,10)),OFFSET($A$1,ROW()-1,10),IF(ISNUMBER(OFFSET($A$1,ROW()-1,9)),OFFSET($A$1,ROW()-1,9),IF(ISNUMBER(OFFSET($A$1,ROW()-1,8)),OFFSET($A$1,ROW()-1,8),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f>IF(NOT(AND($D236&lt;&gt;"",$V236="Macro")),"",IFERROR(CHOOSE(MATCH($D236,ListaPuestos,0),MATCH("[Jefatura] "&amp;$C236,'Cronograma R. Operacional'!$C$5:$C$1000,0),MATCH("[Jefatura] "&amp;$C236,'Cronograma R. Normativo'!$C$5:$C$1000,0),MATCH("[Jefatura] "&amp;$C236,'Cronograma R. Financiero'!$C$5:$C$1000,0),MATCH("[Jefatura] "&amp;$C236,'Cronograma Asistente Técnico'!$C$5:$C$1000,0)),0))</f>
        <v/>
      </c>
      <c r="AN236" s="62">
        <f>IF(AND(AND($D236&lt;&gt;"",$V236="Macro"),$S236=MesCiclo),COUNTIFS($D$5:$D236,$D236,$S$5:$S236,MesCiclo,$V$5:$V236,"Macro"),"")</f>
        <v/>
      </c>
      <c r="AO236" s="62">
        <f>IF($AN236="","",$D236&amp;"|"&amp;$AN236)</f>
        <v/>
      </c>
      <c r="AP236" s="62">
        <f>IF(AND($D236&lt;&gt;"",$V236="Macro"),$D236&amp;"|"&amp;$C236,"")</f>
        <v/>
      </c>
      <c r="AQ236" s="62">
        <f>""</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t="n"/>
      <c r="F237" s="59" t="n"/>
      <c r="G237" s="59" t="n"/>
      <c r="H237" s="60" t="n"/>
      <c r="I237" s="60">
        <f>IF(N($W237)=0,"",IF(AND($S237=MesCiclo,1&gt;SemanaActual),"",MIN(1,SUMIFS(OFFSET($A$1,ROW(),29,1000-ROW(),1),OFFSET($A$1,ROW(),20,1000-ROW(),1),ROW(),OFFSET($A$1,ROW(),21,1000-ROW(),1),"Sub"))))</f>
        <v/>
      </c>
      <c r="J237" s="60">
        <f>IF(N($W237)=0,"",IF(AND($S237=MesCiclo,2&gt;SemanaActual),"",MIN(1,SUMIFS(OFFSET($A$1,ROW(),30,1000-ROW(),1),OFFSET($A$1,ROW(),20,1000-ROW(),1),ROW(),OFFSET($A$1,ROW(),21,1000-ROW(),1),"Sub"))))</f>
        <v/>
      </c>
      <c r="K237" s="60">
        <f>IF(N($W237)=0,"",IF(AND($S237=MesCiclo,3&gt;SemanaActual),"",MIN(1,SUMIFS(OFFSET($A$1,ROW(),31,1000-ROW(),1),OFFSET($A$1,ROW(),20,1000-ROW(),1),ROW(),OFFSET($A$1,ROW(),21,1000-ROW(),1),"Sub"))))</f>
        <v/>
      </c>
      <c r="L237" s="60">
        <f>IF(N($W237)=0,"",IF(AND($S237=MesCiclo,4&gt;SemanaActual),"",MIN(1,SUMIFS(OFFSET($A$1,ROW(),32,1000-ROW(),1),OFFSET($A$1,ROW(),20,1000-ROW(),1),ROW(),OFFSET($A$1,ROW(),21,1000-ROW(),1),"Sub"))))</f>
        <v/>
      </c>
      <c r="M237" s="61">
        <f>IF(NOT((COUNTA($B237:$D237)+COUNTA($G237:$H237)+COUNTA($Q237))&gt;0),"",IF(AND($D237&lt;&gt;"",$V237="Macro"),IF(N($AM237)&gt;0,N(CHOOSE(MATCH($D237,ListaPuestos,0),INDEX('Cronograma R. Operacional'!$M$5:$M$1000,$AM237),INDEX('Cronograma R. Normativo'!$M$5:$M$1000,$AM237),INDEX('Cronograma R. Financiero'!$M$5:$M$1000,$AM237),INDEX('Cronograma Asistente Técnico'!$M$5:$M$1000,$AM237))),0),IF(ISNUMBER($G237),1,IF(N($W237)&gt;0,MIN(1,SUMIFS($Y$5:$Y$1000,$U$5:$U$1000,ROW(),$V$5:$V$1000,"Sub")),$Y237))))</f>
        <v/>
      </c>
      <c r="N237" s="56">
        <f>IF(OR($M237="",$V237="Sub"),"",IF($M237&gt;=1,"Completado",IF($M237&gt;0,"En curso","Pendiente")))</f>
        <v/>
      </c>
      <c r="O237" s="56">
        <f>IF(NOT((COUNTA($B237:$D237)+COUNTA($G237:$H237)+COUNTA($Q237))&gt;0),"",IF(AND(AND($D237&lt;&gt;"",$V237="Macro"),N($AM237)&gt;0),CHOOSE(MATCH($D237,ListaPuestos,0),INDEX('Cronograma R. Operacional'!$O$5:$O$1000,$AM237),INDEX('Cronograma R. Normativo'!$O$5:$O$1000,$AM237),INDEX('Cronograma R. Financiero'!$O$5:$O$1000,$AM237),INDEX('Cronograma Asistente Técnico'!$O$5:$O$1000,$AM237))&amp;"",IF(ISNUMBER($G237),IF(AND(ISNUMBER($AS237),$G237&gt;$AS237),"Cumplida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f>IF(NOT((COUNTA($B237:$D237)+COUNTA($G237:$H237)+COUNTA($Q237))&gt;0),"",IF($D237="","Propia",IF($V237&lt;&gt;"Macro","Solo se delegan macroactividades",IF(N($AM237)&gt;0,"✔ Recibida por "&amp;$D237,"⚠ "&amp;$D237&amp;" aún no la agrega"))))</f>
        <v/>
      </c>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IF($V237&lt;&gt;"Sub","",N($X237)*IF(AND(ISNUMBER($G237),$G237&lt;=IF($S237=MesCiclo,InicioCiclo,$S237+MOD(2-WEEKDAY($S237),7))+6),1,MIN(1,MAX(0,IF(ISNUMBER(OFFSET($A$1,ROW()-1,8)),OFFSET($A$1,ROW()-1,8),0)))))</f>
        <v/>
      </c>
      <c r="AE237" s="62">
        <f>IF($V237&lt;&gt;"Sub","",N($X237)*IF(AND(ISNUMBER($G237),$G237&lt;=IF($S237=MesCiclo,InicioCiclo,$S237+MOD(2-WEEKDAY($S237),7))+13),1,MIN(1,MAX(0,IF(ISNUMBER(OFFSET($A$1,ROW()-1,9)),OFFSET($A$1,ROW()-1,9),IF(ISNUMBER(OFFSET($A$1,ROW()-1,8)),OFFSET($A$1,ROW()-1,8),0))))))</f>
        <v/>
      </c>
      <c r="AF237" s="62">
        <f>IF($V237&lt;&gt;"Sub","",N($X237)*IF(AND(ISNUMBER($G237),$G237&lt;=IF($S237=MesCiclo,InicioCiclo,$S237+MOD(2-WEEKDAY($S237),7))+20),1,MIN(1,MAX(0,IF(ISNUMBER(OFFSET($A$1,ROW()-1,10)),OFFSET($A$1,ROW()-1,10),IF(ISNUMBER(OFFSET($A$1,ROW()-1,9)),OFFSET($A$1,ROW()-1,9),IF(ISNUMBER(OFFSET($A$1,ROW()-1,8)),OFFSET($A$1,ROW()-1,8),0)))))))</f>
        <v/>
      </c>
      <c r="AG237" s="62">
        <f>IF($V237&lt;&gt;"Sub","",N($X237)*IF(AND(ISNUMBER($G237),$G237&lt;=IF($S237=MesCiclo,InicioCiclo,$S237+MOD(2-WEEKDAY($S237),7))+27),1,MIN(1,MAX(0,IF(ISNUMBER(OFFSET($A$1,ROW()-1,11)),OFFSET($A$1,ROW()-1,11),IF(ISNUMBER(OFFSET($A$1,ROW()-1,10)),OFFSET($A$1,ROW()-1,10),IF(ISNUMBER(OFFSET($A$1,ROW()-1,9)),OFFSET($A$1,ROW()-1,9),IF(ISNUMBER(OFFSET($A$1,ROW()-1,8)),OFFSET($A$1,ROW()-1,8),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f>IF(NOT(AND($D237&lt;&gt;"",$V237="Macro")),"",IFERROR(CHOOSE(MATCH($D237,ListaPuestos,0),MATCH("[Jefatura] "&amp;$C237,'Cronograma R. Operacional'!$C$5:$C$1000,0),MATCH("[Jefatura] "&amp;$C237,'Cronograma R. Normativo'!$C$5:$C$1000,0),MATCH("[Jefatura] "&amp;$C237,'Cronograma R. Financiero'!$C$5:$C$1000,0),MATCH("[Jefatura] "&amp;$C237,'Cronograma Asistente Técnico'!$C$5:$C$1000,0)),0))</f>
        <v/>
      </c>
      <c r="AN237" s="62">
        <f>IF(AND(AND($D237&lt;&gt;"",$V237="Macro"),$S237=MesCiclo),COUNTIFS($D$5:$D237,$D237,$S$5:$S237,MesCiclo,$V$5:$V237,"Macro"),"")</f>
        <v/>
      </c>
      <c r="AO237" s="62">
        <f>IF($AN237="","",$D237&amp;"|"&amp;$AN237)</f>
        <v/>
      </c>
      <c r="AP237" s="62">
        <f>IF(AND($D237&lt;&gt;"",$V237="Macro"),$D237&amp;"|"&amp;$C237,"")</f>
        <v/>
      </c>
      <c r="AQ237" s="62">
        <f>""</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t="n"/>
      <c r="F238" s="59" t="n"/>
      <c r="G238" s="59" t="n"/>
      <c r="H238" s="60" t="n"/>
      <c r="I238" s="60">
        <f>IF(N($W238)=0,"",IF(AND($S238=MesCiclo,1&gt;SemanaActual),"",MIN(1,SUMIFS(OFFSET($A$1,ROW(),29,1000-ROW(),1),OFFSET($A$1,ROW(),20,1000-ROW(),1),ROW(),OFFSET($A$1,ROW(),21,1000-ROW(),1),"Sub"))))</f>
        <v/>
      </c>
      <c r="J238" s="60">
        <f>IF(N($W238)=0,"",IF(AND($S238=MesCiclo,2&gt;SemanaActual),"",MIN(1,SUMIFS(OFFSET($A$1,ROW(),30,1000-ROW(),1),OFFSET($A$1,ROW(),20,1000-ROW(),1),ROW(),OFFSET($A$1,ROW(),21,1000-ROW(),1),"Sub"))))</f>
        <v/>
      </c>
      <c r="K238" s="60">
        <f>IF(N($W238)=0,"",IF(AND($S238=MesCiclo,3&gt;SemanaActual),"",MIN(1,SUMIFS(OFFSET($A$1,ROW(),31,1000-ROW(),1),OFFSET($A$1,ROW(),20,1000-ROW(),1),ROW(),OFFSET($A$1,ROW(),21,1000-ROW(),1),"Sub"))))</f>
        <v/>
      </c>
      <c r="L238" s="60">
        <f>IF(N($W238)=0,"",IF(AND($S238=MesCiclo,4&gt;SemanaActual),"",MIN(1,SUMIFS(OFFSET($A$1,ROW(),32,1000-ROW(),1),OFFSET($A$1,ROW(),20,1000-ROW(),1),ROW(),OFFSET($A$1,ROW(),21,1000-ROW(),1),"Sub"))))</f>
        <v/>
      </c>
      <c r="M238" s="61">
        <f>IF(NOT((COUNTA($B238:$D238)+COUNTA($G238:$H238)+COUNTA($Q238))&gt;0),"",IF(AND($D238&lt;&gt;"",$V238="Macro"),IF(N($AM238)&gt;0,N(CHOOSE(MATCH($D238,ListaPuestos,0),INDEX('Cronograma R. Operacional'!$M$5:$M$1000,$AM238),INDEX('Cronograma R. Normativo'!$M$5:$M$1000,$AM238),INDEX('Cronograma R. Financiero'!$M$5:$M$1000,$AM238),INDEX('Cronograma Asistente Técnico'!$M$5:$M$1000,$AM238))),0),IF(ISNUMBER($G238),1,IF(N($W238)&gt;0,MIN(1,SUMIFS($Y$5:$Y$1000,$U$5:$U$1000,ROW(),$V$5:$V$1000,"Sub")),$Y238))))</f>
        <v/>
      </c>
      <c r="N238" s="56">
        <f>IF(OR($M238="",$V238="Sub"),"",IF($M238&gt;=1,"Completado",IF($M238&gt;0,"En curso","Pendiente")))</f>
        <v/>
      </c>
      <c r="O238" s="56">
        <f>IF(NOT((COUNTA($B238:$D238)+COUNTA($G238:$H238)+COUNTA($Q238))&gt;0),"",IF(AND(AND($D238&lt;&gt;"",$V238="Macro"),N($AM238)&gt;0),CHOOSE(MATCH($D238,ListaPuestos,0),INDEX('Cronograma R. Operacional'!$O$5:$O$1000,$AM238),INDEX('Cronograma R. Normativo'!$O$5:$O$1000,$AM238),INDEX('Cronograma R. Financiero'!$O$5:$O$1000,$AM238),INDEX('Cronograma Asistente Técnico'!$O$5:$O$1000,$AM238))&amp;"",IF(ISNUMBER($G238),IF(AND(ISNUMBER($AS238),$G238&gt;$AS238),"Cumplida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f>IF(NOT((COUNTA($B238:$D238)+COUNTA($G238:$H238)+COUNTA($Q238))&gt;0),"",IF($D238="","Propia",IF($V238&lt;&gt;"Macro","Solo se delegan macroactividades",IF(N($AM238)&gt;0,"✔ Recibida por "&amp;$D238,"⚠ "&amp;$D238&amp;" aún no la agrega"))))</f>
        <v/>
      </c>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IF($V238&lt;&gt;"Sub","",N($X238)*IF(AND(ISNUMBER($G238),$G238&lt;=IF($S238=MesCiclo,InicioCiclo,$S238+MOD(2-WEEKDAY($S238),7))+6),1,MIN(1,MAX(0,IF(ISNUMBER(OFFSET($A$1,ROW()-1,8)),OFFSET($A$1,ROW()-1,8),0)))))</f>
        <v/>
      </c>
      <c r="AE238" s="62">
        <f>IF($V238&lt;&gt;"Sub","",N($X238)*IF(AND(ISNUMBER($G238),$G238&lt;=IF($S238=MesCiclo,InicioCiclo,$S238+MOD(2-WEEKDAY($S238),7))+13),1,MIN(1,MAX(0,IF(ISNUMBER(OFFSET($A$1,ROW()-1,9)),OFFSET($A$1,ROW()-1,9),IF(ISNUMBER(OFFSET($A$1,ROW()-1,8)),OFFSET($A$1,ROW()-1,8),0))))))</f>
        <v/>
      </c>
      <c r="AF238" s="62">
        <f>IF($V238&lt;&gt;"Sub","",N($X238)*IF(AND(ISNUMBER($G238),$G238&lt;=IF($S238=MesCiclo,InicioCiclo,$S238+MOD(2-WEEKDAY($S238),7))+20),1,MIN(1,MAX(0,IF(ISNUMBER(OFFSET($A$1,ROW()-1,10)),OFFSET($A$1,ROW()-1,10),IF(ISNUMBER(OFFSET($A$1,ROW()-1,9)),OFFSET($A$1,ROW()-1,9),IF(ISNUMBER(OFFSET($A$1,ROW()-1,8)),OFFSET($A$1,ROW()-1,8),0)))))))</f>
        <v/>
      </c>
      <c r="AG238" s="62">
        <f>IF($V238&lt;&gt;"Sub","",N($X238)*IF(AND(ISNUMBER($G238),$G238&lt;=IF($S238=MesCiclo,InicioCiclo,$S238+MOD(2-WEEKDAY($S238),7))+27),1,MIN(1,MAX(0,IF(ISNUMBER(OFFSET($A$1,ROW()-1,11)),OFFSET($A$1,ROW()-1,11),IF(ISNUMBER(OFFSET($A$1,ROW()-1,10)),OFFSET($A$1,ROW()-1,10),IF(ISNUMBER(OFFSET($A$1,ROW()-1,9)),OFFSET($A$1,ROW()-1,9),IF(ISNUMBER(OFFSET($A$1,ROW()-1,8)),OFFSET($A$1,ROW()-1,8),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f>IF(NOT(AND($D238&lt;&gt;"",$V238="Macro")),"",IFERROR(CHOOSE(MATCH($D238,ListaPuestos,0),MATCH("[Jefatura] "&amp;$C238,'Cronograma R. Operacional'!$C$5:$C$1000,0),MATCH("[Jefatura] "&amp;$C238,'Cronograma R. Normativo'!$C$5:$C$1000,0),MATCH("[Jefatura] "&amp;$C238,'Cronograma R. Financiero'!$C$5:$C$1000,0),MATCH("[Jefatura] "&amp;$C238,'Cronograma Asistente Técnico'!$C$5:$C$1000,0)),0))</f>
        <v/>
      </c>
      <c r="AN238" s="62">
        <f>IF(AND(AND($D238&lt;&gt;"",$V238="Macro"),$S238=MesCiclo),COUNTIFS($D$5:$D238,$D238,$S$5:$S238,MesCiclo,$V$5:$V238,"Macro"),"")</f>
        <v/>
      </c>
      <c r="AO238" s="62">
        <f>IF($AN238="","",$D238&amp;"|"&amp;$AN238)</f>
        <v/>
      </c>
      <c r="AP238" s="62">
        <f>IF(AND($D238&lt;&gt;"",$V238="Macro"),$D238&amp;"|"&amp;$C238,"")</f>
        <v/>
      </c>
      <c r="AQ238" s="62">
        <f>""</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t="n"/>
      <c r="F239" s="59" t="n"/>
      <c r="G239" s="59" t="n"/>
      <c r="H239" s="60" t="n"/>
      <c r="I239" s="60">
        <f>IF(N($W239)=0,"",IF(AND($S239=MesCiclo,1&gt;SemanaActual),"",MIN(1,SUMIFS(OFFSET($A$1,ROW(),29,1000-ROW(),1),OFFSET($A$1,ROW(),20,1000-ROW(),1),ROW(),OFFSET($A$1,ROW(),21,1000-ROW(),1),"Sub"))))</f>
        <v/>
      </c>
      <c r="J239" s="60">
        <f>IF(N($W239)=0,"",IF(AND($S239=MesCiclo,2&gt;SemanaActual),"",MIN(1,SUMIFS(OFFSET($A$1,ROW(),30,1000-ROW(),1),OFFSET($A$1,ROW(),20,1000-ROW(),1),ROW(),OFFSET($A$1,ROW(),21,1000-ROW(),1),"Sub"))))</f>
        <v/>
      </c>
      <c r="K239" s="60">
        <f>IF(N($W239)=0,"",IF(AND($S239=MesCiclo,3&gt;SemanaActual),"",MIN(1,SUMIFS(OFFSET($A$1,ROW(),31,1000-ROW(),1),OFFSET($A$1,ROW(),20,1000-ROW(),1),ROW(),OFFSET($A$1,ROW(),21,1000-ROW(),1),"Sub"))))</f>
        <v/>
      </c>
      <c r="L239" s="60">
        <f>IF(N($W239)=0,"",IF(AND($S239=MesCiclo,4&gt;SemanaActual),"",MIN(1,SUMIFS(OFFSET($A$1,ROW(),32,1000-ROW(),1),OFFSET($A$1,ROW(),20,1000-ROW(),1),ROW(),OFFSET($A$1,ROW(),21,1000-ROW(),1),"Sub"))))</f>
        <v/>
      </c>
      <c r="M239" s="61">
        <f>IF(NOT((COUNTA($B239:$D239)+COUNTA($G239:$H239)+COUNTA($Q239))&gt;0),"",IF(AND($D239&lt;&gt;"",$V239="Macro"),IF(N($AM239)&gt;0,N(CHOOSE(MATCH($D239,ListaPuestos,0),INDEX('Cronograma R. Operacional'!$M$5:$M$1000,$AM239),INDEX('Cronograma R. Normativo'!$M$5:$M$1000,$AM239),INDEX('Cronograma R. Financiero'!$M$5:$M$1000,$AM239),INDEX('Cronograma Asistente Técnico'!$M$5:$M$1000,$AM239))),0),IF(ISNUMBER($G239),1,IF(N($W239)&gt;0,MIN(1,SUMIFS($Y$5:$Y$1000,$U$5:$U$1000,ROW(),$V$5:$V$1000,"Sub")),$Y239))))</f>
        <v/>
      </c>
      <c r="N239" s="56">
        <f>IF(OR($M239="",$V239="Sub"),"",IF($M239&gt;=1,"Completado",IF($M239&gt;0,"En curso","Pendiente")))</f>
        <v/>
      </c>
      <c r="O239" s="56">
        <f>IF(NOT((COUNTA($B239:$D239)+COUNTA($G239:$H239)+COUNTA($Q239))&gt;0),"",IF(AND(AND($D239&lt;&gt;"",$V239="Macro"),N($AM239)&gt;0),CHOOSE(MATCH($D239,ListaPuestos,0),INDEX('Cronograma R. Operacional'!$O$5:$O$1000,$AM239),INDEX('Cronograma R. Normativo'!$O$5:$O$1000,$AM239),INDEX('Cronograma R. Financiero'!$O$5:$O$1000,$AM239),INDEX('Cronograma Asistente Técnico'!$O$5:$O$1000,$AM239))&amp;"",IF(ISNUMBER($G239),IF(AND(ISNUMBER($AS239),$G239&gt;$AS239),"Cumplida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f>IF(NOT((COUNTA($B239:$D239)+COUNTA($G239:$H239)+COUNTA($Q239))&gt;0),"",IF($D239="","Propia",IF($V239&lt;&gt;"Macro","Solo se delegan macroactividades",IF(N($AM239)&gt;0,"✔ Recibida por "&amp;$D239,"⚠ "&amp;$D239&amp;" aún no la agrega"))))</f>
        <v/>
      </c>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IF($V239&lt;&gt;"Sub","",N($X239)*IF(AND(ISNUMBER($G239),$G239&lt;=IF($S239=MesCiclo,InicioCiclo,$S239+MOD(2-WEEKDAY($S239),7))+6),1,MIN(1,MAX(0,IF(ISNUMBER(OFFSET($A$1,ROW()-1,8)),OFFSET($A$1,ROW()-1,8),0)))))</f>
        <v/>
      </c>
      <c r="AE239" s="62">
        <f>IF($V239&lt;&gt;"Sub","",N($X239)*IF(AND(ISNUMBER($G239),$G239&lt;=IF($S239=MesCiclo,InicioCiclo,$S239+MOD(2-WEEKDAY($S239),7))+13),1,MIN(1,MAX(0,IF(ISNUMBER(OFFSET($A$1,ROW()-1,9)),OFFSET($A$1,ROW()-1,9),IF(ISNUMBER(OFFSET($A$1,ROW()-1,8)),OFFSET($A$1,ROW()-1,8),0))))))</f>
        <v/>
      </c>
      <c r="AF239" s="62">
        <f>IF($V239&lt;&gt;"Sub","",N($X239)*IF(AND(ISNUMBER($G239),$G239&lt;=IF($S239=MesCiclo,InicioCiclo,$S239+MOD(2-WEEKDAY($S239),7))+20),1,MIN(1,MAX(0,IF(ISNUMBER(OFFSET($A$1,ROW()-1,10)),OFFSET($A$1,ROW()-1,10),IF(ISNUMBER(OFFSET($A$1,ROW()-1,9)),OFFSET($A$1,ROW()-1,9),IF(ISNUMBER(OFFSET($A$1,ROW()-1,8)),OFFSET($A$1,ROW()-1,8),0)))))))</f>
        <v/>
      </c>
      <c r="AG239" s="62">
        <f>IF($V239&lt;&gt;"Sub","",N($X239)*IF(AND(ISNUMBER($G239),$G239&lt;=IF($S239=MesCiclo,InicioCiclo,$S239+MOD(2-WEEKDAY($S239),7))+27),1,MIN(1,MAX(0,IF(ISNUMBER(OFFSET($A$1,ROW()-1,11)),OFFSET($A$1,ROW()-1,11),IF(ISNUMBER(OFFSET($A$1,ROW()-1,10)),OFFSET($A$1,ROW()-1,10),IF(ISNUMBER(OFFSET($A$1,ROW()-1,9)),OFFSET($A$1,ROW()-1,9),IF(ISNUMBER(OFFSET($A$1,ROW()-1,8)),OFFSET($A$1,ROW()-1,8),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f>IF(NOT(AND($D239&lt;&gt;"",$V239="Macro")),"",IFERROR(CHOOSE(MATCH($D239,ListaPuestos,0),MATCH("[Jefatura] "&amp;$C239,'Cronograma R. Operacional'!$C$5:$C$1000,0),MATCH("[Jefatura] "&amp;$C239,'Cronograma R. Normativo'!$C$5:$C$1000,0),MATCH("[Jefatura] "&amp;$C239,'Cronograma R. Financiero'!$C$5:$C$1000,0),MATCH("[Jefatura] "&amp;$C239,'Cronograma Asistente Técnico'!$C$5:$C$1000,0)),0))</f>
        <v/>
      </c>
      <c r="AN239" s="62">
        <f>IF(AND(AND($D239&lt;&gt;"",$V239="Macro"),$S239=MesCiclo),COUNTIFS($D$5:$D239,$D239,$S$5:$S239,MesCiclo,$V$5:$V239,"Macro"),"")</f>
        <v/>
      </c>
      <c r="AO239" s="62">
        <f>IF($AN239="","",$D239&amp;"|"&amp;$AN239)</f>
        <v/>
      </c>
      <c r="AP239" s="62">
        <f>IF(AND($D239&lt;&gt;"",$V239="Macro"),$D239&amp;"|"&amp;$C239,"")</f>
        <v/>
      </c>
      <c r="AQ239" s="62">
        <f>""</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t="n"/>
      <c r="F240" s="59" t="n"/>
      <c r="G240" s="59" t="n"/>
      <c r="H240" s="60" t="n"/>
      <c r="I240" s="60">
        <f>IF(N($W240)=0,"",IF(AND($S240=MesCiclo,1&gt;SemanaActual),"",MIN(1,SUMIFS(OFFSET($A$1,ROW(),29,1000-ROW(),1),OFFSET($A$1,ROW(),20,1000-ROW(),1),ROW(),OFFSET($A$1,ROW(),21,1000-ROW(),1),"Sub"))))</f>
        <v/>
      </c>
      <c r="J240" s="60">
        <f>IF(N($W240)=0,"",IF(AND($S240=MesCiclo,2&gt;SemanaActual),"",MIN(1,SUMIFS(OFFSET($A$1,ROW(),30,1000-ROW(),1),OFFSET($A$1,ROW(),20,1000-ROW(),1),ROW(),OFFSET($A$1,ROW(),21,1000-ROW(),1),"Sub"))))</f>
        <v/>
      </c>
      <c r="K240" s="60">
        <f>IF(N($W240)=0,"",IF(AND($S240=MesCiclo,3&gt;SemanaActual),"",MIN(1,SUMIFS(OFFSET($A$1,ROW(),31,1000-ROW(),1),OFFSET($A$1,ROW(),20,1000-ROW(),1),ROW(),OFFSET($A$1,ROW(),21,1000-ROW(),1),"Sub"))))</f>
        <v/>
      </c>
      <c r="L240" s="60">
        <f>IF(N($W240)=0,"",IF(AND($S240=MesCiclo,4&gt;SemanaActual),"",MIN(1,SUMIFS(OFFSET($A$1,ROW(),32,1000-ROW(),1),OFFSET($A$1,ROW(),20,1000-ROW(),1),ROW(),OFFSET($A$1,ROW(),21,1000-ROW(),1),"Sub"))))</f>
        <v/>
      </c>
      <c r="M240" s="61">
        <f>IF(NOT((COUNTA($B240:$D240)+COUNTA($G240:$H240)+COUNTA($Q240))&gt;0),"",IF(AND($D240&lt;&gt;"",$V240="Macro"),IF(N($AM240)&gt;0,N(CHOOSE(MATCH($D240,ListaPuestos,0),INDEX('Cronograma R. Operacional'!$M$5:$M$1000,$AM240),INDEX('Cronograma R. Normativo'!$M$5:$M$1000,$AM240),INDEX('Cronograma R. Financiero'!$M$5:$M$1000,$AM240),INDEX('Cronograma Asistente Técnico'!$M$5:$M$1000,$AM240))),0),IF(ISNUMBER($G240),1,IF(N($W240)&gt;0,MIN(1,SUMIFS($Y$5:$Y$1000,$U$5:$U$1000,ROW(),$V$5:$V$1000,"Sub")),$Y240))))</f>
        <v/>
      </c>
      <c r="N240" s="56">
        <f>IF(OR($M240="",$V240="Sub"),"",IF($M240&gt;=1,"Completado",IF($M240&gt;0,"En curso","Pendiente")))</f>
        <v/>
      </c>
      <c r="O240" s="56">
        <f>IF(NOT((COUNTA($B240:$D240)+COUNTA($G240:$H240)+COUNTA($Q240))&gt;0),"",IF(AND(AND($D240&lt;&gt;"",$V240="Macro"),N($AM240)&gt;0),CHOOSE(MATCH($D240,ListaPuestos,0),INDEX('Cronograma R. Operacional'!$O$5:$O$1000,$AM240),INDEX('Cronograma R. Normativo'!$O$5:$O$1000,$AM240),INDEX('Cronograma R. Financiero'!$O$5:$O$1000,$AM240),INDEX('Cronograma Asistente Técnico'!$O$5:$O$1000,$AM240))&amp;"",IF(ISNUMBER($G240),IF(AND(ISNUMBER($AS240),$G240&gt;$AS240),"Cumplida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f>IF(NOT((COUNTA($B240:$D240)+COUNTA($G240:$H240)+COUNTA($Q240))&gt;0),"",IF($D240="","Propia",IF($V240&lt;&gt;"Macro","Solo se delegan macroactividades",IF(N($AM240)&gt;0,"✔ Recibida por "&amp;$D240,"⚠ "&amp;$D240&amp;" aún no la agrega"))))</f>
        <v/>
      </c>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IF($V240&lt;&gt;"Sub","",N($X240)*IF(AND(ISNUMBER($G240),$G240&lt;=IF($S240=MesCiclo,InicioCiclo,$S240+MOD(2-WEEKDAY($S240),7))+6),1,MIN(1,MAX(0,IF(ISNUMBER(OFFSET($A$1,ROW()-1,8)),OFFSET($A$1,ROW()-1,8),0)))))</f>
        <v/>
      </c>
      <c r="AE240" s="62">
        <f>IF($V240&lt;&gt;"Sub","",N($X240)*IF(AND(ISNUMBER($G240),$G240&lt;=IF($S240=MesCiclo,InicioCiclo,$S240+MOD(2-WEEKDAY($S240),7))+13),1,MIN(1,MAX(0,IF(ISNUMBER(OFFSET($A$1,ROW()-1,9)),OFFSET($A$1,ROW()-1,9),IF(ISNUMBER(OFFSET($A$1,ROW()-1,8)),OFFSET($A$1,ROW()-1,8),0))))))</f>
        <v/>
      </c>
      <c r="AF240" s="62">
        <f>IF($V240&lt;&gt;"Sub","",N($X240)*IF(AND(ISNUMBER($G240),$G240&lt;=IF($S240=MesCiclo,InicioCiclo,$S240+MOD(2-WEEKDAY($S240),7))+20),1,MIN(1,MAX(0,IF(ISNUMBER(OFFSET($A$1,ROW()-1,10)),OFFSET($A$1,ROW()-1,10),IF(ISNUMBER(OFFSET($A$1,ROW()-1,9)),OFFSET($A$1,ROW()-1,9),IF(ISNUMBER(OFFSET($A$1,ROW()-1,8)),OFFSET($A$1,ROW()-1,8),0)))))))</f>
        <v/>
      </c>
      <c r="AG240" s="62">
        <f>IF($V240&lt;&gt;"Sub","",N($X240)*IF(AND(ISNUMBER($G240),$G240&lt;=IF($S240=MesCiclo,InicioCiclo,$S240+MOD(2-WEEKDAY($S240),7))+27),1,MIN(1,MAX(0,IF(ISNUMBER(OFFSET($A$1,ROW()-1,11)),OFFSET($A$1,ROW()-1,11),IF(ISNUMBER(OFFSET($A$1,ROW()-1,10)),OFFSET($A$1,ROW()-1,10),IF(ISNUMBER(OFFSET($A$1,ROW()-1,9)),OFFSET($A$1,ROW()-1,9),IF(ISNUMBER(OFFSET($A$1,ROW()-1,8)),OFFSET($A$1,ROW()-1,8),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f>IF(NOT(AND($D240&lt;&gt;"",$V240="Macro")),"",IFERROR(CHOOSE(MATCH($D240,ListaPuestos,0),MATCH("[Jefatura] "&amp;$C240,'Cronograma R. Operacional'!$C$5:$C$1000,0),MATCH("[Jefatura] "&amp;$C240,'Cronograma R. Normativo'!$C$5:$C$1000,0),MATCH("[Jefatura] "&amp;$C240,'Cronograma R. Financiero'!$C$5:$C$1000,0),MATCH("[Jefatura] "&amp;$C240,'Cronograma Asistente Técnico'!$C$5:$C$1000,0)),0))</f>
        <v/>
      </c>
      <c r="AN240" s="62">
        <f>IF(AND(AND($D240&lt;&gt;"",$V240="Macro"),$S240=MesCiclo),COUNTIFS($D$5:$D240,$D240,$S$5:$S240,MesCiclo,$V$5:$V240,"Macro"),"")</f>
        <v/>
      </c>
      <c r="AO240" s="62">
        <f>IF($AN240="","",$D240&amp;"|"&amp;$AN240)</f>
        <v/>
      </c>
      <c r="AP240" s="62">
        <f>IF(AND($D240&lt;&gt;"",$V240="Macro"),$D240&amp;"|"&amp;$C240,"")</f>
        <v/>
      </c>
      <c r="AQ240" s="62">
        <f>""</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t="n"/>
      <c r="F241" s="59" t="n"/>
      <c r="G241" s="59" t="n"/>
      <c r="H241" s="60" t="n"/>
      <c r="I241" s="60">
        <f>IF(N($W241)=0,"",IF(AND($S241=MesCiclo,1&gt;SemanaActual),"",MIN(1,SUMIFS(OFFSET($A$1,ROW(),29,1000-ROW(),1),OFFSET($A$1,ROW(),20,1000-ROW(),1),ROW(),OFFSET($A$1,ROW(),21,1000-ROW(),1),"Sub"))))</f>
        <v/>
      </c>
      <c r="J241" s="60">
        <f>IF(N($W241)=0,"",IF(AND($S241=MesCiclo,2&gt;SemanaActual),"",MIN(1,SUMIFS(OFFSET($A$1,ROW(),30,1000-ROW(),1),OFFSET($A$1,ROW(),20,1000-ROW(),1),ROW(),OFFSET($A$1,ROW(),21,1000-ROW(),1),"Sub"))))</f>
        <v/>
      </c>
      <c r="K241" s="60">
        <f>IF(N($W241)=0,"",IF(AND($S241=MesCiclo,3&gt;SemanaActual),"",MIN(1,SUMIFS(OFFSET($A$1,ROW(),31,1000-ROW(),1),OFFSET($A$1,ROW(),20,1000-ROW(),1),ROW(),OFFSET($A$1,ROW(),21,1000-ROW(),1),"Sub"))))</f>
        <v/>
      </c>
      <c r="L241" s="60">
        <f>IF(N($W241)=0,"",IF(AND($S241=MesCiclo,4&gt;SemanaActual),"",MIN(1,SUMIFS(OFFSET($A$1,ROW(),32,1000-ROW(),1),OFFSET($A$1,ROW(),20,1000-ROW(),1),ROW(),OFFSET($A$1,ROW(),21,1000-ROW(),1),"Sub"))))</f>
        <v/>
      </c>
      <c r="M241" s="61">
        <f>IF(NOT((COUNTA($B241:$D241)+COUNTA($G241:$H241)+COUNTA($Q241))&gt;0),"",IF(AND($D241&lt;&gt;"",$V241="Macro"),IF(N($AM241)&gt;0,N(CHOOSE(MATCH($D241,ListaPuestos,0),INDEX('Cronograma R. Operacional'!$M$5:$M$1000,$AM241),INDEX('Cronograma R. Normativo'!$M$5:$M$1000,$AM241),INDEX('Cronograma R. Financiero'!$M$5:$M$1000,$AM241),INDEX('Cronograma Asistente Técnico'!$M$5:$M$1000,$AM241))),0),IF(ISNUMBER($G241),1,IF(N($W241)&gt;0,MIN(1,SUMIFS($Y$5:$Y$1000,$U$5:$U$1000,ROW(),$V$5:$V$1000,"Sub")),$Y241))))</f>
        <v/>
      </c>
      <c r="N241" s="56">
        <f>IF(OR($M241="",$V241="Sub"),"",IF($M241&gt;=1,"Completado",IF($M241&gt;0,"En curso","Pendiente")))</f>
        <v/>
      </c>
      <c r="O241" s="56">
        <f>IF(NOT((COUNTA($B241:$D241)+COUNTA($G241:$H241)+COUNTA($Q241))&gt;0),"",IF(AND(AND($D241&lt;&gt;"",$V241="Macro"),N($AM241)&gt;0),CHOOSE(MATCH($D241,ListaPuestos,0),INDEX('Cronograma R. Operacional'!$O$5:$O$1000,$AM241),INDEX('Cronograma R. Normativo'!$O$5:$O$1000,$AM241),INDEX('Cronograma R. Financiero'!$O$5:$O$1000,$AM241),INDEX('Cronograma Asistente Técnico'!$O$5:$O$1000,$AM241))&amp;"",IF(ISNUMBER($G241),IF(AND(ISNUMBER($AS241),$G241&gt;$AS241),"Cumplida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f>IF(NOT((COUNTA($B241:$D241)+COUNTA($G241:$H241)+COUNTA($Q241))&gt;0),"",IF($D241="","Propia",IF($V241&lt;&gt;"Macro","Solo se delegan macroactividades",IF(N($AM241)&gt;0,"✔ Recibida por "&amp;$D241,"⚠ "&amp;$D241&amp;" aún no la agrega"))))</f>
        <v/>
      </c>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IF($V241&lt;&gt;"Sub","",N($X241)*IF(AND(ISNUMBER($G241),$G241&lt;=IF($S241=MesCiclo,InicioCiclo,$S241+MOD(2-WEEKDAY($S241),7))+6),1,MIN(1,MAX(0,IF(ISNUMBER(OFFSET($A$1,ROW()-1,8)),OFFSET($A$1,ROW()-1,8),0)))))</f>
        <v/>
      </c>
      <c r="AE241" s="62">
        <f>IF($V241&lt;&gt;"Sub","",N($X241)*IF(AND(ISNUMBER($G241),$G241&lt;=IF($S241=MesCiclo,InicioCiclo,$S241+MOD(2-WEEKDAY($S241),7))+13),1,MIN(1,MAX(0,IF(ISNUMBER(OFFSET($A$1,ROW()-1,9)),OFFSET($A$1,ROW()-1,9),IF(ISNUMBER(OFFSET($A$1,ROW()-1,8)),OFFSET($A$1,ROW()-1,8),0))))))</f>
        <v/>
      </c>
      <c r="AF241" s="62">
        <f>IF($V241&lt;&gt;"Sub","",N($X241)*IF(AND(ISNUMBER($G241),$G241&lt;=IF($S241=MesCiclo,InicioCiclo,$S241+MOD(2-WEEKDAY($S241),7))+20),1,MIN(1,MAX(0,IF(ISNUMBER(OFFSET($A$1,ROW()-1,10)),OFFSET($A$1,ROW()-1,10),IF(ISNUMBER(OFFSET($A$1,ROW()-1,9)),OFFSET($A$1,ROW()-1,9),IF(ISNUMBER(OFFSET($A$1,ROW()-1,8)),OFFSET($A$1,ROW()-1,8),0)))))))</f>
        <v/>
      </c>
      <c r="AG241" s="62">
        <f>IF($V241&lt;&gt;"Sub","",N($X241)*IF(AND(ISNUMBER($G241),$G241&lt;=IF($S241=MesCiclo,InicioCiclo,$S241+MOD(2-WEEKDAY($S241),7))+27),1,MIN(1,MAX(0,IF(ISNUMBER(OFFSET($A$1,ROW()-1,11)),OFFSET($A$1,ROW()-1,11),IF(ISNUMBER(OFFSET($A$1,ROW()-1,10)),OFFSET($A$1,ROW()-1,10),IF(ISNUMBER(OFFSET($A$1,ROW()-1,9)),OFFSET($A$1,ROW()-1,9),IF(ISNUMBER(OFFSET($A$1,ROW()-1,8)),OFFSET($A$1,ROW()-1,8),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f>IF(NOT(AND($D241&lt;&gt;"",$V241="Macro")),"",IFERROR(CHOOSE(MATCH($D241,ListaPuestos,0),MATCH("[Jefatura] "&amp;$C241,'Cronograma R. Operacional'!$C$5:$C$1000,0),MATCH("[Jefatura] "&amp;$C241,'Cronograma R. Normativo'!$C$5:$C$1000,0),MATCH("[Jefatura] "&amp;$C241,'Cronograma R. Financiero'!$C$5:$C$1000,0),MATCH("[Jefatura] "&amp;$C241,'Cronograma Asistente Técnico'!$C$5:$C$1000,0)),0))</f>
        <v/>
      </c>
      <c r="AN241" s="62">
        <f>IF(AND(AND($D241&lt;&gt;"",$V241="Macro"),$S241=MesCiclo),COUNTIFS($D$5:$D241,$D241,$S$5:$S241,MesCiclo,$V$5:$V241,"Macro"),"")</f>
        <v/>
      </c>
      <c r="AO241" s="62">
        <f>IF($AN241="","",$D241&amp;"|"&amp;$AN241)</f>
        <v/>
      </c>
      <c r="AP241" s="62">
        <f>IF(AND($D241&lt;&gt;"",$V241="Macro"),$D241&amp;"|"&amp;$C241,"")</f>
        <v/>
      </c>
      <c r="AQ241" s="62">
        <f>""</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t="n"/>
      <c r="F242" s="59" t="n"/>
      <c r="G242" s="59" t="n"/>
      <c r="H242" s="60" t="n"/>
      <c r="I242" s="60">
        <f>IF(N($W242)=0,"",IF(AND($S242=MesCiclo,1&gt;SemanaActual),"",MIN(1,SUMIFS(OFFSET($A$1,ROW(),29,1000-ROW(),1),OFFSET($A$1,ROW(),20,1000-ROW(),1),ROW(),OFFSET($A$1,ROW(),21,1000-ROW(),1),"Sub"))))</f>
        <v/>
      </c>
      <c r="J242" s="60">
        <f>IF(N($W242)=0,"",IF(AND($S242=MesCiclo,2&gt;SemanaActual),"",MIN(1,SUMIFS(OFFSET($A$1,ROW(),30,1000-ROW(),1),OFFSET($A$1,ROW(),20,1000-ROW(),1),ROW(),OFFSET($A$1,ROW(),21,1000-ROW(),1),"Sub"))))</f>
        <v/>
      </c>
      <c r="K242" s="60">
        <f>IF(N($W242)=0,"",IF(AND($S242=MesCiclo,3&gt;SemanaActual),"",MIN(1,SUMIFS(OFFSET($A$1,ROW(),31,1000-ROW(),1),OFFSET($A$1,ROW(),20,1000-ROW(),1),ROW(),OFFSET($A$1,ROW(),21,1000-ROW(),1),"Sub"))))</f>
        <v/>
      </c>
      <c r="L242" s="60">
        <f>IF(N($W242)=0,"",IF(AND($S242=MesCiclo,4&gt;SemanaActual),"",MIN(1,SUMIFS(OFFSET($A$1,ROW(),32,1000-ROW(),1),OFFSET($A$1,ROW(),20,1000-ROW(),1),ROW(),OFFSET($A$1,ROW(),21,1000-ROW(),1),"Sub"))))</f>
        <v/>
      </c>
      <c r="M242" s="61">
        <f>IF(NOT((COUNTA($B242:$D242)+COUNTA($G242:$H242)+COUNTA($Q242))&gt;0),"",IF(AND($D242&lt;&gt;"",$V242="Macro"),IF(N($AM242)&gt;0,N(CHOOSE(MATCH($D242,ListaPuestos,0),INDEX('Cronograma R. Operacional'!$M$5:$M$1000,$AM242),INDEX('Cronograma R. Normativo'!$M$5:$M$1000,$AM242),INDEX('Cronograma R. Financiero'!$M$5:$M$1000,$AM242),INDEX('Cronograma Asistente Técnico'!$M$5:$M$1000,$AM242))),0),IF(ISNUMBER($G242),1,IF(N($W242)&gt;0,MIN(1,SUMIFS($Y$5:$Y$1000,$U$5:$U$1000,ROW(),$V$5:$V$1000,"Sub")),$Y242))))</f>
        <v/>
      </c>
      <c r="N242" s="56">
        <f>IF(OR($M242="",$V242="Sub"),"",IF($M242&gt;=1,"Completado",IF($M242&gt;0,"En curso","Pendiente")))</f>
        <v/>
      </c>
      <c r="O242" s="56">
        <f>IF(NOT((COUNTA($B242:$D242)+COUNTA($G242:$H242)+COUNTA($Q242))&gt;0),"",IF(AND(AND($D242&lt;&gt;"",$V242="Macro"),N($AM242)&gt;0),CHOOSE(MATCH($D242,ListaPuestos,0),INDEX('Cronograma R. Operacional'!$O$5:$O$1000,$AM242),INDEX('Cronograma R. Normativo'!$O$5:$O$1000,$AM242),INDEX('Cronograma R. Financiero'!$O$5:$O$1000,$AM242),INDEX('Cronograma Asistente Técnico'!$O$5:$O$1000,$AM242))&amp;"",IF(ISNUMBER($G242),IF(AND(ISNUMBER($AS242),$G242&gt;$AS242),"Cumplida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f>IF(NOT((COUNTA($B242:$D242)+COUNTA($G242:$H242)+COUNTA($Q242))&gt;0),"",IF($D242="","Propia",IF($V242&lt;&gt;"Macro","Solo se delegan macroactividades",IF(N($AM242)&gt;0,"✔ Recibida por "&amp;$D242,"⚠ "&amp;$D242&amp;" aún no la agrega"))))</f>
        <v/>
      </c>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IF($V242&lt;&gt;"Sub","",N($X242)*IF(AND(ISNUMBER($G242),$G242&lt;=IF($S242=MesCiclo,InicioCiclo,$S242+MOD(2-WEEKDAY($S242),7))+6),1,MIN(1,MAX(0,IF(ISNUMBER(OFFSET($A$1,ROW()-1,8)),OFFSET($A$1,ROW()-1,8),0)))))</f>
        <v/>
      </c>
      <c r="AE242" s="62">
        <f>IF($V242&lt;&gt;"Sub","",N($X242)*IF(AND(ISNUMBER($G242),$G242&lt;=IF($S242=MesCiclo,InicioCiclo,$S242+MOD(2-WEEKDAY($S242),7))+13),1,MIN(1,MAX(0,IF(ISNUMBER(OFFSET($A$1,ROW()-1,9)),OFFSET($A$1,ROW()-1,9),IF(ISNUMBER(OFFSET($A$1,ROW()-1,8)),OFFSET($A$1,ROW()-1,8),0))))))</f>
        <v/>
      </c>
      <c r="AF242" s="62">
        <f>IF($V242&lt;&gt;"Sub","",N($X242)*IF(AND(ISNUMBER($G242),$G242&lt;=IF($S242=MesCiclo,InicioCiclo,$S242+MOD(2-WEEKDAY($S242),7))+20),1,MIN(1,MAX(0,IF(ISNUMBER(OFFSET($A$1,ROW()-1,10)),OFFSET($A$1,ROW()-1,10),IF(ISNUMBER(OFFSET($A$1,ROW()-1,9)),OFFSET($A$1,ROW()-1,9),IF(ISNUMBER(OFFSET($A$1,ROW()-1,8)),OFFSET($A$1,ROW()-1,8),0)))))))</f>
        <v/>
      </c>
      <c r="AG242" s="62">
        <f>IF($V242&lt;&gt;"Sub","",N($X242)*IF(AND(ISNUMBER($G242),$G242&lt;=IF($S242=MesCiclo,InicioCiclo,$S242+MOD(2-WEEKDAY($S242),7))+27),1,MIN(1,MAX(0,IF(ISNUMBER(OFFSET($A$1,ROW()-1,11)),OFFSET($A$1,ROW()-1,11),IF(ISNUMBER(OFFSET($A$1,ROW()-1,10)),OFFSET($A$1,ROW()-1,10),IF(ISNUMBER(OFFSET($A$1,ROW()-1,9)),OFFSET($A$1,ROW()-1,9),IF(ISNUMBER(OFFSET($A$1,ROW()-1,8)),OFFSET($A$1,ROW()-1,8),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f>IF(NOT(AND($D242&lt;&gt;"",$V242="Macro")),"",IFERROR(CHOOSE(MATCH($D242,ListaPuestos,0),MATCH("[Jefatura] "&amp;$C242,'Cronograma R. Operacional'!$C$5:$C$1000,0),MATCH("[Jefatura] "&amp;$C242,'Cronograma R. Normativo'!$C$5:$C$1000,0),MATCH("[Jefatura] "&amp;$C242,'Cronograma R. Financiero'!$C$5:$C$1000,0),MATCH("[Jefatura] "&amp;$C242,'Cronograma Asistente Técnico'!$C$5:$C$1000,0)),0))</f>
        <v/>
      </c>
      <c r="AN242" s="62">
        <f>IF(AND(AND($D242&lt;&gt;"",$V242="Macro"),$S242=MesCiclo),COUNTIFS($D$5:$D242,$D242,$S$5:$S242,MesCiclo,$V$5:$V242,"Macro"),"")</f>
        <v/>
      </c>
      <c r="AO242" s="62">
        <f>IF($AN242="","",$D242&amp;"|"&amp;$AN242)</f>
        <v/>
      </c>
      <c r="AP242" s="62">
        <f>IF(AND($D242&lt;&gt;"",$V242="Macro"),$D242&amp;"|"&amp;$C242,"")</f>
        <v/>
      </c>
      <c r="AQ242" s="62">
        <f>""</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t="n"/>
      <c r="F243" s="59" t="n"/>
      <c r="G243" s="59" t="n"/>
      <c r="H243" s="60" t="n"/>
      <c r="I243" s="60">
        <f>IF(N($W243)=0,"",IF(AND($S243=MesCiclo,1&gt;SemanaActual),"",MIN(1,SUMIFS(OFFSET($A$1,ROW(),29,1000-ROW(),1),OFFSET($A$1,ROW(),20,1000-ROW(),1),ROW(),OFFSET($A$1,ROW(),21,1000-ROW(),1),"Sub"))))</f>
        <v/>
      </c>
      <c r="J243" s="60">
        <f>IF(N($W243)=0,"",IF(AND($S243=MesCiclo,2&gt;SemanaActual),"",MIN(1,SUMIFS(OFFSET($A$1,ROW(),30,1000-ROW(),1),OFFSET($A$1,ROW(),20,1000-ROW(),1),ROW(),OFFSET($A$1,ROW(),21,1000-ROW(),1),"Sub"))))</f>
        <v/>
      </c>
      <c r="K243" s="60">
        <f>IF(N($W243)=0,"",IF(AND($S243=MesCiclo,3&gt;SemanaActual),"",MIN(1,SUMIFS(OFFSET($A$1,ROW(),31,1000-ROW(),1),OFFSET($A$1,ROW(),20,1000-ROW(),1),ROW(),OFFSET($A$1,ROW(),21,1000-ROW(),1),"Sub"))))</f>
        <v/>
      </c>
      <c r="L243" s="60">
        <f>IF(N($W243)=0,"",IF(AND($S243=MesCiclo,4&gt;SemanaActual),"",MIN(1,SUMIFS(OFFSET($A$1,ROW(),32,1000-ROW(),1),OFFSET($A$1,ROW(),20,1000-ROW(),1),ROW(),OFFSET($A$1,ROW(),21,1000-ROW(),1),"Sub"))))</f>
        <v/>
      </c>
      <c r="M243" s="61">
        <f>IF(NOT((COUNTA($B243:$D243)+COUNTA($G243:$H243)+COUNTA($Q243))&gt;0),"",IF(AND($D243&lt;&gt;"",$V243="Macro"),IF(N($AM243)&gt;0,N(CHOOSE(MATCH($D243,ListaPuestos,0),INDEX('Cronograma R. Operacional'!$M$5:$M$1000,$AM243),INDEX('Cronograma R. Normativo'!$M$5:$M$1000,$AM243),INDEX('Cronograma R. Financiero'!$M$5:$M$1000,$AM243),INDEX('Cronograma Asistente Técnico'!$M$5:$M$1000,$AM243))),0),IF(ISNUMBER($G243),1,IF(N($W243)&gt;0,MIN(1,SUMIFS($Y$5:$Y$1000,$U$5:$U$1000,ROW(),$V$5:$V$1000,"Sub")),$Y243))))</f>
        <v/>
      </c>
      <c r="N243" s="56">
        <f>IF(OR($M243="",$V243="Sub"),"",IF($M243&gt;=1,"Completado",IF($M243&gt;0,"En curso","Pendiente")))</f>
        <v/>
      </c>
      <c r="O243" s="56">
        <f>IF(NOT((COUNTA($B243:$D243)+COUNTA($G243:$H243)+COUNTA($Q243))&gt;0),"",IF(AND(AND($D243&lt;&gt;"",$V243="Macro"),N($AM243)&gt;0),CHOOSE(MATCH($D243,ListaPuestos,0),INDEX('Cronograma R. Operacional'!$O$5:$O$1000,$AM243),INDEX('Cronograma R. Normativo'!$O$5:$O$1000,$AM243),INDEX('Cronograma R. Financiero'!$O$5:$O$1000,$AM243),INDEX('Cronograma Asistente Técnico'!$O$5:$O$1000,$AM243))&amp;"",IF(ISNUMBER($G243),IF(AND(ISNUMBER($AS243),$G243&gt;$AS243),"Cumplida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f>IF(NOT((COUNTA($B243:$D243)+COUNTA($G243:$H243)+COUNTA($Q243))&gt;0),"",IF($D243="","Propia",IF($V243&lt;&gt;"Macro","Solo se delegan macroactividades",IF(N($AM243)&gt;0,"✔ Recibida por "&amp;$D243,"⚠ "&amp;$D243&amp;" aún no la agrega"))))</f>
        <v/>
      </c>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IF($V243&lt;&gt;"Sub","",N($X243)*IF(AND(ISNUMBER($G243),$G243&lt;=IF($S243=MesCiclo,InicioCiclo,$S243+MOD(2-WEEKDAY($S243),7))+6),1,MIN(1,MAX(0,IF(ISNUMBER(OFFSET($A$1,ROW()-1,8)),OFFSET($A$1,ROW()-1,8),0)))))</f>
        <v/>
      </c>
      <c r="AE243" s="62">
        <f>IF($V243&lt;&gt;"Sub","",N($X243)*IF(AND(ISNUMBER($G243),$G243&lt;=IF($S243=MesCiclo,InicioCiclo,$S243+MOD(2-WEEKDAY($S243),7))+13),1,MIN(1,MAX(0,IF(ISNUMBER(OFFSET($A$1,ROW()-1,9)),OFFSET($A$1,ROW()-1,9),IF(ISNUMBER(OFFSET($A$1,ROW()-1,8)),OFFSET($A$1,ROW()-1,8),0))))))</f>
        <v/>
      </c>
      <c r="AF243" s="62">
        <f>IF($V243&lt;&gt;"Sub","",N($X243)*IF(AND(ISNUMBER($G243),$G243&lt;=IF($S243=MesCiclo,InicioCiclo,$S243+MOD(2-WEEKDAY($S243),7))+20),1,MIN(1,MAX(0,IF(ISNUMBER(OFFSET($A$1,ROW()-1,10)),OFFSET($A$1,ROW()-1,10),IF(ISNUMBER(OFFSET($A$1,ROW()-1,9)),OFFSET($A$1,ROW()-1,9),IF(ISNUMBER(OFFSET($A$1,ROW()-1,8)),OFFSET($A$1,ROW()-1,8),0)))))))</f>
        <v/>
      </c>
      <c r="AG243" s="62">
        <f>IF($V243&lt;&gt;"Sub","",N($X243)*IF(AND(ISNUMBER($G243),$G243&lt;=IF($S243=MesCiclo,InicioCiclo,$S243+MOD(2-WEEKDAY($S243),7))+27),1,MIN(1,MAX(0,IF(ISNUMBER(OFFSET($A$1,ROW()-1,11)),OFFSET($A$1,ROW()-1,11),IF(ISNUMBER(OFFSET($A$1,ROW()-1,10)),OFFSET($A$1,ROW()-1,10),IF(ISNUMBER(OFFSET($A$1,ROW()-1,9)),OFFSET($A$1,ROW()-1,9),IF(ISNUMBER(OFFSET($A$1,ROW()-1,8)),OFFSET($A$1,ROW()-1,8),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f>IF(NOT(AND($D243&lt;&gt;"",$V243="Macro")),"",IFERROR(CHOOSE(MATCH($D243,ListaPuestos,0),MATCH("[Jefatura] "&amp;$C243,'Cronograma R. Operacional'!$C$5:$C$1000,0),MATCH("[Jefatura] "&amp;$C243,'Cronograma R. Normativo'!$C$5:$C$1000,0),MATCH("[Jefatura] "&amp;$C243,'Cronograma R. Financiero'!$C$5:$C$1000,0),MATCH("[Jefatura] "&amp;$C243,'Cronograma Asistente Técnico'!$C$5:$C$1000,0)),0))</f>
        <v/>
      </c>
      <c r="AN243" s="62">
        <f>IF(AND(AND($D243&lt;&gt;"",$V243="Macro"),$S243=MesCiclo),COUNTIFS($D$5:$D243,$D243,$S$5:$S243,MesCiclo,$V$5:$V243,"Macro"),"")</f>
        <v/>
      </c>
      <c r="AO243" s="62">
        <f>IF($AN243="","",$D243&amp;"|"&amp;$AN243)</f>
        <v/>
      </c>
      <c r="AP243" s="62">
        <f>IF(AND($D243&lt;&gt;"",$V243="Macro"),$D243&amp;"|"&amp;$C243,"")</f>
        <v/>
      </c>
      <c r="AQ243" s="62">
        <f>""</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t="n"/>
      <c r="F244" s="59" t="n"/>
      <c r="G244" s="59" t="n"/>
      <c r="H244" s="60" t="n"/>
      <c r="I244" s="60">
        <f>IF(N($W244)=0,"",IF(AND($S244=MesCiclo,1&gt;SemanaActual),"",MIN(1,SUMIFS(OFFSET($A$1,ROW(),29,1000-ROW(),1),OFFSET($A$1,ROW(),20,1000-ROW(),1),ROW(),OFFSET($A$1,ROW(),21,1000-ROW(),1),"Sub"))))</f>
        <v/>
      </c>
      <c r="J244" s="60">
        <f>IF(N($W244)=0,"",IF(AND($S244=MesCiclo,2&gt;SemanaActual),"",MIN(1,SUMIFS(OFFSET($A$1,ROW(),30,1000-ROW(),1),OFFSET($A$1,ROW(),20,1000-ROW(),1),ROW(),OFFSET($A$1,ROW(),21,1000-ROW(),1),"Sub"))))</f>
        <v/>
      </c>
      <c r="K244" s="60">
        <f>IF(N($W244)=0,"",IF(AND($S244=MesCiclo,3&gt;SemanaActual),"",MIN(1,SUMIFS(OFFSET($A$1,ROW(),31,1000-ROW(),1),OFFSET($A$1,ROW(),20,1000-ROW(),1),ROW(),OFFSET($A$1,ROW(),21,1000-ROW(),1),"Sub"))))</f>
        <v/>
      </c>
      <c r="L244" s="60">
        <f>IF(N($W244)=0,"",IF(AND($S244=MesCiclo,4&gt;SemanaActual),"",MIN(1,SUMIFS(OFFSET($A$1,ROW(),32,1000-ROW(),1),OFFSET($A$1,ROW(),20,1000-ROW(),1),ROW(),OFFSET($A$1,ROW(),21,1000-ROW(),1),"Sub"))))</f>
        <v/>
      </c>
      <c r="M244" s="61">
        <f>IF(NOT((COUNTA($B244:$D244)+COUNTA($G244:$H244)+COUNTA($Q244))&gt;0),"",IF(AND($D244&lt;&gt;"",$V244="Macro"),IF(N($AM244)&gt;0,N(CHOOSE(MATCH($D244,ListaPuestos,0),INDEX('Cronograma R. Operacional'!$M$5:$M$1000,$AM244),INDEX('Cronograma R. Normativo'!$M$5:$M$1000,$AM244),INDEX('Cronograma R. Financiero'!$M$5:$M$1000,$AM244),INDEX('Cronograma Asistente Técnico'!$M$5:$M$1000,$AM244))),0),IF(ISNUMBER($G244),1,IF(N($W244)&gt;0,MIN(1,SUMIFS($Y$5:$Y$1000,$U$5:$U$1000,ROW(),$V$5:$V$1000,"Sub")),$Y244))))</f>
        <v/>
      </c>
      <c r="N244" s="56">
        <f>IF(OR($M244="",$V244="Sub"),"",IF($M244&gt;=1,"Completado",IF($M244&gt;0,"En curso","Pendiente")))</f>
        <v/>
      </c>
      <c r="O244" s="56">
        <f>IF(NOT((COUNTA($B244:$D244)+COUNTA($G244:$H244)+COUNTA($Q244))&gt;0),"",IF(AND(AND($D244&lt;&gt;"",$V244="Macro"),N($AM244)&gt;0),CHOOSE(MATCH($D244,ListaPuestos,0),INDEX('Cronograma R. Operacional'!$O$5:$O$1000,$AM244),INDEX('Cronograma R. Normativo'!$O$5:$O$1000,$AM244),INDEX('Cronograma R. Financiero'!$O$5:$O$1000,$AM244),INDEX('Cronograma Asistente Técnico'!$O$5:$O$1000,$AM244))&amp;"",IF(ISNUMBER($G244),IF(AND(ISNUMBER($AS244),$G244&gt;$AS244),"Cumplida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f>IF(NOT((COUNTA($B244:$D244)+COUNTA($G244:$H244)+COUNTA($Q244))&gt;0),"",IF($D244="","Propia",IF($V244&lt;&gt;"Macro","Solo se delegan macroactividades",IF(N($AM244)&gt;0,"✔ Recibida por "&amp;$D244,"⚠ "&amp;$D244&amp;" aún no la agrega"))))</f>
        <v/>
      </c>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IF($V244&lt;&gt;"Sub","",N($X244)*IF(AND(ISNUMBER($G244),$G244&lt;=IF($S244=MesCiclo,InicioCiclo,$S244+MOD(2-WEEKDAY($S244),7))+6),1,MIN(1,MAX(0,IF(ISNUMBER(OFFSET($A$1,ROW()-1,8)),OFFSET($A$1,ROW()-1,8),0)))))</f>
        <v/>
      </c>
      <c r="AE244" s="62">
        <f>IF($V244&lt;&gt;"Sub","",N($X244)*IF(AND(ISNUMBER($G244),$G244&lt;=IF($S244=MesCiclo,InicioCiclo,$S244+MOD(2-WEEKDAY($S244),7))+13),1,MIN(1,MAX(0,IF(ISNUMBER(OFFSET($A$1,ROW()-1,9)),OFFSET($A$1,ROW()-1,9),IF(ISNUMBER(OFFSET($A$1,ROW()-1,8)),OFFSET($A$1,ROW()-1,8),0))))))</f>
        <v/>
      </c>
      <c r="AF244" s="62">
        <f>IF($V244&lt;&gt;"Sub","",N($X244)*IF(AND(ISNUMBER($G244),$G244&lt;=IF($S244=MesCiclo,InicioCiclo,$S244+MOD(2-WEEKDAY($S244),7))+20),1,MIN(1,MAX(0,IF(ISNUMBER(OFFSET($A$1,ROW()-1,10)),OFFSET($A$1,ROW()-1,10),IF(ISNUMBER(OFFSET($A$1,ROW()-1,9)),OFFSET($A$1,ROW()-1,9),IF(ISNUMBER(OFFSET($A$1,ROW()-1,8)),OFFSET($A$1,ROW()-1,8),0)))))))</f>
        <v/>
      </c>
      <c r="AG244" s="62">
        <f>IF($V244&lt;&gt;"Sub","",N($X244)*IF(AND(ISNUMBER($G244),$G244&lt;=IF($S244=MesCiclo,InicioCiclo,$S244+MOD(2-WEEKDAY($S244),7))+27),1,MIN(1,MAX(0,IF(ISNUMBER(OFFSET($A$1,ROW()-1,11)),OFFSET($A$1,ROW()-1,11),IF(ISNUMBER(OFFSET($A$1,ROW()-1,10)),OFFSET($A$1,ROW()-1,10),IF(ISNUMBER(OFFSET($A$1,ROW()-1,9)),OFFSET($A$1,ROW()-1,9),IF(ISNUMBER(OFFSET($A$1,ROW()-1,8)),OFFSET($A$1,ROW()-1,8),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f>IF(NOT(AND($D244&lt;&gt;"",$V244="Macro")),"",IFERROR(CHOOSE(MATCH($D244,ListaPuestos,0),MATCH("[Jefatura] "&amp;$C244,'Cronograma R. Operacional'!$C$5:$C$1000,0),MATCH("[Jefatura] "&amp;$C244,'Cronograma R. Normativo'!$C$5:$C$1000,0),MATCH("[Jefatura] "&amp;$C244,'Cronograma R. Financiero'!$C$5:$C$1000,0),MATCH("[Jefatura] "&amp;$C244,'Cronograma Asistente Técnico'!$C$5:$C$1000,0)),0))</f>
        <v/>
      </c>
      <c r="AN244" s="62">
        <f>IF(AND(AND($D244&lt;&gt;"",$V244="Macro"),$S244=MesCiclo),COUNTIFS($D$5:$D244,$D244,$S$5:$S244,MesCiclo,$V$5:$V244,"Macro"),"")</f>
        <v/>
      </c>
      <c r="AO244" s="62">
        <f>IF($AN244="","",$D244&amp;"|"&amp;$AN244)</f>
        <v/>
      </c>
      <c r="AP244" s="62">
        <f>IF(AND($D244&lt;&gt;"",$V244="Macro"),$D244&amp;"|"&amp;$C244,"")</f>
        <v/>
      </c>
      <c r="AQ244" s="62">
        <f>""</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t="n"/>
      <c r="F245" s="59" t="n"/>
      <c r="G245" s="59" t="n"/>
      <c r="H245" s="60" t="n"/>
      <c r="I245" s="60">
        <f>IF(N($W245)=0,"",IF(AND($S245=MesCiclo,1&gt;SemanaActual),"",MIN(1,SUMIFS(OFFSET($A$1,ROW(),29,1000-ROW(),1),OFFSET($A$1,ROW(),20,1000-ROW(),1),ROW(),OFFSET($A$1,ROW(),21,1000-ROW(),1),"Sub"))))</f>
        <v/>
      </c>
      <c r="J245" s="60">
        <f>IF(N($W245)=0,"",IF(AND($S245=MesCiclo,2&gt;SemanaActual),"",MIN(1,SUMIFS(OFFSET($A$1,ROW(),30,1000-ROW(),1),OFFSET($A$1,ROW(),20,1000-ROW(),1),ROW(),OFFSET($A$1,ROW(),21,1000-ROW(),1),"Sub"))))</f>
        <v/>
      </c>
      <c r="K245" s="60">
        <f>IF(N($W245)=0,"",IF(AND($S245=MesCiclo,3&gt;SemanaActual),"",MIN(1,SUMIFS(OFFSET($A$1,ROW(),31,1000-ROW(),1),OFFSET($A$1,ROW(),20,1000-ROW(),1),ROW(),OFFSET($A$1,ROW(),21,1000-ROW(),1),"Sub"))))</f>
        <v/>
      </c>
      <c r="L245" s="60">
        <f>IF(N($W245)=0,"",IF(AND($S245=MesCiclo,4&gt;SemanaActual),"",MIN(1,SUMIFS(OFFSET($A$1,ROW(),32,1000-ROW(),1),OFFSET($A$1,ROW(),20,1000-ROW(),1),ROW(),OFFSET($A$1,ROW(),21,1000-ROW(),1),"Sub"))))</f>
        <v/>
      </c>
      <c r="M245" s="61">
        <f>IF(NOT((COUNTA($B245:$D245)+COUNTA($G245:$H245)+COUNTA($Q245))&gt;0),"",IF(AND($D245&lt;&gt;"",$V245="Macro"),IF(N($AM245)&gt;0,N(CHOOSE(MATCH($D245,ListaPuestos,0),INDEX('Cronograma R. Operacional'!$M$5:$M$1000,$AM245),INDEX('Cronograma R. Normativo'!$M$5:$M$1000,$AM245),INDEX('Cronograma R. Financiero'!$M$5:$M$1000,$AM245),INDEX('Cronograma Asistente Técnico'!$M$5:$M$1000,$AM245))),0),IF(ISNUMBER($G245),1,IF(N($W245)&gt;0,MIN(1,SUMIFS($Y$5:$Y$1000,$U$5:$U$1000,ROW(),$V$5:$V$1000,"Sub")),$Y245))))</f>
        <v/>
      </c>
      <c r="N245" s="56">
        <f>IF(OR($M245="",$V245="Sub"),"",IF($M245&gt;=1,"Completado",IF($M245&gt;0,"En curso","Pendiente")))</f>
        <v/>
      </c>
      <c r="O245" s="56">
        <f>IF(NOT((COUNTA($B245:$D245)+COUNTA($G245:$H245)+COUNTA($Q245))&gt;0),"",IF(AND(AND($D245&lt;&gt;"",$V245="Macro"),N($AM245)&gt;0),CHOOSE(MATCH($D245,ListaPuestos,0),INDEX('Cronograma R. Operacional'!$O$5:$O$1000,$AM245),INDEX('Cronograma R. Normativo'!$O$5:$O$1000,$AM245),INDEX('Cronograma R. Financiero'!$O$5:$O$1000,$AM245),INDEX('Cronograma Asistente Técnico'!$O$5:$O$1000,$AM245))&amp;"",IF(ISNUMBER($G245),IF(AND(ISNUMBER($AS245),$G245&gt;$AS245),"Cumplida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f>IF(NOT((COUNTA($B245:$D245)+COUNTA($G245:$H245)+COUNTA($Q245))&gt;0),"",IF($D245="","Propia",IF($V245&lt;&gt;"Macro","Solo se delegan macroactividades",IF(N($AM245)&gt;0,"✔ Recibida por "&amp;$D245,"⚠ "&amp;$D245&amp;" aún no la agrega"))))</f>
        <v/>
      </c>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IF($V245&lt;&gt;"Sub","",N($X245)*IF(AND(ISNUMBER($G245),$G245&lt;=IF($S245=MesCiclo,InicioCiclo,$S245+MOD(2-WEEKDAY($S245),7))+6),1,MIN(1,MAX(0,IF(ISNUMBER(OFFSET($A$1,ROW()-1,8)),OFFSET($A$1,ROW()-1,8),0)))))</f>
        <v/>
      </c>
      <c r="AE245" s="62">
        <f>IF($V245&lt;&gt;"Sub","",N($X245)*IF(AND(ISNUMBER($G245),$G245&lt;=IF($S245=MesCiclo,InicioCiclo,$S245+MOD(2-WEEKDAY($S245),7))+13),1,MIN(1,MAX(0,IF(ISNUMBER(OFFSET($A$1,ROW()-1,9)),OFFSET($A$1,ROW()-1,9),IF(ISNUMBER(OFFSET($A$1,ROW()-1,8)),OFFSET($A$1,ROW()-1,8),0))))))</f>
        <v/>
      </c>
      <c r="AF245" s="62">
        <f>IF($V245&lt;&gt;"Sub","",N($X245)*IF(AND(ISNUMBER($G245),$G245&lt;=IF($S245=MesCiclo,InicioCiclo,$S245+MOD(2-WEEKDAY($S245),7))+20),1,MIN(1,MAX(0,IF(ISNUMBER(OFFSET($A$1,ROW()-1,10)),OFFSET($A$1,ROW()-1,10),IF(ISNUMBER(OFFSET($A$1,ROW()-1,9)),OFFSET($A$1,ROW()-1,9),IF(ISNUMBER(OFFSET($A$1,ROW()-1,8)),OFFSET($A$1,ROW()-1,8),0)))))))</f>
        <v/>
      </c>
      <c r="AG245" s="62">
        <f>IF($V245&lt;&gt;"Sub","",N($X245)*IF(AND(ISNUMBER($G245),$G245&lt;=IF($S245=MesCiclo,InicioCiclo,$S245+MOD(2-WEEKDAY($S245),7))+27),1,MIN(1,MAX(0,IF(ISNUMBER(OFFSET($A$1,ROW()-1,11)),OFFSET($A$1,ROW()-1,11),IF(ISNUMBER(OFFSET($A$1,ROW()-1,10)),OFFSET($A$1,ROW()-1,10),IF(ISNUMBER(OFFSET($A$1,ROW()-1,9)),OFFSET($A$1,ROW()-1,9),IF(ISNUMBER(OFFSET($A$1,ROW()-1,8)),OFFSET($A$1,ROW()-1,8),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f>IF(NOT(AND($D245&lt;&gt;"",$V245="Macro")),"",IFERROR(CHOOSE(MATCH($D245,ListaPuestos,0),MATCH("[Jefatura] "&amp;$C245,'Cronograma R. Operacional'!$C$5:$C$1000,0),MATCH("[Jefatura] "&amp;$C245,'Cronograma R. Normativo'!$C$5:$C$1000,0),MATCH("[Jefatura] "&amp;$C245,'Cronograma R. Financiero'!$C$5:$C$1000,0),MATCH("[Jefatura] "&amp;$C245,'Cronograma Asistente Técnico'!$C$5:$C$1000,0)),0))</f>
        <v/>
      </c>
      <c r="AN245" s="62">
        <f>IF(AND(AND($D245&lt;&gt;"",$V245="Macro"),$S245=MesCiclo),COUNTIFS($D$5:$D245,$D245,$S$5:$S245,MesCiclo,$V$5:$V245,"Macro"),"")</f>
        <v/>
      </c>
      <c r="AO245" s="62">
        <f>IF($AN245="","",$D245&amp;"|"&amp;$AN245)</f>
        <v/>
      </c>
      <c r="AP245" s="62">
        <f>IF(AND($D245&lt;&gt;"",$V245="Macro"),$D245&amp;"|"&amp;$C245,"")</f>
        <v/>
      </c>
      <c r="AQ245" s="62">
        <f>""</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t="n"/>
      <c r="F246" s="59" t="n"/>
      <c r="G246" s="59" t="n"/>
      <c r="H246" s="60" t="n"/>
      <c r="I246" s="60">
        <f>IF(N($W246)=0,"",IF(AND($S246=MesCiclo,1&gt;SemanaActual),"",MIN(1,SUMIFS(OFFSET($A$1,ROW(),29,1000-ROW(),1),OFFSET($A$1,ROW(),20,1000-ROW(),1),ROW(),OFFSET($A$1,ROW(),21,1000-ROW(),1),"Sub"))))</f>
        <v/>
      </c>
      <c r="J246" s="60">
        <f>IF(N($W246)=0,"",IF(AND($S246=MesCiclo,2&gt;SemanaActual),"",MIN(1,SUMIFS(OFFSET($A$1,ROW(),30,1000-ROW(),1),OFFSET($A$1,ROW(),20,1000-ROW(),1),ROW(),OFFSET($A$1,ROW(),21,1000-ROW(),1),"Sub"))))</f>
        <v/>
      </c>
      <c r="K246" s="60">
        <f>IF(N($W246)=0,"",IF(AND($S246=MesCiclo,3&gt;SemanaActual),"",MIN(1,SUMIFS(OFFSET($A$1,ROW(),31,1000-ROW(),1),OFFSET($A$1,ROW(),20,1000-ROW(),1),ROW(),OFFSET($A$1,ROW(),21,1000-ROW(),1),"Sub"))))</f>
        <v/>
      </c>
      <c r="L246" s="60">
        <f>IF(N($W246)=0,"",IF(AND($S246=MesCiclo,4&gt;SemanaActual),"",MIN(1,SUMIFS(OFFSET($A$1,ROW(),32,1000-ROW(),1),OFFSET($A$1,ROW(),20,1000-ROW(),1),ROW(),OFFSET($A$1,ROW(),21,1000-ROW(),1),"Sub"))))</f>
        <v/>
      </c>
      <c r="M246" s="61">
        <f>IF(NOT((COUNTA($B246:$D246)+COUNTA($G246:$H246)+COUNTA($Q246))&gt;0),"",IF(AND($D246&lt;&gt;"",$V246="Macro"),IF(N($AM246)&gt;0,N(CHOOSE(MATCH($D246,ListaPuestos,0),INDEX('Cronograma R. Operacional'!$M$5:$M$1000,$AM246),INDEX('Cronograma R. Normativo'!$M$5:$M$1000,$AM246),INDEX('Cronograma R. Financiero'!$M$5:$M$1000,$AM246),INDEX('Cronograma Asistente Técnico'!$M$5:$M$1000,$AM246))),0),IF(ISNUMBER($G246),1,IF(N($W246)&gt;0,MIN(1,SUMIFS($Y$5:$Y$1000,$U$5:$U$1000,ROW(),$V$5:$V$1000,"Sub")),$Y246))))</f>
        <v/>
      </c>
      <c r="N246" s="56">
        <f>IF(OR($M246="",$V246="Sub"),"",IF($M246&gt;=1,"Completado",IF($M246&gt;0,"En curso","Pendiente")))</f>
        <v/>
      </c>
      <c r="O246" s="56">
        <f>IF(NOT((COUNTA($B246:$D246)+COUNTA($G246:$H246)+COUNTA($Q246))&gt;0),"",IF(AND(AND($D246&lt;&gt;"",$V246="Macro"),N($AM246)&gt;0),CHOOSE(MATCH($D246,ListaPuestos,0),INDEX('Cronograma R. Operacional'!$O$5:$O$1000,$AM246),INDEX('Cronograma R. Normativo'!$O$5:$O$1000,$AM246),INDEX('Cronograma R. Financiero'!$O$5:$O$1000,$AM246),INDEX('Cronograma Asistente Técnico'!$O$5:$O$1000,$AM246))&amp;"",IF(ISNUMBER($G246),IF(AND(ISNUMBER($AS246),$G246&gt;$AS246),"Cumplida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f>IF(NOT((COUNTA($B246:$D246)+COUNTA($G246:$H246)+COUNTA($Q246))&gt;0),"",IF($D246="","Propia",IF($V246&lt;&gt;"Macro","Solo se delegan macroactividades",IF(N($AM246)&gt;0,"✔ Recibida por "&amp;$D246,"⚠ "&amp;$D246&amp;" aún no la agrega"))))</f>
        <v/>
      </c>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IF($V246&lt;&gt;"Sub","",N($X246)*IF(AND(ISNUMBER($G246),$G246&lt;=IF($S246=MesCiclo,InicioCiclo,$S246+MOD(2-WEEKDAY($S246),7))+6),1,MIN(1,MAX(0,IF(ISNUMBER(OFFSET($A$1,ROW()-1,8)),OFFSET($A$1,ROW()-1,8),0)))))</f>
        <v/>
      </c>
      <c r="AE246" s="62">
        <f>IF($V246&lt;&gt;"Sub","",N($X246)*IF(AND(ISNUMBER($G246),$G246&lt;=IF($S246=MesCiclo,InicioCiclo,$S246+MOD(2-WEEKDAY($S246),7))+13),1,MIN(1,MAX(0,IF(ISNUMBER(OFFSET($A$1,ROW()-1,9)),OFFSET($A$1,ROW()-1,9),IF(ISNUMBER(OFFSET($A$1,ROW()-1,8)),OFFSET($A$1,ROW()-1,8),0))))))</f>
        <v/>
      </c>
      <c r="AF246" s="62">
        <f>IF($V246&lt;&gt;"Sub","",N($X246)*IF(AND(ISNUMBER($G246),$G246&lt;=IF($S246=MesCiclo,InicioCiclo,$S246+MOD(2-WEEKDAY($S246),7))+20),1,MIN(1,MAX(0,IF(ISNUMBER(OFFSET($A$1,ROW()-1,10)),OFFSET($A$1,ROW()-1,10),IF(ISNUMBER(OFFSET($A$1,ROW()-1,9)),OFFSET($A$1,ROW()-1,9),IF(ISNUMBER(OFFSET($A$1,ROW()-1,8)),OFFSET($A$1,ROW()-1,8),0)))))))</f>
        <v/>
      </c>
      <c r="AG246" s="62">
        <f>IF($V246&lt;&gt;"Sub","",N($X246)*IF(AND(ISNUMBER($G246),$G246&lt;=IF($S246=MesCiclo,InicioCiclo,$S246+MOD(2-WEEKDAY($S246),7))+27),1,MIN(1,MAX(0,IF(ISNUMBER(OFFSET($A$1,ROW()-1,11)),OFFSET($A$1,ROW()-1,11),IF(ISNUMBER(OFFSET($A$1,ROW()-1,10)),OFFSET($A$1,ROW()-1,10),IF(ISNUMBER(OFFSET($A$1,ROW()-1,9)),OFFSET($A$1,ROW()-1,9),IF(ISNUMBER(OFFSET($A$1,ROW()-1,8)),OFFSET($A$1,ROW()-1,8),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f>IF(NOT(AND($D246&lt;&gt;"",$V246="Macro")),"",IFERROR(CHOOSE(MATCH($D246,ListaPuestos,0),MATCH("[Jefatura] "&amp;$C246,'Cronograma R. Operacional'!$C$5:$C$1000,0),MATCH("[Jefatura] "&amp;$C246,'Cronograma R. Normativo'!$C$5:$C$1000,0),MATCH("[Jefatura] "&amp;$C246,'Cronograma R. Financiero'!$C$5:$C$1000,0),MATCH("[Jefatura] "&amp;$C246,'Cronograma Asistente Técnico'!$C$5:$C$1000,0)),0))</f>
        <v/>
      </c>
      <c r="AN246" s="62">
        <f>IF(AND(AND($D246&lt;&gt;"",$V246="Macro"),$S246=MesCiclo),COUNTIFS($D$5:$D246,$D246,$S$5:$S246,MesCiclo,$V$5:$V246,"Macro"),"")</f>
        <v/>
      </c>
      <c r="AO246" s="62">
        <f>IF($AN246="","",$D246&amp;"|"&amp;$AN246)</f>
        <v/>
      </c>
      <c r="AP246" s="62">
        <f>IF(AND($D246&lt;&gt;"",$V246="Macro"),$D246&amp;"|"&amp;$C246,"")</f>
        <v/>
      </c>
      <c r="AQ246" s="62">
        <f>""</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t="n"/>
      <c r="F247" s="59" t="n"/>
      <c r="G247" s="59" t="n"/>
      <c r="H247" s="60" t="n"/>
      <c r="I247" s="60">
        <f>IF(N($W247)=0,"",IF(AND($S247=MesCiclo,1&gt;SemanaActual),"",MIN(1,SUMIFS(OFFSET($A$1,ROW(),29,1000-ROW(),1),OFFSET($A$1,ROW(),20,1000-ROW(),1),ROW(),OFFSET($A$1,ROW(),21,1000-ROW(),1),"Sub"))))</f>
        <v/>
      </c>
      <c r="J247" s="60">
        <f>IF(N($W247)=0,"",IF(AND($S247=MesCiclo,2&gt;SemanaActual),"",MIN(1,SUMIFS(OFFSET($A$1,ROW(),30,1000-ROW(),1),OFFSET($A$1,ROW(),20,1000-ROW(),1),ROW(),OFFSET($A$1,ROW(),21,1000-ROW(),1),"Sub"))))</f>
        <v/>
      </c>
      <c r="K247" s="60">
        <f>IF(N($W247)=0,"",IF(AND($S247=MesCiclo,3&gt;SemanaActual),"",MIN(1,SUMIFS(OFFSET($A$1,ROW(),31,1000-ROW(),1),OFFSET($A$1,ROW(),20,1000-ROW(),1),ROW(),OFFSET($A$1,ROW(),21,1000-ROW(),1),"Sub"))))</f>
        <v/>
      </c>
      <c r="L247" s="60">
        <f>IF(N($W247)=0,"",IF(AND($S247=MesCiclo,4&gt;SemanaActual),"",MIN(1,SUMIFS(OFFSET($A$1,ROW(),32,1000-ROW(),1),OFFSET($A$1,ROW(),20,1000-ROW(),1),ROW(),OFFSET($A$1,ROW(),21,1000-ROW(),1),"Sub"))))</f>
        <v/>
      </c>
      <c r="M247" s="61">
        <f>IF(NOT((COUNTA($B247:$D247)+COUNTA($G247:$H247)+COUNTA($Q247))&gt;0),"",IF(AND($D247&lt;&gt;"",$V247="Macro"),IF(N($AM247)&gt;0,N(CHOOSE(MATCH($D247,ListaPuestos,0),INDEX('Cronograma R. Operacional'!$M$5:$M$1000,$AM247),INDEX('Cronograma R. Normativo'!$M$5:$M$1000,$AM247),INDEX('Cronograma R. Financiero'!$M$5:$M$1000,$AM247),INDEX('Cronograma Asistente Técnico'!$M$5:$M$1000,$AM247))),0),IF(ISNUMBER($G247),1,IF(N($W247)&gt;0,MIN(1,SUMIFS($Y$5:$Y$1000,$U$5:$U$1000,ROW(),$V$5:$V$1000,"Sub")),$Y247))))</f>
        <v/>
      </c>
      <c r="N247" s="56">
        <f>IF(OR($M247="",$V247="Sub"),"",IF($M247&gt;=1,"Completado",IF($M247&gt;0,"En curso","Pendiente")))</f>
        <v/>
      </c>
      <c r="O247" s="56">
        <f>IF(NOT((COUNTA($B247:$D247)+COUNTA($G247:$H247)+COUNTA($Q247))&gt;0),"",IF(AND(AND($D247&lt;&gt;"",$V247="Macro"),N($AM247)&gt;0),CHOOSE(MATCH($D247,ListaPuestos,0),INDEX('Cronograma R. Operacional'!$O$5:$O$1000,$AM247),INDEX('Cronograma R. Normativo'!$O$5:$O$1000,$AM247),INDEX('Cronograma R. Financiero'!$O$5:$O$1000,$AM247),INDEX('Cronograma Asistente Técnico'!$O$5:$O$1000,$AM247))&amp;"",IF(ISNUMBER($G247),IF(AND(ISNUMBER($AS247),$G247&gt;$AS247),"Cumplida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f>IF(NOT((COUNTA($B247:$D247)+COUNTA($G247:$H247)+COUNTA($Q247))&gt;0),"",IF($D247="","Propia",IF($V247&lt;&gt;"Macro","Solo se delegan macroactividades",IF(N($AM247)&gt;0,"✔ Recibida por "&amp;$D247,"⚠ "&amp;$D247&amp;" aún no la agrega"))))</f>
        <v/>
      </c>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IF($V247&lt;&gt;"Sub","",N($X247)*IF(AND(ISNUMBER($G247),$G247&lt;=IF($S247=MesCiclo,InicioCiclo,$S247+MOD(2-WEEKDAY($S247),7))+6),1,MIN(1,MAX(0,IF(ISNUMBER(OFFSET($A$1,ROW()-1,8)),OFFSET($A$1,ROW()-1,8),0)))))</f>
        <v/>
      </c>
      <c r="AE247" s="62">
        <f>IF($V247&lt;&gt;"Sub","",N($X247)*IF(AND(ISNUMBER($G247),$G247&lt;=IF($S247=MesCiclo,InicioCiclo,$S247+MOD(2-WEEKDAY($S247),7))+13),1,MIN(1,MAX(0,IF(ISNUMBER(OFFSET($A$1,ROW()-1,9)),OFFSET($A$1,ROW()-1,9),IF(ISNUMBER(OFFSET($A$1,ROW()-1,8)),OFFSET($A$1,ROW()-1,8),0))))))</f>
        <v/>
      </c>
      <c r="AF247" s="62">
        <f>IF($V247&lt;&gt;"Sub","",N($X247)*IF(AND(ISNUMBER($G247),$G247&lt;=IF($S247=MesCiclo,InicioCiclo,$S247+MOD(2-WEEKDAY($S247),7))+20),1,MIN(1,MAX(0,IF(ISNUMBER(OFFSET($A$1,ROW()-1,10)),OFFSET($A$1,ROW()-1,10),IF(ISNUMBER(OFFSET($A$1,ROW()-1,9)),OFFSET($A$1,ROW()-1,9),IF(ISNUMBER(OFFSET($A$1,ROW()-1,8)),OFFSET($A$1,ROW()-1,8),0)))))))</f>
        <v/>
      </c>
      <c r="AG247" s="62">
        <f>IF($V247&lt;&gt;"Sub","",N($X247)*IF(AND(ISNUMBER($G247),$G247&lt;=IF($S247=MesCiclo,InicioCiclo,$S247+MOD(2-WEEKDAY($S247),7))+27),1,MIN(1,MAX(0,IF(ISNUMBER(OFFSET($A$1,ROW()-1,11)),OFFSET($A$1,ROW()-1,11),IF(ISNUMBER(OFFSET($A$1,ROW()-1,10)),OFFSET($A$1,ROW()-1,10),IF(ISNUMBER(OFFSET($A$1,ROW()-1,9)),OFFSET($A$1,ROW()-1,9),IF(ISNUMBER(OFFSET($A$1,ROW()-1,8)),OFFSET($A$1,ROW()-1,8),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f>IF(NOT(AND($D247&lt;&gt;"",$V247="Macro")),"",IFERROR(CHOOSE(MATCH($D247,ListaPuestos,0),MATCH("[Jefatura] "&amp;$C247,'Cronograma R. Operacional'!$C$5:$C$1000,0),MATCH("[Jefatura] "&amp;$C247,'Cronograma R. Normativo'!$C$5:$C$1000,0),MATCH("[Jefatura] "&amp;$C247,'Cronograma R. Financiero'!$C$5:$C$1000,0),MATCH("[Jefatura] "&amp;$C247,'Cronograma Asistente Técnico'!$C$5:$C$1000,0)),0))</f>
        <v/>
      </c>
      <c r="AN247" s="62">
        <f>IF(AND(AND($D247&lt;&gt;"",$V247="Macro"),$S247=MesCiclo),COUNTIFS($D$5:$D247,$D247,$S$5:$S247,MesCiclo,$V$5:$V247,"Macro"),"")</f>
        <v/>
      </c>
      <c r="AO247" s="62">
        <f>IF($AN247="","",$D247&amp;"|"&amp;$AN247)</f>
        <v/>
      </c>
      <c r="AP247" s="62">
        <f>IF(AND($D247&lt;&gt;"",$V247="Macro"),$D247&amp;"|"&amp;$C247,"")</f>
        <v/>
      </c>
      <c r="AQ247" s="62">
        <f>""</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t="n"/>
      <c r="F248" s="59" t="n"/>
      <c r="G248" s="59" t="n"/>
      <c r="H248" s="60" t="n"/>
      <c r="I248" s="60">
        <f>IF(N($W248)=0,"",IF(AND($S248=MesCiclo,1&gt;SemanaActual),"",MIN(1,SUMIFS(OFFSET($A$1,ROW(),29,1000-ROW(),1),OFFSET($A$1,ROW(),20,1000-ROW(),1),ROW(),OFFSET($A$1,ROW(),21,1000-ROW(),1),"Sub"))))</f>
        <v/>
      </c>
      <c r="J248" s="60">
        <f>IF(N($W248)=0,"",IF(AND($S248=MesCiclo,2&gt;SemanaActual),"",MIN(1,SUMIFS(OFFSET($A$1,ROW(),30,1000-ROW(),1),OFFSET($A$1,ROW(),20,1000-ROW(),1),ROW(),OFFSET($A$1,ROW(),21,1000-ROW(),1),"Sub"))))</f>
        <v/>
      </c>
      <c r="K248" s="60">
        <f>IF(N($W248)=0,"",IF(AND($S248=MesCiclo,3&gt;SemanaActual),"",MIN(1,SUMIFS(OFFSET($A$1,ROW(),31,1000-ROW(),1),OFFSET($A$1,ROW(),20,1000-ROW(),1),ROW(),OFFSET($A$1,ROW(),21,1000-ROW(),1),"Sub"))))</f>
        <v/>
      </c>
      <c r="L248" s="60">
        <f>IF(N($W248)=0,"",IF(AND($S248=MesCiclo,4&gt;SemanaActual),"",MIN(1,SUMIFS(OFFSET($A$1,ROW(),32,1000-ROW(),1),OFFSET($A$1,ROW(),20,1000-ROW(),1),ROW(),OFFSET($A$1,ROW(),21,1000-ROW(),1),"Sub"))))</f>
        <v/>
      </c>
      <c r="M248" s="61">
        <f>IF(NOT((COUNTA($B248:$D248)+COUNTA($G248:$H248)+COUNTA($Q248))&gt;0),"",IF(AND($D248&lt;&gt;"",$V248="Macro"),IF(N($AM248)&gt;0,N(CHOOSE(MATCH($D248,ListaPuestos,0),INDEX('Cronograma R. Operacional'!$M$5:$M$1000,$AM248),INDEX('Cronograma R. Normativo'!$M$5:$M$1000,$AM248),INDEX('Cronograma R. Financiero'!$M$5:$M$1000,$AM248),INDEX('Cronograma Asistente Técnico'!$M$5:$M$1000,$AM248))),0),IF(ISNUMBER($G248),1,IF(N($W248)&gt;0,MIN(1,SUMIFS($Y$5:$Y$1000,$U$5:$U$1000,ROW(),$V$5:$V$1000,"Sub")),$Y248))))</f>
        <v/>
      </c>
      <c r="N248" s="56">
        <f>IF(OR($M248="",$V248="Sub"),"",IF($M248&gt;=1,"Completado",IF($M248&gt;0,"En curso","Pendiente")))</f>
        <v/>
      </c>
      <c r="O248" s="56">
        <f>IF(NOT((COUNTA($B248:$D248)+COUNTA($G248:$H248)+COUNTA($Q248))&gt;0),"",IF(AND(AND($D248&lt;&gt;"",$V248="Macro"),N($AM248)&gt;0),CHOOSE(MATCH($D248,ListaPuestos,0),INDEX('Cronograma R. Operacional'!$O$5:$O$1000,$AM248),INDEX('Cronograma R. Normativo'!$O$5:$O$1000,$AM248),INDEX('Cronograma R. Financiero'!$O$5:$O$1000,$AM248),INDEX('Cronograma Asistente Técnico'!$O$5:$O$1000,$AM248))&amp;"",IF(ISNUMBER($G248),IF(AND(ISNUMBER($AS248),$G248&gt;$AS248),"Cumplida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f>IF(NOT((COUNTA($B248:$D248)+COUNTA($G248:$H248)+COUNTA($Q248))&gt;0),"",IF($D248="","Propia",IF($V248&lt;&gt;"Macro","Solo se delegan macroactividades",IF(N($AM248)&gt;0,"✔ Recibida por "&amp;$D248,"⚠ "&amp;$D248&amp;" aún no la agrega"))))</f>
        <v/>
      </c>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IF($V248&lt;&gt;"Sub","",N($X248)*IF(AND(ISNUMBER($G248),$G248&lt;=IF($S248=MesCiclo,InicioCiclo,$S248+MOD(2-WEEKDAY($S248),7))+6),1,MIN(1,MAX(0,IF(ISNUMBER(OFFSET($A$1,ROW()-1,8)),OFFSET($A$1,ROW()-1,8),0)))))</f>
        <v/>
      </c>
      <c r="AE248" s="62">
        <f>IF($V248&lt;&gt;"Sub","",N($X248)*IF(AND(ISNUMBER($G248),$G248&lt;=IF($S248=MesCiclo,InicioCiclo,$S248+MOD(2-WEEKDAY($S248),7))+13),1,MIN(1,MAX(0,IF(ISNUMBER(OFFSET($A$1,ROW()-1,9)),OFFSET($A$1,ROW()-1,9),IF(ISNUMBER(OFFSET($A$1,ROW()-1,8)),OFFSET($A$1,ROW()-1,8),0))))))</f>
        <v/>
      </c>
      <c r="AF248" s="62">
        <f>IF($V248&lt;&gt;"Sub","",N($X248)*IF(AND(ISNUMBER($G248),$G248&lt;=IF($S248=MesCiclo,InicioCiclo,$S248+MOD(2-WEEKDAY($S248),7))+20),1,MIN(1,MAX(0,IF(ISNUMBER(OFFSET($A$1,ROW()-1,10)),OFFSET($A$1,ROW()-1,10),IF(ISNUMBER(OFFSET($A$1,ROW()-1,9)),OFFSET($A$1,ROW()-1,9),IF(ISNUMBER(OFFSET($A$1,ROW()-1,8)),OFFSET($A$1,ROW()-1,8),0)))))))</f>
        <v/>
      </c>
      <c r="AG248" s="62">
        <f>IF($V248&lt;&gt;"Sub","",N($X248)*IF(AND(ISNUMBER($G248),$G248&lt;=IF($S248=MesCiclo,InicioCiclo,$S248+MOD(2-WEEKDAY($S248),7))+27),1,MIN(1,MAX(0,IF(ISNUMBER(OFFSET($A$1,ROW()-1,11)),OFFSET($A$1,ROW()-1,11),IF(ISNUMBER(OFFSET($A$1,ROW()-1,10)),OFFSET($A$1,ROW()-1,10),IF(ISNUMBER(OFFSET($A$1,ROW()-1,9)),OFFSET($A$1,ROW()-1,9),IF(ISNUMBER(OFFSET($A$1,ROW()-1,8)),OFFSET($A$1,ROW()-1,8),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f>IF(NOT(AND($D248&lt;&gt;"",$V248="Macro")),"",IFERROR(CHOOSE(MATCH($D248,ListaPuestos,0),MATCH("[Jefatura] "&amp;$C248,'Cronograma R. Operacional'!$C$5:$C$1000,0),MATCH("[Jefatura] "&amp;$C248,'Cronograma R. Normativo'!$C$5:$C$1000,0),MATCH("[Jefatura] "&amp;$C248,'Cronograma R. Financiero'!$C$5:$C$1000,0),MATCH("[Jefatura] "&amp;$C248,'Cronograma Asistente Técnico'!$C$5:$C$1000,0)),0))</f>
        <v/>
      </c>
      <c r="AN248" s="62">
        <f>IF(AND(AND($D248&lt;&gt;"",$V248="Macro"),$S248=MesCiclo),COUNTIFS($D$5:$D248,$D248,$S$5:$S248,MesCiclo,$V$5:$V248,"Macro"),"")</f>
        <v/>
      </c>
      <c r="AO248" s="62">
        <f>IF($AN248="","",$D248&amp;"|"&amp;$AN248)</f>
        <v/>
      </c>
      <c r="AP248" s="62">
        <f>IF(AND($D248&lt;&gt;"",$V248="Macro"),$D248&amp;"|"&amp;$C248,"")</f>
        <v/>
      </c>
      <c r="AQ248" s="62">
        <f>""</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t="n"/>
      <c r="F249" s="59" t="n"/>
      <c r="G249" s="59" t="n"/>
      <c r="H249" s="60" t="n"/>
      <c r="I249" s="60">
        <f>IF(N($W249)=0,"",IF(AND($S249=MesCiclo,1&gt;SemanaActual),"",MIN(1,SUMIFS(OFFSET($A$1,ROW(),29,1000-ROW(),1),OFFSET($A$1,ROW(),20,1000-ROW(),1),ROW(),OFFSET($A$1,ROW(),21,1000-ROW(),1),"Sub"))))</f>
        <v/>
      </c>
      <c r="J249" s="60">
        <f>IF(N($W249)=0,"",IF(AND($S249=MesCiclo,2&gt;SemanaActual),"",MIN(1,SUMIFS(OFFSET($A$1,ROW(),30,1000-ROW(),1),OFFSET($A$1,ROW(),20,1000-ROW(),1),ROW(),OFFSET($A$1,ROW(),21,1000-ROW(),1),"Sub"))))</f>
        <v/>
      </c>
      <c r="K249" s="60">
        <f>IF(N($W249)=0,"",IF(AND($S249=MesCiclo,3&gt;SemanaActual),"",MIN(1,SUMIFS(OFFSET($A$1,ROW(),31,1000-ROW(),1),OFFSET($A$1,ROW(),20,1000-ROW(),1),ROW(),OFFSET($A$1,ROW(),21,1000-ROW(),1),"Sub"))))</f>
        <v/>
      </c>
      <c r="L249" s="60">
        <f>IF(N($W249)=0,"",IF(AND($S249=MesCiclo,4&gt;SemanaActual),"",MIN(1,SUMIFS(OFFSET($A$1,ROW(),32,1000-ROW(),1),OFFSET($A$1,ROW(),20,1000-ROW(),1),ROW(),OFFSET($A$1,ROW(),21,1000-ROW(),1),"Sub"))))</f>
        <v/>
      </c>
      <c r="M249" s="61">
        <f>IF(NOT((COUNTA($B249:$D249)+COUNTA($G249:$H249)+COUNTA($Q249))&gt;0),"",IF(AND($D249&lt;&gt;"",$V249="Macro"),IF(N($AM249)&gt;0,N(CHOOSE(MATCH($D249,ListaPuestos,0),INDEX('Cronograma R. Operacional'!$M$5:$M$1000,$AM249),INDEX('Cronograma R. Normativo'!$M$5:$M$1000,$AM249),INDEX('Cronograma R. Financiero'!$M$5:$M$1000,$AM249),INDEX('Cronograma Asistente Técnico'!$M$5:$M$1000,$AM249))),0),IF(ISNUMBER($G249),1,IF(N($W249)&gt;0,MIN(1,SUMIFS($Y$5:$Y$1000,$U$5:$U$1000,ROW(),$V$5:$V$1000,"Sub")),$Y249))))</f>
        <v/>
      </c>
      <c r="N249" s="56">
        <f>IF(OR($M249="",$V249="Sub"),"",IF($M249&gt;=1,"Completado",IF($M249&gt;0,"En curso","Pendiente")))</f>
        <v/>
      </c>
      <c r="O249" s="56">
        <f>IF(NOT((COUNTA($B249:$D249)+COUNTA($G249:$H249)+COUNTA($Q249))&gt;0),"",IF(AND(AND($D249&lt;&gt;"",$V249="Macro"),N($AM249)&gt;0),CHOOSE(MATCH($D249,ListaPuestos,0),INDEX('Cronograma R. Operacional'!$O$5:$O$1000,$AM249),INDEX('Cronograma R. Normativo'!$O$5:$O$1000,$AM249),INDEX('Cronograma R. Financiero'!$O$5:$O$1000,$AM249),INDEX('Cronograma Asistente Técnico'!$O$5:$O$1000,$AM249))&amp;"",IF(ISNUMBER($G249),IF(AND(ISNUMBER($AS249),$G249&gt;$AS249),"Cumplida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f>IF(NOT((COUNTA($B249:$D249)+COUNTA($G249:$H249)+COUNTA($Q249))&gt;0),"",IF($D249="","Propia",IF($V249&lt;&gt;"Macro","Solo se delegan macroactividades",IF(N($AM249)&gt;0,"✔ Recibida por "&amp;$D249,"⚠ "&amp;$D249&amp;" aún no la agrega"))))</f>
        <v/>
      </c>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IF($V249&lt;&gt;"Sub","",N($X249)*IF(AND(ISNUMBER($G249),$G249&lt;=IF($S249=MesCiclo,InicioCiclo,$S249+MOD(2-WEEKDAY($S249),7))+6),1,MIN(1,MAX(0,IF(ISNUMBER(OFFSET($A$1,ROW()-1,8)),OFFSET($A$1,ROW()-1,8),0)))))</f>
        <v/>
      </c>
      <c r="AE249" s="62">
        <f>IF($V249&lt;&gt;"Sub","",N($X249)*IF(AND(ISNUMBER($G249),$G249&lt;=IF($S249=MesCiclo,InicioCiclo,$S249+MOD(2-WEEKDAY($S249),7))+13),1,MIN(1,MAX(0,IF(ISNUMBER(OFFSET($A$1,ROW()-1,9)),OFFSET($A$1,ROW()-1,9),IF(ISNUMBER(OFFSET($A$1,ROW()-1,8)),OFFSET($A$1,ROW()-1,8),0))))))</f>
        <v/>
      </c>
      <c r="AF249" s="62">
        <f>IF($V249&lt;&gt;"Sub","",N($X249)*IF(AND(ISNUMBER($G249),$G249&lt;=IF($S249=MesCiclo,InicioCiclo,$S249+MOD(2-WEEKDAY($S249),7))+20),1,MIN(1,MAX(0,IF(ISNUMBER(OFFSET($A$1,ROW()-1,10)),OFFSET($A$1,ROW()-1,10),IF(ISNUMBER(OFFSET($A$1,ROW()-1,9)),OFFSET($A$1,ROW()-1,9),IF(ISNUMBER(OFFSET($A$1,ROW()-1,8)),OFFSET($A$1,ROW()-1,8),0)))))))</f>
        <v/>
      </c>
      <c r="AG249" s="62">
        <f>IF($V249&lt;&gt;"Sub","",N($X249)*IF(AND(ISNUMBER($G249),$G249&lt;=IF($S249=MesCiclo,InicioCiclo,$S249+MOD(2-WEEKDAY($S249),7))+27),1,MIN(1,MAX(0,IF(ISNUMBER(OFFSET($A$1,ROW()-1,11)),OFFSET($A$1,ROW()-1,11),IF(ISNUMBER(OFFSET($A$1,ROW()-1,10)),OFFSET($A$1,ROW()-1,10),IF(ISNUMBER(OFFSET($A$1,ROW()-1,9)),OFFSET($A$1,ROW()-1,9),IF(ISNUMBER(OFFSET($A$1,ROW()-1,8)),OFFSET($A$1,ROW()-1,8),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f>IF(NOT(AND($D249&lt;&gt;"",$V249="Macro")),"",IFERROR(CHOOSE(MATCH($D249,ListaPuestos,0),MATCH("[Jefatura] "&amp;$C249,'Cronograma R. Operacional'!$C$5:$C$1000,0),MATCH("[Jefatura] "&amp;$C249,'Cronograma R. Normativo'!$C$5:$C$1000,0),MATCH("[Jefatura] "&amp;$C249,'Cronograma R. Financiero'!$C$5:$C$1000,0),MATCH("[Jefatura] "&amp;$C249,'Cronograma Asistente Técnico'!$C$5:$C$1000,0)),0))</f>
        <v/>
      </c>
      <c r="AN249" s="62">
        <f>IF(AND(AND($D249&lt;&gt;"",$V249="Macro"),$S249=MesCiclo),COUNTIFS($D$5:$D249,$D249,$S$5:$S249,MesCiclo,$V$5:$V249,"Macro"),"")</f>
        <v/>
      </c>
      <c r="AO249" s="62">
        <f>IF($AN249="","",$D249&amp;"|"&amp;$AN249)</f>
        <v/>
      </c>
      <c r="AP249" s="62">
        <f>IF(AND($D249&lt;&gt;"",$V249="Macro"),$D249&amp;"|"&amp;$C249,"")</f>
        <v/>
      </c>
      <c r="AQ249" s="62">
        <f>""</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t="n"/>
      <c r="F250" s="59" t="n"/>
      <c r="G250" s="59" t="n"/>
      <c r="H250" s="60" t="n"/>
      <c r="I250" s="60">
        <f>IF(N($W250)=0,"",IF(AND($S250=MesCiclo,1&gt;SemanaActual),"",MIN(1,SUMIFS(OFFSET($A$1,ROW(),29,1000-ROW(),1),OFFSET($A$1,ROW(),20,1000-ROW(),1),ROW(),OFFSET($A$1,ROW(),21,1000-ROW(),1),"Sub"))))</f>
        <v/>
      </c>
      <c r="J250" s="60">
        <f>IF(N($W250)=0,"",IF(AND($S250=MesCiclo,2&gt;SemanaActual),"",MIN(1,SUMIFS(OFFSET($A$1,ROW(),30,1000-ROW(),1),OFFSET($A$1,ROW(),20,1000-ROW(),1),ROW(),OFFSET($A$1,ROW(),21,1000-ROW(),1),"Sub"))))</f>
        <v/>
      </c>
      <c r="K250" s="60">
        <f>IF(N($W250)=0,"",IF(AND($S250=MesCiclo,3&gt;SemanaActual),"",MIN(1,SUMIFS(OFFSET($A$1,ROW(),31,1000-ROW(),1),OFFSET($A$1,ROW(),20,1000-ROW(),1),ROW(),OFFSET($A$1,ROW(),21,1000-ROW(),1),"Sub"))))</f>
        <v/>
      </c>
      <c r="L250" s="60">
        <f>IF(N($W250)=0,"",IF(AND($S250=MesCiclo,4&gt;SemanaActual),"",MIN(1,SUMIFS(OFFSET($A$1,ROW(),32,1000-ROW(),1),OFFSET($A$1,ROW(),20,1000-ROW(),1),ROW(),OFFSET($A$1,ROW(),21,1000-ROW(),1),"Sub"))))</f>
        <v/>
      </c>
      <c r="M250" s="61">
        <f>IF(NOT((COUNTA($B250:$D250)+COUNTA($G250:$H250)+COUNTA($Q250))&gt;0),"",IF(AND($D250&lt;&gt;"",$V250="Macro"),IF(N($AM250)&gt;0,N(CHOOSE(MATCH($D250,ListaPuestos,0),INDEX('Cronograma R. Operacional'!$M$5:$M$1000,$AM250),INDEX('Cronograma R. Normativo'!$M$5:$M$1000,$AM250),INDEX('Cronograma R. Financiero'!$M$5:$M$1000,$AM250),INDEX('Cronograma Asistente Técnico'!$M$5:$M$1000,$AM250))),0),IF(ISNUMBER($G250),1,IF(N($W250)&gt;0,MIN(1,SUMIFS($Y$5:$Y$1000,$U$5:$U$1000,ROW(),$V$5:$V$1000,"Sub")),$Y250))))</f>
        <v/>
      </c>
      <c r="N250" s="56">
        <f>IF(OR($M250="",$V250="Sub"),"",IF($M250&gt;=1,"Completado",IF($M250&gt;0,"En curso","Pendiente")))</f>
        <v/>
      </c>
      <c r="O250" s="56">
        <f>IF(NOT((COUNTA($B250:$D250)+COUNTA($G250:$H250)+COUNTA($Q250))&gt;0),"",IF(AND(AND($D250&lt;&gt;"",$V250="Macro"),N($AM250)&gt;0),CHOOSE(MATCH($D250,ListaPuestos,0),INDEX('Cronograma R. Operacional'!$O$5:$O$1000,$AM250),INDEX('Cronograma R. Normativo'!$O$5:$O$1000,$AM250),INDEX('Cronograma R. Financiero'!$O$5:$O$1000,$AM250),INDEX('Cronograma Asistente Técnico'!$O$5:$O$1000,$AM250))&amp;"",IF(ISNUMBER($G250),IF(AND(ISNUMBER($AS250),$G250&gt;$AS250),"Cumplida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f>IF(NOT((COUNTA($B250:$D250)+COUNTA($G250:$H250)+COUNTA($Q250))&gt;0),"",IF($D250="","Propia",IF($V250&lt;&gt;"Macro","Solo se delegan macroactividades",IF(N($AM250)&gt;0,"✔ Recibida por "&amp;$D250,"⚠ "&amp;$D250&amp;" aún no la agrega"))))</f>
        <v/>
      </c>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IF($V250&lt;&gt;"Sub","",N($X250)*IF(AND(ISNUMBER($G250),$G250&lt;=IF($S250=MesCiclo,InicioCiclo,$S250+MOD(2-WEEKDAY($S250),7))+6),1,MIN(1,MAX(0,IF(ISNUMBER(OFFSET($A$1,ROW()-1,8)),OFFSET($A$1,ROW()-1,8),0)))))</f>
        <v/>
      </c>
      <c r="AE250" s="62">
        <f>IF($V250&lt;&gt;"Sub","",N($X250)*IF(AND(ISNUMBER($G250),$G250&lt;=IF($S250=MesCiclo,InicioCiclo,$S250+MOD(2-WEEKDAY($S250),7))+13),1,MIN(1,MAX(0,IF(ISNUMBER(OFFSET($A$1,ROW()-1,9)),OFFSET($A$1,ROW()-1,9),IF(ISNUMBER(OFFSET($A$1,ROW()-1,8)),OFFSET($A$1,ROW()-1,8),0))))))</f>
        <v/>
      </c>
      <c r="AF250" s="62">
        <f>IF($V250&lt;&gt;"Sub","",N($X250)*IF(AND(ISNUMBER($G250),$G250&lt;=IF($S250=MesCiclo,InicioCiclo,$S250+MOD(2-WEEKDAY($S250),7))+20),1,MIN(1,MAX(0,IF(ISNUMBER(OFFSET($A$1,ROW()-1,10)),OFFSET($A$1,ROW()-1,10),IF(ISNUMBER(OFFSET($A$1,ROW()-1,9)),OFFSET($A$1,ROW()-1,9),IF(ISNUMBER(OFFSET($A$1,ROW()-1,8)),OFFSET($A$1,ROW()-1,8),0)))))))</f>
        <v/>
      </c>
      <c r="AG250" s="62">
        <f>IF($V250&lt;&gt;"Sub","",N($X250)*IF(AND(ISNUMBER($G250),$G250&lt;=IF($S250=MesCiclo,InicioCiclo,$S250+MOD(2-WEEKDAY($S250),7))+27),1,MIN(1,MAX(0,IF(ISNUMBER(OFFSET($A$1,ROW()-1,11)),OFFSET($A$1,ROW()-1,11),IF(ISNUMBER(OFFSET($A$1,ROW()-1,10)),OFFSET($A$1,ROW()-1,10),IF(ISNUMBER(OFFSET($A$1,ROW()-1,9)),OFFSET($A$1,ROW()-1,9),IF(ISNUMBER(OFFSET($A$1,ROW()-1,8)),OFFSET($A$1,ROW()-1,8),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f>IF(NOT(AND($D250&lt;&gt;"",$V250="Macro")),"",IFERROR(CHOOSE(MATCH($D250,ListaPuestos,0),MATCH("[Jefatura] "&amp;$C250,'Cronograma R. Operacional'!$C$5:$C$1000,0),MATCH("[Jefatura] "&amp;$C250,'Cronograma R. Normativo'!$C$5:$C$1000,0),MATCH("[Jefatura] "&amp;$C250,'Cronograma R. Financiero'!$C$5:$C$1000,0),MATCH("[Jefatura] "&amp;$C250,'Cronograma Asistente Técnico'!$C$5:$C$1000,0)),0))</f>
        <v/>
      </c>
      <c r="AN250" s="62">
        <f>IF(AND(AND($D250&lt;&gt;"",$V250="Macro"),$S250=MesCiclo),COUNTIFS($D$5:$D250,$D250,$S$5:$S250,MesCiclo,$V$5:$V250,"Macro"),"")</f>
        <v/>
      </c>
      <c r="AO250" s="62">
        <f>IF($AN250="","",$D250&amp;"|"&amp;$AN250)</f>
        <v/>
      </c>
      <c r="AP250" s="62">
        <f>IF(AND($D250&lt;&gt;"",$V250="Macro"),$D250&amp;"|"&amp;$C250,"")</f>
        <v/>
      </c>
      <c r="AQ250" s="62">
        <f>""</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t="n"/>
      <c r="F251" s="59" t="n"/>
      <c r="G251" s="59" t="n"/>
      <c r="H251" s="60" t="n"/>
      <c r="I251" s="60">
        <f>IF(N($W251)=0,"",IF(AND($S251=MesCiclo,1&gt;SemanaActual),"",MIN(1,SUMIFS(OFFSET($A$1,ROW(),29,1000-ROW(),1),OFFSET($A$1,ROW(),20,1000-ROW(),1),ROW(),OFFSET($A$1,ROW(),21,1000-ROW(),1),"Sub"))))</f>
        <v/>
      </c>
      <c r="J251" s="60">
        <f>IF(N($W251)=0,"",IF(AND($S251=MesCiclo,2&gt;SemanaActual),"",MIN(1,SUMIFS(OFFSET($A$1,ROW(),30,1000-ROW(),1),OFFSET($A$1,ROW(),20,1000-ROW(),1),ROW(),OFFSET($A$1,ROW(),21,1000-ROW(),1),"Sub"))))</f>
        <v/>
      </c>
      <c r="K251" s="60">
        <f>IF(N($W251)=0,"",IF(AND($S251=MesCiclo,3&gt;SemanaActual),"",MIN(1,SUMIFS(OFFSET($A$1,ROW(),31,1000-ROW(),1),OFFSET($A$1,ROW(),20,1000-ROW(),1),ROW(),OFFSET($A$1,ROW(),21,1000-ROW(),1),"Sub"))))</f>
        <v/>
      </c>
      <c r="L251" s="60">
        <f>IF(N($W251)=0,"",IF(AND($S251=MesCiclo,4&gt;SemanaActual),"",MIN(1,SUMIFS(OFFSET($A$1,ROW(),32,1000-ROW(),1),OFFSET($A$1,ROW(),20,1000-ROW(),1),ROW(),OFFSET($A$1,ROW(),21,1000-ROW(),1),"Sub"))))</f>
        <v/>
      </c>
      <c r="M251" s="61">
        <f>IF(NOT((COUNTA($B251:$D251)+COUNTA($G251:$H251)+COUNTA($Q251))&gt;0),"",IF(AND($D251&lt;&gt;"",$V251="Macro"),IF(N($AM251)&gt;0,N(CHOOSE(MATCH($D251,ListaPuestos,0),INDEX('Cronograma R. Operacional'!$M$5:$M$1000,$AM251),INDEX('Cronograma R. Normativo'!$M$5:$M$1000,$AM251),INDEX('Cronograma R. Financiero'!$M$5:$M$1000,$AM251),INDEX('Cronograma Asistente Técnico'!$M$5:$M$1000,$AM251))),0),IF(ISNUMBER($G251),1,IF(N($W251)&gt;0,MIN(1,SUMIFS($Y$5:$Y$1000,$U$5:$U$1000,ROW(),$V$5:$V$1000,"Sub")),$Y251))))</f>
        <v/>
      </c>
      <c r="N251" s="56">
        <f>IF(OR($M251="",$V251="Sub"),"",IF($M251&gt;=1,"Completado",IF($M251&gt;0,"En curso","Pendiente")))</f>
        <v/>
      </c>
      <c r="O251" s="56">
        <f>IF(NOT((COUNTA($B251:$D251)+COUNTA($G251:$H251)+COUNTA($Q251))&gt;0),"",IF(AND(AND($D251&lt;&gt;"",$V251="Macro"),N($AM251)&gt;0),CHOOSE(MATCH($D251,ListaPuestos,0),INDEX('Cronograma R. Operacional'!$O$5:$O$1000,$AM251),INDEX('Cronograma R. Normativo'!$O$5:$O$1000,$AM251),INDEX('Cronograma R. Financiero'!$O$5:$O$1000,$AM251),INDEX('Cronograma Asistente Técnico'!$O$5:$O$1000,$AM251))&amp;"",IF(ISNUMBER($G251),IF(AND(ISNUMBER($AS251),$G251&gt;$AS251),"Cumplida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f>IF(NOT((COUNTA($B251:$D251)+COUNTA($G251:$H251)+COUNTA($Q251))&gt;0),"",IF($D251="","Propia",IF($V251&lt;&gt;"Macro","Solo se delegan macroactividades",IF(N($AM251)&gt;0,"✔ Recibida por "&amp;$D251,"⚠ "&amp;$D251&amp;" aún no la agrega"))))</f>
        <v/>
      </c>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IF($V251&lt;&gt;"Sub","",N($X251)*IF(AND(ISNUMBER($G251),$G251&lt;=IF($S251=MesCiclo,InicioCiclo,$S251+MOD(2-WEEKDAY($S251),7))+6),1,MIN(1,MAX(0,IF(ISNUMBER(OFFSET($A$1,ROW()-1,8)),OFFSET($A$1,ROW()-1,8),0)))))</f>
        <v/>
      </c>
      <c r="AE251" s="62">
        <f>IF($V251&lt;&gt;"Sub","",N($X251)*IF(AND(ISNUMBER($G251),$G251&lt;=IF($S251=MesCiclo,InicioCiclo,$S251+MOD(2-WEEKDAY($S251),7))+13),1,MIN(1,MAX(0,IF(ISNUMBER(OFFSET($A$1,ROW()-1,9)),OFFSET($A$1,ROW()-1,9),IF(ISNUMBER(OFFSET($A$1,ROW()-1,8)),OFFSET($A$1,ROW()-1,8),0))))))</f>
        <v/>
      </c>
      <c r="AF251" s="62">
        <f>IF($V251&lt;&gt;"Sub","",N($X251)*IF(AND(ISNUMBER($G251),$G251&lt;=IF($S251=MesCiclo,InicioCiclo,$S251+MOD(2-WEEKDAY($S251),7))+20),1,MIN(1,MAX(0,IF(ISNUMBER(OFFSET($A$1,ROW()-1,10)),OFFSET($A$1,ROW()-1,10),IF(ISNUMBER(OFFSET($A$1,ROW()-1,9)),OFFSET($A$1,ROW()-1,9),IF(ISNUMBER(OFFSET($A$1,ROW()-1,8)),OFFSET($A$1,ROW()-1,8),0)))))))</f>
        <v/>
      </c>
      <c r="AG251" s="62">
        <f>IF($V251&lt;&gt;"Sub","",N($X251)*IF(AND(ISNUMBER($G251),$G251&lt;=IF($S251=MesCiclo,InicioCiclo,$S251+MOD(2-WEEKDAY($S251),7))+27),1,MIN(1,MAX(0,IF(ISNUMBER(OFFSET($A$1,ROW()-1,11)),OFFSET($A$1,ROW()-1,11),IF(ISNUMBER(OFFSET($A$1,ROW()-1,10)),OFFSET($A$1,ROW()-1,10),IF(ISNUMBER(OFFSET($A$1,ROW()-1,9)),OFFSET($A$1,ROW()-1,9),IF(ISNUMBER(OFFSET($A$1,ROW()-1,8)),OFFSET($A$1,ROW()-1,8),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f>IF(NOT(AND($D251&lt;&gt;"",$V251="Macro")),"",IFERROR(CHOOSE(MATCH($D251,ListaPuestos,0),MATCH("[Jefatura] "&amp;$C251,'Cronograma R. Operacional'!$C$5:$C$1000,0),MATCH("[Jefatura] "&amp;$C251,'Cronograma R. Normativo'!$C$5:$C$1000,0),MATCH("[Jefatura] "&amp;$C251,'Cronograma R. Financiero'!$C$5:$C$1000,0),MATCH("[Jefatura] "&amp;$C251,'Cronograma Asistente Técnico'!$C$5:$C$1000,0)),0))</f>
        <v/>
      </c>
      <c r="AN251" s="62">
        <f>IF(AND(AND($D251&lt;&gt;"",$V251="Macro"),$S251=MesCiclo),COUNTIFS($D$5:$D251,$D251,$S$5:$S251,MesCiclo,$V$5:$V251,"Macro"),"")</f>
        <v/>
      </c>
      <c r="AO251" s="62">
        <f>IF($AN251="","",$D251&amp;"|"&amp;$AN251)</f>
        <v/>
      </c>
      <c r="AP251" s="62">
        <f>IF(AND($D251&lt;&gt;"",$V251="Macro"),$D251&amp;"|"&amp;$C251,"")</f>
        <v/>
      </c>
      <c r="AQ251" s="62">
        <f>""</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t="n"/>
      <c r="F252" s="59" t="n"/>
      <c r="G252" s="59" t="n"/>
      <c r="H252" s="60" t="n"/>
      <c r="I252" s="60">
        <f>IF(N($W252)=0,"",IF(AND($S252=MesCiclo,1&gt;SemanaActual),"",MIN(1,SUMIFS(OFFSET($A$1,ROW(),29,1000-ROW(),1),OFFSET($A$1,ROW(),20,1000-ROW(),1),ROW(),OFFSET($A$1,ROW(),21,1000-ROW(),1),"Sub"))))</f>
        <v/>
      </c>
      <c r="J252" s="60">
        <f>IF(N($W252)=0,"",IF(AND($S252=MesCiclo,2&gt;SemanaActual),"",MIN(1,SUMIFS(OFFSET($A$1,ROW(),30,1000-ROW(),1),OFFSET($A$1,ROW(),20,1000-ROW(),1),ROW(),OFFSET($A$1,ROW(),21,1000-ROW(),1),"Sub"))))</f>
        <v/>
      </c>
      <c r="K252" s="60">
        <f>IF(N($W252)=0,"",IF(AND($S252=MesCiclo,3&gt;SemanaActual),"",MIN(1,SUMIFS(OFFSET($A$1,ROW(),31,1000-ROW(),1),OFFSET($A$1,ROW(),20,1000-ROW(),1),ROW(),OFFSET($A$1,ROW(),21,1000-ROW(),1),"Sub"))))</f>
        <v/>
      </c>
      <c r="L252" s="60">
        <f>IF(N($W252)=0,"",IF(AND($S252=MesCiclo,4&gt;SemanaActual),"",MIN(1,SUMIFS(OFFSET($A$1,ROW(),32,1000-ROW(),1),OFFSET($A$1,ROW(),20,1000-ROW(),1),ROW(),OFFSET($A$1,ROW(),21,1000-ROW(),1),"Sub"))))</f>
        <v/>
      </c>
      <c r="M252" s="61">
        <f>IF(NOT((COUNTA($B252:$D252)+COUNTA($G252:$H252)+COUNTA($Q252))&gt;0),"",IF(AND($D252&lt;&gt;"",$V252="Macro"),IF(N($AM252)&gt;0,N(CHOOSE(MATCH($D252,ListaPuestos,0),INDEX('Cronograma R. Operacional'!$M$5:$M$1000,$AM252),INDEX('Cronograma R. Normativo'!$M$5:$M$1000,$AM252),INDEX('Cronograma R. Financiero'!$M$5:$M$1000,$AM252),INDEX('Cronograma Asistente Técnico'!$M$5:$M$1000,$AM252))),0),IF(ISNUMBER($G252),1,IF(N($W252)&gt;0,MIN(1,SUMIFS($Y$5:$Y$1000,$U$5:$U$1000,ROW(),$V$5:$V$1000,"Sub")),$Y252))))</f>
        <v/>
      </c>
      <c r="N252" s="56">
        <f>IF(OR($M252="",$V252="Sub"),"",IF($M252&gt;=1,"Completado",IF($M252&gt;0,"En curso","Pendiente")))</f>
        <v/>
      </c>
      <c r="O252" s="56">
        <f>IF(NOT((COUNTA($B252:$D252)+COUNTA($G252:$H252)+COUNTA($Q252))&gt;0),"",IF(AND(AND($D252&lt;&gt;"",$V252="Macro"),N($AM252)&gt;0),CHOOSE(MATCH($D252,ListaPuestos,0),INDEX('Cronograma R. Operacional'!$O$5:$O$1000,$AM252),INDEX('Cronograma R. Normativo'!$O$5:$O$1000,$AM252),INDEX('Cronograma R. Financiero'!$O$5:$O$1000,$AM252),INDEX('Cronograma Asistente Técnico'!$O$5:$O$1000,$AM252))&amp;"",IF(ISNUMBER($G252),IF(AND(ISNUMBER($AS252),$G252&gt;$AS252),"Cumplida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f>IF(NOT((COUNTA($B252:$D252)+COUNTA($G252:$H252)+COUNTA($Q252))&gt;0),"",IF($D252="","Propia",IF($V252&lt;&gt;"Macro","Solo se delegan macroactividades",IF(N($AM252)&gt;0,"✔ Recibida por "&amp;$D252,"⚠ "&amp;$D252&amp;" aún no la agrega"))))</f>
        <v/>
      </c>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IF($V252&lt;&gt;"Sub","",N($X252)*IF(AND(ISNUMBER($G252),$G252&lt;=IF($S252=MesCiclo,InicioCiclo,$S252+MOD(2-WEEKDAY($S252),7))+6),1,MIN(1,MAX(0,IF(ISNUMBER(OFFSET($A$1,ROW()-1,8)),OFFSET($A$1,ROW()-1,8),0)))))</f>
        <v/>
      </c>
      <c r="AE252" s="62">
        <f>IF($V252&lt;&gt;"Sub","",N($X252)*IF(AND(ISNUMBER($G252),$G252&lt;=IF($S252=MesCiclo,InicioCiclo,$S252+MOD(2-WEEKDAY($S252),7))+13),1,MIN(1,MAX(0,IF(ISNUMBER(OFFSET($A$1,ROW()-1,9)),OFFSET($A$1,ROW()-1,9),IF(ISNUMBER(OFFSET($A$1,ROW()-1,8)),OFFSET($A$1,ROW()-1,8),0))))))</f>
        <v/>
      </c>
      <c r="AF252" s="62">
        <f>IF($V252&lt;&gt;"Sub","",N($X252)*IF(AND(ISNUMBER($G252),$G252&lt;=IF($S252=MesCiclo,InicioCiclo,$S252+MOD(2-WEEKDAY($S252),7))+20),1,MIN(1,MAX(0,IF(ISNUMBER(OFFSET($A$1,ROW()-1,10)),OFFSET($A$1,ROW()-1,10),IF(ISNUMBER(OFFSET($A$1,ROW()-1,9)),OFFSET($A$1,ROW()-1,9),IF(ISNUMBER(OFFSET($A$1,ROW()-1,8)),OFFSET($A$1,ROW()-1,8),0)))))))</f>
        <v/>
      </c>
      <c r="AG252" s="62">
        <f>IF($V252&lt;&gt;"Sub","",N($X252)*IF(AND(ISNUMBER($G252),$G252&lt;=IF($S252=MesCiclo,InicioCiclo,$S252+MOD(2-WEEKDAY($S252),7))+27),1,MIN(1,MAX(0,IF(ISNUMBER(OFFSET($A$1,ROW()-1,11)),OFFSET($A$1,ROW()-1,11),IF(ISNUMBER(OFFSET($A$1,ROW()-1,10)),OFFSET($A$1,ROW()-1,10),IF(ISNUMBER(OFFSET($A$1,ROW()-1,9)),OFFSET($A$1,ROW()-1,9),IF(ISNUMBER(OFFSET($A$1,ROW()-1,8)),OFFSET($A$1,ROW()-1,8),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f>IF(NOT(AND($D252&lt;&gt;"",$V252="Macro")),"",IFERROR(CHOOSE(MATCH($D252,ListaPuestos,0),MATCH("[Jefatura] "&amp;$C252,'Cronograma R. Operacional'!$C$5:$C$1000,0),MATCH("[Jefatura] "&amp;$C252,'Cronograma R. Normativo'!$C$5:$C$1000,0),MATCH("[Jefatura] "&amp;$C252,'Cronograma R. Financiero'!$C$5:$C$1000,0),MATCH("[Jefatura] "&amp;$C252,'Cronograma Asistente Técnico'!$C$5:$C$1000,0)),0))</f>
        <v/>
      </c>
      <c r="AN252" s="62">
        <f>IF(AND(AND($D252&lt;&gt;"",$V252="Macro"),$S252=MesCiclo),COUNTIFS($D$5:$D252,$D252,$S$5:$S252,MesCiclo,$V$5:$V252,"Macro"),"")</f>
        <v/>
      </c>
      <c r="AO252" s="62">
        <f>IF($AN252="","",$D252&amp;"|"&amp;$AN252)</f>
        <v/>
      </c>
      <c r="AP252" s="62">
        <f>IF(AND($D252&lt;&gt;"",$V252="Macro"),$D252&amp;"|"&amp;$C252,"")</f>
        <v/>
      </c>
      <c r="AQ252" s="62">
        <f>""</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t="n"/>
      <c r="F253" s="59" t="n"/>
      <c r="G253" s="59" t="n"/>
      <c r="H253" s="60" t="n"/>
      <c r="I253" s="60">
        <f>IF(N($W253)=0,"",IF(AND($S253=MesCiclo,1&gt;SemanaActual),"",MIN(1,SUMIFS(OFFSET($A$1,ROW(),29,1000-ROW(),1),OFFSET($A$1,ROW(),20,1000-ROW(),1),ROW(),OFFSET($A$1,ROW(),21,1000-ROW(),1),"Sub"))))</f>
        <v/>
      </c>
      <c r="J253" s="60">
        <f>IF(N($W253)=0,"",IF(AND($S253=MesCiclo,2&gt;SemanaActual),"",MIN(1,SUMIFS(OFFSET($A$1,ROW(),30,1000-ROW(),1),OFFSET($A$1,ROW(),20,1000-ROW(),1),ROW(),OFFSET($A$1,ROW(),21,1000-ROW(),1),"Sub"))))</f>
        <v/>
      </c>
      <c r="K253" s="60">
        <f>IF(N($W253)=0,"",IF(AND($S253=MesCiclo,3&gt;SemanaActual),"",MIN(1,SUMIFS(OFFSET($A$1,ROW(),31,1000-ROW(),1),OFFSET($A$1,ROW(),20,1000-ROW(),1),ROW(),OFFSET($A$1,ROW(),21,1000-ROW(),1),"Sub"))))</f>
        <v/>
      </c>
      <c r="L253" s="60">
        <f>IF(N($W253)=0,"",IF(AND($S253=MesCiclo,4&gt;SemanaActual),"",MIN(1,SUMIFS(OFFSET($A$1,ROW(),32,1000-ROW(),1),OFFSET($A$1,ROW(),20,1000-ROW(),1),ROW(),OFFSET($A$1,ROW(),21,1000-ROW(),1),"Sub"))))</f>
        <v/>
      </c>
      <c r="M253" s="61">
        <f>IF(NOT((COUNTA($B253:$D253)+COUNTA($G253:$H253)+COUNTA($Q253))&gt;0),"",IF(AND($D253&lt;&gt;"",$V253="Macro"),IF(N($AM253)&gt;0,N(CHOOSE(MATCH($D253,ListaPuestos,0),INDEX('Cronograma R. Operacional'!$M$5:$M$1000,$AM253),INDEX('Cronograma R. Normativo'!$M$5:$M$1000,$AM253),INDEX('Cronograma R. Financiero'!$M$5:$M$1000,$AM253),INDEX('Cronograma Asistente Técnico'!$M$5:$M$1000,$AM253))),0),IF(ISNUMBER($G253),1,IF(N($W253)&gt;0,MIN(1,SUMIFS($Y$5:$Y$1000,$U$5:$U$1000,ROW(),$V$5:$V$1000,"Sub")),$Y253))))</f>
        <v/>
      </c>
      <c r="N253" s="56">
        <f>IF(OR($M253="",$V253="Sub"),"",IF($M253&gt;=1,"Completado",IF($M253&gt;0,"En curso","Pendiente")))</f>
        <v/>
      </c>
      <c r="O253" s="56">
        <f>IF(NOT((COUNTA($B253:$D253)+COUNTA($G253:$H253)+COUNTA($Q253))&gt;0),"",IF(AND(AND($D253&lt;&gt;"",$V253="Macro"),N($AM253)&gt;0),CHOOSE(MATCH($D253,ListaPuestos,0),INDEX('Cronograma R. Operacional'!$O$5:$O$1000,$AM253),INDEX('Cronograma R. Normativo'!$O$5:$O$1000,$AM253),INDEX('Cronograma R. Financiero'!$O$5:$O$1000,$AM253),INDEX('Cronograma Asistente Técnico'!$O$5:$O$1000,$AM253))&amp;"",IF(ISNUMBER($G253),IF(AND(ISNUMBER($AS253),$G253&gt;$AS253),"Cumplida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f>IF(NOT((COUNTA($B253:$D253)+COUNTA($G253:$H253)+COUNTA($Q253))&gt;0),"",IF($D253="","Propia",IF($V253&lt;&gt;"Macro","Solo se delegan macroactividades",IF(N($AM253)&gt;0,"✔ Recibida por "&amp;$D253,"⚠ "&amp;$D253&amp;" aún no la agrega"))))</f>
        <v/>
      </c>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IF($V253&lt;&gt;"Sub","",N($X253)*IF(AND(ISNUMBER($G253),$G253&lt;=IF($S253=MesCiclo,InicioCiclo,$S253+MOD(2-WEEKDAY($S253),7))+6),1,MIN(1,MAX(0,IF(ISNUMBER(OFFSET($A$1,ROW()-1,8)),OFFSET($A$1,ROW()-1,8),0)))))</f>
        <v/>
      </c>
      <c r="AE253" s="62">
        <f>IF($V253&lt;&gt;"Sub","",N($X253)*IF(AND(ISNUMBER($G253),$G253&lt;=IF($S253=MesCiclo,InicioCiclo,$S253+MOD(2-WEEKDAY($S253),7))+13),1,MIN(1,MAX(0,IF(ISNUMBER(OFFSET($A$1,ROW()-1,9)),OFFSET($A$1,ROW()-1,9),IF(ISNUMBER(OFFSET($A$1,ROW()-1,8)),OFFSET($A$1,ROW()-1,8),0))))))</f>
        <v/>
      </c>
      <c r="AF253" s="62">
        <f>IF($V253&lt;&gt;"Sub","",N($X253)*IF(AND(ISNUMBER($G253),$G253&lt;=IF($S253=MesCiclo,InicioCiclo,$S253+MOD(2-WEEKDAY($S253),7))+20),1,MIN(1,MAX(0,IF(ISNUMBER(OFFSET($A$1,ROW()-1,10)),OFFSET($A$1,ROW()-1,10),IF(ISNUMBER(OFFSET($A$1,ROW()-1,9)),OFFSET($A$1,ROW()-1,9),IF(ISNUMBER(OFFSET($A$1,ROW()-1,8)),OFFSET($A$1,ROW()-1,8),0)))))))</f>
        <v/>
      </c>
      <c r="AG253" s="62">
        <f>IF($V253&lt;&gt;"Sub","",N($X253)*IF(AND(ISNUMBER($G253),$G253&lt;=IF($S253=MesCiclo,InicioCiclo,$S253+MOD(2-WEEKDAY($S253),7))+27),1,MIN(1,MAX(0,IF(ISNUMBER(OFFSET($A$1,ROW()-1,11)),OFFSET($A$1,ROW()-1,11),IF(ISNUMBER(OFFSET($A$1,ROW()-1,10)),OFFSET($A$1,ROW()-1,10),IF(ISNUMBER(OFFSET($A$1,ROW()-1,9)),OFFSET($A$1,ROW()-1,9),IF(ISNUMBER(OFFSET($A$1,ROW()-1,8)),OFFSET($A$1,ROW()-1,8),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f>IF(NOT(AND($D253&lt;&gt;"",$V253="Macro")),"",IFERROR(CHOOSE(MATCH($D253,ListaPuestos,0),MATCH("[Jefatura] "&amp;$C253,'Cronograma R. Operacional'!$C$5:$C$1000,0),MATCH("[Jefatura] "&amp;$C253,'Cronograma R. Normativo'!$C$5:$C$1000,0),MATCH("[Jefatura] "&amp;$C253,'Cronograma R. Financiero'!$C$5:$C$1000,0),MATCH("[Jefatura] "&amp;$C253,'Cronograma Asistente Técnico'!$C$5:$C$1000,0)),0))</f>
        <v/>
      </c>
      <c r="AN253" s="62">
        <f>IF(AND(AND($D253&lt;&gt;"",$V253="Macro"),$S253=MesCiclo),COUNTIFS($D$5:$D253,$D253,$S$5:$S253,MesCiclo,$V$5:$V253,"Macro"),"")</f>
        <v/>
      </c>
      <c r="AO253" s="62">
        <f>IF($AN253="","",$D253&amp;"|"&amp;$AN253)</f>
        <v/>
      </c>
      <c r="AP253" s="62">
        <f>IF(AND($D253&lt;&gt;"",$V253="Macro"),$D253&amp;"|"&amp;$C253,"")</f>
        <v/>
      </c>
      <c r="AQ253" s="62">
        <f>""</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t="n"/>
      <c r="F254" s="59" t="n"/>
      <c r="G254" s="59" t="n"/>
      <c r="H254" s="60" t="n"/>
      <c r="I254" s="60">
        <f>IF(N($W254)=0,"",IF(AND($S254=MesCiclo,1&gt;SemanaActual),"",MIN(1,SUMIFS(OFFSET($A$1,ROW(),29,1000-ROW(),1),OFFSET($A$1,ROW(),20,1000-ROW(),1),ROW(),OFFSET($A$1,ROW(),21,1000-ROW(),1),"Sub"))))</f>
        <v/>
      </c>
      <c r="J254" s="60">
        <f>IF(N($W254)=0,"",IF(AND($S254=MesCiclo,2&gt;SemanaActual),"",MIN(1,SUMIFS(OFFSET($A$1,ROW(),30,1000-ROW(),1),OFFSET($A$1,ROW(),20,1000-ROW(),1),ROW(),OFFSET($A$1,ROW(),21,1000-ROW(),1),"Sub"))))</f>
        <v/>
      </c>
      <c r="K254" s="60">
        <f>IF(N($W254)=0,"",IF(AND($S254=MesCiclo,3&gt;SemanaActual),"",MIN(1,SUMIFS(OFFSET($A$1,ROW(),31,1000-ROW(),1),OFFSET($A$1,ROW(),20,1000-ROW(),1),ROW(),OFFSET($A$1,ROW(),21,1000-ROW(),1),"Sub"))))</f>
        <v/>
      </c>
      <c r="L254" s="60">
        <f>IF(N($W254)=0,"",IF(AND($S254=MesCiclo,4&gt;SemanaActual),"",MIN(1,SUMIFS(OFFSET($A$1,ROW(),32,1000-ROW(),1),OFFSET($A$1,ROW(),20,1000-ROW(),1),ROW(),OFFSET($A$1,ROW(),21,1000-ROW(),1),"Sub"))))</f>
        <v/>
      </c>
      <c r="M254" s="61">
        <f>IF(NOT((COUNTA($B254:$D254)+COUNTA($G254:$H254)+COUNTA($Q254))&gt;0),"",IF(AND($D254&lt;&gt;"",$V254="Macro"),IF(N($AM254)&gt;0,N(CHOOSE(MATCH($D254,ListaPuestos,0),INDEX('Cronograma R. Operacional'!$M$5:$M$1000,$AM254),INDEX('Cronograma R. Normativo'!$M$5:$M$1000,$AM254),INDEX('Cronograma R. Financiero'!$M$5:$M$1000,$AM254),INDEX('Cronograma Asistente Técnico'!$M$5:$M$1000,$AM254))),0),IF(ISNUMBER($G254),1,IF(N($W254)&gt;0,MIN(1,SUMIFS($Y$5:$Y$1000,$U$5:$U$1000,ROW(),$V$5:$V$1000,"Sub")),$Y254))))</f>
        <v/>
      </c>
      <c r="N254" s="56">
        <f>IF(OR($M254="",$V254="Sub"),"",IF($M254&gt;=1,"Completado",IF($M254&gt;0,"En curso","Pendiente")))</f>
        <v/>
      </c>
      <c r="O254" s="56">
        <f>IF(NOT((COUNTA($B254:$D254)+COUNTA($G254:$H254)+COUNTA($Q254))&gt;0),"",IF(AND(AND($D254&lt;&gt;"",$V254="Macro"),N($AM254)&gt;0),CHOOSE(MATCH($D254,ListaPuestos,0),INDEX('Cronograma R. Operacional'!$O$5:$O$1000,$AM254),INDEX('Cronograma R. Normativo'!$O$5:$O$1000,$AM254),INDEX('Cronograma R. Financiero'!$O$5:$O$1000,$AM254),INDEX('Cronograma Asistente Técnico'!$O$5:$O$1000,$AM254))&amp;"",IF(ISNUMBER($G254),IF(AND(ISNUMBER($AS254),$G254&gt;$AS254),"Cumplida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f>IF(NOT((COUNTA($B254:$D254)+COUNTA($G254:$H254)+COUNTA($Q254))&gt;0),"",IF($D254="","Propia",IF($V254&lt;&gt;"Macro","Solo se delegan macroactividades",IF(N($AM254)&gt;0,"✔ Recibida por "&amp;$D254,"⚠ "&amp;$D254&amp;" aún no la agrega"))))</f>
        <v/>
      </c>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IF($V254&lt;&gt;"Sub","",N($X254)*IF(AND(ISNUMBER($G254),$G254&lt;=IF($S254=MesCiclo,InicioCiclo,$S254+MOD(2-WEEKDAY($S254),7))+6),1,MIN(1,MAX(0,IF(ISNUMBER(OFFSET($A$1,ROW()-1,8)),OFFSET($A$1,ROW()-1,8),0)))))</f>
        <v/>
      </c>
      <c r="AE254" s="62">
        <f>IF($V254&lt;&gt;"Sub","",N($X254)*IF(AND(ISNUMBER($G254),$G254&lt;=IF($S254=MesCiclo,InicioCiclo,$S254+MOD(2-WEEKDAY($S254),7))+13),1,MIN(1,MAX(0,IF(ISNUMBER(OFFSET($A$1,ROW()-1,9)),OFFSET($A$1,ROW()-1,9),IF(ISNUMBER(OFFSET($A$1,ROW()-1,8)),OFFSET($A$1,ROW()-1,8),0))))))</f>
        <v/>
      </c>
      <c r="AF254" s="62">
        <f>IF($V254&lt;&gt;"Sub","",N($X254)*IF(AND(ISNUMBER($G254),$G254&lt;=IF($S254=MesCiclo,InicioCiclo,$S254+MOD(2-WEEKDAY($S254),7))+20),1,MIN(1,MAX(0,IF(ISNUMBER(OFFSET($A$1,ROW()-1,10)),OFFSET($A$1,ROW()-1,10),IF(ISNUMBER(OFFSET($A$1,ROW()-1,9)),OFFSET($A$1,ROW()-1,9),IF(ISNUMBER(OFFSET($A$1,ROW()-1,8)),OFFSET($A$1,ROW()-1,8),0)))))))</f>
        <v/>
      </c>
      <c r="AG254" s="62">
        <f>IF($V254&lt;&gt;"Sub","",N($X254)*IF(AND(ISNUMBER($G254),$G254&lt;=IF($S254=MesCiclo,InicioCiclo,$S254+MOD(2-WEEKDAY($S254),7))+27),1,MIN(1,MAX(0,IF(ISNUMBER(OFFSET($A$1,ROW()-1,11)),OFFSET($A$1,ROW()-1,11),IF(ISNUMBER(OFFSET($A$1,ROW()-1,10)),OFFSET($A$1,ROW()-1,10),IF(ISNUMBER(OFFSET($A$1,ROW()-1,9)),OFFSET($A$1,ROW()-1,9),IF(ISNUMBER(OFFSET($A$1,ROW()-1,8)),OFFSET($A$1,ROW()-1,8),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f>IF(NOT(AND($D254&lt;&gt;"",$V254="Macro")),"",IFERROR(CHOOSE(MATCH($D254,ListaPuestos,0),MATCH("[Jefatura] "&amp;$C254,'Cronograma R. Operacional'!$C$5:$C$1000,0),MATCH("[Jefatura] "&amp;$C254,'Cronograma R. Normativo'!$C$5:$C$1000,0),MATCH("[Jefatura] "&amp;$C254,'Cronograma R. Financiero'!$C$5:$C$1000,0),MATCH("[Jefatura] "&amp;$C254,'Cronograma Asistente Técnico'!$C$5:$C$1000,0)),0))</f>
        <v/>
      </c>
      <c r="AN254" s="62">
        <f>IF(AND(AND($D254&lt;&gt;"",$V254="Macro"),$S254=MesCiclo),COUNTIFS($D$5:$D254,$D254,$S$5:$S254,MesCiclo,$V$5:$V254,"Macro"),"")</f>
        <v/>
      </c>
      <c r="AO254" s="62">
        <f>IF($AN254="","",$D254&amp;"|"&amp;$AN254)</f>
        <v/>
      </c>
      <c r="AP254" s="62">
        <f>IF(AND($D254&lt;&gt;"",$V254="Macro"),$D254&amp;"|"&amp;$C254,"")</f>
        <v/>
      </c>
      <c r="AQ254" s="62">
        <f>""</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t="n"/>
      <c r="F255" s="59" t="n"/>
      <c r="G255" s="59" t="n"/>
      <c r="H255" s="60" t="n"/>
      <c r="I255" s="60">
        <f>IF(N($W255)=0,"",IF(AND($S255=MesCiclo,1&gt;SemanaActual),"",MIN(1,SUMIFS(OFFSET($A$1,ROW(),29,1000-ROW(),1),OFFSET($A$1,ROW(),20,1000-ROW(),1),ROW(),OFFSET($A$1,ROW(),21,1000-ROW(),1),"Sub"))))</f>
        <v/>
      </c>
      <c r="J255" s="60">
        <f>IF(N($W255)=0,"",IF(AND($S255=MesCiclo,2&gt;SemanaActual),"",MIN(1,SUMIFS(OFFSET($A$1,ROW(),30,1000-ROW(),1),OFFSET($A$1,ROW(),20,1000-ROW(),1),ROW(),OFFSET($A$1,ROW(),21,1000-ROW(),1),"Sub"))))</f>
        <v/>
      </c>
      <c r="K255" s="60">
        <f>IF(N($W255)=0,"",IF(AND($S255=MesCiclo,3&gt;SemanaActual),"",MIN(1,SUMIFS(OFFSET($A$1,ROW(),31,1000-ROW(),1),OFFSET($A$1,ROW(),20,1000-ROW(),1),ROW(),OFFSET($A$1,ROW(),21,1000-ROW(),1),"Sub"))))</f>
        <v/>
      </c>
      <c r="L255" s="60">
        <f>IF(N($W255)=0,"",IF(AND($S255=MesCiclo,4&gt;SemanaActual),"",MIN(1,SUMIFS(OFFSET($A$1,ROW(),32,1000-ROW(),1),OFFSET($A$1,ROW(),20,1000-ROW(),1),ROW(),OFFSET($A$1,ROW(),21,1000-ROW(),1),"Sub"))))</f>
        <v/>
      </c>
      <c r="M255" s="61">
        <f>IF(NOT((COUNTA($B255:$D255)+COUNTA($G255:$H255)+COUNTA($Q255))&gt;0),"",IF(AND($D255&lt;&gt;"",$V255="Macro"),IF(N($AM255)&gt;0,N(CHOOSE(MATCH($D255,ListaPuestos,0),INDEX('Cronograma R. Operacional'!$M$5:$M$1000,$AM255),INDEX('Cronograma R. Normativo'!$M$5:$M$1000,$AM255),INDEX('Cronograma R. Financiero'!$M$5:$M$1000,$AM255),INDEX('Cronograma Asistente Técnico'!$M$5:$M$1000,$AM255))),0),IF(ISNUMBER($G255),1,IF(N($W255)&gt;0,MIN(1,SUMIFS($Y$5:$Y$1000,$U$5:$U$1000,ROW(),$V$5:$V$1000,"Sub")),$Y255))))</f>
        <v/>
      </c>
      <c r="N255" s="56">
        <f>IF(OR($M255="",$V255="Sub"),"",IF($M255&gt;=1,"Completado",IF($M255&gt;0,"En curso","Pendiente")))</f>
        <v/>
      </c>
      <c r="O255" s="56">
        <f>IF(NOT((COUNTA($B255:$D255)+COUNTA($G255:$H255)+COUNTA($Q255))&gt;0),"",IF(AND(AND($D255&lt;&gt;"",$V255="Macro"),N($AM255)&gt;0),CHOOSE(MATCH($D255,ListaPuestos,0),INDEX('Cronograma R. Operacional'!$O$5:$O$1000,$AM255),INDEX('Cronograma R. Normativo'!$O$5:$O$1000,$AM255),INDEX('Cronograma R. Financiero'!$O$5:$O$1000,$AM255),INDEX('Cronograma Asistente Técnico'!$O$5:$O$1000,$AM255))&amp;"",IF(ISNUMBER($G255),IF(AND(ISNUMBER($AS255),$G255&gt;$AS255),"Cumplida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f>IF(NOT((COUNTA($B255:$D255)+COUNTA($G255:$H255)+COUNTA($Q255))&gt;0),"",IF($D255="","Propia",IF($V255&lt;&gt;"Macro","Solo se delegan macroactividades",IF(N($AM255)&gt;0,"✔ Recibida por "&amp;$D255,"⚠ "&amp;$D255&amp;" aún no la agrega"))))</f>
        <v/>
      </c>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IF($V255&lt;&gt;"Sub","",N($X255)*IF(AND(ISNUMBER($G255),$G255&lt;=IF($S255=MesCiclo,InicioCiclo,$S255+MOD(2-WEEKDAY($S255),7))+6),1,MIN(1,MAX(0,IF(ISNUMBER(OFFSET($A$1,ROW()-1,8)),OFFSET($A$1,ROW()-1,8),0)))))</f>
        <v/>
      </c>
      <c r="AE255" s="62">
        <f>IF($V255&lt;&gt;"Sub","",N($X255)*IF(AND(ISNUMBER($G255),$G255&lt;=IF($S255=MesCiclo,InicioCiclo,$S255+MOD(2-WEEKDAY($S255),7))+13),1,MIN(1,MAX(0,IF(ISNUMBER(OFFSET($A$1,ROW()-1,9)),OFFSET($A$1,ROW()-1,9),IF(ISNUMBER(OFFSET($A$1,ROW()-1,8)),OFFSET($A$1,ROW()-1,8),0))))))</f>
        <v/>
      </c>
      <c r="AF255" s="62">
        <f>IF($V255&lt;&gt;"Sub","",N($X255)*IF(AND(ISNUMBER($G255),$G255&lt;=IF($S255=MesCiclo,InicioCiclo,$S255+MOD(2-WEEKDAY($S255),7))+20),1,MIN(1,MAX(0,IF(ISNUMBER(OFFSET($A$1,ROW()-1,10)),OFFSET($A$1,ROW()-1,10),IF(ISNUMBER(OFFSET($A$1,ROW()-1,9)),OFFSET($A$1,ROW()-1,9),IF(ISNUMBER(OFFSET($A$1,ROW()-1,8)),OFFSET($A$1,ROW()-1,8),0)))))))</f>
        <v/>
      </c>
      <c r="AG255" s="62">
        <f>IF($V255&lt;&gt;"Sub","",N($X255)*IF(AND(ISNUMBER($G255),$G255&lt;=IF($S255=MesCiclo,InicioCiclo,$S255+MOD(2-WEEKDAY($S255),7))+27),1,MIN(1,MAX(0,IF(ISNUMBER(OFFSET($A$1,ROW()-1,11)),OFFSET($A$1,ROW()-1,11),IF(ISNUMBER(OFFSET($A$1,ROW()-1,10)),OFFSET($A$1,ROW()-1,10),IF(ISNUMBER(OFFSET($A$1,ROW()-1,9)),OFFSET($A$1,ROW()-1,9),IF(ISNUMBER(OFFSET($A$1,ROW()-1,8)),OFFSET($A$1,ROW()-1,8),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f>IF(NOT(AND($D255&lt;&gt;"",$V255="Macro")),"",IFERROR(CHOOSE(MATCH($D255,ListaPuestos,0),MATCH("[Jefatura] "&amp;$C255,'Cronograma R. Operacional'!$C$5:$C$1000,0),MATCH("[Jefatura] "&amp;$C255,'Cronograma R. Normativo'!$C$5:$C$1000,0),MATCH("[Jefatura] "&amp;$C255,'Cronograma R. Financiero'!$C$5:$C$1000,0),MATCH("[Jefatura] "&amp;$C255,'Cronograma Asistente Técnico'!$C$5:$C$1000,0)),0))</f>
        <v/>
      </c>
      <c r="AN255" s="62">
        <f>IF(AND(AND($D255&lt;&gt;"",$V255="Macro"),$S255=MesCiclo),COUNTIFS($D$5:$D255,$D255,$S$5:$S255,MesCiclo,$V$5:$V255,"Macro"),"")</f>
        <v/>
      </c>
      <c r="AO255" s="62">
        <f>IF($AN255="","",$D255&amp;"|"&amp;$AN255)</f>
        <v/>
      </c>
      <c r="AP255" s="62">
        <f>IF(AND($D255&lt;&gt;"",$V255="Macro"),$D255&amp;"|"&amp;$C255,"")</f>
        <v/>
      </c>
      <c r="AQ255" s="62">
        <f>""</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t="n"/>
      <c r="F256" s="59" t="n"/>
      <c r="G256" s="59" t="n"/>
      <c r="H256" s="60" t="n"/>
      <c r="I256" s="60">
        <f>IF(N($W256)=0,"",IF(AND($S256=MesCiclo,1&gt;SemanaActual),"",MIN(1,SUMIFS(OFFSET($A$1,ROW(),29,1000-ROW(),1),OFFSET($A$1,ROW(),20,1000-ROW(),1),ROW(),OFFSET($A$1,ROW(),21,1000-ROW(),1),"Sub"))))</f>
        <v/>
      </c>
      <c r="J256" s="60">
        <f>IF(N($W256)=0,"",IF(AND($S256=MesCiclo,2&gt;SemanaActual),"",MIN(1,SUMIFS(OFFSET($A$1,ROW(),30,1000-ROW(),1),OFFSET($A$1,ROW(),20,1000-ROW(),1),ROW(),OFFSET($A$1,ROW(),21,1000-ROW(),1),"Sub"))))</f>
        <v/>
      </c>
      <c r="K256" s="60">
        <f>IF(N($W256)=0,"",IF(AND($S256=MesCiclo,3&gt;SemanaActual),"",MIN(1,SUMIFS(OFFSET($A$1,ROW(),31,1000-ROW(),1),OFFSET($A$1,ROW(),20,1000-ROW(),1),ROW(),OFFSET($A$1,ROW(),21,1000-ROW(),1),"Sub"))))</f>
        <v/>
      </c>
      <c r="L256" s="60">
        <f>IF(N($W256)=0,"",IF(AND($S256=MesCiclo,4&gt;SemanaActual),"",MIN(1,SUMIFS(OFFSET($A$1,ROW(),32,1000-ROW(),1),OFFSET($A$1,ROW(),20,1000-ROW(),1),ROW(),OFFSET($A$1,ROW(),21,1000-ROW(),1),"Sub"))))</f>
        <v/>
      </c>
      <c r="M256" s="61">
        <f>IF(NOT((COUNTA($B256:$D256)+COUNTA($G256:$H256)+COUNTA($Q256))&gt;0),"",IF(AND($D256&lt;&gt;"",$V256="Macro"),IF(N($AM256)&gt;0,N(CHOOSE(MATCH($D256,ListaPuestos,0),INDEX('Cronograma R. Operacional'!$M$5:$M$1000,$AM256),INDEX('Cronograma R. Normativo'!$M$5:$M$1000,$AM256),INDEX('Cronograma R. Financiero'!$M$5:$M$1000,$AM256),INDEX('Cronograma Asistente Técnico'!$M$5:$M$1000,$AM256))),0),IF(ISNUMBER($G256),1,IF(N($W256)&gt;0,MIN(1,SUMIFS($Y$5:$Y$1000,$U$5:$U$1000,ROW(),$V$5:$V$1000,"Sub")),$Y256))))</f>
        <v/>
      </c>
      <c r="N256" s="56">
        <f>IF(OR($M256="",$V256="Sub"),"",IF($M256&gt;=1,"Completado",IF($M256&gt;0,"En curso","Pendiente")))</f>
        <v/>
      </c>
      <c r="O256" s="56">
        <f>IF(NOT((COUNTA($B256:$D256)+COUNTA($G256:$H256)+COUNTA($Q256))&gt;0),"",IF(AND(AND($D256&lt;&gt;"",$V256="Macro"),N($AM256)&gt;0),CHOOSE(MATCH($D256,ListaPuestos,0),INDEX('Cronograma R. Operacional'!$O$5:$O$1000,$AM256),INDEX('Cronograma R. Normativo'!$O$5:$O$1000,$AM256),INDEX('Cronograma R. Financiero'!$O$5:$O$1000,$AM256),INDEX('Cronograma Asistente Técnico'!$O$5:$O$1000,$AM256))&amp;"",IF(ISNUMBER($G256),IF(AND(ISNUMBER($AS256),$G256&gt;$AS256),"Cumplida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f>IF(NOT((COUNTA($B256:$D256)+COUNTA($G256:$H256)+COUNTA($Q256))&gt;0),"",IF($D256="","Propia",IF($V256&lt;&gt;"Macro","Solo se delegan macroactividades",IF(N($AM256)&gt;0,"✔ Recibida por "&amp;$D256,"⚠ "&amp;$D256&amp;" aún no la agrega"))))</f>
        <v/>
      </c>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IF($V256&lt;&gt;"Sub","",N($X256)*IF(AND(ISNUMBER($G256),$G256&lt;=IF($S256=MesCiclo,InicioCiclo,$S256+MOD(2-WEEKDAY($S256),7))+6),1,MIN(1,MAX(0,IF(ISNUMBER(OFFSET($A$1,ROW()-1,8)),OFFSET($A$1,ROW()-1,8),0)))))</f>
        <v/>
      </c>
      <c r="AE256" s="62">
        <f>IF($V256&lt;&gt;"Sub","",N($X256)*IF(AND(ISNUMBER($G256),$G256&lt;=IF($S256=MesCiclo,InicioCiclo,$S256+MOD(2-WEEKDAY($S256),7))+13),1,MIN(1,MAX(0,IF(ISNUMBER(OFFSET($A$1,ROW()-1,9)),OFFSET($A$1,ROW()-1,9),IF(ISNUMBER(OFFSET($A$1,ROW()-1,8)),OFFSET($A$1,ROW()-1,8),0))))))</f>
        <v/>
      </c>
      <c r="AF256" s="62">
        <f>IF($V256&lt;&gt;"Sub","",N($X256)*IF(AND(ISNUMBER($G256),$G256&lt;=IF($S256=MesCiclo,InicioCiclo,$S256+MOD(2-WEEKDAY($S256),7))+20),1,MIN(1,MAX(0,IF(ISNUMBER(OFFSET($A$1,ROW()-1,10)),OFFSET($A$1,ROW()-1,10),IF(ISNUMBER(OFFSET($A$1,ROW()-1,9)),OFFSET($A$1,ROW()-1,9),IF(ISNUMBER(OFFSET($A$1,ROW()-1,8)),OFFSET($A$1,ROW()-1,8),0)))))))</f>
        <v/>
      </c>
      <c r="AG256" s="62">
        <f>IF($V256&lt;&gt;"Sub","",N($X256)*IF(AND(ISNUMBER($G256),$G256&lt;=IF($S256=MesCiclo,InicioCiclo,$S256+MOD(2-WEEKDAY($S256),7))+27),1,MIN(1,MAX(0,IF(ISNUMBER(OFFSET($A$1,ROW()-1,11)),OFFSET($A$1,ROW()-1,11),IF(ISNUMBER(OFFSET($A$1,ROW()-1,10)),OFFSET($A$1,ROW()-1,10),IF(ISNUMBER(OFFSET($A$1,ROW()-1,9)),OFFSET($A$1,ROW()-1,9),IF(ISNUMBER(OFFSET($A$1,ROW()-1,8)),OFFSET($A$1,ROW()-1,8),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f>IF(NOT(AND($D256&lt;&gt;"",$V256="Macro")),"",IFERROR(CHOOSE(MATCH($D256,ListaPuestos,0),MATCH("[Jefatura] "&amp;$C256,'Cronograma R. Operacional'!$C$5:$C$1000,0),MATCH("[Jefatura] "&amp;$C256,'Cronograma R. Normativo'!$C$5:$C$1000,0),MATCH("[Jefatura] "&amp;$C256,'Cronograma R. Financiero'!$C$5:$C$1000,0),MATCH("[Jefatura] "&amp;$C256,'Cronograma Asistente Técnico'!$C$5:$C$1000,0)),0))</f>
        <v/>
      </c>
      <c r="AN256" s="62">
        <f>IF(AND(AND($D256&lt;&gt;"",$V256="Macro"),$S256=MesCiclo),COUNTIFS($D$5:$D256,$D256,$S$5:$S256,MesCiclo,$V$5:$V256,"Macro"),"")</f>
        <v/>
      </c>
      <c r="AO256" s="62">
        <f>IF($AN256="","",$D256&amp;"|"&amp;$AN256)</f>
        <v/>
      </c>
      <c r="AP256" s="62">
        <f>IF(AND($D256&lt;&gt;"",$V256="Macro"),$D256&amp;"|"&amp;$C256,"")</f>
        <v/>
      </c>
      <c r="AQ256" s="62">
        <f>""</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t="n"/>
      <c r="F257" s="59" t="n"/>
      <c r="G257" s="59" t="n"/>
      <c r="H257" s="60" t="n"/>
      <c r="I257" s="60">
        <f>IF(N($W257)=0,"",IF(AND($S257=MesCiclo,1&gt;SemanaActual),"",MIN(1,SUMIFS(OFFSET($A$1,ROW(),29,1000-ROW(),1),OFFSET($A$1,ROW(),20,1000-ROW(),1),ROW(),OFFSET($A$1,ROW(),21,1000-ROW(),1),"Sub"))))</f>
        <v/>
      </c>
      <c r="J257" s="60">
        <f>IF(N($W257)=0,"",IF(AND($S257=MesCiclo,2&gt;SemanaActual),"",MIN(1,SUMIFS(OFFSET($A$1,ROW(),30,1000-ROW(),1),OFFSET($A$1,ROW(),20,1000-ROW(),1),ROW(),OFFSET($A$1,ROW(),21,1000-ROW(),1),"Sub"))))</f>
        <v/>
      </c>
      <c r="K257" s="60">
        <f>IF(N($W257)=0,"",IF(AND($S257=MesCiclo,3&gt;SemanaActual),"",MIN(1,SUMIFS(OFFSET($A$1,ROW(),31,1000-ROW(),1),OFFSET($A$1,ROW(),20,1000-ROW(),1),ROW(),OFFSET($A$1,ROW(),21,1000-ROW(),1),"Sub"))))</f>
        <v/>
      </c>
      <c r="L257" s="60">
        <f>IF(N($W257)=0,"",IF(AND($S257=MesCiclo,4&gt;SemanaActual),"",MIN(1,SUMIFS(OFFSET($A$1,ROW(),32,1000-ROW(),1),OFFSET($A$1,ROW(),20,1000-ROW(),1),ROW(),OFFSET($A$1,ROW(),21,1000-ROW(),1),"Sub"))))</f>
        <v/>
      </c>
      <c r="M257" s="61">
        <f>IF(NOT((COUNTA($B257:$D257)+COUNTA($G257:$H257)+COUNTA($Q257))&gt;0),"",IF(AND($D257&lt;&gt;"",$V257="Macro"),IF(N($AM257)&gt;0,N(CHOOSE(MATCH($D257,ListaPuestos,0),INDEX('Cronograma R. Operacional'!$M$5:$M$1000,$AM257),INDEX('Cronograma R. Normativo'!$M$5:$M$1000,$AM257),INDEX('Cronograma R. Financiero'!$M$5:$M$1000,$AM257),INDEX('Cronograma Asistente Técnico'!$M$5:$M$1000,$AM257))),0),IF(ISNUMBER($G257),1,IF(N($W257)&gt;0,MIN(1,SUMIFS($Y$5:$Y$1000,$U$5:$U$1000,ROW(),$V$5:$V$1000,"Sub")),$Y257))))</f>
        <v/>
      </c>
      <c r="N257" s="56">
        <f>IF(OR($M257="",$V257="Sub"),"",IF($M257&gt;=1,"Completado",IF($M257&gt;0,"En curso","Pendiente")))</f>
        <v/>
      </c>
      <c r="O257" s="56">
        <f>IF(NOT((COUNTA($B257:$D257)+COUNTA($G257:$H257)+COUNTA($Q257))&gt;0),"",IF(AND(AND($D257&lt;&gt;"",$V257="Macro"),N($AM257)&gt;0),CHOOSE(MATCH($D257,ListaPuestos,0),INDEX('Cronograma R. Operacional'!$O$5:$O$1000,$AM257),INDEX('Cronograma R. Normativo'!$O$5:$O$1000,$AM257),INDEX('Cronograma R. Financiero'!$O$5:$O$1000,$AM257),INDEX('Cronograma Asistente Técnico'!$O$5:$O$1000,$AM257))&amp;"",IF(ISNUMBER($G257),IF(AND(ISNUMBER($AS257),$G257&gt;$AS257),"Cumplida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f>IF(NOT((COUNTA($B257:$D257)+COUNTA($G257:$H257)+COUNTA($Q257))&gt;0),"",IF($D257="","Propia",IF($V257&lt;&gt;"Macro","Solo se delegan macroactividades",IF(N($AM257)&gt;0,"✔ Recibida por "&amp;$D257,"⚠ "&amp;$D257&amp;" aún no la agrega"))))</f>
        <v/>
      </c>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IF($V257&lt;&gt;"Sub","",N($X257)*IF(AND(ISNUMBER($G257),$G257&lt;=IF($S257=MesCiclo,InicioCiclo,$S257+MOD(2-WEEKDAY($S257),7))+6),1,MIN(1,MAX(0,IF(ISNUMBER(OFFSET($A$1,ROW()-1,8)),OFFSET($A$1,ROW()-1,8),0)))))</f>
        <v/>
      </c>
      <c r="AE257" s="62">
        <f>IF($V257&lt;&gt;"Sub","",N($X257)*IF(AND(ISNUMBER($G257),$G257&lt;=IF($S257=MesCiclo,InicioCiclo,$S257+MOD(2-WEEKDAY($S257),7))+13),1,MIN(1,MAX(0,IF(ISNUMBER(OFFSET($A$1,ROW()-1,9)),OFFSET($A$1,ROW()-1,9),IF(ISNUMBER(OFFSET($A$1,ROW()-1,8)),OFFSET($A$1,ROW()-1,8),0))))))</f>
        <v/>
      </c>
      <c r="AF257" s="62">
        <f>IF($V257&lt;&gt;"Sub","",N($X257)*IF(AND(ISNUMBER($G257),$G257&lt;=IF($S257=MesCiclo,InicioCiclo,$S257+MOD(2-WEEKDAY($S257),7))+20),1,MIN(1,MAX(0,IF(ISNUMBER(OFFSET($A$1,ROW()-1,10)),OFFSET($A$1,ROW()-1,10),IF(ISNUMBER(OFFSET($A$1,ROW()-1,9)),OFFSET($A$1,ROW()-1,9),IF(ISNUMBER(OFFSET($A$1,ROW()-1,8)),OFFSET($A$1,ROW()-1,8),0)))))))</f>
        <v/>
      </c>
      <c r="AG257" s="62">
        <f>IF($V257&lt;&gt;"Sub","",N($X257)*IF(AND(ISNUMBER($G257),$G257&lt;=IF($S257=MesCiclo,InicioCiclo,$S257+MOD(2-WEEKDAY($S257),7))+27),1,MIN(1,MAX(0,IF(ISNUMBER(OFFSET($A$1,ROW()-1,11)),OFFSET($A$1,ROW()-1,11),IF(ISNUMBER(OFFSET($A$1,ROW()-1,10)),OFFSET($A$1,ROW()-1,10),IF(ISNUMBER(OFFSET($A$1,ROW()-1,9)),OFFSET($A$1,ROW()-1,9),IF(ISNUMBER(OFFSET($A$1,ROW()-1,8)),OFFSET($A$1,ROW()-1,8),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f>IF(NOT(AND($D257&lt;&gt;"",$V257="Macro")),"",IFERROR(CHOOSE(MATCH($D257,ListaPuestos,0),MATCH("[Jefatura] "&amp;$C257,'Cronograma R. Operacional'!$C$5:$C$1000,0),MATCH("[Jefatura] "&amp;$C257,'Cronograma R. Normativo'!$C$5:$C$1000,0),MATCH("[Jefatura] "&amp;$C257,'Cronograma R. Financiero'!$C$5:$C$1000,0),MATCH("[Jefatura] "&amp;$C257,'Cronograma Asistente Técnico'!$C$5:$C$1000,0)),0))</f>
        <v/>
      </c>
      <c r="AN257" s="62">
        <f>IF(AND(AND($D257&lt;&gt;"",$V257="Macro"),$S257=MesCiclo),COUNTIFS($D$5:$D257,$D257,$S$5:$S257,MesCiclo,$V$5:$V257,"Macro"),"")</f>
        <v/>
      </c>
      <c r="AO257" s="62">
        <f>IF($AN257="","",$D257&amp;"|"&amp;$AN257)</f>
        <v/>
      </c>
      <c r="AP257" s="62">
        <f>IF(AND($D257&lt;&gt;"",$V257="Macro"),$D257&amp;"|"&amp;$C257,"")</f>
        <v/>
      </c>
      <c r="AQ257" s="62">
        <f>""</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t="n"/>
      <c r="F258" s="59" t="n"/>
      <c r="G258" s="59" t="n"/>
      <c r="H258" s="60" t="n"/>
      <c r="I258" s="60">
        <f>IF(N($W258)=0,"",IF(AND($S258=MesCiclo,1&gt;SemanaActual),"",MIN(1,SUMIFS(OFFSET($A$1,ROW(),29,1000-ROW(),1),OFFSET($A$1,ROW(),20,1000-ROW(),1),ROW(),OFFSET($A$1,ROW(),21,1000-ROW(),1),"Sub"))))</f>
        <v/>
      </c>
      <c r="J258" s="60">
        <f>IF(N($W258)=0,"",IF(AND($S258=MesCiclo,2&gt;SemanaActual),"",MIN(1,SUMIFS(OFFSET($A$1,ROW(),30,1000-ROW(),1),OFFSET($A$1,ROW(),20,1000-ROW(),1),ROW(),OFFSET($A$1,ROW(),21,1000-ROW(),1),"Sub"))))</f>
        <v/>
      </c>
      <c r="K258" s="60">
        <f>IF(N($W258)=0,"",IF(AND($S258=MesCiclo,3&gt;SemanaActual),"",MIN(1,SUMIFS(OFFSET($A$1,ROW(),31,1000-ROW(),1),OFFSET($A$1,ROW(),20,1000-ROW(),1),ROW(),OFFSET($A$1,ROW(),21,1000-ROW(),1),"Sub"))))</f>
        <v/>
      </c>
      <c r="L258" s="60">
        <f>IF(N($W258)=0,"",IF(AND($S258=MesCiclo,4&gt;SemanaActual),"",MIN(1,SUMIFS(OFFSET($A$1,ROW(),32,1000-ROW(),1),OFFSET($A$1,ROW(),20,1000-ROW(),1),ROW(),OFFSET($A$1,ROW(),21,1000-ROW(),1),"Sub"))))</f>
        <v/>
      </c>
      <c r="M258" s="61">
        <f>IF(NOT((COUNTA($B258:$D258)+COUNTA($G258:$H258)+COUNTA($Q258))&gt;0),"",IF(AND($D258&lt;&gt;"",$V258="Macro"),IF(N($AM258)&gt;0,N(CHOOSE(MATCH($D258,ListaPuestos,0),INDEX('Cronograma R. Operacional'!$M$5:$M$1000,$AM258),INDEX('Cronograma R. Normativo'!$M$5:$M$1000,$AM258),INDEX('Cronograma R. Financiero'!$M$5:$M$1000,$AM258),INDEX('Cronograma Asistente Técnico'!$M$5:$M$1000,$AM258))),0),IF(ISNUMBER($G258),1,IF(N($W258)&gt;0,MIN(1,SUMIFS($Y$5:$Y$1000,$U$5:$U$1000,ROW(),$V$5:$V$1000,"Sub")),$Y258))))</f>
        <v/>
      </c>
      <c r="N258" s="56">
        <f>IF(OR($M258="",$V258="Sub"),"",IF($M258&gt;=1,"Completado",IF($M258&gt;0,"En curso","Pendiente")))</f>
        <v/>
      </c>
      <c r="O258" s="56">
        <f>IF(NOT((COUNTA($B258:$D258)+COUNTA($G258:$H258)+COUNTA($Q258))&gt;0),"",IF(AND(AND($D258&lt;&gt;"",$V258="Macro"),N($AM258)&gt;0),CHOOSE(MATCH($D258,ListaPuestos,0),INDEX('Cronograma R. Operacional'!$O$5:$O$1000,$AM258),INDEX('Cronograma R. Normativo'!$O$5:$O$1000,$AM258),INDEX('Cronograma R. Financiero'!$O$5:$O$1000,$AM258),INDEX('Cronograma Asistente Técnico'!$O$5:$O$1000,$AM258))&amp;"",IF(ISNUMBER($G258),IF(AND(ISNUMBER($AS258),$G258&gt;$AS258),"Cumplida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f>IF(NOT((COUNTA($B258:$D258)+COUNTA($G258:$H258)+COUNTA($Q258))&gt;0),"",IF($D258="","Propia",IF($V258&lt;&gt;"Macro","Solo se delegan macroactividades",IF(N($AM258)&gt;0,"✔ Recibida por "&amp;$D258,"⚠ "&amp;$D258&amp;" aún no la agrega"))))</f>
        <v/>
      </c>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IF($V258&lt;&gt;"Sub","",N($X258)*IF(AND(ISNUMBER($G258),$G258&lt;=IF($S258=MesCiclo,InicioCiclo,$S258+MOD(2-WEEKDAY($S258),7))+6),1,MIN(1,MAX(0,IF(ISNUMBER(OFFSET($A$1,ROW()-1,8)),OFFSET($A$1,ROW()-1,8),0)))))</f>
        <v/>
      </c>
      <c r="AE258" s="62">
        <f>IF($V258&lt;&gt;"Sub","",N($X258)*IF(AND(ISNUMBER($G258),$G258&lt;=IF($S258=MesCiclo,InicioCiclo,$S258+MOD(2-WEEKDAY($S258),7))+13),1,MIN(1,MAX(0,IF(ISNUMBER(OFFSET($A$1,ROW()-1,9)),OFFSET($A$1,ROW()-1,9),IF(ISNUMBER(OFFSET($A$1,ROW()-1,8)),OFFSET($A$1,ROW()-1,8),0))))))</f>
        <v/>
      </c>
      <c r="AF258" s="62">
        <f>IF($V258&lt;&gt;"Sub","",N($X258)*IF(AND(ISNUMBER($G258),$G258&lt;=IF($S258=MesCiclo,InicioCiclo,$S258+MOD(2-WEEKDAY($S258),7))+20),1,MIN(1,MAX(0,IF(ISNUMBER(OFFSET($A$1,ROW()-1,10)),OFFSET($A$1,ROW()-1,10),IF(ISNUMBER(OFFSET($A$1,ROW()-1,9)),OFFSET($A$1,ROW()-1,9),IF(ISNUMBER(OFFSET($A$1,ROW()-1,8)),OFFSET($A$1,ROW()-1,8),0)))))))</f>
        <v/>
      </c>
      <c r="AG258" s="62">
        <f>IF($V258&lt;&gt;"Sub","",N($X258)*IF(AND(ISNUMBER($G258),$G258&lt;=IF($S258=MesCiclo,InicioCiclo,$S258+MOD(2-WEEKDAY($S258),7))+27),1,MIN(1,MAX(0,IF(ISNUMBER(OFFSET($A$1,ROW()-1,11)),OFFSET($A$1,ROW()-1,11),IF(ISNUMBER(OFFSET($A$1,ROW()-1,10)),OFFSET($A$1,ROW()-1,10),IF(ISNUMBER(OFFSET($A$1,ROW()-1,9)),OFFSET($A$1,ROW()-1,9),IF(ISNUMBER(OFFSET($A$1,ROW()-1,8)),OFFSET($A$1,ROW()-1,8),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f>IF(NOT(AND($D258&lt;&gt;"",$V258="Macro")),"",IFERROR(CHOOSE(MATCH($D258,ListaPuestos,0),MATCH("[Jefatura] "&amp;$C258,'Cronograma R. Operacional'!$C$5:$C$1000,0),MATCH("[Jefatura] "&amp;$C258,'Cronograma R. Normativo'!$C$5:$C$1000,0),MATCH("[Jefatura] "&amp;$C258,'Cronograma R. Financiero'!$C$5:$C$1000,0),MATCH("[Jefatura] "&amp;$C258,'Cronograma Asistente Técnico'!$C$5:$C$1000,0)),0))</f>
        <v/>
      </c>
      <c r="AN258" s="62">
        <f>IF(AND(AND($D258&lt;&gt;"",$V258="Macro"),$S258=MesCiclo),COUNTIFS($D$5:$D258,$D258,$S$5:$S258,MesCiclo,$V$5:$V258,"Macro"),"")</f>
        <v/>
      </c>
      <c r="AO258" s="62">
        <f>IF($AN258="","",$D258&amp;"|"&amp;$AN258)</f>
        <v/>
      </c>
      <c r="AP258" s="62">
        <f>IF(AND($D258&lt;&gt;"",$V258="Macro"),$D258&amp;"|"&amp;$C258,"")</f>
        <v/>
      </c>
      <c r="AQ258" s="62">
        <f>""</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t="n"/>
      <c r="F259" s="59" t="n"/>
      <c r="G259" s="59" t="n"/>
      <c r="H259" s="60" t="n"/>
      <c r="I259" s="60">
        <f>IF(N($W259)=0,"",IF(AND($S259=MesCiclo,1&gt;SemanaActual),"",MIN(1,SUMIFS(OFFSET($A$1,ROW(),29,1000-ROW(),1),OFFSET($A$1,ROW(),20,1000-ROW(),1),ROW(),OFFSET($A$1,ROW(),21,1000-ROW(),1),"Sub"))))</f>
        <v/>
      </c>
      <c r="J259" s="60">
        <f>IF(N($W259)=0,"",IF(AND($S259=MesCiclo,2&gt;SemanaActual),"",MIN(1,SUMIFS(OFFSET($A$1,ROW(),30,1000-ROW(),1),OFFSET($A$1,ROW(),20,1000-ROW(),1),ROW(),OFFSET($A$1,ROW(),21,1000-ROW(),1),"Sub"))))</f>
        <v/>
      </c>
      <c r="K259" s="60">
        <f>IF(N($W259)=0,"",IF(AND($S259=MesCiclo,3&gt;SemanaActual),"",MIN(1,SUMIFS(OFFSET($A$1,ROW(),31,1000-ROW(),1),OFFSET($A$1,ROW(),20,1000-ROW(),1),ROW(),OFFSET($A$1,ROW(),21,1000-ROW(),1),"Sub"))))</f>
        <v/>
      </c>
      <c r="L259" s="60">
        <f>IF(N($W259)=0,"",IF(AND($S259=MesCiclo,4&gt;SemanaActual),"",MIN(1,SUMIFS(OFFSET($A$1,ROW(),32,1000-ROW(),1),OFFSET($A$1,ROW(),20,1000-ROW(),1),ROW(),OFFSET($A$1,ROW(),21,1000-ROW(),1),"Sub"))))</f>
        <v/>
      </c>
      <c r="M259" s="61">
        <f>IF(NOT((COUNTA($B259:$D259)+COUNTA($G259:$H259)+COUNTA($Q259))&gt;0),"",IF(AND($D259&lt;&gt;"",$V259="Macro"),IF(N($AM259)&gt;0,N(CHOOSE(MATCH($D259,ListaPuestos,0),INDEX('Cronograma R. Operacional'!$M$5:$M$1000,$AM259),INDEX('Cronograma R. Normativo'!$M$5:$M$1000,$AM259),INDEX('Cronograma R. Financiero'!$M$5:$M$1000,$AM259),INDEX('Cronograma Asistente Técnico'!$M$5:$M$1000,$AM259))),0),IF(ISNUMBER($G259),1,IF(N($W259)&gt;0,MIN(1,SUMIFS($Y$5:$Y$1000,$U$5:$U$1000,ROW(),$V$5:$V$1000,"Sub")),$Y259))))</f>
        <v/>
      </c>
      <c r="N259" s="56">
        <f>IF(OR($M259="",$V259="Sub"),"",IF($M259&gt;=1,"Completado",IF($M259&gt;0,"En curso","Pendiente")))</f>
        <v/>
      </c>
      <c r="O259" s="56">
        <f>IF(NOT((COUNTA($B259:$D259)+COUNTA($G259:$H259)+COUNTA($Q259))&gt;0),"",IF(AND(AND($D259&lt;&gt;"",$V259="Macro"),N($AM259)&gt;0),CHOOSE(MATCH($D259,ListaPuestos,0),INDEX('Cronograma R. Operacional'!$O$5:$O$1000,$AM259),INDEX('Cronograma R. Normativo'!$O$5:$O$1000,$AM259),INDEX('Cronograma R. Financiero'!$O$5:$O$1000,$AM259),INDEX('Cronograma Asistente Técnico'!$O$5:$O$1000,$AM259))&amp;"",IF(ISNUMBER($G259),IF(AND(ISNUMBER($AS259),$G259&gt;$AS259),"Cumplida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f>IF(NOT((COUNTA($B259:$D259)+COUNTA($G259:$H259)+COUNTA($Q259))&gt;0),"",IF($D259="","Propia",IF($V259&lt;&gt;"Macro","Solo se delegan macroactividades",IF(N($AM259)&gt;0,"✔ Recibida por "&amp;$D259,"⚠ "&amp;$D259&amp;" aún no la agrega"))))</f>
        <v/>
      </c>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IF($V259&lt;&gt;"Sub","",N($X259)*IF(AND(ISNUMBER($G259),$G259&lt;=IF($S259=MesCiclo,InicioCiclo,$S259+MOD(2-WEEKDAY($S259),7))+6),1,MIN(1,MAX(0,IF(ISNUMBER(OFFSET($A$1,ROW()-1,8)),OFFSET($A$1,ROW()-1,8),0)))))</f>
        <v/>
      </c>
      <c r="AE259" s="62">
        <f>IF($V259&lt;&gt;"Sub","",N($X259)*IF(AND(ISNUMBER($G259),$G259&lt;=IF($S259=MesCiclo,InicioCiclo,$S259+MOD(2-WEEKDAY($S259),7))+13),1,MIN(1,MAX(0,IF(ISNUMBER(OFFSET($A$1,ROW()-1,9)),OFFSET($A$1,ROW()-1,9),IF(ISNUMBER(OFFSET($A$1,ROW()-1,8)),OFFSET($A$1,ROW()-1,8),0))))))</f>
        <v/>
      </c>
      <c r="AF259" s="62">
        <f>IF($V259&lt;&gt;"Sub","",N($X259)*IF(AND(ISNUMBER($G259),$G259&lt;=IF($S259=MesCiclo,InicioCiclo,$S259+MOD(2-WEEKDAY($S259),7))+20),1,MIN(1,MAX(0,IF(ISNUMBER(OFFSET($A$1,ROW()-1,10)),OFFSET($A$1,ROW()-1,10),IF(ISNUMBER(OFFSET($A$1,ROW()-1,9)),OFFSET($A$1,ROW()-1,9),IF(ISNUMBER(OFFSET($A$1,ROW()-1,8)),OFFSET($A$1,ROW()-1,8),0)))))))</f>
        <v/>
      </c>
      <c r="AG259" s="62">
        <f>IF($V259&lt;&gt;"Sub","",N($X259)*IF(AND(ISNUMBER($G259),$G259&lt;=IF($S259=MesCiclo,InicioCiclo,$S259+MOD(2-WEEKDAY($S259),7))+27),1,MIN(1,MAX(0,IF(ISNUMBER(OFFSET($A$1,ROW()-1,11)),OFFSET($A$1,ROW()-1,11),IF(ISNUMBER(OFFSET($A$1,ROW()-1,10)),OFFSET($A$1,ROW()-1,10),IF(ISNUMBER(OFFSET($A$1,ROW()-1,9)),OFFSET($A$1,ROW()-1,9),IF(ISNUMBER(OFFSET($A$1,ROW()-1,8)),OFFSET($A$1,ROW()-1,8),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f>IF(NOT(AND($D259&lt;&gt;"",$V259="Macro")),"",IFERROR(CHOOSE(MATCH($D259,ListaPuestos,0),MATCH("[Jefatura] "&amp;$C259,'Cronograma R. Operacional'!$C$5:$C$1000,0),MATCH("[Jefatura] "&amp;$C259,'Cronograma R. Normativo'!$C$5:$C$1000,0),MATCH("[Jefatura] "&amp;$C259,'Cronograma R. Financiero'!$C$5:$C$1000,0),MATCH("[Jefatura] "&amp;$C259,'Cronograma Asistente Técnico'!$C$5:$C$1000,0)),0))</f>
        <v/>
      </c>
      <c r="AN259" s="62">
        <f>IF(AND(AND($D259&lt;&gt;"",$V259="Macro"),$S259=MesCiclo),COUNTIFS($D$5:$D259,$D259,$S$5:$S259,MesCiclo,$V$5:$V259,"Macro"),"")</f>
        <v/>
      </c>
      <c r="AO259" s="62">
        <f>IF($AN259="","",$D259&amp;"|"&amp;$AN259)</f>
        <v/>
      </c>
      <c r="AP259" s="62">
        <f>IF(AND($D259&lt;&gt;"",$V259="Macro"),$D259&amp;"|"&amp;$C259,"")</f>
        <v/>
      </c>
      <c r="AQ259" s="62">
        <f>""</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t="n"/>
      <c r="F260" s="59" t="n"/>
      <c r="G260" s="59" t="n"/>
      <c r="H260" s="60" t="n"/>
      <c r="I260" s="60">
        <f>IF(N($W260)=0,"",IF(AND($S260=MesCiclo,1&gt;SemanaActual),"",MIN(1,SUMIFS(OFFSET($A$1,ROW(),29,1000-ROW(),1),OFFSET($A$1,ROW(),20,1000-ROW(),1),ROW(),OFFSET($A$1,ROW(),21,1000-ROW(),1),"Sub"))))</f>
        <v/>
      </c>
      <c r="J260" s="60">
        <f>IF(N($W260)=0,"",IF(AND($S260=MesCiclo,2&gt;SemanaActual),"",MIN(1,SUMIFS(OFFSET($A$1,ROW(),30,1000-ROW(),1),OFFSET($A$1,ROW(),20,1000-ROW(),1),ROW(),OFFSET($A$1,ROW(),21,1000-ROW(),1),"Sub"))))</f>
        <v/>
      </c>
      <c r="K260" s="60">
        <f>IF(N($W260)=0,"",IF(AND($S260=MesCiclo,3&gt;SemanaActual),"",MIN(1,SUMIFS(OFFSET($A$1,ROW(),31,1000-ROW(),1),OFFSET($A$1,ROW(),20,1000-ROW(),1),ROW(),OFFSET($A$1,ROW(),21,1000-ROW(),1),"Sub"))))</f>
        <v/>
      </c>
      <c r="L260" s="60">
        <f>IF(N($W260)=0,"",IF(AND($S260=MesCiclo,4&gt;SemanaActual),"",MIN(1,SUMIFS(OFFSET($A$1,ROW(),32,1000-ROW(),1),OFFSET($A$1,ROW(),20,1000-ROW(),1),ROW(),OFFSET($A$1,ROW(),21,1000-ROW(),1),"Sub"))))</f>
        <v/>
      </c>
      <c r="M260" s="61">
        <f>IF(NOT((COUNTA($B260:$D260)+COUNTA($G260:$H260)+COUNTA($Q260))&gt;0),"",IF(AND($D260&lt;&gt;"",$V260="Macro"),IF(N($AM260)&gt;0,N(CHOOSE(MATCH($D260,ListaPuestos,0),INDEX('Cronograma R. Operacional'!$M$5:$M$1000,$AM260),INDEX('Cronograma R. Normativo'!$M$5:$M$1000,$AM260),INDEX('Cronograma R. Financiero'!$M$5:$M$1000,$AM260),INDEX('Cronograma Asistente Técnico'!$M$5:$M$1000,$AM260))),0),IF(ISNUMBER($G260),1,IF(N($W260)&gt;0,MIN(1,SUMIFS($Y$5:$Y$1000,$U$5:$U$1000,ROW(),$V$5:$V$1000,"Sub")),$Y260))))</f>
        <v/>
      </c>
      <c r="N260" s="56">
        <f>IF(OR($M260="",$V260="Sub"),"",IF($M260&gt;=1,"Completado",IF($M260&gt;0,"En curso","Pendiente")))</f>
        <v/>
      </c>
      <c r="O260" s="56">
        <f>IF(NOT((COUNTA($B260:$D260)+COUNTA($G260:$H260)+COUNTA($Q260))&gt;0),"",IF(AND(AND($D260&lt;&gt;"",$V260="Macro"),N($AM260)&gt;0),CHOOSE(MATCH($D260,ListaPuestos,0),INDEX('Cronograma R. Operacional'!$O$5:$O$1000,$AM260),INDEX('Cronograma R. Normativo'!$O$5:$O$1000,$AM260),INDEX('Cronograma R. Financiero'!$O$5:$O$1000,$AM260),INDEX('Cronograma Asistente Técnico'!$O$5:$O$1000,$AM260))&amp;"",IF(ISNUMBER($G260),IF(AND(ISNUMBER($AS260),$G260&gt;$AS260),"Cumplida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f>IF(NOT((COUNTA($B260:$D260)+COUNTA($G260:$H260)+COUNTA($Q260))&gt;0),"",IF($D260="","Propia",IF($V260&lt;&gt;"Macro","Solo se delegan macroactividades",IF(N($AM260)&gt;0,"✔ Recibida por "&amp;$D260,"⚠ "&amp;$D260&amp;" aún no la agrega"))))</f>
        <v/>
      </c>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IF($V260&lt;&gt;"Sub","",N($X260)*IF(AND(ISNUMBER($G260),$G260&lt;=IF($S260=MesCiclo,InicioCiclo,$S260+MOD(2-WEEKDAY($S260),7))+6),1,MIN(1,MAX(0,IF(ISNUMBER(OFFSET($A$1,ROW()-1,8)),OFFSET($A$1,ROW()-1,8),0)))))</f>
        <v/>
      </c>
      <c r="AE260" s="62">
        <f>IF($V260&lt;&gt;"Sub","",N($X260)*IF(AND(ISNUMBER($G260),$G260&lt;=IF($S260=MesCiclo,InicioCiclo,$S260+MOD(2-WEEKDAY($S260),7))+13),1,MIN(1,MAX(0,IF(ISNUMBER(OFFSET($A$1,ROW()-1,9)),OFFSET($A$1,ROW()-1,9),IF(ISNUMBER(OFFSET($A$1,ROW()-1,8)),OFFSET($A$1,ROW()-1,8),0))))))</f>
        <v/>
      </c>
      <c r="AF260" s="62">
        <f>IF($V260&lt;&gt;"Sub","",N($X260)*IF(AND(ISNUMBER($G260),$G260&lt;=IF($S260=MesCiclo,InicioCiclo,$S260+MOD(2-WEEKDAY($S260),7))+20),1,MIN(1,MAX(0,IF(ISNUMBER(OFFSET($A$1,ROW()-1,10)),OFFSET($A$1,ROW()-1,10),IF(ISNUMBER(OFFSET($A$1,ROW()-1,9)),OFFSET($A$1,ROW()-1,9),IF(ISNUMBER(OFFSET($A$1,ROW()-1,8)),OFFSET($A$1,ROW()-1,8),0)))))))</f>
        <v/>
      </c>
      <c r="AG260" s="62">
        <f>IF($V260&lt;&gt;"Sub","",N($X260)*IF(AND(ISNUMBER($G260),$G260&lt;=IF($S260=MesCiclo,InicioCiclo,$S260+MOD(2-WEEKDAY($S260),7))+27),1,MIN(1,MAX(0,IF(ISNUMBER(OFFSET($A$1,ROW()-1,11)),OFFSET($A$1,ROW()-1,11),IF(ISNUMBER(OFFSET($A$1,ROW()-1,10)),OFFSET($A$1,ROW()-1,10),IF(ISNUMBER(OFFSET($A$1,ROW()-1,9)),OFFSET($A$1,ROW()-1,9),IF(ISNUMBER(OFFSET($A$1,ROW()-1,8)),OFFSET($A$1,ROW()-1,8),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f>IF(NOT(AND($D260&lt;&gt;"",$V260="Macro")),"",IFERROR(CHOOSE(MATCH($D260,ListaPuestos,0),MATCH("[Jefatura] "&amp;$C260,'Cronograma R. Operacional'!$C$5:$C$1000,0),MATCH("[Jefatura] "&amp;$C260,'Cronograma R. Normativo'!$C$5:$C$1000,0),MATCH("[Jefatura] "&amp;$C260,'Cronograma R. Financiero'!$C$5:$C$1000,0),MATCH("[Jefatura] "&amp;$C260,'Cronograma Asistente Técnico'!$C$5:$C$1000,0)),0))</f>
        <v/>
      </c>
      <c r="AN260" s="62">
        <f>IF(AND(AND($D260&lt;&gt;"",$V260="Macro"),$S260=MesCiclo),COUNTIFS($D$5:$D260,$D260,$S$5:$S260,MesCiclo,$V$5:$V260,"Macro"),"")</f>
        <v/>
      </c>
      <c r="AO260" s="62">
        <f>IF($AN260="","",$D260&amp;"|"&amp;$AN260)</f>
        <v/>
      </c>
      <c r="AP260" s="62">
        <f>IF(AND($D260&lt;&gt;"",$V260="Macro"),$D260&amp;"|"&amp;$C260,"")</f>
        <v/>
      </c>
      <c r="AQ260" s="62">
        <f>""</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t="n"/>
      <c r="F261" s="59" t="n"/>
      <c r="G261" s="59" t="n"/>
      <c r="H261" s="60" t="n"/>
      <c r="I261" s="60">
        <f>IF(N($W261)=0,"",IF(AND($S261=MesCiclo,1&gt;SemanaActual),"",MIN(1,SUMIFS(OFFSET($A$1,ROW(),29,1000-ROW(),1),OFFSET($A$1,ROW(),20,1000-ROW(),1),ROW(),OFFSET($A$1,ROW(),21,1000-ROW(),1),"Sub"))))</f>
        <v/>
      </c>
      <c r="J261" s="60">
        <f>IF(N($W261)=0,"",IF(AND($S261=MesCiclo,2&gt;SemanaActual),"",MIN(1,SUMIFS(OFFSET($A$1,ROW(),30,1000-ROW(),1),OFFSET($A$1,ROW(),20,1000-ROW(),1),ROW(),OFFSET($A$1,ROW(),21,1000-ROW(),1),"Sub"))))</f>
        <v/>
      </c>
      <c r="K261" s="60">
        <f>IF(N($W261)=0,"",IF(AND($S261=MesCiclo,3&gt;SemanaActual),"",MIN(1,SUMIFS(OFFSET($A$1,ROW(),31,1000-ROW(),1),OFFSET($A$1,ROW(),20,1000-ROW(),1),ROW(),OFFSET($A$1,ROW(),21,1000-ROW(),1),"Sub"))))</f>
        <v/>
      </c>
      <c r="L261" s="60">
        <f>IF(N($W261)=0,"",IF(AND($S261=MesCiclo,4&gt;SemanaActual),"",MIN(1,SUMIFS(OFFSET($A$1,ROW(),32,1000-ROW(),1),OFFSET($A$1,ROW(),20,1000-ROW(),1),ROW(),OFFSET($A$1,ROW(),21,1000-ROW(),1),"Sub"))))</f>
        <v/>
      </c>
      <c r="M261" s="61">
        <f>IF(NOT((COUNTA($B261:$D261)+COUNTA($G261:$H261)+COUNTA($Q261))&gt;0),"",IF(AND($D261&lt;&gt;"",$V261="Macro"),IF(N($AM261)&gt;0,N(CHOOSE(MATCH($D261,ListaPuestos,0),INDEX('Cronograma R. Operacional'!$M$5:$M$1000,$AM261),INDEX('Cronograma R. Normativo'!$M$5:$M$1000,$AM261),INDEX('Cronograma R. Financiero'!$M$5:$M$1000,$AM261),INDEX('Cronograma Asistente Técnico'!$M$5:$M$1000,$AM261))),0),IF(ISNUMBER($G261),1,IF(N($W261)&gt;0,MIN(1,SUMIFS($Y$5:$Y$1000,$U$5:$U$1000,ROW(),$V$5:$V$1000,"Sub")),$Y261))))</f>
        <v/>
      </c>
      <c r="N261" s="56">
        <f>IF(OR($M261="",$V261="Sub"),"",IF($M261&gt;=1,"Completado",IF($M261&gt;0,"En curso","Pendiente")))</f>
        <v/>
      </c>
      <c r="O261" s="56">
        <f>IF(NOT((COUNTA($B261:$D261)+COUNTA($G261:$H261)+COUNTA($Q261))&gt;0),"",IF(AND(AND($D261&lt;&gt;"",$V261="Macro"),N($AM261)&gt;0),CHOOSE(MATCH($D261,ListaPuestos,0),INDEX('Cronograma R. Operacional'!$O$5:$O$1000,$AM261),INDEX('Cronograma R. Normativo'!$O$5:$O$1000,$AM261),INDEX('Cronograma R. Financiero'!$O$5:$O$1000,$AM261),INDEX('Cronograma Asistente Técnico'!$O$5:$O$1000,$AM261))&amp;"",IF(ISNUMBER($G261),IF(AND(ISNUMBER($AS261),$G261&gt;$AS261),"Cumplida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f>IF(NOT((COUNTA($B261:$D261)+COUNTA($G261:$H261)+COUNTA($Q261))&gt;0),"",IF($D261="","Propia",IF($V261&lt;&gt;"Macro","Solo se delegan macroactividades",IF(N($AM261)&gt;0,"✔ Recibida por "&amp;$D261,"⚠ "&amp;$D261&amp;" aún no la agrega"))))</f>
        <v/>
      </c>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IF($V261&lt;&gt;"Sub","",N($X261)*IF(AND(ISNUMBER($G261),$G261&lt;=IF($S261=MesCiclo,InicioCiclo,$S261+MOD(2-WEEKDAY($S261),7))+6),1,MIN(1,MAX(0,IF(ISNUMBER(OFFSET($A$1,ROW()-1,8)),OFFSET($A$1,ROW()-1,8),0)))))</f>
        <v/>
      </c>
      <c r="AE261" s="62">
        <f>IF($V261&lt;&gt;"Sub","",N($X261)*IF(AND(ISNUMBER($G261),$G261&lt;=IF($S261=MesCiclo,InicioCiclo,$S261+MOD(2-WEEKDAY($S261),7))+13),1,MIN(1,MAX(0,IF(ISNUMBER(OFFSET($A$1,ROW()-1,9)),OFFSET($A$1,ROW()-1,9),IF(ISNUMBER(OFFSET($A$1,ROW()-1,8)),OFFSET($A$1,ROW()-1,8),0))))))</f>
        <v/>
      </c>
      <c r="AF261" s="62">
        <f>IF($V261&lt;&gt;"Sub","",N($X261)*IF(AND(ISNUMBER($G261),$G261&lt;=IF($S261=MesCiclo,InicioCiclo,$S261+MOD(2-WEEKDAY($S261),7))+20),1,MIN(1,MAX(0,IF(ISNUMBER(OFFSET($A$1,ROW()-1,10)),OFFSET($A$1,ROW()-1,10),IF(ISNUMBER(OFFSET($A$1,ROW()-1,9)),OFFSET($A$1,ROW()-1,9),IF(ISNUMBER(OFFSET($A$1,ROW()-1,8)),OFFSET($A$1,ROW()-1,8),0)))))))</f>
        <v/>
      </c>
      <c r="AG261" s="62">
        <f>IF($V261&lt;&gt;"Sub","",N($X261)*IF(AND(ISNUMBER($G261),$G261&lt;=IF($S261=MesCiclo,InicioCiclo,$S261+MOD(2-WEEKDAY($S261),7))+27),1,MIN(1,MAX(0,IF(ISNUMBER(OFFSET($A$1,ROW()-1,11)),OFFSET($A$1,ROW()-1,11),IF(ISNUMBER(OFFSET($A$1,ROW()-1,10)),OFFSET($A$1,ROW()-1,10),IF(ISNUMBER(OFFSET($A$1,ROW()-1,9)),OFFSET($A$1,ROW()-1,9),IF(ISNUMBER(OFFSET($A$1,ROW()-1,8)),OFFSET($A$1,ROW()-1,8),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f>IF(NOT(AND($D261&lt;&gt;"",$V261="Macro")),"",IFERROR(CHOOSE(MATCH($D261,ListaPuestos,0),MATCH("[Jefatura] "&amp;$C261,'Cronograma R. Operacional'!$C$5:$C$1000,0),MATCH("[Jefatura] "&amp;$C261,'Cronograma R. Normativo'!$C$5:$C$1000,0),MATCH("[Jefatura] "&amp;$C261,'Cronograma R. Financiero'!$C$5:$C$1000,0),MATCH("[Jefatura] "&amp;$C261,'Cronograma Asistente Técnico'!$C$5:$C$1000,0)),0))</f>
        <v/>
      </c>
      <c r="AN261" s="62">
        <f>IF(AND(AND($D261&lt;&gt;"",$V261="Macro"),$S261=MesCiclo),COUNTIFS($D$5:$D261,$D261,$S$5:$S261,MesCiclo,$V$5:$V261,"Macro"),"")</f>
        <v/>
      </c>
      <c r="AO261" s="62">
        <f>IF($AN261="","",$D261&amp;"|"&amp;$AN261)</f>
        <v/>
      </c>
      <c r="AP261" s="62">
        <f>IF(AND($D261&lt;&gt;"",$V261="Macro"),$D261&amp;"|"&amp;$C261,"")</f>
        <v/>
      </c>
      <c r="AQ261" s="62">
        <f>""</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t="n"/>
      <c r="F262" s="59" t="n"/>
      <c r="G262" s="59" t="n"/>
      <c r="H262" s="60" t="n"/>
      <c r="I262" s="60">
        <f>IF(N($W262)=0,"",IF(AND($S262=MesCiclo,1&gt;SemanaActual),"",MIN(1,SUMIFS(OFFSET($A$1,ROW(),29,1000-ROW(),1),OFFSET($A$1,ROW(),20,1000-ROW(),1),ROW(),OFFSET($A$1,ROW(),21,1000-ROW(),1),"Sub"))))</f>
        <v/>
      </c>
      <c r="J262" s="60">
        <f>IF(N($W262)=0,"",IF(AND($S262=MesCiclo,2&gt;SemanaActual),"",MIN(1,SUMIFS(OFFSET($A$1,ROW(),30,1000-ROW(),1),OFFSET($A$1,ROW(),20,1000-ROW(),1),ROW(),OFFSET($A$1,ROW(),21,1000-ROW(),1),"Sub"))))</f>
        <v/>
      </c>
      <c r="K262" s="60">
        <f>IF(N($W262)=0,"",IF(AND($S262=MesCiclo,3&gt;SemanaActual),"",MIN(1,SUMIFS(OFFSET($A$1,ROW(),31,1000-ROW(),1),OFFSET($A$1,ROW(),20,1000-ROW(),1),ROW(),OFFSET($A$1,ROW(),21,1000-ROW(),1),"Sub"))))</f>
        <v/>
      </c>
      <c r="L262" s="60">
        <f>IF(N($W262)=0,"",IF(AND($S262=MesCiclo,4&gt;SemanaActual),"",MIN(1,SUMIFS(OFFSET($A$1,ROW(),32,1000-ROW(),1),OFFSET($A$1,ROW(),20,1000-ROW(),1),ROW(),OFFSET($A$1,ROW(),21,1000-ROW(),1),"Sub"))))</f>
        <v/>
      </c>
      <c r="M262" s="61">
        <f>IF(NOT((COUNTA($B262:$D262)+COUNTA($G262:$H262)+COUNTA($Q262))&gt;0),"",IF(AND($D262&lt;&gt;"",$V262="Macro"),IF(N($AM262)&gt;0,N(CHOOSE(MATCH($D262,ListaPuestos,0),INDEX('Cronograma R. Operacional'!$M$5:$M$1000,$AM262),INDEX('Cronograma R. Normativo'!$M$5:$M$1000,$AM262),INDEX('Cronograma R. Financiero'!$M$5:$M$1000,$AM262),INDEX('Cronograma Asistente Técnico'!$M$5:$M$1000,$AM262))),0),IF(ISNUMBER($G262),1,IF(N($W262)&gt;0,MIN(1,SUMIFS($Y$5:$Y$1000,$U$5:$U$1000,ROW(),$V$5:$V$1000,"Sub")),$Y262))))</f>
        <v/>
      </c>
      <c r="N262" s="56">
        <f>IF(OR($M262="",$V262="Sub"),"",IF($M262&gt;=1,"Completado",IF($M262&gt;0,"En curso","Pendiente")))</f>
        <v/>
      </c>
      <c r="O262" s="56">
        <f>IF(NOT((COUNTA($B262:$D262)+COUNTA($G262:$H262)+COUNTA($Q262))&gt;0),"",IF(AND(AND($D262&lt;&gt;"",$V262="Macro"),N($AM262)&gt;0),CHOOSE(MATCH($D262,ListaPuestos,0),INDEX('Cronograma R. Operacional'!$O$5:$O$1000,$AM262),INDEX('Cronograma R. Normativo'!$O$5:$O$1000,$AM262),INDEX('Cronograma R. Financiero'!$O$5:$O$1000,$AM262),INDEX('Cronograma Asistente Técnico'!$O$5:$O$1000,$AM262))&amp;"",IF(ISNUMBER($G262),IF(AND(ISNUMBER($AS262),$G262&gt;$AS262),"Cumplida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f>IF(NOT((COUNTA($B262:$D262)+COUNTA($G262:$H262)+COUNTA($Q262))&gt;0),"",IF($D262="","Propia",IF($V262&lt;&gt;"Macro","Solo se delegan macroactividades",IF(N($AM262)&gt;0,"✔ Recibida por "&amp;$D262,"⚠ "&amp;$D262&amp;" aún no la agrega"))))</f>
        <v/>
      </c>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IF($V262&lt;&gt;"Sub","",N($X262)*IF(AND(ISNUMBER($G262),$G262&lt;=IF($S262=MesCiclo,InicioCiclo,$S262+MOD(2-WEEKDAY($S262),7))+6),1,MIN(1,MAX(0,IF(ISNUMBER(OFFSET($A$1,ROW()-1,8)),OFFSET($A$1,ROW()-1,8),0)))))</f>
        <v/>
      </c>
      <c r="AE262" s="62">
        <f>IF($V262&lt;&gt;"Sub","",N($X262)*IF(AND(ISNUMBER($G262),$G262&lt;=IF($S262=MesCiclo,InicioCiclo,$S262+MOD(2-WEEKDAY($S262),7))+13),1,MIN(1,MAX(0,IF(ISNUMBER(OFFSET($A$1,ROW()-1,9)),OFFSET($A$1,ROW()-1,9),IF(ISNUMBER(OFFSET($A$1,ROW()-1,8)),OFFSET($A$1,ROW()-1,8),0))))))</f>
        <v/>
      </c>
      <c r="AF262" s="62">
        <f>IF($V262&lt;&gt;"Sub","",N($X262)*IF(AND(ISNUMBER($G262),$G262&lt;=IF($S262=MesCiclo,InicioCiclo,$S262+MOD(2-WEEKDAY($S262),7))+20),1,MIN(1,MAX(0,IF(ISNUMBER(OFFSET($A$1,ROW()-1,10)),OFFSET($A$1,ROW()-1,10),IF(ISNUMBER(OFFSET($A$1,ROW()-1,9)),OFFSET($A$1,ROW()-1,9),IF(ISNUMBER(OFFSET($A$1,ROW()-1,8)),OFFSET($A$1,ROW()-1,8),0)))))))</f>
        <v/>
      </c>
      <c r="AG262" s="62">
        <f>IF($V262&lt;&gt;"Sub","",N($X262)*IF(AND(ISNUMBER($G262),$G262&lt;=IF($S262=MesCiclo,InicioCiclo,$S262+MOD(2-WEEKDAY($S262),7))+27),1,MIN(1,MAX(0,IF(ISNUMBER(OFFSET($A$1,ROW()-1,11)),OFFSET($A$1,ROW()-1,11),IF(ISNUMBER(OFFSET($A$1,ROW()-1,10)),OFFSET($A$1,ROW()-1,10),IF(ISNUMBER(OFFSET($A$1,ROW()-1,9)),OFFSET($A$1,ROW()-1,9),IF(ISNUMBER(OFFSET($A$1,ROW()-1,8)),OFFSET($A$1,ROW()-1,8),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f>IF(NOT(AND($D262&lt;&gt;"",$V262="Macro")),"",IFERROR(CHOOSE(MATCH($D262,ListaPuestos,0),MATCH("[Jefatura] "&amp;$C262,'Cronograma R. Operacional'!$C$5:$C$1000,0),MATCH("[Jefatura] "&amp;$C262,'Cronograma R. Normativo'!$C$5:$C$1000,0),MATCH("[Jefatura] "&amp;$C262,'Cronograma R. Financiero'!$C$5:$C$1000,0),MATCH("[Jefatura] "&amp;$C262,'Cronograma Asistente Técnico'!$C$5:$C$1000,0)),0))</f>
        <v/>
      </c>
      <c r="AN262" s="62">
        <f>IF(AND(AND($D262&lt;&gt;"",$V262="Macro"),$S262=MesCiclo),COUNTIFS($D$5:$D262,$D262,$S$5:$S262,MesCiclo,$V$5:$V262,"Macro"),"")</f>
        <v/>
      </c>
      <c r="AO262" s="62">
        <f>IF($AN262="","",$D262&amp;"|"&amp;$AN262)</f>
        <v/>
      </c>
      <c r="AP262" s="62">
        <f>IF(AND($D262&lt;&gt;"",$V262="Macro"),$D262&amp;"|"&amp;$C262,"")</f>
        <v/>
      </c>
      <c r="AQ262" s="62">
        <f>""</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t="n"/>
      <c r="F263" s="59" t="n"/>
      <c r="G263" s="59" t="n"/>
      <c r="H263" s="60" t="n"/>
      <c r="I263" s="60">
        <f>IF(N($W263)=0,"",IF(AND($S263=MesCiclo,1&gt;SemanaActual),"",MIN(1,SUMIFS(OFFSET($A$1,ROW(),29,1000-ROW(),1),OFFSET($A$1,ROW(),20,1000-ROW(),1),ROW(),OFFSET($A$1,ROW(),21,1000-ROW(),1),"Sub"))))</f>
        <v/>
      </c>
      <c r="J263" s="60">
        <f>IF(N($W263)=0,"",IF(AND($S263=MesCiclo,2&gt;SemanaActual),"",MIN(1,SUMIFS(OFFSET($A$1,ROW(),30,1000-ROW(),1),OFFSET($A$1,ROW(),20,1000-ROW(),1),ROW(),OFFSET($A$1,ROW(),21,1000-ROW(),1),"Sub"))))</f>
        <v/>
      </c>
      <c r="K263" s="60">
        <f>IF(N($W263)=0,"",IF(AND($S263=MesCiclo,3&gt;SemanaActual),"",MIN(1,SUMIFS(OFFSET($A$1,ROW(),31,1000-ROW(),1),OFFSET($A$1,ROW(),20,1000-ROW(),1),ROW(),OFFSET($A$1,ROW(),21,1000-ROW(),1),"Sub"))))</f>
        <v/>
      </c>
      <c r="L263" s="60">
        <f>IF(N($W263)=0,"",IF(AND($S263=MesCiclo,4&gt;SemanaActual),"",MIN(1,SUMIFS(OFFSET($A$1,ROW(),32,1000-ROW(),1),OFFSET($A$1,ROW(),20,1000-ROW(),1),ROW(),OFFSET($A$1,ROW(),21,1000-ROW(),1),"Sub"))))</f>
        <v/>
      </c>
      <c r="M263" s="61">
        <f>IF(NOT((COUNTA($B263:$D263)+COUNTA($G263:$H263)+COUNTA($Q263))&gt;0),"",IF(AND($D263&lt;&gt;"",$V263="Macro"),IF(N($AM263)&gt;0,N(CHOOSE(MATCH($D263,ListaPuestos,0),INDEX('Cronograma R. Operacional'!$M$5:$M$1000,$AM263),INDEX('Cronograma R. Normativo'!$M$5:$M$1000,$AM263),INDEX('Cronograma R. Financiero'!$M$5:$M$1000,$AM263),INDEX('Cronograma Asistente Técnico'!$M$5:$M$1000,$AM263))),0),IF(ISNUMBER($G263),1,IF(N($W263)&gt;0,MIN(1,SUMIFS($Y$5:$Y$1000,$U$5:$U$1000,ROW(),$V$5:$V$1000,"Sub")),$Y263))))</f>
        <v/>
      </c>
      <c r="N263" s="56">
        <f>IF(OR($M263="",$V263="Sub"),"",IF($M263&gt;=1,"Completado",IF($M263&gt;0,"En curso","Pendiente")))</f>
        <v/>
      </c>
      <c r="O263" s="56">
        <f>IF(NOT((COUNTA($B263:$D263)+COUNTA($G263:$H263)+COUNTA($Q263))&gt;0),"",IF(AND(AND($D263&lt;&gt;"",$V263="Macro"),N($AM263)&gt;0),CHOOSE(MATCH($D263,ListaPuestos,0),INDEX('Cronograma R. Operacional'!$O$5:$O$1000,$AM263),INDEX('Cronograma R. Normativo'!$O$5:$O$1000,$AM263),INDEX('Cronograma R. Financiero'!$O$5:$O$1000,$AM263),INDEX('Cronograma Asistente Técnico'!$O$5:$O$1000,$AM263))&amp;"",IF(ISNUMBER($G263),IF(AND(ISNUMBER($AS263),$G263&gt;$AS263),"Cumplida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f>IF(NOT((COUNTA($B263:$D263)+COUNTA($G263:$H263)+COUNTA($Q263))&gt;0),"",IF($D263="","Propia",IF($V263&lt;&gt;"Macro","Solo se delegan macroactividades",IF(N($AM263)&gt;0,"✔ Recibida por "&amp;$D263,"⚠ "&amp;$D263&amp;" aún no la agrega"))))</f>
        <v/>
      </c>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IF($V263&lt;&gt;"Sub","",N($X263)*IF(AND(ISNUMBER($G263),$G263&lt;=IF($S263=MesCiclo,InicioCiclo,$S263+MOD(2-WEEKDAY($S263),7))+6),1,MIN(1,MAX(0,IF(ISNUMBER(OFFSET($A$1,ROW()-1,8)),OFFSET($A$1,ROW()-1,8),0)))))</f>
        <v/>
      </c>
      <c r="AE263" s="62">
        <f>IF($V263&lt;&gt;"Sub","",N($X263)*IF(AND(ISNUMBER($G263),$G263&lt;=IF($S263=MesCiclo,InicioCiclo,$S263+MOD(2-WEEKDAY($S263),7))+13),1,MIN(1,MAX(0,IF(ISNUMBER(OFFSET($A$1,ROW()-1,9)),OFFSET($A$1,ROW()-1,9),IF(ISNUMBER(OFFSET($A$1,ROW()-1,8)),OFFSET($A$1,ROW()-1,8),0))))))</f>
        <v/>
      </c>
      <c r="AF263" s="62">
        <f>IF($V263&lt;&gt;"Sub","",N($X263)*IF(AND(ISNUMBER($G263),$G263&lt;=IF($S263=MesCiclo,InicioCiclo,$S263+MOD(2-WEEKDAY($S263),7))+20),1,MIN(1,MAX(0,IF(ISNUMBER(OFFSET($A$1,ROW()-1,10)),OFFSET($A$1,ROW()-1,10),IF(ISNUMBER(OFFSET($A$1,ROW()-1,9)),OFFSET($A$1,ROW()-1,9),IF(ISNUMBER(OFFSET($A$1,ROW()-1,8)),OFFSET($A$1,ROW()-1,8),0)))))))</f>
        <v/>
      </c>
      <c r="AG263" s="62">
        <f>IF($V263&lt;&gt;"Sub","",N($X263)*IF(AND(ISNUMBER($G263),$G263&lt;=IF($S263=MesCiclo,InicioCiclo,$S263+MOD(2-WEEKDAY($S263),7))+27),1,MIN(1,MAX(0,IF(ISNUMBER(OFFSET($A$1,ROW()-1,11)),OFFSET($A$1,ROW()-1,11),IF(ISNUMBER(OFFSET($A$1,ROW()-1,10)),OFFSET($A$1,ROW()-1,10),IF(ISNUMBER(OFFSET($A$1,ROW()-1,9)),OFFSET($A$1,ROW()-1,9),IF(ISNUMBER(OFFSET($A$1,ROW()-1,8)),OFFSET($A$1,ROW()-1,8),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f>IF(NOT(AND($D263&lt;&gt;"",$V263="Macro")),"",IFERROR(CHOOSE(MATCH($D263,ListaPuestos,0),MATCH("[Jefatura] "&amp;$C263,'Cronograma R. Operacional'!$C$5:$C$1000,0),MATCH("[Jefatura] "&amp;$C263,'Cronograma R. Normativo'!$C$5:$C$1000,0),MATCH("[Jefatura] "&amp;$C263,'Cronograma R. Financiero'!$C$5:$C$1000,0),MATCH("[Jefatura] "&amp;$C263,'Cronograma Asistente Técnico'!$C$5:$C$1000,0)),0))</f>
        <v/>
      </c>
      <c r="AN263" s="62">
        <f>IF(AND(AND($D263&lt;&gt;"",$V263="Macro"),$S263=MesCiclo),COUNTIFS($D$5:$D263,$D263,$S$5:$S263,MesCiclo,$V$5:$V263,"Macro"),"")</f>
        <v/>
      </c>
      <c r="AO263" s="62">
        <f>IF($AN263="","",$D263&amp;"|"&amp;$AN263)</f>
        <v/>
      </c>
      <c r="AP263" s="62">
        <f>IF(AND($D263&lt;&gt;"",$V263="Macro"),$D263&amp;"|"&amp;$C263,"")</f>
        <v/>
      </c>
      <c r="AQ263" s="62">
        <f>""</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t="n"/>
      <c r="F264" s="59" t="n"/>
      <c r="G264" s="59" t="n"/>
      <c r="H264" s="60" t="n"/>
      <c r="I264" s="60">
        <f>IF(N($W264)=0,"",IF(AND($S264=MesCiclo,1&gt;SemanaActual),"",MIN(1,SUMIFS(OFFSET($A$1,ROW(),29,1000-ROW(),1),OFFSET($A$1,ROW(),20,1000-ROW(),1),ROW(),OFFSET($A$1,ROW(),21,1000-ROW(),1),"Sub"))))</f>
        <v/>
      </c>
      <c r="J264" s="60">
        <f>IF(N($W264)=0,"",IF(AND($S264=MesCiclo,2&gt;SemanaActual),"",MIN(1,SUMIFS(OFFSET($A$1,ROW(),30,1000-ROW(),1),OFFSET($A$1,ROW(),20,1000-ROW(),1),ROW(),OFFSET($A$1,ROW(),21,1000-ROW(),1),"Sub"))))</f>
        <v/>
      </c>
      <c r="K264" s="60">
        <f>IF(N($W264)=0,"",IF(AND($S264=MesCiclo,3&gt;SemanaActual),"",MIN(1,SUMIFS(OFFSET($A$1,ROW(),31,1000-ROW(),1),OFFSET($A$1,ROW(),20,1000-ROW(),1),ROW(),OFFSET($A$1,ROW(),21,1000-ROW(),1),"Sub"))))</f>
        <v/>
      </c>
      <c r="L264" s="60">
        <f>IF(N($W264)=0,"",IF(AND($S264=MesCiclo,4&gt;SemanaActual),"",MIN(1,SUMIFS(OFFSET($A$1,ROW(),32,1000-ROW(),1),OFFSET($A$1,ROW(),20,1000-ROW(),1),ROW(),OFFSET($A$1,ROW(),21,1000-ROW(),1),"Sub"))))</f>
        <v/>
      </c>
      <c r="M264" s="61">
        <f>IF(NOT((COUNTA($B264:$D264)+COUNTA($G264:$H264)+COUNTA($Q264))&gt;0),"",IF(AND($D264&lt;&gt;"",$V264="Macro"),IF(N($AM264)&gt;0,N(CHOOSE(MATCH($D264,ListaPuestos,0),INDEX('Cronograma R. Operacional'!$M$5:$M$1000,$AM264),INDEX('Cronograma R. Normativo'!$M$5:$M$1000,$AM264),INDEX('Cronograma R. Financiero'!$M$5:$M$1000,$AM264),INDEX('Cronograma Asistente Técnico'!$M$5:$M$1000,$AM264))),0),IF(ISNUMBER($G264),1,IF(N($W264)&gt;0,MIN(1,SUMIFS($Y$5:$Y$1000,$U$5:$U$1000,ROW(),$V$5:$V$1000,"Sub")),$Y264))))</f>
        <v/>
      </c>
      <c r="N264" s="56">
        <f>IF(OR($M264="",$V264="Sub"),"",IF($M264&gt;=1,"Completado",IF($M264&gt;0,"En curso","Pendiente")))</f>
        <v/>
      </c>
      <c r="O264" s="56">
        <f>IF(NOT((COUNTA($B264:$D264)+COUNTA($G264:$H264)+COUNTA($Q264))&gt;0),"",IF(AND(AND($D264&lt;&gt;"",$V264="Macro"),N($AM264)&gt;0),CHOOSE(MATCH($D264,ListaPuestos,0),INDEX('Cronograma R. Operacional'!$O$5:$O$1000,$AM264),INDEX('Cronograma R. Normativo'!$O$5:$O$1000,$AM264),INDEX('Cronograma R. Financiero'!$O$5:$O$1000,$AM264),INDEX('Cronograma Asistente Técnico'!$O$5:$O$1000,$AM264))&amp;"",IF(ISNUMBER($G264),IF(AND(ISNUMBER($AS264),$G264&gt;$AS264),"Cumplida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f>IF(NOT((COUNTA($B264:$D264)+COUNTA($G264:$H264)+COUNTA($Q264))&gt;0),"",IF($D264="","Propia",IF($V264&lt;&gt;"Macro","Solo se delegan macroactividades",IF(N($AM264)&gt;0,"✔ Recibida por "&amp;$D264,"⚠ "&amp;$D264&amp;" aún no la agrega"))))</f>
        <v/>
      </c>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IF($V264&lt;&gt;"Sub","",N($X264)*IF(AND(ISNUMBER($G264),$G264&lt;=IF($S264=MesCiclo,InicioCiclo,$S264+MOD(2-WEEKDAY($S264),7))+6),1,MIN(1,MAX(0,IF(ISNUMBER(OFFSET($A$1,ROW()-1,8)),OFFSET($A$1,ROW()-1,8),0)))))</f>
        <v/>
      </c>
      <c r="AE264" s="62">
        <f>IF($V264&lt;&gt;"Sub","",N($X264)*IF(AND(ISNUMBER($G264),$G264&lt;=IF($S264=MesCiclo,InicioCiclo,$S264+MOD(2-WEEKDAY($S264),7))+13),1,MIN(1,MAX(0,IF(ISNUMBER(OFFSET($A$1,ROW()-1,9)),OFFSET($A$1,ROW()-1,9),IF(ISNUMBER(OFFSET($A$1,ROW()-1,8)),OFFSET($A$1,ROW()-1,8),0))))))</f>
        <v/>
      </c>
      <c r="AF264" s="62">
        <f>IF($V264&lt;&gt;"Sub","",N($X264)*IF(AND(ISNUMBER($G264),$G264&lt;=IF($S264=MesCiclo,InicioCiclo,$S264+MOD(2-WEEKDAY($S264),7))+20),1,MIN(1,MAX(0,IF(ISNUMBER(OFFSET($A$1,ROW()-1,10)),OFFSET($A$1,ROW()-1,10),IF(ISNUMBER(OFFSET($A$1,ROW()-1,9)),OFFSET($A$1,ROW()-1,9),IF(ISNUMBER(OFFSET($A$1,ROW()-1,8)),OFFSET($A$1,ROW()-1,8),0)))))))</f>
        <v/>
      </c>
      <c r="AG264" s="62">
        <f>IF($V264&lt;&gt;"Sub","",N($X264)*IF(AND(ISNUMBER($G264),$G264&lt;=IF($S264=MesCiclo,InicioCiclo,$S264+MOD(2-WEEKDAY($S264),7))+27),1,MIN(1,MAX(0,IF(ISNUMBER(OFFSET($A$1,ROW()-1,11)),OFFSET($A$1,ROW()-1,11),IF(ISNUMBER(OFFSET($A$1,ROW()-1,10)),OFFSET($A$1,ROW()-1,10),IF(ISNUMBER(OFFSET($A$1,ROW()-1,9)),OFFSET($A$1,ROW()-1,9),IF(ISNUMBER(OFFSET($A$1,ROW()-1,8)),OFFSET($A$1,ROW()-1,8),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f>IF(NOT(AND($D264&lt;&gt;"",$V264="Macro")),"",IFERROR(CHOOSE(MATCH($D264,ListaPuestos,0),MATCH("[Jefatura] "&amp;$C264,'Cronograma R. Operacional'!$C$5:$C$1000,0),MATCH("[Jefatura] "&amp;$C264,'Cronograma R. Normativo'!$C$5:$C$1000,0),MATCH("[Jefatura] "&amp;$C264,'Cronograma R. Financiero'!$C$5:$C$1000,0),MATCH("[Jefatura] "&amp;$C264,'Cronograma Asistente Técnico'!$C$5:$C$1000,0)),0))</f>
        <v/>
      </c>
      <c r="AN264" s="62">
        <f>IF(AND(AND($D264&lt;&gt;"",$V264="Macro"),$S264=MesCiclo),COUNTIFS($D$5:$D264,$D264,$S$5:$S264,MesCiclo,$V$5:$V264,"Macro"),"")</f>
        <v/>
      </c>
      <c r="AO264" s="62">
        <f>IF($AN264="","",$D264&amp;"|"&amp;$AN264)</f>
        <v/>
      </c>
      <c r="AP264" s="62">
        <f>IF(AND($D264&lt;&gt;"",$V264="Macro"),$D264&amp;"|"&amp;$C264,"")</f>
        <v/>
      </c>
      <c r="AQ264" s="62">
        <f>""</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t="n"/>
      <c r="F265" s="59" t="n"/>
      <c r="G265" s="59" t="n"/>
      <c r="H265" s="60" t="n"/>
      <c r="I265" s="60">
        <f>IF(N($W265)=0,"",IF(AND($S265=MesCiclo,1&gt;SemanaActual),"",MIN(1,SUMIFS(OFFSET($A$1,ROW(),29,1000-ROW(),1),OFFSET($A$1,ROW(),20,1000-ROW(),1),ROW(),OFFSET($A$1,ROW(),21,1000-ROW(),1),"Sub"))))</f>
        <v/>
      </c>
      <c r="J265" s="60">
        <f>IF(N($W265)=0,"",IF(AND($S265=MesCiclo,2&gt;SemanaActual),"",MIN(1,SUMIFS(OFFSET($A$1,ROW(),30,1000-ROW(),1),OFFSET($A$1,ROW(),20,1000-ROW(),1),ROW(),OFFSET($A$1,ROW(),21,1000-ROW(),1),"Sub"))))</f>
        <v/>
      </c>
      <c r="K265" s="60">
        <f>IF(N($W265)=0,"",IF(AND($S265=MesCiclo,3&gt;SemanaActual),"",MIN(1,SUMIFS(OFFSET($A$1,ROW(),31,1000-ROW(),1),OFFSET($A$1,ROW(),20,1000-ROW(),1),ROW(),OFFSET($A$1,ROW(),21,1000-ROW(),1),"Sub"))))</f>
        <v/>
      </c>
      <c r="L265" s="60">
        <f>IF(N($W265)=0,"",IF(AND($S265=MesCiclo,4&gt;SemanaActual),"",MIN(1,SUMIFS(OFFSET($A$1,ROW(),32,1000-ROW(),1),OFFSET($A$1,ROW(),20,1000-ROW(),1),ROW(),OFFSET($A$1,ROW(),21,1000-ROW(),1),"Sub"))))</f>
        <v/>
      </c>
      <c r="M265" s="61">
        <f>IF(NOT((COUNTA($B265:$D265)+COUNTA($G265:$H265)+COUNTA($Q265))&gt;0),"",IF(AND($D265&lt;&gt;"",$V265="Macro"),IF(N($AM265)&gt;0,N(CHOOSE(MATCH($D265,ListaPuestos,0),INDEX('Cronograma R. Operacional'!$M$5:$M$1000,$AM265),INDEX('Cronograma R. Normativo'!$M$5:$M$1000,$AM265),INDEX('Cronograma R. Financiero'!$M$5:$M$1000,$AM265),INDEX('Cronograma Asistente Técnico'!$M$5:$M$1000,$AM265))),0),IF(ISNUMBER($G265),1,IF(N($W265)&gt;0,MIN(1,SUMIFS($Y$5:$Y$1000,$U$5:$U$1000,ROW(),$V$5:$V$1000,"Sub")),$Y265))))</f>
        <v/>
      </c>
      <c r="N265" s="56">
        <f>IF(OR($M265="",$V265="Sub"),"",IF($M265&gt;=1,"Completado",IF($M265&gt;0,"En curso","Pendiente")))</f>
        <v/>
      </c>
      <c r="O265" s="56">
        <f>IF(NOT((COUNTA($B265:$D265)+COUNTA($G265:$H265)+COUNTA($Q265))&gt;0),"",IF(AND(AND($D265&lt;&gt;"",$V265="Macro"),N($AM265)&gt;0),CHOOSE(MATCH($D265,ListaPuestos,0),INDEX('Cronograma R. Operacional'!$O$5:$O$1000,$AM265),INDEX('Cronograma R. Normativo'!$O$5:$O$1000,$AM265),INDEX('Cronograma R. Financiero'!$O$5:$O$1000,$AM265),INDEX('Cronograma Asistente Técnico'!$O$5:$O$1000,$AM265))&amp;"",IF(ISNUMBER($G265),IF(AND(ISNUMBER($AS265),$G265&gt;$AS265),"Cumplida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f>IF(NOT((COUNTA($B265:$D265)+COUNTA($G265:$H265)+COUNTA($Q265))&gt;0),"",IF($D265="","Propia",IF($V265&lt;&gt;"Macro","Solo se delegan macroactividades",IF(N($AM265)&gt;0,"✔ Recibida por "&amp;$D265,"⚠ "&amp;$D265&amp;" aún no la agrega"))))</f>
        <v/>
      </c>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IF($V265&lt;&gt;"Sub","",N($X265)*IF(AND(ISNUMBER($G265),$G265&lt;=IF($S265=MesCiclo,InicioCiclo,$S265+MOD(2-WEEKDAY($S265),7))+6),1,MIN(1,MAX(0,IF(ISNUMBER(OFFSET($A$1,ROW()-1,8)),OFFSET($A$1,ROW()-1,8),0)))))</f>
        <v/>
      </c>
      <c r="AE265" s="62">
        <f>IF($V265&lt;&gt;"Sub","",N($X265)*IF(AND(ISNUMBER($G265),$G265&lt;=IF($S265=MesCiclo,InicioCiclo,$S265+MOD(2-WEEKDAY($S265),7))+13),1,MIN(1,MAX(0,IF(ISNUMBER(OFFSET($A$1,ROW()-1,9)),OFFSET($A$1,ROW()-1,9),IF(ISNUMBER(OFFSET($A$1,ROW()-1,8)),OFFSET($A$1,ROW()-1,8),0))))))</f>
        <v/>
      </c>
      <c r="AF265" s="62">
        <f>IF($V265&lt;&gt;"Sub","",N($X265)*IF(AND(ISNUMBER($G265),$G265&lt;=IF($S265=MesCiclo,InicioCiclo,$S265+MOD(2-WEEKDAY($S265),7))+20),1,MIN(1,MAX(0,IF(ISNUMBER(OFFSET($A$1,ROW()-1,10)),OFFSET($A$1,ROW()-1,10),IF(ISNUMBER(OFFSET($A$1,ROW()-1,9)),OFFSET($A$1,ROW()-1,9),IF(ISNUMBER(OFFSET($A$1,ROW()-1,8)),OFFSET($A$1,ROW()-1,8),0)))))))</f>
        <v/>
      </c>
      <c r="AG265" s="62">
        <f>IF($V265&lt;&gt;"Sub","",N($X265)*IF(AND(ISNUMBER($G265),$G265&lt;=IF($S265=MesCiclo,InicioCiclo,$S265+MOD(2-WEEKDAY($S265),7))+27),1,MIN(1,MAX(0,IF(ISNUMBER(OFFSET($A$1,ROW()-1,11)),OFFSET($A$1,ROW()-1,11),IF(ISNUMBER(OFFSET($A$1,ROW()-1,10)),OFFSET($A$1,ROW()-1,10),IF(ISNUMBER(OFFSET($A$1,ROW()-1,9)),OFFSET($A$1,ROW()-1,9),IF(ISNUMBER(OFFSET($A$1,ROW()-1,8)),OFFSET($A$1,ROW()-1,8),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f>IF(NOT(AND($D265&lt;&gt;"",$V265="Macro")),"",IFERROR(CHOOSE(MATCH($D265,ListaPuestos,0),MATCH("[Jefatura] "&amp;$C265,'Cronograma R. Operacional'!$C$5:$C$1000,0),MATCH("[Jefatura] "&amp;$C265,'Cronograma R. Normativo'!$C$5:$C$1000,0),MATCH("[Jefatura] "&amp;$C265,'Cronograma R. Financiero'!$C$5:$C$1000,0),MATCH("[Jefatura] "&amp;$C265,'Cronograma Asistente Técnico'!$C$5:$C$1000,0)),0))</f>
        <v/>
      </c>
      <c r="AN265" s="62">
        <f>IF(AND(AND($D265&lt;&gt;"",$V265="Macro"),$S265=MesCiclo),COUNTIFS($D$5:$D265,$D265,$S$5:$S265,MesCiclo,$V$5:$V265,"Macro"),"")</f>
        <v/>
      </c>
      <c r="AO265" s="62">
        <f>IF($AN265="","",$D265&amp;"|"&amp;$AN265)</f>
        <v/>
      </c>
      <c r="AP265" s="62">
        <f>IF(AND($D265&lt;&gt;"",$V265="Macro"),$D265&amp;"|"&amp;$C265,"")</f>
        <v/>
      </c>
      <c r="AQ265" s="62">
        <f>""</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t="n"/>
      <c r="F266" s="59" t="n"/>
      <c r="G266" s="59" t="n"/>
      <c r="H266" s="60" t="n"/>
      <c r="I266" s="60">
        <f>IF(N($W266)=0,"",IF(AND($S266=MesCiclo,1&gt;SemanaActual),"",MIN(1,SUMIFS(OFFSET($A$1,ROW(),29,1000-ROW(),1),OFFSET($A$1,ROW(),20,1000-ROW(),1),ROW(),OFFSET($A$1,ROW(),21,1000-ROW(),1),"Sub"))))</f>
        <v/>
      </c>
      <c r="J266" s="60">
        <f>IF(N($W266)=0,"",IF(AND($S266=MesCiclo,2&gt;SemanaActual),"",MIN(1,SUMIFS(OFFSET($A$1,ROW(),30,1000-ROW(),1),OFFSET($A$1,ROW(),20,1000-ROW(),1),ROW(),OFFSET($A$1,ROW(),21,1000-ROW(),1),"Sub"))))</f>
        <v/>
      </c>
      <c r="K266" s="60">
        <f>IF(N($W266)=0,"",IF(AND($S266=MesCiclo,3&gt;SemanaActual),"",MIN(1,SUMIFS(OFFSET($A$1,ROW(),31,1000-ROW(),1),OFFSET($A$1,ROW(),20,1000-ROW(),1),ROW(),OFFSET($A$1,ROW(),21,1000-ROW(),1),"Sub"))))</f>
        <v/>
      </c>
      <c r="L266" s="60">
        <f>IF(N($W266)=0,"",IF(AND($S266=MesCiclo,4&gt;SemanaActual),"",MIN(1,SUMIFS(OFFSET($A$1,ROW(),32,1000-ROW(),1),OFFSET($A$1,ROW(),20,1000-ROW(),1),ROW(),OFFSET($A$1,ROW(),21,1000-ROW(),1),"Sub"))))</f>
        <v/>
      </c>
      <c r="M266" s="61">
        <f>IF(NOT((COUNTA($B266:$D266)+COUNTA($G266:$H266)+COUNTA($Q266))&gt;0),"",IF(AND($D266&lt;&gt;"",$V266="Macro"),IF(N($AM266)&gt;0,N(CHOOSE(MATCH($D266,ListaPuestos,0),INDEX('Cronograma R. Operacional'!$M$5:$M$1000,$AM266),INDEX('Cronograma R. Normativo'!$M$5:$M$1000,$AM266),INDEX('Cronograma R. Financiero'!$M$5:$M$1000,$AM266),INDEX('Cronograma Asistente Técnico'!$M$5:$M$1000,$AM266))),0),IF(ISNUMBER($G266),1,IF(N($W266)&gt;0,MIN(1,SUMIFS($Y$5:$Y$1000,$U$5:$U$1000,ROW(),$V$5:$V$1000,"Sub")),$Y266))))</f>
        <v/>
      </c>
      <c r="N266" s="56">
        <f>IF(OR($M266="",$V266="Sub"),"",IF($M266&gt;=1,"Completado",IF($M266&gt;0,"En curso","Pendiente")))</f>
        <v/>
      </c>
      <c r="O266" s="56">
        <f>IF(NOT((COUNTA($B266:$D266)+COUNTA($G266:$H266)+COUNTA($Q266))&gt;0),"",IF(AND(AND($D266&lt;&gt;"",$V266="Macro"),N($AM266)&gt;0),CHOOSE(MATCH($D266,ListaPuestos,0),INDEX('Cronograma R. Operacional'!$O$5:$O$1000,$AM266),INDEX('Cronograma R. Normativo'!$O$5:$O$1000,$AM266),INDEX('Cronograma R. Financiero'!$O$5:$O$1000,$AM266),INDEX('Cronograma Asistente Técnico'!$O$5:$O$1000,$AM266))&amp;"",IF(ISNUMBER($G266),IF(AND(ISNUMBER($AS266),$G266&gt;$AS266),"Cumplida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f>IF(NOT((COUNTA($B266:$D266)+COUNTA($G266:$H266)+COUNTA($Q266))&gt;0),"",IF($D266="","Propia",IF($V266&lt;&gt;"Macro","Solo se delegan macroactividades",IF(N($AM266)&gt;0,"✔ Recibida por "&amp;$D266,"⚠ "&amp;$D266&amp;" aún no la agrega"))))</f>
        <v/>
      </c>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IF($V266&lt;&gt;"Sub","",N($X266)*IF(AND(ISNUMBER($G266),$G266&lt;=IF($S266=MesCiclo,InicioCiclo,$S266+MOD(2-WEEKDAY($S266),7))+6),1,MIN(1,MAX(0,IF(ISNUMBER(OFFSET($A$1,ROW()-1,8)),OFFSET($A$1,ROW()-1,8),0)))))</f>
        <v/>
      </c>
      <c r="AE266" s="62">
        <f>IF($V266&lt;&gt;"Sub","",N($X266)*IF(AND(ISNUMBER($G266),$G266&lt;=IF($S266=MesCiclo,InicioCiclo,$S266+MOD(2-WEEKDAY($S266),7))+13),1,MIN(1,MAX(0,IF(ISNUMBER(OFFSET($A$1,ROW()-1,9)),OFFSET($A$1,ROW()-1,9),IF(ISNUMBER(OFFSET($A$1,ROW()-1,8)),OFFSET($A$1,ROW()-1,8),0))))))</f>
        <v/>
      </c>
      <c r="AF266" s="62">
        <f>IF($V266&lt;&gt;"Sub","",N($X266)*IF(AND(ISNUMBER($G266),$G266&lt;=IF($S266=MesCiclo,InicioCiclo,$S266+MOD(2-WEEKDAY($S266),7))+20),1,MIN(1,MAX(0,IF(ISNUMBER(OFFSET($A$1,ROW()-1,10)),OFFSET($A$1,ROW()-1,10),IF(ISNUMBER(OFFSET($A$1,ROW()-1,9)),OFFSET($A$1,ROW()-1,9),IF(ISNUMBER(OFFSET($A$1,ROW()-1,8)),OFFSET($A$1,ROW()-1,8),0)))))))</f>
        <v/>
      </c>
      <c r="AG266" s="62">
        <f>IF($V266&lt;&gt;"Sub","",N($X266)*IF(AND(ISNUMBER($G266),$G266&lt;=IF($S266=MesCiclo,InicioCiclo,$S266+MOD(2-WEEKDAY($S266),7))+27),1,MIN(1,MAX(0,IF(ISNUMBER(OFFSET($A$1,ROW()-1,11)),OFFSET($A$1,ROW()-1,11),IF(ISNUMBER(OFFSET($A$1,ROW()-1,10)),OFFSET($A$1,ROW()-1,10),IF(ISNUMBER(OFFSET($A$1,ROW()-1,9)),OFFSET($A$1,ROW()-1,9),IF(ISNUMBER(OFFSET($A$1,ROW()-1,8)),OFFSET($A$1,ROW()-1,8),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f>IF(NOT(AND($D266&lt;&gt;"",$V266="Macro")),"",IFERROR(CHOOSE(MATCH($D266,ListaPuestos,0),MATCH("[Jefatura] "&amp;$C266,'Cronograma R. Operacional'!$C$5:$C$1000,0),MATCH("[Jefatura] "&amp;$C266,'Cronograma R. Normativo'!$C$5:$C$1000,0),MATCH("[Jefatura] "&amp;$C266,'Cronograma R. Financiero'!$C$5:$C$1000,0),MATCH("[Jefatura] "&amp;$C266,'Cronograma Asistente Técnico'!$C$5:$C$1000,0)),0))</f>
        <v/>
      </c>
      <c r="AN266" s="62">
        <f>IF(AND(AND($D266&lt;&gt;"",$V266="Macro"),$S266=MesCiclo),COUNTIFS($D$5:$D266,$D266,$S$5:$S266,MesCiclo,$V$5:$V266,"Macro"),"")</f>
        <v/>
      </c>
      <c r="AO266" s="62">
        <f>IF($AN266="","",$D266&amp;"|"&amp;$AN266)</f>
        <v/>
      </c>
      <c r="AP266" s="62">
        <f>IF(AND($D266&lt;&gt;"",$V266="Macro"),$D266&amp;"|"&amp;$C266,"")</f>
        <v/>
      </c>
      <c r="AQ266" s="62">
        <f>""</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t="n"/>
      <c r="F267" s="59" t="n"/>
      <c r="G267" s="59" t="n"/>
      <c r="H267" s="60" t="n"/>
      <c r="I267" s="60">
        <f>IF(N($W267)=0,"",IF(AND($S267=MesCiclo,1&gt;SemanaActual),"",MIN(1,SUMIFS(OFFSET($A$1,ROW(),29,1000-ROW(),1),OFFSET($A$1,ROW(),20,1000-ROW(),1),ROW(),OFFSET($A$1,ROW(),21,1000-ROW(),1),"Sub"))))</f>
        <v/>
      </c>
      <c r="J267" s="60">
        <f>IF(N($W267)=0,"",IF(AND($S267=MesCiclo,2&gt;SemanaActual),"",MIN(1,SUMIFS(OFFSET($A$1,ROW(),30,1000-ROW(),1),OFFSET($A$1,ROW(),20,1000-ROW(),1),ROW(),OFFSET($A$1,ROW(),21,1000-ROW(),1),"Sub"))))</f>
        <v/>
      </c>
      <c r="K267" s="60">
        <f>IF(N($W267)=0,"",IF(AND($S267=MesCiclo,3&gt;SemanaActual),"",MIN(1,SUMIFS(OFFSET($A$1,ROW(),31,1000-ROW(),1),OFFSET($A$1,ROW(),20,1000-ROW(),1),ROW(),OFFSET($A$1,ROW(),21,1000-ROW(),1),"Sub"))))</f>
        <v/>
      </c>
      <c r="L267" s="60">
        <f>IF(N($W267)=0,"",IF(AND($S267=MesCiclo,4&gt;SemanaActual),"",MIN(1,SUMIFS(OFFSET($A$1,ROW(),32,1000-ROW(),1),OFFSET($A$1,ROW(),20,1000-ROW(),1),ROW(),OFFSET($A$1,ROW(),21,1000-ROW(),1),"Sub"))))</f>
        <v/>
      </c>
      <c r="M267" s="61">
        <f>IF(NOT((COUNTA($B267:$D267)+COUNTA($G267:$H267)+COUNTA($Q267))&gt;0),"",IF(AND($D267&lt;&gt;"",$V267="Macro"),IF(N($AM267)&gt;0,N(CHOOSE(MATCH($D267,ListaPuestos,0),INDEX('Cronograma R. Operacional'!$M$5:$M$1000,$AM267),INDEX('Cronograma R. Normativo'!$M$5:$M$1000,$AM267),INDEX('Cronograma R. Financiero'!$M$5:$M$1000,$AM267),INDEX('Cronograma Asistente Técnico'!$M$5:$M$1000,$AM267))),0),IF(ISNUMBER($G267),1,IF(N($W267)&gt;0,MIN(1,SUMIFS($Y$5:$Y$1000,$U$5:$U$1000,ROW(),$V$5:$V$1000,"Sub")),$Y267))))</f>
        <v/>
      </c>
      <c r="N267" s="56">
        <f>IF(OR($M267="",$V267="Sub"),"",IF($M267&gt;=1,"Completado",IF($M267&gt;0,"En curso","Pendiente")))</f>
        <v/>
      </c>
      <c r="O267" s="56">
        <f>IF(NOT((COUNTA($B267:$D267)+COUNTA($G267:$H267)+COUNTA($Q267))&gt;0),"",IF(AND(AND($D267&lt;&gt;"",$V267="Macro"),N($AM267)&gt;0),CHOOSE(MATCH($D267,ListaPuestos,0),INDEX('Cronograma R. Operacional'!$O$5:$O$1000,$AM267),INDEX('Cronograma R. Normativo'!$O$5:$O$1000,$AM267),INDEX('Cronograma R. Financiero'!$O$5:$O$1000,$AM267),INDEX('Cronograma Asistente Técnico'!$O$5:$O$1000,$AM267))&amp;"",IF(ISNUMBER($G267),IF(AND(ISNUMBER($AS267),$G267&gt;$AS267),"Cumplida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f>IF(NOT((COUNTA($B267:$D267)+COUNTA($G267:$H267)+COUNTA($Q267))&gt;0),"",IF($D267="","Propia",IF($V267&lt;&gt;"Macro","Solo se delegan macroactividades",IF(N($AM267)&gt;0,"✔ Recibida por "&amp;$D267,"⚠ "&amp;$D267&amp;" aún no la agrega"))))</f>
        <v/>
      </c>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IF($V267&lt;&gt;"Sub","",N($X267)*IF(AND(ISNUMBER($G267),$G267&lt;=IF($S267=MesCiclo,InicioCiclo,$S267+MOD(2-WEEKDAY($S267),7))+6),1,MIN(1,MAX(0,IF(ISNUMBER(OFFSET($A$1,ROW()-1,8)),OFFSET($A$1,ROW()-1,8),0)))))</f>
        <v/>
      </c>
      <c r="AE267" s="62">
        <f>IF($V267&lt;&gt;"Sub","",N($X267)*IF(AND(ISNUMBER($G267),$G267&lt;=IF($S267=MesCiclo,InicioCiclo,$S267+MOD(2-WEEKDAY($S267),7))+13),1,MIN(1,MAX(0,IF(ISNUMBER(OFFSET($A$1,ROW()-1,9)),OFFSET($A$1,ROW()-1,9),IF(ISNUMBER(OFFSET($A$1,ROW()-1,8)),OFFSET($A$1,ROW()-1,8),0))))))</f>
        <v/>
      </c>
      <c r="AF267" s="62">
        <f>IF($V267&lt;&gt;"Sub","",N($X267)*IF(AND(ISNUMBER($G267),$G267&lt;=IF($S267=MesCiclo,InicioCiclo,$S267+MOD(2-WEEKDAY($S267),7))+20),1,MIN(1,MAX(0,IF(ISNUMBER(OFFSET($A$1,ROW()-1,10)),OFFSET($A$1,ROW()-1,10),IF(ISNUMBER(OFFSET($A$1,ROW()-1,9)),OFFSET($A$1,ROW()-1,9),IF(ISNUMBER(OFFSET($A$1,ROW()-1,8)),OFFSET($A$1,ROW()-1,8),0)))))))</f>
        <v/>
      </c>
      <c r="AG267" s="62">
        <f>IF($V267&lt;&gt;"Sub","",N($X267)*IF(AND(ISNUMBER($G267),$G267&lt;=IF($S267=MesCiclo,InicioCiclo,$S267+MOD(2-WEEKDAY($S267),7))+27),1,MIN(1,MAX(0,IF(ISNUMBER(OFFSET($A$1,ROW()-1,11)),OFFSET($A$1,ROW()-1,11),IF(ISNUMBER(OFFSET($A$1,ROW()-1,10)),OFFSET($A$1,ROW()-1,10),IF(ISNUMBER(OFFSET($A$1,ROW()-1,9)),OFFSET($A$1,ROW()-1,9),IF(ISNUMBER(OFFSET($A$1,ROW()-1,8)),OFFSET($A$1,ROW()-1,8),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f>IF(NOT(AND($D267&lt;&gt;"",$V267="Macro")),"",IFERROR(CHOOSE(MATCH($D267,ListaPuestos,0),MATCH("[Jefatura] "&amp;$C267,'Cronograma R. Operacional'!$C$5:$C$1000,0),MATCH("[Jefatura] "&amp;$C267,'Cronograma R. Normativo'!$C$5:$C$1000,0),MATCH("[Jefatura] "&amp;$C267,'Cronograma R. Financiero'!$C$5:$C$1000,0),MATCH("[Jefatura] "&amp;$C267,'Cronograma Asistente Técnico'!$C$5:$C$1000,0)),0))</f>
        <v/>
      </c>
      <c r="AN267" s="62">
        <f>IF(AND(AND($D267&lt;&gt;"",$V267="Macro"),$S267=MesCiclo),COUNTIFS($D$5:$D267,$D267,$S$5:$S267,MesCiclo,$V$5:$V267,"Macro"),"")</f>
        <v/>
      </c>
      <c r="AO267" s="62">
        <f>IF($AN267="","",$D267&amp;"|"&amp;$AN267)</f>
        <v/>
      </c>
      <c r="AP267" s="62">
        <f>IF(AND($D267&lt;&gt;"",$V267="Macro"),$D267&amp;"|"&amp;$C267,"")</f>
        <v/>
      </c>
      <c r="AQ267" s="62">
        <f>""</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t="n"/>
      <c r="F268" s="59" t="n"/>
      <c r="G268" s="59" t="n"/>
      <c r="H268" s="60" t="n"/>
      <c r="I268" s="60">
        <f>IF(N($W268)=0,"",IF(AND($S268=MesCiclo,1&gt;SemanaActual),"",MIN(1,SUMIFS(OFFSET($A$1,ROW(),29,1000-ROW(),1),OFFSET($A$1,ROW(),20,1000-ROW(),1),ROW(),OFFSET($A$1,ROW(),21,1000-ROW(),1),"Sub"))))</f>
        <v/>
      </c>
      <c r="J268" s="60">
        <f>IF(N($W268)=0,"",IF(AND($S268=MesCiclo,2&gt;SemanaActual),"",MIN(1,SUMIFS(OFFSET($A$1,ROW(),30,1000-ROW(),1),OFFSET($A$1,ROW(),20,1000-ROW(),1),ROW(),OFFSET($A$1,ROW(),21,1000-ROW(),1),"Sub"))))</f>
        <v/>
      </c>
      <c r="K268" s="60">
        <f>IF(N($W268)=0,"",IF(AND($S268=MesCiclo,3&gt;SemanaActual),"",MIN(1,SUMIFS(OFFSET($A$1,ROW(),31,1000-ROW(),1),OFFSET($A$1,ROW(),20,1000-ROW(),1),ROW(),OFFSET($A$1,ROW(),21,1000-ROW(),1),"Sub"))))</f>
        <v/>
      </c>
      <c r="L268" s="60">
        <f>IF(N($W268)=0,"",IF(AND($S268=MesCiclo,4&gt;SemanaActual),"",MIN(1,SUMIFS(OFFSET($A$1,ROW(),32,1000-ROW(),1),OFFSET($A$1,ROW(),20,1000-ROW(),1),ROW(),OFFSET($A$1,ROW(),21,1000-ROW(),1),"Sub"))))</f>
        <v/>
      </c>
      <c r="M268" s="61">
        <f>IF(NOT((COUNTA($B268:$D268)+COUNTA($G268:$H268)+COUNTA($Q268))&gt;0),"",IF(AND($D268&lt;&gt;"",$V268="Macro"),IF(N($AM268)&gt;0,N(CHOOSE(MATCH($D268,ListaPuestos,0),INDEX('Cronograma R. Operacional'!$M$5:$M$1000,$AM268),INDEX('Cronograma R. Normativo'!$M$5:$M$1000,$AM268),INDEX('Cronograma R. Financiero'!$M$5:$M$1000,$AM268),INDEX('Cronograma Asistente Técnico'!$M$5:$M$1000,$AM268))),0),IF(ISNUMBER($G268),1,IF(N($W268)&gt;0,MIN(1,SUMIFS($Y$5:$Y$1000,$U$5:$U$1000,ROW(),$V$5:$V$1000,"Sub")),$Y268))))</f>
        <v/>
      </c>
      <c r="N268" s="56">
        <f>IF(OR($M268="",$V268="Sub"),"",IF($M268&gt;=1,"Completado",IF($M268&gt;0,"En curso","Pendiente")))</f>
        <v/>
      </c>
      <c r="O268" s="56">
        <f>IF(NOT((COUNTA($B268:$D268)+COUNTA($G268:$H268)+COUNTA($Q268))&gt;0),"",IF(AND(AND($D268&lt;&gt;"",$V268="Macro"),N($AM268)&gt;0),CHOOSE(MATCH($D268,ListaPuestos,0),INDEX('Cronograma R. Operacional'!$O$5:$O$1000,$AM268),INDEX('Cronograma R. Normativo'!$O$5:$O$1000,$AM268),INDEX('Cronograma R. Financiero'!$O$5:$O$1000,$AM268),INDEX('Cronograma Asistente Técnico'!$O$5:$O$1000,$AM268))&amp;"",IF(ISNUMBER($G268),IF(AND(ISNUMBER($AS268),$G268&gt;$AS268),"Cumplida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f>IF(NOT((COUNTA($B268:$D268)+COUNTA($G268:$H268)+COUNTA($Q268))&gt;0),"",IF($D268="","Propia",IF($V268&lt;&gt;"Macro","Solo se delegan macroactividades",IF(N($AM268)&gt;0,"✔ Recibida por "&amp;$D268,"⚠ "&amp;$D268&amp;" aún no la agrega"))))</f>
        <v/>
      </c>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IF($V268&lt;&gt;"Sub","",N($X268)*IF(AND(ISNUMBER($G268),$G268&lt;=IF($S268=MesCiclo,InicioCiclo,$S268+MOD(2-WEEKDAY($S268),7))+6),1,MIN(1,MAX(0,IF(ISNUMBER(OFFSET($A$1,ROW()-1,8)),OFFSET($A$1,ROW()-1,8),0)))))</f>
        <v/>
      </c>
      <c r="AE268" s="62">
        <f>IF($V268&lt;&gt;"Sub","",N($X268)*IF(AND(ISNUMBER($G268),$G268&lt;=IF($S268=MesCiclo,InicioCiclo,$S268+MOD(2-WEEKDAY($S268),7))+13),1,MIN(1,MAX(0,IF(ISNUMBER(OFFSET($A$1,ROW()-1,9)),OFFSET($A$1,ROW()-1,9),IF(ISNUMBER(OFFSET($A$1,ROW()-1,8)),OFFSET($A$1,ROW()-1,8),0))))))</f>
        <v/>
      </c>
      <c r="AF268" s="62">
        <f>IF($V268&lt;&gt;"Sub","",N($X268)*IF(AND(ISNUMBER($G268),$G268&lt;=IF($S268=MesCiclo,InicioCiclo,$S268+MOD(2-WEEKDAY($S268),7))+20),1,MIN(1,MAX(0,IF(ISNUMBER(OFFSET($A$1,ROW()-1,10)),OFFSET($A$1,ROW()-1,10),IF(ISNUMBER(OFFSET($A$1,ROW()-1,9)),OFFSET($A$1,ROW()-1,9),IF(ISNUMBER(OFFSET($A$1,ROW()-1,8)),OFFSET($A$1,ROW()-1,8),0)))))))</f>
        <v/>
      </c>
      <c r="AG268" s="62">
        <f>IF($V268&lt;&gt;"Sub","",N($X268)*IF(AND(ISNUMBER($G268),$G268&lt;=IF($S268=MesCiclo,InicioCiclo,$S268+MOD(2-WEEKDAY($S268),7))+27),1,MIN(1,MAX(0,IF(ISNUMBER(OFFSET($A$1,ROW()-1,11)),OFFSET($A$1,ROW()-1,11),IF(ISNUMBER(OFFSET($A$1,ROW()-1,10)),OFFSET($A$1,ROW()-1,10),IF(ISNUMBER(OFFSET($A$1,ROW()-1,9)),OFFSET($A$1,ROW()-1,9),IF(ISNUMBER(OFFSET($A$1,ROW()-1,8)),OFFSET($A$1,ROW()-1,8),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f>IF(NOT(AND($D268&lt;&gt;"",$V268="Macro")),"",IFERROR(CHOOSE(MATCH($D268,ListaPuestos,0),MATCH("[Jefatura] "&amp;$C268,'Cronograma R. Operacional'!$C$5:$C$1000,0),MATCH("[Jefatura] "&amp;$C268,'Cronograma R. Normativo'!$C$5:$C$1000,0),MATCH("[Jefatura] "&amp;$C268,'Cronograma R. Financiero'!$C$5:$C$1000,0),MATCH("[Jefatura] "&amp;$C268,'Cronograma Asistente Técnico'!$C$5:$C$1000,0)),0))</f>
        <v/>
      </c>
      <c r="AN268" s="62">
        <f>IF(AND(AND($D268&lt;&gt;"",$V268="Macro"),$S268=MesCiclo),COUNTIFS($D$5:$D268,$D268,$S$5:$S268,MesCiclo,$V$5:$V268,"Macro"),"")</f>
        <v/>
      </c>
      <c r="AO268" s="62">
        <f>IF($AN268="","",$D268&amp;"|"&amp;$AN268)</f>
        <v/>
      </c>
      <c r="AP268" s="62">
        <f>IF(AND($D268&lt;&gt;"",$V268="Macro"),$D268&amp;"|"&amp;$C268,"")</f>
        <v/>
      </c>
      <c r="AQ268" s="62">
        <f>""</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t="n"/>
      <c r="F269" s="59" t="n"/>
      <c r="G269" s="59" t="n"/>
      <c r="H269" s="60" t="n"/>
      <c r="I269" s="60">
        <f>IF(N($W269)=0,"",IF(AND($S269=MesCiclo,1&gt;SemanaActual),"",MIN(1,SUMIFS(OFFSET($A$1,ROW(),29,1000-ROW(),1),OFFSET($A$1,ROW(),20,1000-ROW(),1),ROW(),OFFSET($A$1,ROW(),21,1000-ROW(),1),"Sub"))))</f>
        <v/>
      </c>
      <c r="J269" s="60">
        <f>IF(N($W269)=0,"",IF(AND($S269=MesCiclo,2&gt;SemanaActual),"",MIN(1,SUMIFS(OFFSET($A$1,ROW(),30,1000-ROW(),1),OFFSET($A$1,ROW(),20,1000-ROW(),1),ROW(),OFFSET($A$1,ROW(),21,1000-ROW(),1),"Sub"))))</f>
        <v/>
      </c>
      <c r="K269" s="60">
        <f>IF(N($W269)=0,"",IF(AND($S269=MesCiclo,3&gt;SemanaActual),"",MIN(1,SUMIFS(OFFSET($A$1,ROW(),31,1000-ROW(),1),OFFSET($A$1,ROW(),20,1000-ROW(),1),ROW(),OFFSET($A$1,ROW(),21,1000-ROW(),1),"Sub"))))</f>
        <v/>
      </c>
      <c r="L269" s="60">
        <f>IF(N($W269)=0,"",IF(AND($S269=MesCiclo,4&gt;SemanaActual),"",MIN(1,SUMIFS(OFFSET($A$1,ROW(),32,1000-ROW(),1),OFFSET($A$1,ROW(),20,1000-ROW(),1),ROW(),OFFSET($A$1,ROW(),21,1000-ROW(),1),"Sub"))))</f>
        <v/>
      </c>
      <c r="M269" s="61">
        <f>IF(NOT((COUNTA($B269:$D269)+COUNTA($G269:$H269)+COUNTA($Q269))&gt;0),"",IF(AND($D269&lt;&gt;"",$V269="Macro"),IF(N($AM269)&gt;0,N(CHOOSE(MATCH($D269,ListaPuestos,0),INDEX('Cronograma R. Operacional'!$M$5:$M$1000,$AM269),INDEX('Cronograma R. Normativo'!$M$5:$M$1000,$AM269),INDEX('Cronograma R. Financiero'!$M$5:$M$1000,$AM269),INDEX('Cronograma Asistente Técnico'!$M$5:$M$1000,$AM269))),0),IF(ISNUMBER($G269),1,IF(N($W269)&gt;0,MIN(1,SUMIFS($Y$5:$Y$1000,$U$5:$U$1000,ROW(),$V$5:$V$1000,"Sub")),$Y269))))</f>
        <v/>
      </c>
      <c r="N269" s="56">
        <f>IF(OR($M269="",$V269="Sub"),"",IF($M269&gt;=1,"Completado",IF($M269&gt;0,"En curso","Pendiente")))</f>
        <v/>
      </c>
      <c r="O269" s="56">
        <f>IF(NOT((COUNTA($B269:$D269)+COUNTA($G269:$H269)+COUNTA($Q269))&gt;0),"",IF(AND(AND($D269&lt;&gt;"",$V269="Macro"),N($AM269)&gt;0),CHOOSE(MATCH($D269,ListaPuestos,0),INDEX('Cronograma R. Operacional'!$O$5:$O$1000,$AM269),INDEX('Cronograma R. Normativo'!$O$5:$O$1000,$AM269),INDEX('Cronograma R. Financiero'!$O$5:$O$1000,$AM269),INDEX('Cronograma Asistente Técnico'!$O$5:$O$1000,$AM269))&amp;"",IF(ISNUMBER($G269),IF(AND(ISNUMBER($AS269),$G269&gt;$AS269),"Cumplida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f>IF(NOT((COUNTA($B269:$D269)+COUNTA($G269:$H269)+COUNTA($Q269))&gt;0),"",IF($D269="","Propia",IF($V269&lt;&gt;"Macro","Solo se delegan macroactividades",IF(N($AM269)&gt;0,"✔ Recibida por "&amp;$D269,"⚠ "&amp;$D269&amp;" aún no la agrega"))))</f>
        <v/>
      </c>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IF($V269&lt;&gt;"Sub","",N($X269)*IF(AND(ISNUMBER($G269),$G269&lt;=IF($S269=MesCiclo,InicioCiclo,$S269+MOD(2-WEEKDAY($S269),7))+6),1,MIN(1,MAX(0,IF(ISNUMBER(OFFSET($A$1,ROW()-1,8)),OFFSET($A$1,ROW()-1,8),0)))))</f>
        <v/>
      </c>
      <c r="AE269" s="62">
        <f>IF($V269&lt;&gt;"Sub","",N($X269)*IF(AND(ISNUMBER($G269),$G269&lt;=IF($S269=MesCiclo,InicioCiclo,$S269+MOD(2-WEEKDAY($S269),7))+13),1,MIN(1,MAX(0,IF(ISNUMBER(OFFSET($A$1,ROW()-1,9)),OFFSET($A$1,ROW()-1,9),IF(ISNUMBER(OFFSET($A$1,ROW()-1,8)),OFFSET($A$1,ROW()-1,8),0))))))</f>
        <v/>
      </c>
      <c r="AF269" s="62">
        <f>IF($V269&lt;&gt;"Sub","",N($X269)*IF(AND(ISNUMBER($G269),$G269&lt;=IF($S269=MesCiclo,InicioCiclo,$S269+MOD(2-WEEKDAY($S269),7))+20),1,MIN(1,MAX(0,IF(ISNUMBER(OFFSET($A$1,ROW()-1,10)),OFFSET($A$1,ROW()-1,10),IF(ISNUMBER(OFFSET($A$1,ROW()-1,9)),OFFSET($A$1,ROW()-1,9),IF(ISNUMBER(OFFSET($A$1,ROW()-1,8)),OFFSET($A$1,ROW()-1,8),0)))))))</f>
        <v/>
      </c>
      <c r="AG269" s="62">
        <f>IF($V269&lt;&gt;"Sub","",N($X269)*IF(AND(ISNUMBER($G269),$G269&lt;=IF($S269=MesCiclo,InicioCiclo,$S269+MOD(2-WEEKDAY($S269),7))+27),1,MIN(1,MAX(0,IF(ISNUMBER(OFFSET($A$1,ROW()-1,11)),OFFSET($A$1,ROW()-1,11),IF(ISNUMBER(OFFSET($A$1,ROW()-1,10)),OFFSET($A$1,ROW()-1,10),IF(ISNUMBER(OFFSET($A$1,ROW()-1,9)),OFFSET($A$1,ROW()-1,9),IF(ISNUMBER(OFFSET($A$1,ROW()-1,8)),OFFSET($A$1,ROW()-1,8),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f>IF(NOT(AND($D269&lt;&gt;"",$V269="Macro")),"",IFERROR(CHOOSE(MATCH($D269,ListaPuestos,0),MATCH("[Jefatura] "&amp;$C269,'Cronograma R. Operacional'!$C$5:$C$1000,0),MATCH("[Jefatura] "&amp;$C269,'Cronograma R. Normativo'!$C$5:$C$1000,0),MATCH("[Jefatura] "&amp;$C269,'Cronograma R. Financiero'!$C$5:$C$1000,0),MATCH("[Jefatura] "&amp;$C269,'Cronograma Asistente Técnico'!$C$5:$C$1000,0)),0))</f>
        <v/>
      </c>
      <c r="AN269" s="62">
        <f>IF(AND(AND($D269&lt;&gt;"",$V269="Macro"),$S269=MesCiclo),COUNTIFS($D$5:$D269,$D269,$S$5:$S269,MesCiclo,$V$5:$V269,"Macro"),"")</f>
        <v/>
      </c>
      <c r="AO269" s="62">
        <f>IF($AN269="","",$D269&amp;"|"&amp;$AN269)</f>
        <v/>
      </c>
      <c r="AP269" s="62">
        <f>IF(AND($D269&lt;&gt;"",$V269="Macro"),$D269&amp;"|"&amp;$C269,"")</f>
        <v/>
      </c>
      <c r="AQ269" s="62">
        <f>""</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t="n"/>
      <c r="F270" s="59" t="n"/>
      <c r="G270" s="59" t="n"/>
      <c r="H270" s="60" t="n"/>
      <c r="I270" s="60">
        <f>IF(N($W270)=0,"",IF(AND($S270=MesCiclo,1&gt;SemanaActual),"",MIN(1,SUMIFS(OFFSET($A$1,ROW(),29,1000-ROW(),1),OFFSET($A$1,ROW(),20,1000-ROW(),1),ROW(),OFFSET($A$1,ROW(),21,1000-ROW(),1),"Sub"))))</f>
        <v/>
      </c>
      <c r="J270" s="60">
        <f>IF(N($W270)=0,"",IF(AND($S270=MesCiclo,2&gt;SemanaActual),"",MIN(1,SUMIFS(OFFSET($A$1,ROW(),30,1000-ROW(),1),OFFSET($A$1,ROW(),20,1000-ROW(),1),ROW(),OFFSET($A$1,ROW(),21,1000-ROW(),1),"Sub"))))</f>
        <v/>
      </c>
      <c r="K270" s="60">
        <f>IF(N($W270)=0,"",IF(AND($S270=MesCiclo,3&gt;SemanaActual),"",MIN(1,SUMIFS(OFFSET($A$1,ROW(),31,1000-ROW(),1),OFFSET($A$1,ROW(),20,1000-ROW(),1),ROW(),OFFSET($A$1,ROW(),21,1000-ROW(),1),"Sub"))))</f>
        <v/>
      </c>
      <c r="L270" s="60">
        <f>IF(N($W270)=0,"",IF(AND($S270=MesCiclo,4&gt;SemanaActual),"",MIN(1,SUMIFS(OFFSET($A$1,ROW(),32,1000-ROW(),1),OFFSET($A$1,ROW(),20,1000-ROW(),1),ROW(),OFFSET($A$1,ROW(),21,1000-ROW(),1),"Sub"))))</f>
        <v/>
      </c>
      <c r="M270" s="61">
        <f>IF(NOT((COUNTA($B270:$D270)+COUNTA($G270:$H270)+COUNTA($Q270))&gt;0),"",IF(AND($D270&lt;&gt;"",$V270="Macro"),IF(N($AM270)&gt;0,N(CHOOSE(MATCH($D270,ListaPuestos,0),INDEX('Cronograma R. Operacional'!$M$5:$M$1000,$AM270),INDEX('Cronograma R. Normativo'!$M$5:$M$1000,$AM270),INDEX('Cronograma R. Financiero'!$M$5:$M$1000,$AM270),INDEX('Cronograma Asistente Técnico'!$M$5:$M$1000,$AM270))),0),IF(ISNUMBER($G270),1,IF(N($W270)&gt;0,MIN(1,SUMIFS($Y$5:$Y$1000,$U$5:$U$1000,ROW(),$V$5:$V$1000,"Sub")),$Y270))))</f>
        <v/>
      </c>
      <c r="N270" s="56">
        <f>IF(OR($M270="",$V270="Sub"),"",IF($M270&gt;=1,"Completado",IF($M270&gt;0,"En curso","Pendiente")))</f>
        <v/>
      </c>
      <c r="O270" s="56">
        <f>IF(NOT((COUNTA($B270:$D270)+COUNTA($G270:$H270)+COUNTA($Q270))&gt;0),"",IF(AND(AND($D270&lt;&gt;"",$V270="Macro"),N($AM270)&gt;0),CHOOSE(MATCH($D270,ListaPuestos,0),INDEX('Cronograma R. Operacional'!$O$5:$O$1000,$AM270),INDEX('Cronograma R. Normativo'!$O$5:$O$1000,$AM270),INDEX('Cronograma R. Financiero'!$O$5:$O$1000,$AM270),INDEX('Cronograma Asistente Técnico'!$O$5:$O$1000,$AM270))&amp;"",IF(ISNUMBER($G270),IF(AND(ISNUMBER($AS270),$G270&gt;$AS270),"Cumplida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f>IF(NOT((COUNTA($B270:$D270)+COUNTA($G270:$H270)+COUNTA($Q270))&gt;0),"",IF($D270="","Propia",IF($V270&lt;&gt;"Macro","Solo se delegan macroactividades",IF(N($AM270)&gt;0,"✔ Recibida por "&amp;$D270,"⚠ "&amp;$D270&amp;" aún no la agrega"))))</f>
        <v/>
      </c>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IF($V270&lt;&gt;"Sub","",N($X270)*IF(AND(ISNUMBER($G270),$G270&lt;=IF($S270=MesCiclo,InicioCiclo,$S270+MOD(2-WEEKDAY($S270),7))+6),1,MIN(1,MAX(0,IF(ISNUMBER(OFFSET($A$1,ROW()-1,8)),OFFSET($A$1,ROW()-1,8),0)))))</f>
        <v/>
      </c>
      <c r="AE270" s="62">
        <f>IF($V270&lt;&gt;"Sub","",N($X270)*IF(AND(ISNUMBER($G270),$G270&lt;=IF($S270=MesCiclo,InicioCiclo,$S270+MOD(2-WEEKDAY($S270),7))+13),1,MIN(1,MAX(0,IF(ISNUMBER(OFFSET($A$1,ROW()-1,9)),OFFSET($A$1,ROW()-1,9),IF(ISNUMBER(OFFSET($A$1,ROW()-1,8)),OFFSET($A$1,ROW()-1,8),0))))))</f>
        <v/>
      </c>
      <c r="AF270" s="62">
        <f>IF($V270&lt;&gt;"Sub","",N($X270)*IF(AND(ISNUMBER($G270),$G270&lt;=IF($S270=MesCiclo,InicioCiclo,$S270+MOD(2-WEEKDAY($S270),7))+20),1,MIN(1,MAX(0,IF(ISNUMBER(OFFSET($A$1,ROW()-1,10)),OFFSET($A$1,ROW()-1,10),IF(ISNUMBER(OFFSET($A$1,ROW()-1,9)),OFFSET($A$1,ROW()-1,9),IF(ISNUMBER(OFFSET($A$1,ROW()-1,8)),OFFSET($A$1,ROW()-1,8),0)))))))</f>
        <v/>
      </c>
      <c r="AG270" s="62">
        <f>IF($V270&lt;&gt;"Sub","",N($X270)*IF(AND(ISNUMBER($G270),$G270&lt;=IF($S270=MesCiclo,InicioCiclo,$S270+MOD(2-WEEKDAY($S270),7))+27),1,MIN(1,MAX(0,IF(ISNUMBER(OFFSET($A$1,ROW()-1,11)),OFFSET($A$1,ROW()-1,11),IF(ISNUMBER(OFFSET($A$1,ROW()-1,10)),OFFSET($A$1,ROW()-1,10),IF(ISNUMBER(OFFSET($A$1,ROW()-1,9)),OFFSET($A$1,ROW()-1,9),IF(ISNUMBER(OFFSET($A$1,ROW()-1,8)),OFFSET($A$1,ROW()-1,8),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f>IF(NOT(AND($D270&lt;&gt;"",$V270="Macro")),"",IFERROR(CHOOSE(MATCH($D270,ListaPuestos,0),MATCH("[Jefatura] "&amp;$C270,'Cronograma R. Operacional'!$C$5:$C$1000,0),MATCH("[Jefatura] "&amp;$C270,'Cronograma R. Normativo'!$C$5:$C$1000,0),MATCH("[Jefatura] "&amp;$C270,'Cronograma R. Financiero'!$C$5:$C$1000,0),MATCH("[Jefatura] "&amp;$C270,'Cronograma Asistente Técnico'!$C$5:$C$1000,0)),0))</f>
        <v/>
      </c>
      <c r="AN270" s="62">
        <f>IF(AND(AND($D270&lt;&gt;"",$V270="Macro"),$S270=MesCiclo),COUNTIFS($D$5:$D270,$D270,$S$5:$S270,MesCiclo,$V$5:$V270,"Macro"),"")</f>
        <v/>
      </c>
      <c r="AO270" s="62">
        <f>IF($AN270="","",$D270&amp;"|"&amp;$AN270)</f>
        <v/>
      </c>
      <c r="AP270" s="62">
        <f>IF(AND($D270&lt;&gt;"",$V270="Macro"),$D270&amp;"|"&amp;$C270,"")</f>
        <v/>
      </c>
      <c r="AQ270" s="62">
        <f>""</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t="n"/>
      <c r="F271" s="59" t="n"/>
      <c r="G271" s="59" t="n"/>
      <c r="H271" s="60" t="n"/>
      <c r="I271" s="60">
        <f>IF(N($W271)=0,"",IF(AND($S271=MesCiclo,1&gt;SemanaActual),"",MIN(1,SUMIFS(OFFSET($A$1,ROW(),29,1000-ROW(),1),OFFSET($A$1,ROW(),20,1000-ROW(),1),ROW(),OFFSET($A$1,ROW(),21,1000-ROW(),1),"Sub"))))</f>
        <v/>
      </c>
      <c r="J271" s="60">
        <f>IF(N($W271)=0,"",IF(AND($S271=MesCiclo,2&gt;SemanaActual),"",MIN(1,SUMIFS(OFFSET($A$1,ROW(),30,1000-ROW(),1),OFFSET($A$1,ROW(),20,1000-ROW(),1),ROW(),OFFSET($A$1,ROW(),21,1000-ROW(),1),"Sub"))))</f>
        <v/>
      </c>
      <c r="K271" s="60">
        <f>IF(N($W271)=0,"",IF(AND($S271=MesCiclo,3&gt;SemanaActual),"",MIN(1,SUMIFS(OFFSET($A$1,ROW(),31,1000-ROW(),1),OFFSET($A$1,ROW(),20,1000-ROW(),1),ROW(),OFFSET($A$1,ROW(),21,1000-ROW(),1),"Sub"))))</f>
        <v/>
      </c>
      <c r="L271" s="60">
        <f>IF(N($W271)=0,"",IF(AND($S271=MesCiclo,4&gt;SemanaActual),"",MIN(1,SUMIFS(OFFSET($A$1,ROW(),32,1000-ROW(),1),OFFSET($A$1,ROW(),20,1000-ROW(),1),ROW(),OFFSET($A$1,ROW(),21,1000-ROW(),1),"Sub"))))</f>
        <v/>
      </c>
      <c r="M271" s="61">
        <f>IF(NOT((COUNTA($B271:$D271)+COUNTA($G271:$H271)+COUNTA($Q271))&gt;0),"",IF(AND($D271&lt;&gt;"",$V271="Macro"),IF(N($AM271)&gt;0,N(CHOOSE(MATCH($D271,ListaPuestos,0),INDEX('Cronograma R. Operacional'!$M$5:$M$1000,$AM271),INDEX('Cronograma R. Normativo'!$M$5:$M$1000,$AM271),INDEX('Cronograma R. Financiero'!$M$5:$M$1000,$AM271),INDEX('Cronograma Asistente Técnico'!$M$5:$M$1000,$AM271))),0),IF(ISNUMBER($G271),1,IF(N($W271)&gt;0,MIN(1,SUMIFS($Y$5:$Y$1000,$U$5:$U$1000,ROW(),$V$5:$V$1000,"Sub")),$Y271))))</f>
        <v/>
      </c>
      <c r="N271" s="56">
        <f>IF(OR($M271="",$V271="Sub"),"",IF($M271&gt;=1,"Completado",IF($M271&gt;0,"En curso","Pendiente")))</f>
        <v/>
      </c>
      <c r="O271" s="56">
        <f>IF(NOT((COUNTA($B271:$D271)+COUNTA($G271:$H271)+COUNTA($Q271))&gt;0),"",IF(AND(AND($D271&lt;&gt;"",$V271="Macro"),N($AM271)&gt;0),CHOOSE(MATCH($D271,ListaPuestos,0),INDEX('Cronograma R. Operacional'!$O$5:$O$1000,$AM271),INDEX('Cronograma R. Normativo'!$O$5:$O$1000,$AM271),INDEX('Cronograma R. Financiero'!$O$5:$O$1000,$AM271),INDEX('Cronograma Asistente Técnico'!$O$5:$O$1000,$AM271))&amp;"",IF(ISNUMBER($G271),IF(AND(ISNUMBER($AS271),$G271&gt;$AS271),"Cumplida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f>IF(NOT((COUNTA($B271:$D271)+COUNTA($G271:$H271)+COUNTA($Q271))&gt;0),"",IF($D271="","Propia",IF($V271&lt;&gt;"Macro","Solo se delegan macroactividades",IF(N($AM271)&gt;0,"✔ Recibida por "&amp;$D271,"⚠ "&amp;$D271&amp;" aún no la agrega"))))</f>
        <v/>
      </c>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IF($V271&lt;&gt;"Sub","",N($X271)*IF(AND(ISNUMBER($G271),$G271&lt;=IF($S271=MesCiclo,InicioCiclo,$S271+MOD(2-WEEKDAY($S271),7))+6),1,MIN(1,MAX(0,IF(ISNUMBER(OFFSET($A$1,ROW()-1,8)),OFFSET($A$1,ROW()-1,8),0)))))</f>
        <v/>
      </c>
      <c r="AE271" s="62">
        <f>IF($V271&lt;&gt;"Sub","",N($X271)*IF(AND(ISNUMBER($G271),$G271&lt;=IF($S271=MesCiclo,InicioCiclo,$S271+MOD(2-WEEKDAY($S271),7))+13),1,MIN(1,MAX(0,IF(ISNUMBER(OFFSET($A$1,ROW()-1,9)),OFFSET($A$1,ROW()-1,9),IF(ISNUMBER(OFFSET($A$1,ROW()-1,8)),OFFSET($A$1,ROW()-1,8),0))))))</f>
        <v/>
      </c>
      <c r="AF271" s="62">
        <f>IF($V271&lt;&gt;"Sub","",N($X271)*IF(AND(ISNUMBER($G271),$G271&lt;=IF($S271=MesCiclo,InicioCiclo,$S271+MOD(2-WEEKDAY($S271),7))+20),1,MIN(1,MAX(0,IF(ISNUMBER(OFFSET($A$1,ROW()-1,10)),OFFSET($A$1,ROW()-1,10),IF(ISNUMBER(OFFSET($A$1,ROW()-1,9)),OFFSET($A$1,ROW()-1,9),IF(ISNUMBER(OFFSET($A$1,ROW()-1,8)),OFFSET($A$1,ROW()-1,8),0)))))))</f>
        <v/>
      </c>
      <c r="AG271" s="62">
        <f>IF($V271&lt;&gt;"Sub","",N($X271)*IF(AND(ISNUMBER($G271),$G271&lt;=IF($S271=MesCiclo,InicioCiclo,$S271+MOD(2-WEEKDAY($S271),7))+27),1,MIN(1,MAX(0,IF(ISNUMBER(OFFSET($A$1,ROW()-1,11)),OFFSET($A$1,ROW()-1,11),IF(ISNUMBER(OFFSET($A$1,ROW()-1,10)),OFFSET($A$1,ROW()-1,10),IF(ISNUMBER(OFFSET($A$1,ROW()-1,9)),OFFSET($A$1,ROW()-1,9),IF(ISNUMBER(OFFSET($A$1,ROW()-1,8)),OFFSET($A$1,ROW()-1,8),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f>IF(NOT(AND($D271&lt;&gt;"",$V271="Macro")),"",IFERROR(CHOOSE(MATCH($D271,ListaPuestos,0),MATCH("[Jefatura] "&amp;$C271,'Cronograma R. Operacional'!$C$5:$C$1000,0),MATCH("[Jefatura] "&amp;$C271,'Cronograma R. Normativo'!$C$5:$C$1000,0),MATCH("[Jefatura] "&amp;$C271,'Cronograma R. Financiero'!$C$5:$C$1000,0),MATCH("[Jefatura] "&amp;$C271,'Cronograma Asistente Técnico'!$C$5:$C$1000,0)),0))</f>
        <v/>
      </c>
      <c r="AN271" s="62">
        <f>IF(AND(AND($D271&lt;&gt;"",$V271="Macro"),$S271=MesCiclo),COUNTIFS($D$5:$D271,$D271,$S$5:$S271,MesCiclo,$V$5:$V271,"Macro"),"")</f>
        <v/>
      </c>
      <c r="AO271" s="62">
        <f>IF($AN271="","",$D271&amp;"|"&amp;$AN271)</f>
        <v/>
      </c>
      <c r="AP271" s="62">
        <f>IF(AND($D271&lt;&gt;"",$V271="Macro"),$D271&amp;"|"&amp;$C271,"")</f>
        <v/>
      </c>
      <c r="AQ271" s="62">
        <f>""</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t="n"/>
      <c r="F272" s="59" t="n"/>
      <c r="G272" s="59" t="n"/>
      <c r="H272" s="60" t="n"/>
      <c r="I272" s="60">
        <f>IF(N($W272)=0,"",IF(AND($S272=MesCiclo,1&gt;SemanaActual),"",MIN(1,SUMIFS(OFFSET($A$1,ROW(),29,1000-ROW(),1),OFFSET($A$1,ROW(),20,1000-ROW(),1),ROW(),OFFSET($A$1,ROW(),21,1000-ROW(),1),"Sub"))))</f>
        <v/>
      </c>
      <c r="J272" s="60">
        <f>IF(N($W272)=0,"",IF(AND($S272=MesCiclo,2&gt;SemanaActual),"",MIN(1,SUMIFS(OFFSET($A$1,ROW(),30,1000-ROW(),1),OFFSET($A$1,ROW(),20,1000-ROW(),1),ROW(),OFFSET($A$1,ROW(),21,1000-ROW(),1),"Sub"))))</f>
        <v/>
      </c>
      <c r="K272" s="60">
        <f>IF(N($W272)=0,"",IF(AND($S272=MesCiclo,3&gt;SemanaActual),"",MIN(1,SUMIFS(OFFSET($A$1,ROW(),31,1000-ROW(),1),OFFSET($A$1,ROW(),20,1000-ROW(),1),ROW(),OFFSET($A$1,ROW(),21,1000-ROW(),1),"Sub"))))</f>
        <v/>
      </c>
      <c r="L272" s="60">
        <f>IF(N($W272)=0,"",IF(AND($S272=MesCiclo,4&gt;SemanaActual),"",MIN(1,SUMIFS(OFFSET($A$1,ROW(),32,1000-ROW(),1),OFFSET($A$1,ROW(),20,1000-ROW(),1),ROW(),OFFSET($A$1,ROW(),21,1000-ROW(),1),"Sub"))))</f>
        <v/>
      </c>
      <c r="M272" s="61">
        <f>IF(NOT((COUNTA($B272:$D272)+COUNTA($G272:$H272)+COUNTA($Q272))&gt;0),"",IF(AND($D272&lt;&gt;"",$V272="Macro"),IF(N($AM272)&gt;0,N(CHOOSE(MATCH($D272,ListaPuestos,0),INDEX('Cronograma R. Operacional'!$M$5:$M$1000,$AM272),INDEX('Cronograma R. Normativo'!$M$5:$M$1000,$AM272),INDEX('Cronograma R. Financiero'!$M$5:$M$1000,$AM272),INDEX('Cronograma Asistente Técnico'!$M$5:$M$1000,$AM272))),0),IF(ISNUMBER($G272),1,IF(N($W272)&gt;0,MIN(1,SUMIFS($Y$5:$Y$1000,$U$5:$U$1000,ROW(),$V$5:$V$1000,"Sub")),$Y272))))</f>
        <v/>
      </c>
      <c r="N272" s="56">
        <f>IF(OR($M272="",$V272="Sub"),"",IF($M272&gt;=1,"Completado",IF($M272&gt;0,"En curso","Pendiente")))</f>
        <v/>
      </c>
      <c r="O272" s="56">
        <f>IF(NOT((COUNTA($B272:$D272)+COUNTA($G272:$H272)+COUNTA($Q272))&gt;0),"",IF(AND(AND($D272&lt;&gt;"",$V272="Macro"),N($AM272)&gt;0),CHOOSE(MATCH($D272,ListaPuestos,0),INDEX('Cronograma R. Operacional'!$O$5:$O$1000,$AM272),INDEX('Cronograma R. Normativo'!$O$5:$O$1000,$AM272),INDEX('Cronograma R. Financiero'!$O$5:$O$1000,$AM272),INDEX('Cronograma Asistente Técnico'!$O$5:$O$1000,$AM272))&amp;"",IF(ISNUMBER($G272),IF(AND(ISNUMBER($AS272),$G272&gt;$AS272),"Cumplida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f>IF(NOT((COUNTA($B272:$D272)+COUNTA($G272:$H272)+COUNTA($Q272))&gt;0),"",IF($D272="","Propia",IF($V272&lt;&gt;"Macro","Solo se delegan macroactividades",IF(N($AM272)&gt;0,"✔ Recibida por "&amp;$D272,"⚠ "&amp;$D272&amp;" aún no la agrega"))))</f>
        <v/>
      </c>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IF($V272&lt;&gt;"Sub","",N($X272)*IF(AND(ISNUMBER($G272),$G272&lt;=IF($S272=MesCiclo,InicioCiclo,$S272+MOD(2-WEEKDAY($S272),7))+6),1,MIN(1,MAX(0,IF(ISNUMBER(OFFSET($A$1,ROW()-1,8)),OFFSET($A$1,ROW()-1,8),0)))))</f>
        <v/>
      </c>
      <c r="AE272" s="62">
        <f>IF($V272&lt;&gt;"Sub","",N($X272)*IF(AND(ISNUMBER($G272),$G272&lt;=IF($S272=MesCiclo,InicioCiclo,$S272+MOD(2-WEEKDAY($S272),7))+13),1,MIN(1,MAX(0,IF(ISNUMBER(OFFSET($A$1,ROW()-1,9)),OFFSET($A$1,ROW()-1,9),IF(ISNUMBER(OFFSET($A$1,ROW()-1,8)),OFFSET($A$1,ROW()-1,8),0))))))</f>
        <v/>
      </c>
      <c r="AF272" s="62">
        <f>IF($V272&lt;&gt;"Sub","",N($X272)*IF(AND(ISNUMBER($G272),$G272&lt;=IF($S272=MesCiclo,InicioCiclo,$S272+MOD(2-WEEKDAY($S272),7))+20),1,MIN(1,MAX(0,IF(ISNUMBER(OFFSET($A$1,ROW()-1,10)),OFFSET($A$1,ROW()-1,10),IF(ISNUMBER(OFFSET($A$1,ROW()-1,9)),OFFSET($A$1,ROW()-1,9),IF(ISNUMBER(OFFSET($A$1,ROW()-1,8)),OFFSET($A$1,ROW()-1,8),0)))))))</f>
        <v/>
      </c>
      <c r="AG272" s="62">
        <f>IF($V272&lt;&gt;"Sub","",N($X272)*IF(AND(ISNUMBER($G272),$G272&lt;=IF($S272=MesCiclo,InicioCiclo,$S272+MOD(2-WEEKDAY($S272),7))+27),1,MIN(1,MAX(0,IF(ISNUMBER(OFFSET($A$1,ROW()-1,11)),OFFSET($A$1,ROW()-1,11),IF(ISNUMBER(OFFSET($A$1,ROW()-1,10)),OFFSET($A$1,ROW()-1,10),IF(ISNUMBER(OFFSET($A$1,ROW()-1,9)),OFFSET($A$1,ROW()-1,9),IF(ISNUMBER(OFFSET($A$1,ROW()-1,8)),OFFSET($A$1,ROW()-1,8),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f>IF(NOT(AND($D272&lt;&gt;"",$V272="Macro")),"",IFERROR(CHOOSE(MATCH($D272,ListaPuestos,0),MATCH("[Jefatura] "&amp;$C272,'Cronograma R. Operacional'!$C$5:$C$1000,0),MATCH("[Jefatura] "&amp;$C272,'Cronograma R. Normativo'!$C$5:$C$1000,0),MATCH("[Jefatura] "&amp;$C272,'Cronograma R. Financiero'!$C$5:$C$1000,0),MATCH("[Jefatura] "&amp;$C272,'Cronograma Asistente Técnico'!$C$5:$C$1000,0)),0))</f>
        <v/>
      </c>
      <c r="AN272" s="62">
        <f>IF(AND(AND($D272&lt;&gt;"",$V272="Macro"),$S272=MesCiclo),COUNTIFS($D$5:$D272,$D272,$S$5:$S272,MesCiclo,$V$5:$V272,"Macro"),"")</f>
        <v/>
      </c>
      <c r="AO272" s="62">
        <f>IF($AN272="","",$D272&amp;"|"&amp;$AN272)</f>
        <v/>
      </c>
      <c r="AP272" s="62">
        <f>IF(AND($D272&lt;&gt;"",$V272="Macro"),$D272&amp;"|"&amp;$C272,"")</f>
        <v/>
      </c>
      <c r="AQ272" s="62">
        <f>""</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t="n"/>
      <c r="F273" s="59" t="n"/>
      <c r="G273" s="59" t="n"/>
      <c r="H273" s="60" t="n"/>
      <c r="I273" s="60">
        <f>IF(N($W273)=0,"",IF(AND($S273=MesCiclo,1&gt;SemanaActual),"",MIN(1,SUMIFS(OFFSET($A$1,ROW(),29,1000-ROW(),1),OFFSET($A$1,ROW(),20,1000-ROW(),1),ROW(),OFFSET($A$1,ROW(),21,1000-ROW(),1),"Sub"))))</f>
        <v/>
      </c>
      <c r="J273" s="60">
        <f>IF(N($W273)=0,"",IF(AND($S273=MesCiclo,2&gt;SemanaActual),"",MIN(1,SUMIFS(OFFSET($A$1,ROW(),30,1000-ROW(),1),OFFSET($A$1,ROW(),20,1000-ROW(),1),ROW(),OFFSET($A$1,ROW(),21,1000-ROW(),1),"Sub"))))</f>
        <v/>
      </c>
      <c r="K273" s="60">
        <f>IF(N($W273)=0,"",IF(AND($S273=MesCiclo,3&gt;SemanaActual),"",MIN(1,SUMIFS(OFFSET($A$1,ROW(),31,1000-ROW(),1),OFFSET($A$1,ROW(),20,1000-ROW(),1),ROW(),OFFSET($A$1,ROW(),21,1000-ROW(),1),"Sub"))))</f>
        <v/>
      </c>
      <c r="L273" s="60">
        <f>IF(N($W273)=0,"",IF(AND($S273=MesCiclo,4&gt;SemanaActual),"",MIN(1,SUMIFS(OFFSET($A$1,ROW(),32,1000-ROW(),1),OFFSET($A$1,ROW(),20,1000-ROW(),1),ROW(),OFFSET($A$1,ROW(),21,1000-ROW(),1),"Sub"))))</f>
        <v/>
      </c>
      <c r="M273" s="61">
        <f>IF(NOT((COUNTA($B273:$D273)+COUNTA($G273:$H273)+COUNTA($Q273))&gt;0),"",IF(AND($D273&lt;&gt;"",$V273="Macro"),IF(N($AM273)&gt;0,N(CHOOSE(MATCH($D273,ListaPuestos,0),INDEX('Cronograma R. Operacional'!$M$5:$M$1000,$AM273),INDEX('Cronograma R. Normativo'!$M$5:$M$1000,$AM273),INDEX('Cronograma R. Financiero'!$M$5:$M$1000,$AM273),INDEX('Cronograma Asistente Técnico'!$M$5:$M$1000,$AM273))),0),IF(ISNUMBER($G273),1,IF(N($W273)&gt;0,MIN(1,SUMIFS($Y$5:$Y$1000,$U$5:$U$1000,ROW(),$V$5:$V$1000,"Sub")),$Y273))))</f>
        <v/>
      </c>
      <c r="N273" s="56">
        <f>IF(OR($M273="",$V273="Sub"),"",IF($M273&gt;=1,"Completado",IF($M273&gt;0,"En curso","Pendiente")))</f>
        <v/>
      </c>
      <c r="O273" s="56">
        <f>IF(NOT((COUNTA($B273:$D273)+COUNTA($G273:$H273)+COUNTA($Q273))&gt;0),"",IF(AND(AND($D273&lt;&gt;"",$V273="Macro"),N($AM273)&gt;0),CHOOSE(MATCH($D273,ListaPuestos,0),INDEX('Cronograma R. Operacional'!$O$5:$O$1000,$AM273),INDEX('Cronograma R. Normativo'!$O$5:$O$1000,$AM273),INDEX('Cronograma R. Financiero'!$O$5:$O$1000,$AM273),INDEX('Cronograma Asistente Técnico'!$O$5:$O$1000,$AM273))&amp;"",IF(ISNUMBER($G273),IF(AND(ISNUMBER($AS273),$G273&gt;$AS273),"Cumplida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f>IF(NOT((COUNTA($B273:$D273)+COUNTA($G273:$H273)+COUNTA($Q273))&gt;0),"",IF($D273="","Propia",IF($V273&lt;&gt;"Macro","Solo se delegan macroactividades",IF(N($AM273)&gt;0,"✔ Recibida por "&amp;$D273,"⚠ "&amp;$D273&amp;" aún no la agrega"))))</f>
        <v/>
      </c>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IF($V273&lt;&gt;"Sub","",N($X273)*IF(AND(ISNUMBER($G273),$G273&lt;=IF($S273=MesCiclo,InicioCiclo,$S273+MOD(2-WEEKDAY($S273),7))+6),1,MIN(1,MAX(0,IF(ISNUMBER(OFFSET($A$1,ROW()-1,8)),OFFSET($A$1,ROW()-1,8),0)))))</f>
        <v/>
      </c>
      <c r="AE273" s="62">
        <f>IF($V273&lt;&gt;"Sub","",N($X273)*IF(AND(ISNUMBER($G273),$G273&lt;=IF($S273=MesCiclo,InicioCiclo,$S273+MOD(2-WEEKDAY($S273),7))+13),1,MIN(1,MAX(0,IF(ISNUMBER(OFFSET($A$1,ROW()-1,9)),OFFSET($A$1,ROW()-1,9),IF(ISNUMBER(OFFSET($A$1,ROW()-1,8)),OFFSET($A$1,ROW()-1,8),0))))))</f>
        <v/>
      </c>
      <c r="AF273" s="62">
        <f>IF($V273&lt;&gt;"Sub","",N($X273)*IF(AND(ISNUMBER($G273),$G273&lt;=IF($S273=MesCiclo,InicioCiclo,$S273+MOD(2-WEEKDAY($S273),7))+20),1,MIN(1,MAX(0,IF(ISNUMBER(OFFSET($A$1,ROW()-1,10)),OFFSET($A$1,ROW()-1,10),IF(ISNUMBER(OFFSET($A$1,ROW()-1,9)),OFFSET($A$1,ROW()-1,9),IF(ISNUMBER(OFFSET($A$1,ROW()-1,8)),OFFSET($A$1,ROW()-1,8),0)))))))</f>
        <v/>
      </c>
      <c r="AG273" s="62">
        <f>IF($V273&lt;&gt;"Sub","",N($X273)*IF(AND(ISNUMBER($G273),$G273&lt;=IF($S273=MesCiclo,InicioCiclo,$S273+MOD(2-WEEKDAY($S273),7))+27),1,MIN(1,MAX(0,IF(ISNUMBER(OFFSET($A$1,ROW()-1,11)),OFFSET($A$1,ROW()-1,11),IF(ISNUMBER(OFFSET($A$1,ROW()-1,10)),OFFSET($A$1,ROW()-1,10),IF(ISNUMBER(OFFSET($A$1,ROW()-1,9)),OFFSET($A$1,ROW()-1,9),IF(ISNUMBER(OFFSET($A$1,ROW()-1,8)),OFFSET($A$1,ROW()-1,8),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f>IF(NOT(AND($D273&lt;&gt;"",$V273="Macro")),"",IFERROR(CHOOSE(MATCH($D273,ListaPuestos,0),MATCH("[Jefatura] "&amp;$C273,'Cronograma R. Operacional'!$C$5:$C$1000,0),MATCH("[Jefatura] "&amp;$C273,'Cronograma R. Normativo'!$C$5:$C$1000,0),MATCH("[Jefatura] "&amp;$C273,'Cronograma R. Financiero'!$C$5:$C$1000,0),MATCH("[Jefatura] "&amp;$C273,'Cronograma Asistente Técnico'!$C$5:$C$1000,0)),0))</f>
        <v/>
      </c>
      <c r="AN273" s="62">
        <f>IF(AND(AND($D273&lt;&gt;"",$V273="Macro"),$S273=MesCiclo),COUNTIFS($D$5:$D273,$D273,$S$5:$S273,MesCiclo,$V$5:$V273,"Macro"),"")</f>
        <v/>
      </c>
      <c r="AO273" s="62">
        <f>IF($AN273="","",$D273&amp;"|"&amp;$AN273)</f>
        <v/>
      </c>
      <c r="AP273" s="62">
        <f>IF(AND($D273&lt;&gt;"",$V273="Macro"),$D273&amp;"|"&amp;$C273,"")</f>
        <v/>
      </c>
      <c r="AQ273" s="62">
        <f>""</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t="n"/>
      <c r="F274" s="59" t="n"/>
      <c r="G274" s="59" t="n"/>
      <c r="H274" s="60" t="n"/>
      <c r="I274" s="60">
        <f>IF(N($W274)=0,"",IF(AND($S274=MesCiclo,1&gt;SemanaActual),"",MIN(1,SUMIFS(OFFSET($A$1,ROW(),29,1000-ROW(),1),OFFSET($A$1,ROW(),20,1000-ROW(),1),ROW(),OFFSET($A$1,ROW(),21,1000-ROW(),1),"Sub"))))</f>
        <v/>
      </c>
      <c r="J274" s="60">
        <f>IF(N($W274)=0,"",IF(AND($S274=MesCiclo,2&gt;SemanaActual),"",MIN(1,SUMIFS(OFFSET($A$1,ROW(),30,1000-ROW(),1),OFFSET($A$1,ROW(),20,1000-ROW(),1),ROW(),OFFSET($A$1,ROW(),21,1000-ROW(),1),"Sub"))))</f>
        <v/>
      </c>
      <c r="K274" s="60">
        <f>IF(N($W274)=0,"",IF(AND($S274=MesCiclo,3&gt;SemanaActual),"",MIN(1,SUMIFS(OFFSET($A$1,ROW(),31,1000-ROW(),1),OFFSET($A$1,ROW(),20,1000-ROW(),1),ROW(),OFFSET($A$1,ROW(),21,1000-ROW(),1),"Sub"))))</f>
        <v/>
      </c>
      <c r="L274" s="60">
        <f>IF(N($W274)=0,"",IF(AND($S274=MesCiclo,4&gt;SemanaActual),"",MIN(1,SUMIFS(OFFSET($A$1,ROW(),32,1000-ROW(),1),OFFSET($A$1,ROW(),20,1000-ROW(),1),ROW(),OFFSET($A$1,ROW(),21,1000-ROW(),1),"Sub"))))</f>
        <v/>
      </c>
      <c r="M274" s="61">
        <f>IF(NOT((COUNTA($B274:$D274)+COUNTA($G274:$H274)+COUNTA($Q274))&gt;0),"",IF(AND($D274&lt;&gt;"",$V274="Macro"),IF(N($AM274)&gt;0,N(CHOOSE(MATCH($D274,ListaPuestos,0),INDEX('Cronograma R. Operacional'!$M$5:$M$1000,$AM274),INDEX('Cronograma R. Normativo'!$M$5:$M$1000,$AM274),INDEX('Cronograma R. Financiero'!$M$5:$M$1000,$AM274),INDEX('Cronograma Asistente Técnico'!$M$5:$M$1000,$AM274))),0),IF(ISNUMBER($G274),1,IF(N($W274)&gt;0,MIN(1,SUMIFS($Y$5:$Y$1000,$U$5:$U$1000,ROW(),$V$5:$V$1000,"Sub")),$Y274))))</f>
        <v/>
      </c>
      <c r="N274" s="56">
        <f>IF(OR($M274="",$V274="Sub"),"",IF($M274&gt;=1,"Completado",IF($M274&gt;0,"En curso","Pendiente")))</f>
        <v/>
      </c>
      <c r="O274" s="56">
        <f>IF(NOT((COUNTA($B274:$D274)+COUNTA($G274:$H274)+COUNTA($Q274))&gt;0),"",IF(AND(AND($D274&lt;&gt;"",$V274="Macro"),N($AM274)&gt;0),CHOOSE(MATCH($D274,ListaPuestos,0),INDEX('Cronograma R. Operacional'!$O$5:$O$1000,$AM274),INDEX('Cronograma R. Normativo'!$O$5:$O$1000,$AM274),INDEX('Cronograma R. Financiero'!$O$5:$O$1000,$AM274),INDEX('Cronograma Asistente Técnico'!$O$5:$O$1000,$AM274))&amp;"",IF(ISNUMBER($G274),IF(AND(ISNUMBER($AS274),$G274&gt;$AS274),"Cumplida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f>IF(NOT((COUNTA($B274:$D274)+COUNTA($G274:$H274)+COUNTA($Q274))&gt;0),"",IF($D274="","Propia",IF($V274&lt;&gt;"Macro","Solo se delegan macroactividades",IF(N($AM274)&gt;0,"✔ Recibida por "&amp;$D274,"⚠ "&amp;$D274&amp;" aún no la agrega"))))</f>
        <v/>
      </c>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IF($V274&lt;&gt;"Sub","",N($X274)*IF(AND(ISNUMBER($G274),$G274&lt;=IF($S274=MesCiclo,InicioCiclo,$S274+MOD(2-WEEKDAY($S274),7))+6),1,MIN(1,MAX(0,IF(ISNUMBER(OFFSET($A$1,ROW()-1,8)),OFFSET($A$1,ROW()-1,8),0)))))</f>
        <v/>
      </c>
      <c r="AE274" s="62">
        <f>IF($V274&lt;&gt;"Sub","",N($X274)*IF(AND(ISNUMBER($G274),$G274&lt;=IF($S274=MesCiclo,InicioCiclo,$S274+MOD(2-WEEKDAY($S274),7))+13),1,MIN(1,MAX(0,IF(ISNUMBER(OFFSET($A$1,ROW()-1,9)),OFFSET($A$1,ROW()-1,9),IF(ISNUMBER(OFFSET($A$1,ROW()-1,8)),OFFSET($A$1,ROW()-1,8),0))))))</f>
        <v/>
      </c>
      <c r="AF274" s="62">
        <f>IF($V274&lt;&gt;"Sub","",N($X274)*IF(AND(ISNUMBER($G274),$G274&lt;=IF($S274=MesCiclo,InicioCiclo,$S274+MOD(2-WEEKDAY($S274),7))+20),1,MIN(1,MAX(0,IF(ISNUMBER(OFFSET($A$1,ROW()-1,10)),OFFSET($A$1,ROW()-1,10),IF(ISNUMBER(OFFSET($A$1,ROW()-1,9)),OFFSET($A$1,ROW()-1,9),IF(ISNUMBER(OFFSET($A$1,ROW()-1,8)),OFFSET($A$1,ROW()-1,8),0)))))))</f>
        <v/>
      </c>
      <c r="AG274" s="62">
        <f>IF($V274&lt;&gt;"Sub","",N($X274)*IF(AND(ISNUMBER($G274),$G274&lt;=IF($S274=MesCiclo,InicioCiclo,$S274+MOD(2-WEEKDAY($S274),7))+27),1,MIN(1,MAX(0,IF(ISNUMBER(OFFSET($A$1,ROW()-1,11)),OFFSET($A$1,ROW()-1,11),IF(ISNUMBER(OFFSET($A$1,ROW()-1,10)),OFFSET($A$1,ROW()-1,10),IF(ISNUMBER(OFFSET($A$1,ROW()-1,9)),OFFSET($A$1,ROW()-1,9),IF(ISNUMBER(OFFSET($A$1,ROW()-1,8)),OFFSET($A$1,ROW()-1,8),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f>IF(NOT(AND($D274&lt;&gt;"",$V274="Macro")),"",IFERROR(CHOOSE(MATCH($D274,ListaPuestos,0),MATCH("[Jefatura] "&amp;$C274,'Cronograma R. Operacional'!$C$5:$C$1000,0),MATCH("[Jefatura] "&amp;$C274,'Cronograma R. Normativo'!$C$5:$C$1000,0),MATCH("[Jefatura] "&amp;$C274,'Cronograma R. Financiero'!$C$5:$C$1000,0),MATCH("[Jefatura] "&amp;$C274,'Cronograma Asistente Técnico'!$C$5:$C$1000,0)),0))</f>
        <v/>
      </c>
      <c r="AN274" s="62">
        <f>IF(AND(AND($D274&lt;&gt;"",$V274="Macro"),$S274=MesCiclo),COUNTIFS($D$5:$D274,$D274,$S$5:$S274,MesCiclo,$V$5:$V274,"Macro"),"")</f>
        <v/>
      </c>
      <c r="AO274" s="62">
        <f>IF($AN274="","",$D274&amp;"|"&amp;$AN274)</f>
        <v/>
      </c>
      <c r="AP274" s="62">
        <f>IF(AND($D274&lt;&gt;"",$V274="Macro"),$D274&amp;"|"&amp;$C274,"")</f>
        <v/>
      </c>
      <c r="AQ274" s="62">
        <f>""</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t="n"/>
      <c r="F275" s="59" t="n"/>
      <c r="G275" s="59" t="n"/>
      <c r="H275" s="60" t="n"/>
      <c r="I275" s="60">
        <f>IF(N($W275)=0,"",IF(AND($S275=MesCiclo,1&gt;SemanaActual),"",MIN(1,SUMIFS(OFFSET($A$1,ROW(),29,1000-ROW(),1),OFFSET($A$1,ROW(),20,1000-ROW(),1),ROW(),OFFSET($A$1,ROW(),21,1000-ROW(),1),"Sub"))))</f>
        <v/>
      </c>
      <c r="J275" s="60">
        <f>IF(N($W275)=0,"",IF(AND($S275=MesCiclo,2&gt;SemanaActual),"",MIN(1,SUMIFS(OFFSET($A$1,ROW(),30,1000-ROW(),1),OFFSET($A$1,ROW(),20,1000-ROW(),1),ROW(),OFFSET($A$1,ROW(),21,1000-ROW(),1),"Sub"))))</f>
        <v/>
      </c>
      <c r="K275" s="60">
        <f>IF(N($W275)=0,"",IF(AND($S275=MesCiclo,3&gt;SemanaActual),"",MIN(1,SUMIFS(OFFSET($A$1,ROW(),31,1000-ROW(),1),OFFSET($A$1,ROW(),20,1000-ROW(),1),ROW(),OFFSET($A$1,ROW(),21,1000-ROW(),1),"Sub"))))</f>
        <v/>
      </c>
      <c r="L275" s="60">
        <f>IF(N($W275)=0,"",IF(AND($S275=MesCiclo,4&gt;SemanaActual),"",MIN(1,SUMIFS(OFFSET($A$1,ROW(),32,1000-ROW(),1),OFFSET($A$1,ROW(),20,1000-ROW(),1),ROW(),OFFSET($A$1,ROW(),21,1000-ROW(),1),"Sub"))))</f>
        <v/>
      </c>
      <c r="M275" s="61">
        <f>IF(NOT((COUNTA($B275:$D275)+COUNTA($G275:$H275)+COUNTA($Q275))&gt;0),"",IF(AND($D275&lt;&gt;"",$V275="Macro"),IF(N($AM275)&gt;0,N(CHOOSE(MATCH($D275,ListaPuestos,0),INDEX('Cronograma R. Operacional'!$M$5:$M$1000,$AM275),INDEX('Cronograma R. Normativo'!$M$5:$M$1000,$AM275),INDEX('Cronograma R. Financiero'!$M$5:$M$1000,$AM275),INDEX('Cronograma Asistente Técnico'!$M$5:$M$1000,$AM275))),0),IF(ISNUMBER($G275),1,IF(N($W275)&gt;0,MIN(1,SUMIFS($Y$5:$Y$1000,$U$5:$U$1000,ROW(),$V$5:$V$1000,"Sub")),$Y275))))</f>
        <v/>
      </c>
      <c r="N275" s="56">
        <f>IF(OR($M275="",$V275="Sub"),"",IF($M275&gt;=1,"Completado",IF($M275&gt;0,"En curso","Pendiente")))</f>
        <v/>
      </c>
      <c r="O275" s="56">
        <f>IF(NOT((COUNTA($B275:$D275)+COUNTA($G275:$H275)+COUNTA($Q275))&gt;0),"",IF(AND(AND($D275&lt;&gt;"",$V275="Macro"),N($AM275)&gt;0),CHOOSE(MATCH($D275,ListaPuestos,0),INDEX('Cronograma R. Operacional'!$O$5:$O$1000,$AM275),INDEX('Cronograma R. Normativo'!$O$5:$O$1000,$AM275),INDEX('Cronograma R. Financiero'!$O$5:$O$1000,$AM275),INDEX('Cronograma Asistente Técnico'!$O$5:$O$1000,$AM275))&amp;"",IF(ISNUMBER($G275),IF(AND(ISNUMBER($AS275),$G275&gt;$AS275),"Cumplida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f>IF(NOT((COUNTA($B275:$D275)+COUNTA($G275:$H275)+COUNTA($Q275))&gt;0),"",IF($D275="","Propia",IF($V275&lt;&gt;"Macro","Solo se delegan macroactividades",IF(N($AM275)&gt;0,"✔ Recibida por "&amp;$D275,"⚠ "&amp;$D275&amp;" aún no la agrega"))))</f>
        <v/>
      </c>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IF($V275&lt;&gt;"Sub","",N($X275)*IF(AND(ISNUMBER($G275),$G275&lt;=IF($S275=MesCiclo,InicioCiclo,$S275+MOD(2-WEEKDAY($S275),7))+6),1,MIN(1,MAX(0,IF(ISNUMBER(OFFSET($A$1,ROW()-1,8)),OFFSET($A$1,ROW()-1,8),0)))))</f>
        <v/>
      </c>
      <c r="AE275" s="62">
        <f>IF($V275&lt;&gt;"Sub","",N($X275)*IF(AND(ISNUMBER($G275),$G275&lt;=IF($S275=MesCiclo,InicioCiclo,$S275+MOD(2-WEEKDAY($S275),7))+13),1,MIN(1,MAX(0,IF(ISNUMBER(OFFSET($A$1,ROW()-1,9)),OFFSET($A$1,ROW()-1,9),IF(ISNUMBER(OFFSET($A$1,ROW()-1,8)),OFFSET($A$1,ROW()-1,8),0))))))</f>
        <v/>
      </c>
      <c r="AF275" s="62">
        <f>IF($V275&lt;&gt;"Sub","",N($X275)*IF(AND(ISNUMBER($G275),$G275&lt;=IF($S275=MesCiclo,InicioCiclo,$S275+MOD(2-WEEKDAY($S275),7))+20),1,MIN(1,MAX(0,IF(ISNUMBER(OFFSET($A$1,ROW()-1,10)),OFFSET($A$1,ROW()-1,10),IF(ISNUMBER(OFFSET($A$1,ROW()-1,9)),OFFSET($A$1,ROW()-1,9),IF(ISNUMBER(OFFSET($A$1,ROW()-1,8)),OFFSET($A$1,ROW()-1,8),0)))))))</f>
        <v/>
      </c>
      <c r="AG275" s="62">
        <f>IF($V275&lt;&gt;"Sub","",N($X275)*IF(AND(ISNUMBER($G275),$G275&lt;=IF($S275=MesCiclo,InicioCiclo,$S275+MOD(2-WEEKDAY($S275),7))+27),1,MIN(1,MAX(0,IF(ISNUMBER(OFFSET($A$1,ROW()-1,11)),OFFSET($A$1,ROW()-1,11),IF(ISNUMBER(OFFSET($A$1,ROW()-1,10)),OFFSET($A$1,ROW()-1,10),IF(ISNUMBER(OFFSET($A$1,ROW()-1,9)),OFFSET($A$1,ROW()-1,9),IF(ISNUMBER(OFFSET($A$1,ROW()-1,8)),OFFSET($A$1,ROW()-1,8),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f>IF(NOT(AND($D275&lt;&gt;"",$V275="Macro")),"",IFERROR(CHOOSE(MATCH($D275,ListaPuestos,0),MATCH("[Jefatura] "&amp;$C275,'Cronograma R. Operacional'!$C$5:$C$1000,0),MATCH("[Jefatura] "&amp;$C275,'Cronograma R. Normativo'!$C$5:$C$1000,0),MATCH("[Jefatura] "&amp;$C275,'Cronograma R. Financiero'!$C$5:$C$1000,0),MATCH("[Jefatura] "&amp;$C275,'Cronograma Asistente Técnico'!$C$5:$C$1000,0)),0))</f>
        <v/>
      </c>
      <c r="AN275" s="62">
        <f>IF(AND(AND($D275&lt;&gt;"",$V275="Macro"),$S275=MesCiclo),COUNTIFS($D$5:$D275,$D275,$S$5:$S275,MesCiclo,$V$5:$V275,"Macro"),"")</f>
        <v/>
      </c>
      <c r="AO275" s="62">
        <f>IF($AN275="","",$D275&amp;"|"&amp;$AN275)</f>
        <v/>
      </c>
      <c r="AP275" s="62">
        <f>IF(AND($D275&lt;&gt;"",$V275="Macro"),$D275&amp;"|"&amp;$C275,"")</f>
        <v/>
      </c>
      <c r="AQ275" s="62">
        <f>""</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t="n"/>
      <c r="F276" s="59" t="n"/>
      <c r="G276" s="59" t="n"/>
      <c r="H276" s="60" t="n"/>
      <c r="I276" s="60">
        <f>IF(N($W276)=0,"",IF(AND($S276=MesCiclo,1&gt;SemanaActual),"",MIN(1,SUMIFS(OFFSET($A$1,ROW(),29,1000-ROW(),1),OFFSET($A$1,ROW(),20,1000-ROW(),1),ROW(),OFFSET($A$1,ROW(),21,1000-ROW(),1),"Sub"))))</f>
        <v/>
      </c>
      <c r="J276" s="60">
        <f>IF(N($W276)=0,"",IF(AND($S276=MesCiclo,2&gt;SemanaActual),"",MIN(1,SUMIFS(OFFSET($A$1,ROW(),30,1000-ROW(),1),OFFSET($A$1,ROW(),20,1000-ROW(),1),ROW(),OFFSET($A$1,ROW(),21,1000-ROW(),1),"Sub"))))</f>
        <v/>
      </c>
      <c r="K276" s="60">
        <f>IF(N($W276)=0,"",IF(AND($S276=MesCiclo,3&gt;SemanaActual),"",MIN(1,SUMIFS(OFFSET($A$1,ROW(),31,1000-ROW(),1),OFFSET($A$1,ROW(),20,1000-ROW(),1),ROW(),OFFSET($A$1,ROW(),21,1000-ROW(),1),"Sub"))))</f>
        <v/>
      </c>
      <c r="L276" s="60">
        <f>IF(N($W276)=0,"",IF(AND($S276=MesCiclo,4&gt;SemanaActual),"",MIN(1,SUMIFS(OFFSET($A$1,ROW(),32,1000-ROW(),1),OFFSET($A$1,ROW(),20,1000-ROW(),1),ROW(),OFFSET($A$1,ROW(),21,1000-ROW(),1),"Sub"))))</f>
        <v/>
      </c>
      <c r="M276" s="61">
        <f>IF(NOT((COUNTA($B276:$D276)+COUNTA($G276:$H276)+COUNTA($Q276))&gt;0),"",IF(AND($D276&lt;&gt;"",$V276="Macro"),IF(N($AM276)&gt;0,N(CHOOSE(MATCH($D276,ListaPuestos,0),INDEX('Cronograma R. Operacional'!$M$5:$M$1000,$AM276),INDEX('Cronograma R. Normativo'!$M$5:$M$1000,$AM276),INDEX('Cronograma R. Financiero'!$M$5:$M$1000,$AM276),INDEX('Cronograma Asistente Técnico'!$M$5:$M$1000,$AM276))),0),IF(ISNUMBER($G276),1,IF(N($W276)&gt;0,MIN(1,SUMIFS($Y$5:$Y$1000,$U$5:$U$1000,ROW(),$V$5:$V$1000,"Sub")),$Y276))))</f>
        <v/>
      </c>
      <c r="N276" s="56">
        <f>IF(OR($M276="",$V276="Sub"),"",IF($M276&gt;=1,"Completado",IF($M276&gt;0,"En curso","Pendiente")))</f>
        <v/>
      </c>
      <c r="O276" s="56">
        <f>IF(NOT((COUNTA($B276:$D276)+COUNTA($G276:$H276)+COUNTA($Q276))&gt;0),"",IF(AND(AND($D276&lt;&gt;"",$V276="Macro"),N($AM276)&gt;0),CHOOSE(MATCH($D276,ListaPuestos,0),INDEX('Cronograma R. Operacional'!$O$5:$O$1000,$AM276),INDEX('Cronograma R. Normativo'!$O$5:$O$1000,$AM276),INDEX('Cronograma R. Financiero'!$O$5:$O$1000,$AM276),INDEX('Cronograma Asistente Técnico'!$O$5:$O$1000,$AM276))&amp;"",IF(ISNUMBER($G276),IF(AND(ISNUMBER($AS276),$G276&gt;$AS276),"Cumplida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f>IF(NOT((COUNTA($B276:$D276)+COUNTA($G276:$H276)+COUNTA($Q276))&gt;0),"",IF($D276="","Propia",IF($V276&lt;&gt;"Macro","Solo se delegan macroactividades",IF(N($AM276)&gt;0,"✔ Recibida por "&amp;$D276,"⚠ "&amp;$D276&amp;" aún no la agrega"))))</f>
        <v/>
      </c>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IF($V276&lt;&gt;"Sub","",N($X276)*IF(AND(ISNUMBER($G276),$G276&lt;=IF($S276=MesCiclo,InicioCiclo,$S276+MOD(2-WEEKDAY($S276),7))+6),1,MIN(1,MAX(0,IF(ISNUMBER(OFFSET($A$1,ROW()-1,8)),OFFSET($A$1,ROW()-1,8),0)))))</f>
        <v/>
      </c>
      <c r="AE276" s="62">
        <f>IF($V276&lt;&gt;"Sub","",N($X276)*IF(AND(ISNUMBER($G276),$G276&lt;=IF($S276=MesCiclo,InicioCiclo,$S276+MOD(2-WEEKDAY($S276),7))+13),1,MIN(1,MAX(0,IF(ISNUMBER(OFFSET($A$1,ROW()-1,9)),OFFSET($A$1,ROW()-1,9),IF(ISNUMBER(OFFSET($A$1,ROW()-1,8)),OFFSET($A$1,ROW()-1,8),0))))))</f>
        <v/>
      </c>
      <c r="AF276" s="62">
        <f>IF($V276&lt;&gt;"Sub","",N($X276)*IF(AND(ISNUMBER($G276),$G276&lt;=IF($S276=MesCiclo,InicioCiclo,$S276+MOD(2-WEEKDAY($S276),7))+20),1,MIN(1,MAX(0,IF(ISNUMBER(OFFSET($A$1,ROW()-1,10)),OFFSET($A$1,ROW()-1,10),IF(ISNUMBER(OFFSET($A$1,ROW()-1,9)),OFFSET($A$1,ROW()-1,9),IF(ISNUMBER(OFFSET($A$1,ROW()-1,8)),OFFSET($A$1,ROW()-1,8),0)))))))</f>
        <v/>
      </c>
      <c r="AG276" s="62">
        <f>IF($V276&lt;&gt;"Sub","",N($X276)*IF(AND(ISNUMBER($G276),$G276&lt;=IF($S276=MesCiclo,InicioCiclo,$S276+MOD(2-WEEKDAY($S276),7))+27),1,MIN(1,MAX(0,IF(ISNUMBER(OFFSET($A$1,ROW()-1,11)),OFFSET($A$1,ROW()-1,11),IF(ISNUMBER(OFFSET($A$1,ROW()-1,10)),OFFSET($A$1,ROW()-1,10),IF(ISNUMBER(OFFSET($A$1,ROW()-1,9)),OFFSET($A$1,ROW()-1,9),IF(ISNUMBER(OFFSET($A$1,ROW()-1,8)),OFFSET($A$1,ROW()-1,8),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f>IF(NOT(AND($D276&lt;&gt;"",$V276="Macro")),"",IFERROR(CHOOSE(MATCH($D276,ListaPuestos,0),MATCH("[Jefatura] "&amp;$C276,'Cronograma R. Operacional'!$C$5:$C$1000,0),MATCH("[Jefatura] "&amp;$C276,'Cronograma R. Normativo'!$C$5:$C$1000,0),MATCH("[Jefatura] "&amp;$C276,'Cronograma R. Financiero'!$C$5:$C$1000,0),MATCH("[Jefatura] "&amp;$C276,'Cronograma Asistente Técnico'!$C$5:$C$1000,0)),0))</f>
        <v/>
      </c>
      <c r="AN276" s="62">
        <f>IF(AND(AND($D276&lt;&gt;"",$V276="Macro"),$S276=MesCiclo),COUNTIFS($D$5:$D276,$D276,$S$5:$S276,MesCiclo,$V$5:$V276,"Macro"),"")</f>
        <v/>
      </c>
      <c r="AO276" s="62">
        <f>IF($AN276="","",$D276&amp;"|"&amp;$AN276)</f>
        <v/>
      </c>
      <c r="AP276" s="62">
        <f>IF(AND($D276&lt;&gt;"",$V276="Macro"),$D276&amp;"|"&amp;$C276,"")</f>
        <v/>
      </c>
      <c r="AQ276" s="62">
        <f>""</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t="n"/>
      <c r="F277" s="59" t="n"/>
      <c r="G277" s="59" t="n"/>
      <c r="H277" s="60" t="n"/>
      <c r="I277" s="60">
        <f>IF(N($W277)=0,"",IF(AND($S277=MesCiclo,1&gt;SemanaActual),"",MIN(1,SUMIFS(OFFSET($A$1,ROW(),29,1000-ROW(),1),OFFSET($A$1,ROW(),20,1000-ROW(),1),ROW(),OFFSET($A$1,ROW(),21,1000-ROW(),1),"Sub"))))</f>
        <v/>
      </c>
      <c r="J277" s="60">
        <f>IF(N($W277)=0,"",IF(AND($S277=MesCiclo,2&gt;SemanaActual),"",MIN(1,SUMIFS(OFFSET($A$1,ROW(),30,1000-ROW(),1),OFFSET($A$1,ROW(),20,1000-ROW(),1),ROW(),OFFSET($A$1,ROW(),21,1000-ROW(),1),"Sub"))))</f>
        <v/>
      </c>
      <c r="K277" s="60">
        <f>IF(N($W277)=0,"",IF(AND($S277=MesCiclo,3&gt;SemanaActual),"",MIN(1,SUMIFS(OFFSET($A$1,ROW(),31,1000-ROW(),1),OFFSET($A$1,ROW(),20,1000-ROW(),1),ROW(),OFFSET($A$1,ROW(),21,1000-ROW(),1),"Sub"))))</f>
        <v/>
      </c>
      <c r="L277" s="60">
        <f>IF(N($W277)=0,"",IF(AND($S277=MesCiclo,4&gt;SemanaActual),"",MIN(1,SUMIFS(OFFSET($A$1,ROW(),32,1000-ROW(),1),OFFSET($A$1,ROW(),20,1000-ROW(),1),ROW(),OFFSET($A$1,ROW(),21,1000-ROW(),1),"Sub"))))</f>
        <v/>
      </c>
      <c r="M277" s="61">
        <f>IF(NOT((COUNTA($B277:$D277)+COUNTA($G277:$H277)+COUNTA($Q277))&gt;0),"",IF(AND($D277&lt;&gt;"",$V277="Macro"),IF(N($AM277)&gt;0,N(CHOOSE(MATCH($D277,ListaPuestos,0),INDEX('Cronograma R. Operacional'!$M$5:$M$1000,$AM277),INDEX('Cronograma R. Normativo'!$M$5:$M$1000,$AM277),INDEX('Cronograma R. Financiero'!$M$5:$M$1000,$AM277),INDEX('Cronograma Asistente Técnico'!$M$5:$M$1000,$AM277))),0),IF(ISNUMBER($G277),1,IF(N($W277)&gt;0,MIN(1,SUMIFS($Y$5:$Y$1000,$U$5:$U$1000,ROW(),$V$5:$V$1000,"Sub")),$Y277))))</f>
        <v/>
      </c>
      <c r="N277" s="56">
        <f>IF(OR($M277="",$V277="Sub"),"",IF($M277&gt;=1,"Completado",IF($M277&gt;0,"En curso","Pendiente")))</f>
        <v/>
      </c>
      <c r="O277" s="56">
        <f>IF(NOT((COUNTA($B277:$D277)+COUNTA($G277:$H277)+COUNTA($Q277))&gt;0),"",IF(AND(AND($D277&lt;&gt;"",$V277="Macro"),N($AM277)&gt;0),CHOOSE(MATCH($D277,ListaPuestos,0),INDEX('Cronograma R. Operacional'!$O$5:$O$1000,$AM277),INDEX('Cronograma R. Normativo'!$O$5:$O$1000,$AM277),INDEX('Cronograma R. Financiero'!$O$5:$O$1000,$AM277),INDEX('Cronograma Asistente Técnico'!$O$5:$O$1000,$AM277))&amp;"",IF(ISNUMBER($G277),IF(AND(ISNUMBER($AS277),$G277&gt;$AS277),"Cumplida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f>IF(NOT((COUNTA($B277:$D277)+COUNTA($G277:$H277)+COUNTA($Q277))&gt;0),"",IF($D277="","Propia",IF($V277&lt;&gt;"Macro","Solo se delegan macroactividades",IF(N($AM277)&gt;0,"✔ Recibida por "&amp;$D277,"⚠ "&amp;$D277&amp;" aún no la agrega"))))</f>
        <v/>
      </c>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IF($V277&lt;&gt;"Sub","",N($X277)*IF(AND(ISNUMBER($G277),$G277&lt;=IF($S277=MesCiclo,InicioCiclo,$S277+MOD(2-WEEKDAY($S277),7))+6),1,MIN(1,MAX(0,IF(ISNUMBER(OFFSET($A$1,ROW()-1,8)),OFFSET($A$1,ROW()-1,8),0)))))</f>
        <v/>
      </c>
      <c r="AE277" s="62">
        <f>IF($V277&lt;&gt;"Sub","",N($X277)*IF(AND(ISNUMBER($G277),$G277&lt;=IF($S277=MesCiclo,InicioCiclo,$S277+MOD(2-WEEKDAY($S277),7))+13),1,MIN(1,MAX(0,IF(ISNUMBER(OFFSET($A$1,ROW()-1,9)),OFFSET($A$1,ROW()-1,9),IF(ISNUMBER(OFFSET($A$1,ROW()-1,8)),OFFSET($A$1,ROW()-1,8),0))))))</f>
        <v/>
      </c>
      <c r="AF277" s="62">
        <f>IF($V277&lt;&gt;"Sub","",N($X277)*IF(AND(ISNUMBER($G277),$G277&lt;=IF($S277=MesCiclo,InicioCiclo,$S277+MOD(2-WEEKDAY($S277),7))+20),1,MIN(1,MAX(0,IF(ISNUMBER(OFFSET($A$1,ROW()-1,10)),OFFSET($A$1,ROW()-1,10),IF(ISNUMBER(OFFSET($A$1,ROW()-1,9)),OFFSET($A$1,ROW()-1,9),IF(ISNUMBER(OFFSET($A$1,ROW()-1,8)),OFFSET($A$1,ROW()-1,8),0)))))))</f>
        <v/>
      </c>
      <c r="AG277" s="62">
        <f>IF($V277&lt;&gt;"Sub","",N($X277)*IF(AND(ISNUMBER($G277),$G277&lt;=IF($S277=MesCiclo,InicioCiclo,$S277+MOD(2-WEEKDAY($S277),7))+27),1,MIN(1,MAX(0,IF(ISNUMBER(OFFSET($A$1,ROW()-1,11)),OFFSET($A$1,ROW()-1,11),IF(ISNUMBER(OFFSET($A$1,ROW()-1,10)),OFFSET($A$1,ROW()-1,10),IF(ISNUMBER(OFFSET($A$1,ROW()-1,9)),OFFSET($A$1,ROW()-1,9),IF(ISNUMBER(OFFSET($A$1,ROW()-1,8)),OFFSET($A$1,ROW()-1,8),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f>IF(NOT(AND($D277&lt;&gt;"",$V277="Macro")),"",IFERROR(CHOOSE(MATCH($D277,ListaPuestos,0),MATCH("[Jefatura] "&amp;$C277,'Cronograma R. Operacional'!$C$5:$C$1000,0),MATCH("[Jefatura] "&amp;$C277,'Cronograma R. Normativo'!$C$5:$C$1000,0),MATCH("[Jefatura] "&amp;$C277,'Cronograma R. Financiero'!$C$5:$C$1000,0),MATCH("[Jefatura] "&amp;$C277,'Cronograma Asistente Técnico'!$C$5:$C$1000,0)),0))</f>
        <v/>
      </c>
      <c r="AN277" s="62">
        <f>IF(AND(AND($D277&lt;&gt;"",$V277="Macro"),$S277=MesCiclo),COUNTIFS($D$5:$D277,$D277,$S$5:$S277,MesCiclo,$V$5:$V277,"Macro"),"")</f>
        <v/>
      </c>
      <c r="AO277" s="62">
        <f>IF($AN277="","",$D277&amp;"|"&amp;$AN277)</f>
        <v/>
      </c>
      <c r="AP277" s="62">
        <f>IF(AND($D277&lt;&gt;"",$V277="Macro"),$D277&amp;"|"&amp;$C277,"")</f>
        <v/>
      </c>
      <c r="AQ277" s="62">
        <f>""</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t="n"/>
      <c r="F278" s="59" t="n"/>
      <c r="G278" s="59" t="n"/>
      <c r="H278" s="60" t="n"/>
      <c r="I278" s="60">
        <f>IF(N($W278)=0,"",IF(AND($S278=MesCiclo,1&gt;SemanaActual),"",MIN(1,SUMIFS(OFFSET($A$1,ROW(),29,1000-ROW(),1),OFFSET($A$1,ROW(),20,1000-ROW(),1),ROW(),OFFSET($A$1,ROW(),21,1000-ROW(),1),"Sub"))))</f>
        <v/>
      </c>
      <c r="J278" s="60">
        <f>IF(N($W278)=0,"",IF(AND($S278=MesCiclo,2&gt;SemanaActual),"",MIN(1,SUMIFS(OFFSET($A$1,ROW(),30,1000-ROW(),1),OFFSET($A$1,ROW(),20,1000-ROW(),1),ROW(),OFFSET($A$1,ROW(),21,1000-ROW(),1),"Sub"))))</f>
        <v/>
      </c>
      <c r="K278" s="60">
        <f>IF(N($W278)=0,"",IF(AND($S278=MesCiclo,3&gt;SemanaActual),"",MIN(1,SUMIFS(OFFSET($A$1,ROW(),31,1000-ROW(),1),OFFSET($A$1,ROW(),20,1000-ROW(),1),ROW(),OFFSET($A$1,ROW(),21,1000-ROW(),1),"Sub"))))</f>
        <v/>
      </c>
      <c r="L278" s="60">
        <f>IF(N($W278)=0,"",IF(AND($S278=MesCiclo,4&gt;SemanaActual),"",MIN(1,SUMIFS(OFFSET($A$1,ROW(),32,1000-ROW(),1),OFFSET($A$1,ROW(),20,1000-ROW(),1),ROW(),OFFSET($A$1,ROW(),21,1000-ROW(),1),"Sub"))))</f>
        <v/>
      </c>
      <c r="M278" s="61">
        <f>IF(NOT((COUNTA($B278:$D278)+COUNTA($G278:$H278)+COUNTA($Q278))&gt;0),"",IF(AND($D278&lt;&gt;"",$V278="Macro"),IF(N($AM278)&gt;0,N(CHOOSE(MATCH($D278,ListaPuestos,0),INDEX('Cronograma R. Operacional'!$M$5:$M$1000,$AM278),INDEX('Cronograma R. Normativo'!$M$5:$M$1000,$AM278),INDEX('Cronograma R. Financiero'!$M$5:$M$1000,$AM278),INDEX('Cronograma Asistente Técnico'!$M$5:$M$1000,$AM278))),0),IF(ISNUMBER($G278),1,IF(N($W278)&gt;0,MIN(1,SUMIFS($Y$5:$Y$1000,$U$5:$U$1000,ROW(),$V$5:$V$1000,"Sub")),$Y278))))</f>
        <v/>
      </c>
      <c r="N278" s="56">
        <f>IF(OR($M278="",$V278="Sub"),"",IF($M278&gt;=1,"Completado",IF($M278&gt;0,"En curso","Pendiente")))</f>
        <v/>
      </c>
      <c r="O278" s="56">
        <f>IF(NOT((COUNTA($B278:$D278)+COUNTA($G278:$H278)+COUNTA($Q278))&gt;0),"",IF(AND(AND($D278&lt;&gt;"",$V278="Macro"),N($AM278)&gt;0),CHOOSE(MATCH($D278,ListaPuestos,0),INDEX('Cronograma R. Operacional'!$O$5:$O$1000,$AM278),INDEX('Cronograma R. Normativo'!$O$5:$O$1000,$AM278),INDEX('Cronograma R. Financiero'!$O$5:$O$1000,$AM278),INDEX('Cronograma Asistente Técnico'!$O$5:$O$1000,$AM278))&amp;"",IF(ISNUMBER($G278),IF(AND(ISNUMBER($AS278),$G278&gt;$AS278),"Cumplida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f>IF(NOT((COUNTA($B278:$D278)+COUNTA($G278:$H278)+COUNTA($Q278))&gt;0),"",IF($D278="","Propia",IF($V278&lt;&gt;"Macro","Solo se delegan macroactividades",IF(N($AM278)&gt;0,"✔ Recibida por "&amp;$D278,"⚠ "&amp;$D278&amp;" aún no la agrega"))))</f>
        <v/>
      </c>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IF($V278&lt;&gt;"Sub","",N($X278)*IF(AND(ISNUMBER($G278),$G278&lt;=IF($S278=MesCiclo,InicioCiclo,$S278+MOD(2-WEEKDAY($S278),7))+6),1,MIN(1,MAX(0,IF(ISNUMBER(OFFSET($A$1,ROW()-1,8)),OFFSET($A$1,ROW()-1,8),0)))))</f>
        <v/>
      </c>
      <c r="AE278" s="62">
        <f>IF($V278&lt;&gt;"Sub","",N($X278)*IF(AND(ISNUMBER($G278),$G278&lt;=IF($S278=MesCiclo,InicioCiclo,$S278+MOD(2-WEEKDAY($S278),7))+13),1,MIN(1,MAX(0,IF(ISNUMBER(OFFSET($A$1,ROW()-1,9)),OFFSET($A$1,ROW()-1,9),IF(ISNUMBER(OFFSET($A$1,ROW()-1,8)),OFFSET($A$1,ROW()-1,8),0))))))</f>
        <v/>
      </c>
      <c r="AF278" s="62">
        <f>IF($V278&lt;&gt;"Sub","",N($X278)*IF(AND(ISNUMBER($G278),$G278&lt;=IF($S278=MesCiclo,InicioCiclo,$S278+MOD(2-WEEKDAY($S278),7))+20),1,MIN(1,MAX(0,IF(ISNUMBER(OFFSET($A$1,ROW()-1,10)),OFFSET($A$1,ROW()-1,10),IF(ISNUMBER(OFFSET($A$1,ROW()-1,9)),OFFSET($A$1,ROW()-1,9),IF(ISNUMBER(OFFSET($A$1,ROW()-1,8)),OFFSET($A$1,ROW()-1,8),0)))))))</f>
        <v/>
      </c>
      <c r="AG278" s="62">
        <f>IF($V278&lt;&gt;"Sub","",N($X278)*IF(AND(ISNUMBER($G278),$G278&lt;=IF($S278=MesCiclo,InicioCiclo,$S278+MOD(2-WEEKDAY($S278),7))+27),1,MIN(1,MAX(0,IF(ISNUMBER(OFFSET($A$1,ROW()-1,11)),OFFSET($A$1,ROW()-1,11),IF(ISNUMBER(OFFSET($A$1,ROW()-1,10)),OFFSET($A$1,ROW()-1,10),IF(ISNUMBER(OFFSET($A$1,ROW()-1,9)),OFFSET($A$1,ROW()-1,9),IF(ISNUMBER(OFFSET($A$1,ROW()-1,8)),OFFSET($A$1,ROW()-1,8),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f>IF(NOT(AND($D278&lt;&gt;"",$V278="Macro")),"",IFERROR(CHOOSE(MATCH($D278,ListaPuestos,0),MATCH("[Jefatura] "&amp;$C278,'Cronograma R. Operacional'!$C$5:$C$1000,0),MATCH("[Jefatura] "&amp;$C278,'Cronograma R. Normativo'!$C$5:$C$1000,0),MATCH("[Jefatura] "&amp;$C278,'Cronograma R. Financiero'!$C$5:$C$1000,0),MATCH("[Jefatura] "&amp;$C278,'Cronograma Asistente Técnico'!$C$5:$C$1000,0)),0))</f>
        <v/>
      </c>
      <c r="AN278" s="62">
        <f>IF(AND(AND($D278&lt;&gt;"",$V278="Macro"),$S278=MesCiclo),COUNTIFS($D$5:$D278,$D278,$S$5:$S278,MesCiclo,$V$5:$V278,"Macro"),"")</f>
        <v/>
      </c>
      <c r="AO278" s="62">
        <f>IF($AN278="","",$D278&amp;"|"&amp;$AN278)</f>
        <v/>
      </c>
      <c r="AP278" s="62">
        <f>IF(AND($D278&lt;&gt;"",$V278="Macro"),$D278&amp;"|"&amp;$C278,"")</f>
        <v/>
      </c>
      <c r="AQ278" s="62">
        <f>""</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t="n"/>
      <c r="F279" s="59" t="n"/>
      <c r="G279" s="59" t="n"/>
      <c r="H279" s="60" t="n"/>
      <c r="I279" s="60">
        <f>IF(N($W279)=0,"",IF(AND($S279=MesCiclo,1&gt;SemanaActual),"",MIN(1,SUMIFS(OFFSET($A$1,ROW(),29,1000-ROW(),1),OFFSET($A$1,ROW(),20,1000-ROW(),1),ROW(),OFFSET($A$1,ROW(),21,1000-ROW(),1),"Sub"))))</f>
        <v/>
      </c>
      <c r="J279" s="60">
        <f>IF(N($W279)=0,"",IF(AND($S279=MesCiclo,2&gt;SemanaActual),"",MIN(1,SUMIFS(OFFSET($A$1,ROW(),30,1000-ROW(),1),OFFSET($A$1,ROW(),20,1000-ROW(),1),ROW(),OFFSET($A$1,ROW(),21,1000-ROW(),1),"Sub"))))</f>
        <v/>
      </c>
      <c r="K279" s="60">
        <f>IF(N($W279)=0,"",IF(AND($S279=MesCiclo,3&gt;SemanaActual),"",MIN(1,SUMIFS(OFFSET($A$1,ROW(),31,1000-ROW(),1),OFFSET($A$1,ROW(),20,1000-ROW(),1),ROW(),OFFSET($A$1,ROW(),21,1000-ROW(),1),"Sub"))))</f>
        <v/>
      </c>
      <c r="L279" s="60">
        <f>IF(N($W279)=0,"",IF(AND($S279=MesCiclo,4&gt;SemanaActual),"",MIN(1,SUMIFS(OFFSET($A$1,ROW(),32,1000-ROW(),1),OFFSET($A$1,ROW(),20,1000-ROW(),1),ROW(),OFFSET($A$1,ROW(),21,1000-ROW(),1),"Sub"))))</f>
        <v/>
      </c>
      <c r="M279" s="61">
        <f>IF(NOT((COUNTA($B279:$D279)+COUNTA($G279:$H279)+COUNTA($Q279))&gt;0),"",IF(AND($D279&lt;&gt;"",$V279="Macro"),IF(N($AM279)&gt;0,N(CHOOSE(MATCH($D279,ListaPuestos,0),INDEX('Cronograma R. Operacional'!$M$5:$M$1000,$AM279),INDEX('Cronograma R. Normativo'!$M$5:$M$1000,$AM279),INDEX('Cronograma R. Financiero'!$M$5:$M$1000,$AM279),INDEX('Cronograma Asistente Técnico'!$M$5:$M$1000,$AM279))),0),IF(ISNUMBER($G279),1,IF(N($W279)&gt;0,MIN(1,SUMIFS($Y$5:$Y$1000,$U$5:$U$1000,ROW(),$V$5:$V$1000,"Sub")),$Y279))))</f>
        <v/>
      </c>
      <c r="N279" s="56">
        <f>IF(OR($M279="",$V279="Sub"),"",IF($M279&gt;=1,"Completado",IF($M279&gt;0,"En curso","Pendiente")))</f>
        <v/>
      </c>
      <c r="O279" s="56">
        <f>IF(NOT((COUNTA($B279:$D279)+COUNTA($G279:$H279)+COUNTA($Q279))&gt;0),"",IF(AND(AND($D279&lt;&gt;"",$V279="Macro"),N($AM279)&gt;0),CHOOSE(MATCH($D279,ListaPuestos,0),INDEX('Cronograma R. Operacional'!$O$5:$O$1000,$AM279),INDEX('Cronograma R. Normativo'!$O$5:$O$1000,$AM279),INDEX('Cronograma R. Financiero'!$O$5:$O$1000,$AM279),INDEX('Cronograma Asistente Técnico'!$O$5:$O$1000,$AM279))&amp;"",IF(ISNUMBER($G279),IF(AND(ISNUMBER($AS279),$G279&gt;$AS279),"Cumplida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f>IF(NOT((COUNTA($B279:$D279)+COUNTA($G279:$H279)+COUNTA($Q279))&gt;0),"",IF($D279="","Propia",IF($V279&lt;&gt;"Macro","Solo se delegan macroactividades",IF(N($AM279)&gt;0,"✔ Recibida por "&amp;$D279,"⚠ "&amp;$D279&amp;" aún no la agrega"))))</f>
        <v/>
      </c>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IF($V279&lt;&gt;"Sub","",N($X279)*IF(AND(ISNUMBER($G279),$G279&lt;=IF($S279=MesCiclo,InicioCiclo,$S279+MOD(2-WEEKDAY($S279),7))+6),1,MIN(1,MAX(0,IF(ISNUMBER(OFFSET($A$1,ROW()-1,8)),OFFSET($A$1,ROW()-1,8),0)))))</f>
        <v/>
      </c>
      <c r="AE279" s="62">
        <f>IF($V279&lt;&gt;"Sub","",N($X279)*IF(AND(ISNUMBER($G279),$G279&lt;=IF($S279=MesCiclo,InicioCiclo,$S279+MOD(2-WEEKDAY($S279),7))+13),1,MIN(1,MAX(0,IF(ISNUMBER(OFFSET($A$1,ROW()-1,9)),OFFSET($A$1,ROW()-1,9),IF(ISNUMBER(OFFSET($A$1,ROW()-1,8)),OFFSET($A$1,ROW()-1,8),0))))))</f>
        <v/>
      </c>
      <c r="AF279" s="62">
        <f>IF($V279&lt;&gt;"Sub","",N($X279)*IF(AND(ISNUMBER($G279),$G279&lt;=IF($S279=MesCiclo,InicioCiclo,$S279+MOD(2-WEEKDAY($S279),7))+20),1,MIN(1,MAX(0,IF(ISNUMBER(OFFSET($A$1,ROW()-1,10)),OFFSET($A$1,ROW()-1,10),IF(ISNUMBER(OFFSET($A$1,ROW()-1,9)),OFFSET($A$1,ROW()-1,9),IF(ISNUMBER(OFFSET($A$1,ROW()-1,8)),OFFSET($A$1,ROW()-1,8),0)))))))</f>
        <v/>
      </c>
      <c r="AG279" s="62">
        <f>IF($V279&lt;&gt;"Sub","",N($X279)*IF(AND(ISNUMBER($G279),$G279&lt;=IF($S279=MesCiclo,InicioCiclo,$S279+MOD(2-WEEKDAY($S279),7))+27),1,MIN(1,MAX(0,IF(ISNUMBER(OFFSET($A$1,ROW()-1,11)),OFFSET($A$1,ROW()-1,11),IF(ISNUMBER(OFFSET($A$1,ROW()-1,10)),OFFSET($A$1,ROW()-1,10),IF(ISNUMBER(OFFSET($A$1,ROW()-1,9)),OFFSET($A$1,ROW()-1,9),IF(ISNUMBER(OFFSET($A$1,ROW()-1,8)),OFFSET($A$1,ROW()-1,8),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f>IF(NOT(AND($D279&lt;&gt;"",$V279="Macro")),"",IFERROR(CHOOSE(MATCH($D279,ListaPuestos,0),MATCH("[Jefatura] "&amp;$C279,'Cronograma R. Operacional'!$C$5:$C$1000,0),MATCH("[Jefatura] "&amp;$C279,'Cronograma R. Normativo'!$C$5:$C$1000,0),MATCH("[Jefatura] "&amp;$C279,'Cronograma R. Financiero'!$C$5:$C$1000,0),MATCH("[Jefatura] "&amp;$C279,'Cronograma Asistente Técnico'!$C$5:$C$1000,0)),0))</f>
        <v/>
      </c>
      <c r="AN279" s="62">
        <f>IF(AND(AND($D279&lt;&gt;"",$V279="Macro"),$S279=MesCiclo),COUNTIFS($D$5:$D279,$D279,$S$5:$S279,MesCiclo,$V$5:$V279,"Macro"),"")</f>
        <v/>
      </c>
      <c r="AO279" s="62">
        <f>IF($AN279="","",$D279&amp;"|"&amp;$AN279)</f>
        <v/>
      </c>
      <c r="AP279" s="62">
        <f>IF(AND($D279&lt;&gt;"",$V279="Macro"),$D279&amp;"|"&amp;$C279,"")</f>
        <v/>
      </c>
      <c r="AQ279" s="62">
        <f>""</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t="n"/>
      <c r="F280" s="59" t="n"/>
      <c r="G280" s="59" t="n"/>
      <c r="H280" s="60" t="n"/>
      <c r="I280" s="60">
        <f>IF(N($W280)=0,"",IF(AND($S280=MesCiclo,1&gt;SemanaActual),"",MIN(1,SUMIFS(OFFSET($A$1,ROW(),29,1000-ROW(),1),OFFSET($A$1,ROW(),20,1000-ROW(),1),ROW(),OFFSET($A$1,ROW(),21,1000-ROW(),1),"Sub"))))</f>
        <v/>
      </c>
      <c r="J280" s="60">
        <f>IF(N($W280)=0,"",IF(AND($S280=MesCiclo,2&gt;SemanaActual),"",MIN(1,SUMIFS(OFFSET($A$1,ROW(),30,1000-ROW(),1),OFFSET($A$1,ROW(),20,1000-ROW(),1),ROW(),OFFSET($A$1,ROW(),21,1000-ROW(),1),"Sub"))))</f>
        <v/>
      </c>
      <c r="K280" s="60">
        <f>IF(N($W280)=0,"",IF(AND($S280=MesCiclo,3&gt;SemanaActual),"",MIN(1,SUMIFS(OFFSET($A$1,ROW(),31,1000-ROW(),1),OFFSET($A$1,ROW(),20,1000-ROW(),1),ROW(),OFFSET($A$1,ROW(),21,1000-ROW(),1),"Sub"))))</f>
        <v/>
      </c>
      <c r="L280" s="60">
        <f>IF(N($W280)=0,"",IF(AND($S280=MesCiclo,4&gt;SemanaActual),"",MIN(1,SUMIFS(OFFSET($A$1,ROW(),32,1000-ROW(),1),OFFSET($A$1,ROW(),20,1000-ROW(),1),ROW(),OFFSET($A$1,ROW(),21,1000-ROW(),1),"Sub"))))</f>
        <v/>
      </c>
      <c r="M280" s="61">
        <f>IF(NOT((COUNTA($B280:$D280)+COUNTA($G280:$H280)+COUNTA($Q280))&gt;0),"",IF(AND($D280&lt;&gt;"",$V280="Macro"),IF(N($AM280)&gt;0,N(CHOOSE(MATCH($D280,ListaPuestos,0),INDEX('Cronograma R. Operacional'!$M$5:$M$1000,$AM280),INDEX('Cronograma R. Normativo'!$M$5:$M$1000,$AM280),INDEX('Cronograma R. Financiero'!$M$5:$M$1000,$AM280),INDEX('Cronograma Asistente Técnico'!$M$5:$M$1000,$AM280))),0),IF(ISNUMBER($G280),1,IF(N($W280)&gt;0,MIN(1,SUMIFS($Y$5:$Y$1000,$U$5:$U$1000,ROW(),$V$5:$V$1000,"Sub")),$Y280))))</f>
        <v/>
      </c>
      <c r="N280" s="56">
        <f>IF(OR($M280="",$V280="Sub"),"",IF($M280&gt;=1,"Completado",IF($M280&gt;0,"En curso","Pendiente")))</f>
        <v/>
      </c>
      <c r="O280" s="56">
        <f>IF(NOT((COUNTA($B280:$D280)+COUNTA($G280:$H280)+COUNTA($Q280))&gt;0),"",IF(AND(AND($D280&lt;&gt;"",$V280="Macro"),N($AM280)&gt;0),CHOOSE(MATCH($D280,ListaPuestos,0),INDEX('Cronograma R. Operacional'!$O$5:$O$1000,$AM280),INDEX('Cronograma R. Normativo'!$O$5:$O$1000,$AM280),INDEX('Cronograma R. Financiero'!$O$5:$O$1000,$AM280),INDEX('Cronograma Asistente Técnico'!$O$5:$O$1000,$AM280))&amp;"",IF(ISNUMBER($G280),IF(AND(ISNUMBER($AS280),$G280&gt;$AS280),"Cumplida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f>IF(NOT((COUNTA($B280:$D280)+COUNTA($G280:$H280)+COUNTA($Q280))&gt;0),"",IF($D280="","Propia",IF($V280&lt;&gt;"Macro","Solo se delegan macroactividades",IF(N($AM280)&gt;0,"✔ Recibida por "&amp;$D280,"⚠ "&amp;$D280&amp;" aún no la agrega"))))</f>
        <v/>
      </c>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IF($V280&lt;&gt;"Sub","",N($X280)*IF(AND(ISNUMBER($G280),$G280&lt;=IF($S280=MesCiclo,InicioCiclo,$S280+MOD(2-WEEKDAY($S280),7))+6),1,MIN(1,MAX(0,IF(ISNUMBER(OFFSET($A$1,ROW()-1,8)),OFFSET($A$1,ROW()-1,8),0)))))</f>
        <v/>
      </c>
      <c r="AE280" s="62">
        <f>IF($V280&lt;&gt;"Sub","",N($X280)*IF(AND(ISNUMBER($G280),$G280&lt;=IF($S280=MesCiclo,InicioCiclo,$S280+MOD(2-WEEKDAY($S280),7))+13),1,MIN(1,MAX(0,IF(ISNUMBER(OFFSET($A$1,ROW()-1,9)),OFFSET($A$1,ROW()-1,9),IF(ISNUMBER(OFFSET($A$1,ROW()-1,8)),OFFSET($A$1,ROW()-1,8),0))))))</f>
        <v/>
      </c>
      <c r="AF280" s="62">
        <f>IF($V280&lt;&gt;"Sub","",N($X280)*IF(AND(ISNUMBER($G280),$G280&lt;=IF($S280=MesCiclo,InicioCiclo,$S280+MOD(2-WEEKDAY($S280),7))+20),1,MIN(1,MAX(0,IF(ISNUMBER(OFFSET($A$1,ROW()-1,10)),OFFSET($A$1,ROW()-1,10),IF(ISNUMBER(OFFSET($A$1,ROW()-1,9)),OFFSET($A$1,ROW()-1,9),IF(ISNUMBER(OFFSET($A$1,ROW()-1,8)),OFFSET($A$1,ROW()-1,8),0)))))))</f>
        <v/>
      </c>
      <c r="AG280" s="62">
        <f>IF($V280&lt;&gt;"Sub","",N($X280)*IF(AND(ISNUMBER($G280),$G280&lt;=IF($S280=MesCiclo,InicioCiclo,$S280+MOD(2-WEEKDAY($S280),7))+27),1,MIN(1,MAX(0,IF(ISNUMBER(OFFSET($A$1,ROW()-1,11)),OFFSET($A$1,ROW()-1,11),IF(ISNUMBER(OFFSET($A$1,ROW()-1,10)),OFFSET($A$1,ROW()-1,10),IF(ISNUMBER(OFFSET($A$1,ROW()-1,9)),OFFSET($A$1,ROW()-1,9),IF(ISNUMBER(OFFSET($A$1,ROW()-1,8)),OFFSET($A$1,ROW()-1,8),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f>IF(NOT(AND($D280&lt;&gt;"",$V280="Macro")),"",IFERROR(CHOOSE(MATCH($D280,ListaPuestos,0),MATCH("[Jefatura] "&amp;$C280,'Cronograma R. Operacional'!$C$5:$C$1000,0),MATCH("[Jefatura] "&amp;$C280,'Cronograma R. Normativo'!$C$5:$C$1000,0),MATCH("[Jefatura] "&amp;$C280,'Cronograma R. Financiero'!$C$5:$C$1000,0),MATCH("[Jefatura] "&amp;$C280,'Cronograma Asistente Técnico'!$C$5:$C$1000,0)),0))</f>
        <v/>
      </c>
      <c r="AN280" s="62">
        <f>IF(AND(AND($D280&lt;&gt;"",$V280="Macro"),$S280=MesCiclo),COUNTIFS($D$5:$D280,$D280,$S$5:$S280,MesCiclo,$V$5:$V280,"Macro"),"")</f>
        <v/>
      </c>
      <c r="AO280" s="62">
        <f>IF($AN280="","",$D280&amp;"|"&amp;$AN280)</f>
        <v/>
      </c>
      <c r="AP280" s="62">
        <f>IF(AND($D280&lt;&gt;"",$V280="Macro"),$D280&amp;"|"&amp;$C280,"")</f>
        <v/>
      </c>
      <c r="AQ280" s="62">
        <f>""</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t="n"/>
      <c r="F281" s="59" t="n"/>
      <c r="G281" s="59" t="n"/>
      <c r="H281" s="60" t="n"/>
      <c r="I281" s="60">
        <f>IF(N($W281)=0,"",IF(AND($S281=MesCiclo,1&gt;SemanaActual),"",MIN(1,SUMIFS(OFFSET($A$1,ROW(),29,1000-ROW(),1),OFFSET($A$1,ROW(),20,1000-ROW(),1),ROW(),OFFSET($A$1,ROW(),21,1000-ROW(),1),"Sub"))))</f>
        <v/>
      </c>
      <c r="J281" s="60">
        <f>IF(N($W281)=0,"",IF(AND($S281=MesCiclo,2&gt;SemanaActual),"",MIN(1,SUMIFS(OFFSET($A$1,ROW(),30,1000-ROW(),1),OFFSET($A$1,ROW(),20,1000-ROW(),1),ROW(),OFFSET($A$1,ROW(),21,1000-ROW(),1),"Sub"))))</f>
        <v/>
      </c>
      <c r="K281" s="60">
        <f>IF(N($W281)=0,"",IF(AND($S281=MesCiclo,3&gt;SemanaActual),"",MIN(1,SUMIFS(OFFSET($A$1,ROW(),31,1000-ROW(),1),OFFSET($A$1,ROW(),20,1000-ROW(),1),ROW(),OFFSET($A$1,ROW(),21,1000-ROW(),1),"Sub"))))</f>
        <v/>
      </c>
      <c r="L281" s="60">
        <f>IF(N($W281)=0,"",IF(AND($S281=MesCiclo,4&gt;SemanaActual),"",MIN(1,SUMIFS(OFFSET($A$1,ROW(),32,1000-ROW(),1),OFFSET($A$1,ROW(),20,1000-ROW(),1),ROW(),OFFSET($A$1,ROW(),21,1000-ROW(),1),"Sub"))))</f>
        <v/>
      </c>
      <c r="M281" s="61">
        <f>IF(NOT((COUNTA($B281:$D281)+COUNTA($G281:$H281)+COUNTA($Q281))&gt;0),"",IF(AND($D281&lt;&gt;"",$V281="Macro"),IF(N($AM281)&gt;0,N(CHOOSE(MATCH($D281,ListaPuestos,0),INDEX('Cronograma R. Operacional'!$M$5:$M$1000,$AM281),INDEX('Cronograma R. Normativo'!$M$5:$M$1000,$AM281),INDEX('Cronograma R. Financiero'!$M$5:$M$1000,$AM281),INDEX('Cronograma Asistente Técnico'!$M$5:$M$1000,$AM281))),0),IF(ISNUMBER($G281),1,IF(N($W281)&gt;0,MIN(1,SUMIFS($Y$5:$Y$1000,$U$5:$U$1000,ROW(),$V$5:$V$1000,"Sub")),$Y281))))</f>
        <v/>
      </c>
      <c r="N281" s="56">
        <f>IF(OR($M281="",$V281="Sub"),"",IF($M281&gt;=1,"Completado",IF($M281&gt;0,"En curso","Pendiente")))</f>
        <v/>
      </c>
      <c r="O281" s="56">
        <f>IF(NOT((COUNTA($B281:$D281)+COUNTA($G281:$H281)+COUNTA($Q281))&gt;0),"",IF(AND(AND($D281&lt;&gt;"",$V281="Macro"),N($AM281)&gt;0),CHOOSE(MATCH($D281,ListaPuestos,0),INDEX('Cronograma R. Operacional'!$O$5:$O$1000,$AM281),INDEX('Cronograma R. Normativo'!$O$5:$O$1000,$AM281),INDEX('Cronograma R. Financiero'!$O$5:$O$1000,$AM281),INDEX('Cronograma Asistente Técnico'!$O$5:$O$1000,$AM281))&amp;"",IF(ISNUMBER($G281),IF(AND(ISNUMBER($AS281),$G281&gt;$AS281),"Cumplida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f>IF(NOT((COUNTA($B281:$D281)+COUNTA($G281:$H281)+COUNTA($Q281))&gt;0),"",IF($D281="","Propia",IF($V281&lt;&gt;"Macro","Solo se delegan macroactividades",IF(N($AM281)&gt;0,"✔ Recibida por "&amp;$D281,"⚠ "&amp;$D281&amp;" aún no la agrega"))))</f>
        <v/>
      </c>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IF($V281&lt;&gt;"Sub","",N($X281)*IF(AND(ISNUMBER($G281),$G281&lt;=IF($S281=MesCiclo,InicioCiclo,$S281+MOD(2-WEEKDAY($S281),7))+6),1,MIN(1,MAX(0,IF(ISNUMBER(OFFSET($A$1,ROW()-1,8)),OFFSET($A$1,ROW()-1,8),0)))))</f>
        <v/>
      </c>
      <c r="AE281" s="62">
        <f>IF($V281&lt;&gt;"Sub","",N($X281)*IF(AND(ISNUMBER($G281),$G281&lt;=IF($S281=MesCiclo,InicioCiclo,$S281+MOD(2-WEEKDAY($S281),7))+13),1,MIN(1,MAX(0,IF(ISNUMBER(OFFSET($A$1,ROW()-1,9)),OFFSET($A$1,ROW()-1,9),IF(ISNUMBER(OFFSET($A$1,ROW()-1,8)),OFFSET($A$1,ROW()-1,8),0))))))</f>
        <v/>
      </c>
      <c r="AF281" s="62">
        <f>IF($V281&lt;&gt;"Sub","",N($X281)*IF(AND(ISNUMBER($G281),$G281&lt;=IF($S281=MesCiclo,InicioCiclo,$S281+MOD(2-WEEKDAY($S281),7))+20),1,MIN(1,MAX(0,IF(ISNUMBER(OFFSET($A$1,ROW()-1,10)),OFFSET($A$1,ROW()-1,10),IF(ISNUMBER(OFFSET($A$1,ROW()-1,9)),OFFSET($A$1,ROW()-1,9),IF(ISNUMBER(OFFSET($A$1,ROW()-1,8)),OFFSET($A$1,ROW()-1,8),0)))))))</f>
        <v/>
      </c>
      <c r="AG281" s="62">
        <f>IF($V281&lt;&gt;"Sub","",N($X281)*IF(AND(ISNUMBER($G281),$G281&lt;=IF($S281=MesCiclo,InicioCiclo,$S281+MOD(2-WEEKDAY($S281),7))+27),1,MIN(1,MAX(0,IF(ISNUMBER(OFFSET($A$1,ROW()-1,11)),OFFSET($A$1,ROW()-1,11),IF(ISNUMBER(OFFSET($A$1,ROW()-1,10)),OFFSET($A$1,ROW()-1,10),IF(ISNUMBER(OFFSET($A$1,ROW()-1,9)),OFFSET($A$1,ROW()-1,9),IF(ISNUMBER(OFFSET($A$1,ROW()-1,8)),OFFSET($A$1,ROW()-1,8),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f>IF(NOT(AND($D281&lt;&gt;"",$V281="Macro")),"",IFERROR(CHOOSE(MATCH($D281,ListaPuestos,0),MATCH("[Jefatura] "&amp;$C281,'Cronograma R. Operacional'!$C$5:$C$1000,0),MATCH("[Jefatura] "&amp;$C281,'Cronograma R. Normativo'!$C$5:$C$1000,0),MATCH("[Jefatura] "&amp;$C281,'Cronograma R. Financiero'!$C$5:$C$1000,0),MATCH("[Jefatura] "&amp;$C281,'Cronograma Asistente Técnico'!$C$5:$C$1000,0)),0))</f>
        <v/>
      </c>
      <c r="AN281" s="62">
        <f>IF(AND(AND($D281&lt;&gt;"",$V281="Macro"),$S281=MesCiclo),COUNTIFS($D$5:$D281,$D281,$S$5:$S281,MesCiclo,$V$5:$V281,"Macro"),"")</f>
        <v/>
      </c>
      <c r="AO281" s="62">
        <f>IF($AN281="","",$D281&amp;"|"&amp;$AN281)</f>
        <v/>
      </c>
      <c r="AP281" s="62">
        <f>IF(AND($D281&lt;&gt;"",$V281="Macro"),$D281&amp;"|"&amp;$C281,"")</f>
        <v/>
      </c>
      <c r="AQ281" s="62">
        <f>""</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t="n"/>
      <c r="F282" s="59" t="n"/>
      <c r="G282" s="59" t="n"/>
      <c r="H282" s="60" t="n"/>
      <c r="I282" s="60">
        <f>IF(N($W282)=0,"",IF(AND($S282=MesCiclo,1&gt;SemanaActual),"",MIN(1,SUMIFS(OFFSET($A$1,ROW(),29,1000-ROW(),1),OFFSET($A$1,ROW(),20,1000-ROW(),1),ROW(),OFFSET($A$1,ROW(),21,1000-ROW(),1),"Sub"))))</f>
        <v/>
      </c>
      <c r="J282" s="60">
        <f>IF(N($W282)=0,"",IF(AND($S282=MesCiclo,2&gt;SemanaActual),"",MIN(1,SUMIFS(OFFSET($A$1,ROW(),30,1000-ROW(),1),OFFSET($A$1,ROW(),20,1000-ROW(),1),ROW(),OFFSET($A$1,ROW(),21,1000-ROW(),1),"Sub"))))</f>
        <v/>
      </c>
      <c r="K282" s="60">
        <f>IF(N($W282)=0,"",IF(AND($S282=MesCiclo,3&gt;SemanaActual),"",MIN(1,SUMIFS(OFFSET($A$1,ROW(),31,1000-ROW(),1),OFFSET($A$1,ROW(),20,1000-ROW(),1),ROW(),OFFSET($A$1,ROW(),21,1000-ROW(),1),"Sub"))))</f>
        <v/>
      </c>
      <c r="L282" s="60">
        <f>IF(N($W282)=0,"",IF(AND($S282=MesCiclo,4&gt;SemanaActual),"",MIN(1,SUMIFS(OFFSET($A$1,ROW(),32,1000-ROW(),1),OFFSET($A$1,ROW(),20,1000-ROW(),1),ROW(),OFFSET($A$1,ROW(),21,1000-ROW(),1),"Sub"))))</f>
        <v/>
      </c>
      <c r="M282" s="61">
        <f>IF(NOT((COUNTA($B282:$D282)+COUNTA($G282:$H282)+COUNTA($Q282))&gt;0),"",IF(AND($D282&lt;&gt;"",$V282="Macro"),IF(N($AM282)&gt;0,N(CHOOSE(MATCH($D282,ListaPuestos,0),INDEX('Cronograma R. Operacional'!$M$5:$M$1000,$AM282),INDEX('Cronograma R. Normativo'!$M$5:$M$1000,$AM282),INDEX('Cronograma R. Financiero'!$M$5:$M$1000,$AM282),INDEX('Cronograma Asistente Técnico'!$M$5:$M$1000,$AM282))),0),IF(ISNUMBER($G282),1,IF(N($W282)&gt;0,MIN(1,SUMIFS($Y$5:$Y$1000,$U$5:$U$1000,ROW(),$V$5:$V$1000,"Sub")),$Y282))))</f>
        <v/>
      </c>
      <c r="N282" s="56">
        <f>IF(OR($M282="",$V282="Sub"),"",IF($M282&gt;=1,"Completado",IF($M282&gt;0,"En curso","Pendiente")))</f>
        <v/>
      </c>
      <c r="O282" s="56">
        <f>IF(NOT((COUNTA($B282:$D282)+COUNTA($G282:$H282)+COUNTA($Q282))&gt;0),"",IF(AND(AND($D282&lt;&gt;"",$V282="Macro"),N($AM282)&gt;0),CHOOSE(MATCH($D282,ListaPuestos,0),INDEX('Cronograma R. Operacional'!$O$5:$O$1000,$AM282),INDEX('Cronograma R. Normativo'!$O$5:$O$1000,$AM282),INDEX('Cronograma R. Financiero'!$O$5:$O$1000,$AM282),INDEX('Cronograma Asistente Técnico'!$O$5:$O$1000,$AM282))&amp;"",IF(ISNUMBER($G282),IF(AND(ISNUMBER($AS282),$G282&gt;$AS282),"Cumplida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f>IF(NOT((COUNTA($B282:$D282)+COUNTA($G282:$H282)+COUNTA($Q282))&gt;0),"",IF($D282="","Propia",IF($V282&lt;&gt;"Macro","Solo se delegan macroactividades",IF(N($AM282)&gt;0,"✔ Recibida por "&amp;$D282,"⚠ "&amp;$D282&amp;" aún no la agrega"))))</f>
        <v/>
      </c>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IF($V282&lt;&gt;"Sub","",N($X282)*IF(AND(ISNUMBER($G282),$G282&lt;=IF($S282=MesCiclo,InicioCiclo,$S282+MOD(2-WEEKDAY($S282),7))+6),1,MIN(1,MAX(0,IF(ISNUMBER(OFFSET($A$1,ROW()-1,8)),OFFSET($A$1,ROW()-1,8),0)))))</f>
        <v/>
      </c>
      <c r="AE282" s="62">
        <f>IF($V282&lt;&gt;"Sub","",N($X282)*IF(AND(ISNUMBER($G282),$G282&lt;=IF($S282=MesCiclo,InicioCiclo,$S282+MOD(2-WEEKDAY($S282),7))+13),1,MIN(1,MAX(0,IF(ISNUMBER(OFFSET($A$1,ROW()-1,9)),OFFSET($A$1,ROW()-1,9),IF(ISNUMBER(OFFSET($A$1,ROW()-1,8)),OFFSET($A$1,ROW()-1,8),0))))))</f>
        <v/>
      </c>
      <c r="AF282" s="62">
        <f>IF($V282&lt;&gt;"Sub","",N($X282)*IF(AND(ISNUMBER($G282),$G282&lt;=IF($S282=MesCiclo,InicioCiclo,$S282+MOD(2-WEEKDAY($S282),7))+20),1,MIN(1,MAX(0,IF(ISNUMBER(OFFSET($A$1,ROW()-1,10)),OFFSET($A$1,ROW()-1,10),IF(ISNUMBER(OFFSET($A$1,ROW()-1,9)),OFFSET($A$1,ROW()-1,9),IF(ISNUMBER(OFFSET($A$1,ROW()-1,8)),OFFSET($A$1,ROW()-1,8),0)))))))</f>
        <v/>
      </c>
      <c r="AG282" s="62">
        <f>IF($V282&lt;&gt;"Sub","",N($X282)*IF(AND(ISNUMBER($G282),$G282&lt;=IF($S282=MesCiclo,InicioCiclo,$S282+MOD(2-WEEKDAY($S282),7))+27),1,MIN(1,MAX(0,IF(ISNUMBER(OFFSET($A$1,ROW()-1,11)),OFFSET($A$1,ROW()-1,11),IF(ISNUMBER(OFFSET($A$1,ROW()-1,10)),OFFSET($A$1,ROW()-1,10),IF(ISNUMBER(OFFSET($A$1,ROW()-1,9)),OFFSET($A$1,ROW()-1,9),IF(ISNUMBER(OFFSET($A$1,ROW()-1,8)),OFFSET($A$1,ROW()-1,8),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f>IF(NOT(AND($D282&lt;&gt;"",$V282="Macro")),"",IFERROR(CHOOSE(MATCH($D282,ListaPuestos,0),MATCH("[Jefatura] "&amp;$C282,'Cronograma R. Operacional'!$C$5:$C$1000,0),MATCH("[Jefatura] "&amp;$C282,'Cronograma R. Normativo'!$C$5:$C$1000,0),MATCH("[Jefatura] "&amp;$C282,'Cronograma R. Financiero'!$C$5:$C$1000,0),MATCH("[Jefatura] "&amp;$C282,'Cronograma Asistente Técnico'!$C$5:$C$1000,0)),0))</f>
        <v/>
      </c>
      <c r="AN282" s="62">
        <f>IF(AND(AND($D282&lt;&gt;"",$V282="Macro"),$S282=MesCiclo),COUNTIFS($D$5:$D282,$D282,$S$5:$S282,MesCiclo,$V$5:$V282,"Macro"),"")</f>
        <v/>
      </c>
      <c r="AO282" s="62">
        <f>IF($AN282="","",$D282&amp;"|"&amp;$AN282)</f>
        <v/>
      </c>
      <c r="AP282" s="62">
        <f>IF(AND($D282&lt;&gt;"",$V282="Macro"),$D282&amp;"|"&amp;$C282,"")</f>
        <v/>
      </c>
      <c r="AQ282" s="62">
        <f>""</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t="n"/>
      <c r="F283" s="59" t="n"/>
      <c r="G283" s="59" t="n"/>
      <c r="H283" s="60" t="n"/>
      <c r="I283" s="60">
        <f>IF(N($W283)=0,"",IF(AND($S283=MesCiclo,1&gt;SemanaActual),"",MIN(1,SUMIFS(OFFSET($A$1,ROW(),29,1000-ROW(),1),OFFSET($A$1,ROW(),20,1000-ROW(),1),ROW(),OFFSET($A$1,ROW(),21,1000-ROW(),1),"Sub"))))</f>
        <v/>
      </c>
      <c r="J283" s="60">
        <f>IF(N($W283)=0,"",IF(AND($S283=MesCiclo,2&gt;SemanaActual),"",MIN(1,SUMIFS(OFFSET($A$1,ROW(),30,1000-ROW(),1),OFFSET($A$1,ROW(),20,1000-ROW(),1),ROW(),OFFSET($A$1,ROW(),21,1000-ROW(),1),"Sub"))))</f>
        <v/>
      </c>
      <c r="K283" s="60">
        <f>IF(N($W283)=0,"",IF(AND($S283=MesCiclo,3&gt;SemanaActual),"",MIN(1,SUMIFS(OFFSET($A$1,ROW(),31,1000-ROW(),1),OFFSET($A$1,ROW(),20,1000-ROW(),1),ROW(),OFFSET($A$1,ROW(),21,1000-ROW(),1),"Sub"))))</f>
        <v/>
      </c>
      <c r="L283" s="60">
        <f>IF(N($W283)=0,"",IF(AND($S283=MesCiclo,4&gt;SemanaActual),"",MIN(1,SUMIFS(OFFSET($A$1,ROW(),32,1000-ROW(),1),OFFSET($A$1,ROW(),20,1000-ROW(),1),ROW(),OFFSET($A$1,ROW(),21,1000-ROW(),1),"Sub"))))</f>
        <v/>
      </c>
      <c r="M283" s="61">
        <f>IF(NOT((COUNTA($B283:$D283)+COUNTA($G283:$H283)+COUNTA($Q283))&gt;0),"",IF(AND($D283&lt;&gt;"",$V283="Macro"),IF(N($AM283)&gt;0,N(CHOOSE(MATCH($D283,ListaPuestos,0),INDEX('Cronograma R. Operacional'!$M$5:$M$1000,$AM283),INDEX('Cronograma R. Normativo'!$M$5:$M$1000,$AM283),INDEX('Cronograma R. Financiero'!$M$5:$M$1000,$AM283),INDEX('Cronograma Asistente Técnico'!$M$5:$M$1000,$AM283))),0),IF(ISNUMBER($G283),1,IF(N($W283)&gt;0,MIN(1,SUMIFS($Y$5:$Y$1000,$U$5:$U$1000,ROW(),$V$5:$V$1000,"Sub")),$Y283))))</f>
        <v/>
      </c>
      <c r="N283" s="56">
        <f>IF(OR($M283="",$V283="Sub"),"",IF($M283&gt;=1,"Completado",IF($M283&gt;0,"En curso","Pendiente")))</f>
        <v/>
      </c>
      <c r="O283" s="56">
        <f>IF(NOT((COUNTA($B283:$D283)+COUNTA($G283:$H283)+COUNTA($Q283))&gt;0),"",IF(AND(AND($D283&lt;&gt;"",$V283="Macro"),N($AM283)&gt;0),CHOOSE(MATCH($D283,ListaPuestos,0),INDEX('Cronograma R. Operacional'!$O$5:$O$1000,$AM283),INDEX('Cronograma R. Normativo'!$O$5:$O$1000,$AM283),INDEX('Cronograma R. Financiero'!$O$5:$O$1000,$AM283),INDEX('Cronograma Asistente Técnico'!$O$5:$O$1000,$AM283))&amp;"",IF(ISNUMBER($G283),IF(AND(ISNUMBER($AS283),$G283&gt;$AS283),"Cumplida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f>IF(NOT((COUNTA($B283:$D283)+COUNTA($G283:$H283)+COUNTA($Q283))&gt;0),"",IF($D283="","Propia",IF($V283&lt;&gt;"Macro","Solo se delegan macroactividades",IF(N($AM283)&gt;0,"✔ Recibida por "&amp;$D283,"⚠ "&amp;$D283&amp;" aún no la agrega"))))</f>
        <v/>
      </c>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IF($V283&lt;&gt;"Sub","",N($X283)*IF(AND(ISNUMBER($G283),$G283&lt;=IF($S283=MesCiclo,InicioCiclo,$S283+MOD(2-WEEKDAY($S283),7))+6),1,MIN(1,MAX(0,IF(ISNUMBER(OFFSET($A$1,ROW()-1,8)),OFFSET($A$1,ROW()-1,8),0)))))</f>
        <v/>
      </c>
      <c r="AE283" s="62">
        <f>IF($V283&lt;&gt;"Sub","",N($X283)*IF(AND(ISNUMBER($G283),$G283&lt;=IF($S283=MesCiclo,InicioCiclo,$S283+MOD(2-WEEKDAY($S283),7))+13),1,MIN(1,MAX(0,IF(ISNUMBER(OFFSET($A$1,ROW()-1,9)),OFFSET($A$1,ROW()-1,9),IF(ISNUMBER(OFFSET($A$1,ROW()-1,8)),OFFSET($A$1,ROW()-1,8),0))))))</f>
        <v/>
      </c>
      <c r="AF283" s="62">
        <f>IF($V283&lt;&gt;"Sub","",N($X283)*IF(AND(ISNUMBER($G283),$G283&lt;=IF($S283=MesCiclo,InicioCiclo,$S283+MOD(2-WEEKDAY($S283),7))+20),1,MIN(1,MAX(0,IF(ISNUMBER(OFFSET($A$1,ROW()-1,10)),OFFSET($A$1,ROW()-1,10),IF(ISNUMBER(OFFSET($A$1,ROW()-1,9)),OFFSET($A$1,ROW()-1,9),IF(ISNUMBER(OFFSET($A$1,ROW()-1,8)),OFFSET($A$1,ROW()-1,8),0)))))))</f>
        <v/>
      </c>
      <c r="AG283" s="62">
        <f>IF($V283&lt;&gt;"Sub","",N($X283)*IF(AND(ISNUMBER($G283),$G283&lt;=IF($S283=MesCiclo,InicioCiclo,$S283+MOD(2-WEEKDAY($S283),7))+27),1,MIN(1,MAX(0,IF(ISNUMBER(OFFSET($A$1,ROW()-1,11)),OFFSET($A$1,ROW()-1,11),IF(ISNUMBER(OFFSET($A$1,ROW()-1,10)),OFFSET($A$1,ROW()-1,10),IF(ISNUMBER(OFFSET($A$1,ROW()-1,9)),OFFSET($A$1,ROW()-1,9),IF(ISNUMBER(OFFSET($A$1,ROW()-1,8)),OFFSET($A$1,ROW()-1,8),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f>IF(NOT(AND($D283&lt;&gt;"",$V283="Macro")),"",IFERROR(CHOOSE(MATCH($D283,ListaPuestos,0),MATCH("[Jefatura] "&amp;$C283,'Cronograma R. Operacional'!$C$5:$C$1000,0),MATCH("[Jefatura] "&amp;$C283,'Cronograma R. Normativo'!$C$5:$C$1000,0),MATCH("[Jefatura] "&amp;$C283,'Cronograma R. Financiero'!$C$5:$C$1000,0),MATCH("[Jefatura] "&amp;$C283,'Cronograma Asistente Técnico'!$C$5:$C$1000,0)),0))</f>
        <v/>
      </c>
      <c r="AN283" s="62">
        <f>IF(AND(AND($D283&lt;&gt;"",$V283="Macro"),$S283=MesCiclo),COUNTIFS($D$5:$D283,$D283,$S$5:$S283,MesCiclo,$V$5:$V283,"Macro"),"")</f>
        <v/>
      </c>
      <c r="AO283" s="62">
        <f>IF($AN283="","",$D283&amp;"|"&amp;$AN283)</f>
        <v/>
      </c>
      <c r="AP283" s="62">
        <f>IF(AND($D283&lt;&gt;"",$V283="Macro"),$D283&amp;"|"&amp;$C283,"")</f>
        <v/>
      </c>
      <c r="AQ283" s="62">
        <f>""</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t="n"/>
      <c r="F284" s="59" t="n"/>
      <c r="G284" s="59" t="n"/>
      <c r="H284" s="60" t="n"/>
      <c r="I284" s="60">
        <f>IF(N($W284)=0,"",IF(AND($S284=MesCiclo,1&gt;SemanaActual),"",MIN(1,SUMIFS(OFFSET($A$1,ROW(),29,1000-ROW(),1),OFFSET($A$1,ROW(),20,1000-ROW(),1),ROW(),OFFSET($A$1,ROW(),21,1000-ROW(),1),"Sub"))))</f>
        <v/>
      </c>
      <c r="J284" s="60">
        <f>IF(N($W284)=0,"",IF(AND($S284=MesCiclo,2&gt;SemanaActual),"",MIN(1,SUMIFS(OFFSET($A$1,ROW(),30,1000-ROW(),1),OFFSET($A$1,ROW(),20,1000-ROW(),1),ROW(),OFFSET($A$1,ROW(),21,1000-ROW(),1),"Sub"))))</f>
        <v/>
      </c>
      <c r="K284" s="60">
        <f>IF(N($W284)=0,"",IF(AND($S284=MesCiclo,3&gt;SemanaActual),"",MIN(1,SUMIFS(OFFSET($A$1,ROW(),31,1000-ROW(),1),OFFSET($A$1,ROW(),20,1000-ROW(),1),ROW(),OFFSET($A$1,ROW(),21,1000-ROW(),1),"Sub"))))</f>
        <v/>
      </c>
      <c r="L284" s="60">
        <f>IF(N($W284)=0,"",IF(AND($S284=MesCiclo,4&gt;SemanaActual),"",MIN(1,SUMIFS(OFFSET($A$1,ROW(),32,1000-ROW(),1),OFFSET($A$1,ROW(),20,1000-ROW(),1),ROW(),OFFSET($A$1,ROW(),21,1000-ROW(),1),"Sub"))))</f>
        <v/>
      </c>
      <c r="M284" s="61">
        <f>IF(NOT((COUNTA($B284:$D284)+COUNTA($G284:$H284)+COUNTA($Q284))&gt;0),"",IF(AND($D284&lt;&gt;"",$V284="Macro"),IF(N($AM284)&gt;0,N(CHOOSE(MATCH($D284,ListaPuestos,0),INDEX('Cronograma R. Operacional'!$M$5:$M$1000,$AM284),INDEX('Cronograma R. Normativo'!$M$5:$M$1000,$AM284),INDEX('Cronograma R. Financiero'!$M$5:$M$1000,$AM284),INDEX('Cronograma Asistente Técnico'!$M$5:$M$1000,$AM284))),0),IF(ISNUMBER($G284),1,IF(N($W284)&gt;0,MIN(1,SUMIFS($Y$5:$Y$1000,$U$5:$U$1000,ROW(),$V$5:$V$1000,"Sub")),$Y284))))</f>
        <v/>
      </c>
      <c r="N284" s="56">
        <f>IF(OR($M284="",$V284="Sub"),"",IF($M284&gt;=1,"Completado",IF($M284&gt;0,"En curso","Pendiente")))</f>
        <v/>
      </c>
      <c r="O284" s="56">
        <f>IF(NOT((COUNTA($B284:$D284)+COUNTA($G284:$H284)+COUNTA($Q284))&gt;0),"",IF(AND(AND($D284&lt;&gt;"",$V284="Macro"),N($AM284)&gt;0),CHOOSE(MATCH($D284,ListaPuestos,0),INDEX('Cronograma R. Operacional'!$O$5:$O$1000,$AM284),INDEX('Cronograma R. Normativo'!$O$5:$O$1000,$AM284),INDEX('Cronograma R. Financiero'!$O$5:$O$1000,$AM284),INDEX('Cronograma Asistente Técnico'!$O$5:$O$1000,$AM284))&amp;"",IF(ISNUMBER($G284),IF(AND(ISNUMBER($AS284),$G284&gt;$AS284),"Cumplida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f>IF(NOT((COUNTA($B284:$D284)+COUNTA($G284:$H284)+COUNTA($Q284))&gt;0),"",IF($D284="","Propia",IF($V284&lt;&gt;"Macro","Solo se delegan macroactividades",IF(N($AM284)&gt;0,"✔ Recibida por "&amp;$D284,"⚠ "&amp;$D284&amp;" aún no la agrega"))))</f>
        <v/>
      </c>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IF($V284&lt;&gt;"Sub","",N($X284)*IF(AND(ISNUMBER($G284),$G284&lt;=IF($S284=MesCiclo,InicioCiclo,$S284+MOD(2-WEEKDAY($S284),7))+6),1,MIN(1,MAX(0,IF(ISNUMBER(OFFSET($A$1,ROW()-1,8)),OFFSET($A$1,ROW()-1,8),0)))))</f>
        <v/>
      </c>
      <c r="AE284" s="62">
        <f>IF($V284&lt;&gt;"Sub","",N($X284)*IF(AND(ISNUMBER($G284),$G284&lt;=IF($S284=MesCiclo,InicioCiclo,$S284+MOD(2-WEEKDAY($S284),7))+13),1,MIN(1,MAX(0,IF(ISNUMBER(OFFSET($A$1,ROW()-1,9)),OFFSET($A$1,ROW()-1,9),IF(ISNUMBER(OFFSET($A$1,ROW()-1,8)),OFFSET($A$1,ROW()-1,8),0))))))</f>
        <v/>
      </c>
      <c r="AF284" s="62">
        <f>IF($V284&lt;&gt;"Sub","",N($X284)*IF(AND(ISNUMBER($G284),$G284&lt;=IF($S284=MesCiclo,InicioCiclo,$S284+MOD(2-WEEKDAY($S284),7))+20),1,MIN(1,MAX(0,IF(ISNUMBER(OFFSET($A$1,ROW()-1,10)),OFFSET($A$1,ROW()-1,10),IF(ISNUMBER(OFFSET($A$1,ROW()-1,9)),OFFSET($A$1,ROW()-1,9),IF(ISNUMBER(OFFSET($A$1,ROW()-1,8)),OFFSET($A$1,ROW()-1,8),0)))))))</f>
        <v/>
      </c>
      <c r="AG284" s="62">
        <f>IF($V284&lt;&gt;"Sub","",N($X284)*IF(AND(ISNUMBER($G284),$G284&lt;=IF($S284=MesCiclo,InicioCiclo,$S284+MOD(2-WEEKDAY($S284),7))+27),1,MIN(1,MAX(0,IF(ISNUMBER(OFFSET($A$1,ROW()-1,11)),OFFSET($A$1,ROW()-1,11),IF(ISNUMBER(OFFSET($A$1,ROW()-1,10)),OFFSET($A$1,ROW()-1,10),IF(ISNUMBER(OFFSET($A$1,ROW()-1,9)),OFFSET($A$1,ROW()-1,9),IF(ISNUMBER(OFFSET($A$1,ROW()-1,8)),OFFSET($A$1,ROW()-1,8),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f>IF(NOT(AND($D284&lt;&gt;"",$V284="Macro")),"",IFERROR(CHOOSE(MATCH($D284,ListaPuestos,0),MATCH("[Jefatura] "&amp;$C284,'Cronograma R. Operacional'!$C$5:$C$1000,0),MATCH("[Jefatura] "&amp;$C284,'Cronograma R. Normativo'!$C$5:$C$1000,0),MATCH("[Jefatura] "&amp;$C284,'Cronograma R. Financiero'!$C$5:$C$1000,0),MATCH("[Jefatura] "&amp;$C284,'Cronograma Asistente Técnico'!$C$5:$C$1000,0)),0))</f>
        <v/>
      </c>
      <c r="AN284" s="62">
        <f>IF(AND(AND($D284&lt;&gt;"",$V284="Macro"),$S284=MesCiclo),COUNTIFS($D$5:$D284,$D284,$S$5:$S284,MesCiclo,$V$5:$V284,"Macro"),"")</f>
        <v/>
      </c>
      <c r="AO284" s="62">
        <f>IF($AN284="","",$D284&amp;"|"&amp;$AN284)</f>
        <v/>
      </c>
      <c r="AP284" s="62">
        <f>IF(AND($D284&lt;&gt;"",$V284="Macro"),$D284&amp;"|"&amp;$C284,"")</f>
        <v/>
      </c>
      <c r="AQ284" s="62">
        <f>""</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t="n"/>
      <c r="F285" s="59" t="n"/>
      <c r="G285" s="59" t="n"/>
      <c r="H285" s="60" t="n"/>
      <c r="I285" s="60">
        <f>IF(N($W285)=0,"",IF(AND($S285=MesCiclo,1&gt;SemanaActual),"",MIN(1,SUMIFS(OFFSET($A$1,ROW(),29,1000-ROW(),1),OFFSET($A$1,ROW(),20,1000-ROW(),1),ROW(),OFFSET($A$1,ROW(),21,1000-ROW(),1),"Sub"))))</f>
        <v/>
      </c>
      <c r="J285" s="60">
        <f>IF(N($W285)=0,"",IF(AND($S285=MesCiclo,2&gt;SemanaActual),"",MIN(1,SUMIFS(OFFSET($A$1,ROW(),30,1000-ROW(),1),OFFSET($A$1,ROW(),20,1000-ROW(),1),ROW(),OFFSET($A$1,ROW(),21,1000-ROW(),1),"Sub"))))</f>
        <v/>
      </c>
      <c r="K285" s="60">
        <f>IF(N($W285)=0,"",IF(AND($S285=MesCiclo,3&gt;SemanaActual),"",MIN(1,SUMIFS(OFFSET($A$1,ROW(),31,1000-ROW(),1),OFFSET($A$1,ROW(),20,1000-ROW(),1),ROW(),OFFSET($A$1,ROW(),21,1000-ROW(),1),"Sub"))))</f>
        <v/>
      </c>
      <c r="L285" s="60">
        <f>IF(N($W285)=0,"",IF(AND($S285=MesCiclo,4&gt;SemanaActual),"",MIN(1,SUMIFS(OFFSET($A$1,ROW(),32,1000-ROW(),1),OFFSET($A$1,ROW(),20,1000-ROW(),1),ROW(),OFFSET($A$1,ROW(),21,1000-ROW(),1),"Sub"))))</f>
        <v/>
      </c>
      <c r="M285" s="61">
        <f>IF(NOT((COUNTA($B285:$D285)+COUNTA($G285:$H285)+COUNTA($Q285))&gt;0),"",IF(AND($D285&lt;&gt;"",$V285="Macro"),IF(N($AM285)&gt;0,N(CHOOSE(MATCH($D285,ListaPuestos,0),INDEX('Cronograma R. Operacional'!$M$5:$M$1000,$AM285),INDEX('Cronograma R. Normativo'!$M$5:$M$1000,$AM285),INDEX('Cronograma R. Financiero'!$M$5:$M$1000,$AM285),INDEX('Cronograma Asistente Técnico'!$M$5:$M$1000,$AM285))),0),IF(ISNUMBER($G285),1,IF(N($W285)&gt;0,MIN(1,SUMIFS($Y$5:$Y$1000,$U$5:$U$1000,ROW(),$V$5:$V$1000,"Sub")),$Y285))))</f>
        <v/>
      </c>
      <c r="N285" s="56">
        <f>IF(OR($M285="",$V285="Sub"),"",IF($M285&gt;=1,"Completado",IF($M285&gt;0,"En curso","Pendiente")))</f>
        <v/>
      </c>
      <c r="O285" s="56">
        <f>IF(NOT((COUNTA($B285:$D285)+COUNTA($G285:$H285)+COUNTA($Q285))&gt;0),"",IF(AND(AND($D285&lt;&gt;"",$V285="Macro"),N($AM285)&gt;0),CHOOSE(MATCH($D285,ListaPuestos,0),INDEX('Cronograma R. Operacional'!$O$5:$O$1000,$AM285),INDEX('Cronograma R. Normativo'!$O$5:$O$1000,$AM285),INDEX('Cronograma R. Financiero'!$O$5:$O$1000,$AM285),INDEX('Cronograma Asistente Técnico'!$O$5:$O$1000,$AM285))&amp;"",IF(ISNUMBER($G285),IF(AND(ISNUMBER($AS285),$G285&gt;$AS285),"Cumplida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f>IF(NOT((COUNTA($B285:$D285)+COUNTA($G285:$H285)+COUNTA($Q285))&gt;0),"",IF($D285="","Propia",IF($V285&lt;&gt;"Macro","Solo se delegan macroactividades",IF(N($AM285)&gt;0,"✔ Recibida por "&amp;$D285,"⚠ "&amp;$D285&amp;" aún no la agrega"))))</f>
        <v/>
      </c>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IF($V285&lt;&gt;"Sub","",N($X285)*IF(AND(ISNUMBER($G285),$G285&lt;=IF($S285=MesCiclo,InicioCiclo,$S285+MOD(2-WEEKDAY($S285),7))+6),1,MIN(1,MAX(0,IF(ISNUMBER(OFFSET($A$1,ROW()-1,8)),OFFSET($A$1,ROW()-1,8),0)))))</f>
        <v/>
      </c>
      <c r="AE285" s="62">
        <f>IF($V285&lt;&gt;"Sub","",N($X285)*IF(AND(ISNUMBER($G285),$G285&lt;=IF($S285=MesCiclo,InicioCiclo,$S285+MOD(2-WEEKDAY($S285),7))+13),1,MIN(1,MAX(0,IF(ISNUMBER(OFFSET($A$1,ROW()-1,9)),OFFSET($A$1,ROW()-1,9),IF(ISNUMBER(OFFSET($A$1,ROW()-1,8)),OFFSET($A$1,ROW()-1,8),0))))))</f>
        <v/>
      </c>
      <c r="AF285" s="62">
        <f>IF($V285&lt;&gt;"Sub","",N($X285)*IF(AND(ISNUMBER($G285),$G285&lt;=IF($S285=MesCiclo,InicioCiclo,$S285+MOD(2-WEEKDAY($S285),7))+20),1,MIN(1,MAX(0,IF(ISNUMBER(OFFSET($A$1,ROW()-1,10)),OFFSET($A$1,ROW()-1,10),IF(ISNUMBER(OFFSET($A$1,ROW()-1,9)),OFFSET($A$1,ROW()-1,9),IF(ISNUMBER(OFFSET($A$1,ROW()-1,8)),OFFSET($A$1,ROW()-1,8),0)))))))</f>
        <v/>
      </c>
      <c r="AG285" s="62">
        <f>IF($V285&lt;&gt;"Sub","",N($X285)*IF(AND(ISNUMBER($G285),$G285&lt;=IF($S285=MesCiclo,InicioCiclo,$S285+MOD(2-WEEKDAY($S285),7))+27),1,MIN(1,MAX(0,IF(ISNUMBER(OFFSET($A$1,ROW()-1,11)),OFFSET($A$1,ROW()-1,11),IF(ISNUMBER(OFFSET($A$1,ROW()-1,10)),OFFSET($A$1,ROW()-1,10),IF(ISNUMBER(OFFSET($A$1,ROW()-1,9)),OFFSET($A$1,ROW()-1,9),IF(ISNUMBER(OFFSET($A$1,ROW()-1,8)),OFFSET($A$1,ROW()-1,8),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f>IF(NOT(AND($D285&lt;&gt;"",$V285="Macro")),"",IFERROR(CHOOSE(MATCH($D285,ListaPuestos,0),MATCH("[Jefatura] "&amp;$C285,'Cronograma R. Operacional'!$C$5:$C$1000,0),MATCH("[Jefatura] "&amp;$C285,'Cronograma R. Normativo'!$C$5:$C$1000,0),MATCH("[Jefatura] "&amp;$C285,'Cronograma R. Financiero'!$C$5:$C$1000,0),MATCH("[Jefatura] "&amp;$C285,'Cronograma Asistente Técnico'!$C$5:$C$1000,0)),0))</f>
        <v/>
      </c>
      <c r="AN285" s="62">
        <f>IF(AND(AND($D285&lt;&gt;"",$V285="Macro"),$S285=MesCiclo),COUNTIFS($D$5:$D285,$D285,$S$5:$S285,MesCiclo,$V$5:$V285,"Macro"),"")</f>
        <v/>
      </c>
      <c r="AO285" s="62">
        <f>IF($AN285="","",$D285&amp;"|"&amp;$AN285)</f>
        <v/>
      </c>
      <c r="AP285" s="62">
        <f>IF(AND($D285&lt;&gt;"",$V285="Macro"),$D285&amp;"|"&amp;$C285,"")</f>
        <v/>
      </c>
      <c r="AQ285" s="62">
        <f>""</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t="n"/>
      <c r="F286" s="59" t="n"/>
      <c r="G286" s="59" t="n"/>
      <c r="H286" s="60" t="n"/>
      <c r="I286" s="60">
        <f>IF(N($W286)=0,"",IF(AND($S286=MesCiclo,1&gt;SemanaActual),"",MIN(1,SUMIFS(OFFSET($A$1,ROW(),29,1000-ROW(),1),OFFSET($A$1,ROW(),20,1000-ROW(),1),ROW(),OFFSET($A$1,ROW(),21,1000-ROW(),1),"Sub"))))</f>
        <v/>
      </c>
      <c r="J286" s="60">
        <f>IF(N($W286)=0,"",IF(AND($S286=MesCiclo,2&gt;SemanaActual),"",MIN(1,SUMIFS(OFFSET($A$1,ROW(),30,1000-ROW(),1),OFFSET($A$1,ROW(),20,1000-ROW(),1),ROW(),OFFSET($A$1,ROW(),21,1000-ROW(),1),"Sub"))))</f>
        <v/>
      </c>
      <c r="K286" s="60">
        <f>IF(N($W286)=0,"",IF(AND($S286=MesCiclo,3&gt;SemanaActual),"",MIN(1,SUMIFS(OFFSET($A$1,ROW(),31,1000-ROW(),1),OFFSET($A$1,ROW(),20,1000-ROW(),1),ROW(),OFFSET($A$1,ROW(),21,1000-ROW(),1),"Sub"))))</f>
        <v/>
      </c>
      <c r="L286" s="60">
        <f>IF(N($W286)=0,"",IF(AND($S286=MesCiclo,4&gt;SemanaActual),"",MIN(1,SUMIFS(OFFSET($A$1,ROW(),32,1000-ROW(),1),OFFSET($A$1,ROW(),20,1000-ROW(),1),ROW(),OFFSET($A$1,ROW(),21,1000-ROW(),1),"Sub"))))</f>
        <v/>
      </c>
      <c r="M286" s="61">
        <f>IF(NOT((COUNTA($B286:$D286)+COUNTA($G286:$H286)+COUNTA($Q286))&gt;0),"",IF(AND($D286&lt;&gt;"",$V286="Macro"),IF(N($AM286)&gt;0,N(CHOOSE(MATCH($D286,ListaPuestos,0),INDEX('Cronograma R. Operacional'!$M$5:$M$1000,$AM286),INDEX('Cronograma R. Normativo'!$M$5:$M$1000,$AM286),INDEX('Cronograma R. Financiero'!$M$5:$M$1000,$AM286),INDEX('Cronograma Asistente Técnico'!$M$5:$M$1000,$AM286))),0),IF(ISNUMBER($G286),1,IF(N($W286)&gt;0,MIN(1,SUMIFS($Y$5:$Y$1000,$U$5:$U$1000,ROW(),$V$5:$V$1000,"Sub")),$Y286))))</f>
        <v/>
      </c>
      <c r="N286" s="56">
        <f>IF(OR($M286="",$V286="Sub"),"",IF($M286&gt;=1,"Completado",IF($M286&gt;0,"En curso","Pendiente")))</f>
        <v/>
      </c>
      <c r="O286" s="56">
        <f>IF(NOT((COUNTA($B286:$D286)+COUNTA($G286:$H286)+COUNTA($Q286))&gt;0),"",IF(AND(AND($D286&lt;&gt;"",$V286="Macro"),N($AM286)&gt;0),CHOOSE(MATCH($D286,ListaPuestos,0),INDEX('Cronograma R. Operacional'!$O$5:$O$1000,$AM286),INDEX('Cronograma R. Normativo'!$O$5:$O$1000,$AM286),INDEX('Cronograma R. Financiero'!$O$5:$O$1000,$AM286),INDEX('Cronograma Asistente Técnico'!$O$5:$O$1000,$AM286))&amp;"",IF(ISNUMBER($G286),IF(AND(ISNUMBER($AS286),$G286&gt;$AS286),"Cumplida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f>IF(NOT((COUNTA($B286:$D286)+COUNTA($G286:$H286)+COUNTA($Q286))&gt;0),"",IF($D286="","Propia",IF($V286&lt;&gt;"Macro","Solo se delegan macroactividades",IF(N($AM286)&gt;0,"✔ Recibida por "&amp;$D286,"⚠ "&amp;$D286&amp;" aún no la agrega"))))</f>
        <v/>
      </c>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IF($V286&lt;&gt;"Sub","",N($X286)*IF(AND(ISNUMBER($G286),$G286&lt;=IF($S286=MesCiclo,InicioCiclo,$S286+MOD(2-WEEKDAY($S286),7))+6),1,MIN(1,MAX(0,IF(ISNUMBER(OFFSET($A$1,ROW()-1,8)),OFFSET($A$1,ROW()-1,8),0)))))</f>
        <v/>
      </c>
      <c r="AE286" s="62">
        <f>IF($V286&lt;&gt;"Sub","",N($X286)*IF(AND(ISNUMBER($G286),$G286&lt;=IF($S286=MesCiclo,InicioCiclo,$S286+MOD(2-WEEKDAY($S286),7))+13),1,MIN(1,MAX(0,IF(ISNUMBER(OFFSET($A$1,ROW()-1,9)),OFFSET($A$1,ROW()-1,9),IF(ISNUMBER(OFFSET($A$1,ROW()-1,8)),OFFSET($A$1,ROW()-1,8),0))))))</f>
        <v/>
      </c>
      <c r="AF286" s="62">
        <f>IF($V286&lt;&gt;"Sub","",N($X286)*IF(AND(ISNUMBER($G286),$G286&lt;=IF($S286=MesCiclo,InicioCiclo,$S286+MOD(2-WEEKDAY($S286),7))+20),1,MIN(1,MAX(0,IF(ISNUMBER(OFFSET($A$1,ROW()-1,10)),OFFSET($A$1,ROW()-1,10),IF(ISNUMBER(OFFSET($A$1,ROW()-1,9)),OFFSET($A$1,ROW()-1,9),IF(ISNUMBER(OFFSET($A$1,ROW()-1,8)),OFFSET($A$1,ROW()-1,8),0)))))))</f>
        <v/>
      </c>
      <c r="AG286" s="62">
        <f>IF($V286&lt;&gt;"Sub","",N($X286)*IF(AND(ISNUMBER($G286),$G286&lt;=IF($S286=MesCiclo,InicioCiclo,$S286+MOD(2-WEEKDAY($S286),7))+27),1,MIN(1,MAX(0,IF(ISNUMBER(OFFSET($A$1,ROW()-1,11)),OFFSET($A$1,ROW()-1,11),IF(ISNUMBER(OFFSET($A$1,ROW()-1,10)),OFFSET($A$1,ROW()-1,10),IF(ISNUMBER(OFFSET($A$1,ROW()-1,9)),OFFSET($A$1,ROW()-1,9),IF(ISNUMBER(OFFSET($A$1,ROW()-1,8)),OFFSET($A$1,ROW()-1,8),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f>IF(NOT(AND($D286&lt;&gt;"",$V286="Macro")),"",IFERROR(CHOOSE(MATCH($D286,ListaPuestos,0),MATCH("[Jefatura] "&amp;$C286,'Cronograma R. Operacional'!$C$5:$C$1000,0),MATCH("[Jefatura] "&amp;$C286,'Cronograma R. Normativo'!$C$5:$C$1000,0),MATCH("[Jefatura] "&amp;$C286,'Cronograma R. Financiero'!$C$5:$C$1000,0),MATCH("[Jefatura] "&amp;$C286,'Cronograma Asistente Técnico'!$C$5:$C$1000,0)),0))</f>
        <v/>
      </c>
      <c r="AN286" s="62">
        <f>IF(AND(AND($D286&lt;&gt;"",$V286="Macro"),$S286=MesCiclo),COUNTIFS($D$5:$D286,$D286,$S$5:$S286,MesCiclo,$V$5:$V286,"Macro"),"")</f>
        <v/>
      </c>
      <c r="AO286" s="62">
        <f>IF($AN286="","",$D286&amp;"|"&amp;$AN286)</f>
        <v/>
      </c>
      <c r="AP286" s="62">
        <f>IF(AND($D286&lt;&gt;"",$V286="Macro"),$D286&amp;"|"&amp;$C286,"")</f>
        <v/>
      </c>
      <c r="AQ286" s="62">
        <f>""</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t="n"/>
      <c r="F287" s="59" t="n"/>
      <c r="G287" s="59" t="n"/>
      <c r="H287" s="60" t="n"/>
      <c r="I287" s="60">
        <f>IF(N($W287)=0,"",IF(AND($S287=MesCiclo,1&gt;SemanaActual),"",MIN(1,SUMIFS(OFFSET($A$1,ROW(),29,1000-ROW(),1),OFFSET($A$1,ROW(),20,1000-ROW(),1),ROW(),OFFSET($A$1,ROW(),21,1000-ROW(),1),"Sub"))))</f>
        <v/>
      </c>
      <c r="J287" s="60">
        <f>IF(N($W287)=0,"",IF(AND($S287=MesCiclo,2&gt;SemanaActual),"",MIN(1,SUMIFS(OFFSET($A$1,ROW(),30,1000-ROW(),1),OFFSET($A$1,ROW(),20,1000-ROW(),1),ROW(),OFFSET($A$1,ROW(),21,1000-ROW(),1),"Sub"))))</f>
        <v/>
      </c>
      <c r="K287" s="60">
        <f>IF(N($W287)=0,"",IF(AND($S287=MesCiclo,3&gt;SemanaActual),"",MIN(1,SUMIFS(OFFSET($A$1,ROW(),31,1000-ROW(),1),OFFSET($A$1,ROW(),20,1000-ROW(),1),ROW(),OFFSET($A$1,ROW(),21,1000-ROW(),1),"Sub"))))</f>
        <v/>
      </c>
      <c r="L287" s="60">
        <f>IF(N($W287)=0,"",IF(AND($S287=MesCiclo,4&gt;SemanaActual),"",MIN(1,SUMIFS(OFFSET($A$1,ROW(),32,1000-ROW(),1),OFFSET($A$1,ROW(),20,1000-ROW(),1),ROW(),OFFSET($A$1,ROW(),21,1000-ROW(),1),"Sub"))))</f>
        <v/>
      </c>
      <c r="M287" s="61">
        <f>IF(NOT((COUNTA($B287:$D287)+COUNTA($G287:$H287)+COUNTA($Q287))&gt;0),"",IF(AND($D287&lt;&gt;"",$V287="Macro"),IF(N($AM287)&gt;0,N(CHOOSE(MATCH($D287,ListaPuestos,0),INDEX('Cronograma R. Operacional'!$M$5:$M$1000,$AM287),INDEX('Cronograma R. Normativo'!$M$5:$M$1000,$AM287),INDEX('Cronograma R. Financiero'!$M$5:$M$1000,$AM287),INDEX('Cronograma Asistente Técnico'!$M$5:$M$1000,$AM287))),0),IF(ISNUMBER($G287),1,IF(N($W287)&gt;0,MIN(1,SUMIFS($Y$5:$Y$1000,$U$5:$U$1000,ROW(),$V$5:$V$1000,"Sub")),$Y287))))</f>
        <v/>
      </c>
      <c r="N287" s="56">
        <f>IF(OR($M287="",$V287="Sub"),"",IF($M287&gt;=1,"Completado",IF($M287&gt;0,"En curso","Pendiente")))</f>
        <v/>
      </c>
      <c r="O287" s="56">
        <f>IF(NOT((COUNTA($B287:$D287)+COUNTA($G287:$H287)+COUNTA($Q287))&gt;0),"",IF(AND(AND($D287&lt;&gt;"",$V287="Macro"),N($AM287)&gt;0),CHOOSE(MATCH($D287,ListaPuestos,0),INDEX('Cronograma R. Operacional'!$O$5:$O$1000,$AM287),INDEX('Cronograma R. Normativo'!$O$5:$O$1000,$AM287),INDEX('Cronograma R. Financiero'!$O$5:$O$1000,$AM287),INDEX('Cronograma Asistente Técnico'!$O$5:$O$1000,$AM287))&amp;"",IF(ISNUMBER($G287),IF(AND(ISNUMBER($AS287),$G287&gt;$AS287),"Cumplida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f>IF(NOT((COUNTA($B287:$D287)+COUNTA($G287:$H287)+COUNTA($Q287))&gt;0),"",IF($D287="","Propia",IF($V287&lt;&gt;"Macro","Solo se delegan macroactividades",IF(N($AM287)&gt;0,"✔ Recibida por "&amp;$D287,"⚠ "&amp;$D287&amp;" aún no la agrega"))))</f>
        <v/>
      </c>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IF($V287&lt;&gt;"Sub","",N($X287)*IF(AND(ISNUMBER($G287),$G287&lt;=IF($S287=MesCiclo,InicioCiclo,$S287+MOD(2-WEEKDAY($S287),7))+6),1,MIN(1,MAX(0,IF(ISNUMBER(OFFSET($A$1,ROW()-1,8)),OFFSET($A$1,ROW()-1,8),0)))))</f>
        <v/>
      </c>
      <c r="AE287" s="62">
        <f>IF($V287&lt;&gt;"Sub","",N($X287)*IF(AND(ISNUMBER($G287),$G287&lt;=IF($S287=MesCiclo,InicioCiclo,$S287+MOD(2-WEEKDAY($S287),7))+13),1,MIN(1,MAX(0,IF(ISNUMBER(OFFSET($A$1,ROW()-1,9)),OFFSET($A$1,ROW()-1,9),IF(ISNUMBER(OFFSET($A$1,ROW()-1,8)),OFFSET($A$1,ROW()-1,8),0))))))</f>
        <v/>
      </c>
      <c r="AF287" s="62">
        <f>IF($V287&lt;&gt;"Sub","",N($X287)*IF(AND(ISNUMBER($G287),$G287&lt;=IF($S287=MesCiclo,InicioCiclo,$S287+MOD(2-WEEKDAY($S287),7))+20),1,MIN(1,MAX(0,IF(ISNUMBER(OFFSET($A$1,ROW()-1,10)),OFFSET($A$1,ROW()-1,10),IF(ISNUMBER(OFFSET($A$1,ROW()-1,9)),OFFSET($A$1,ROW()-1,9),IF(ISNUMBER(OFFSET($A$1,ROW()-1,8)),OFFSET($A$1,ROW()-1,8),0)))))))</f>
        <v/>
      </c>
      <c r="AG287" s="62">
        <f>IF($V287&lt;&gt;"Sub","",N($X287)*IF(AND(ISNUMBER($G287),$G287&lt;=IF($S287=MesCiclo,InicioCiclo,$S287+MOD(2-WEEKDAY($S287),7))+27),1,MIN(1,MAX(0,IF(ISNUMBER(OFFSET($A$1,ROW()-1,11)),OFFSET($A$1,ROW()-1,11),IF(ISNUMBER(OFFSET($A$1,ROW()-1,10)),OFFSET($A$1,ROW()-1,10),IF(ISNUMBER(OFFSET($A$1,ROW()-1,9)),OFFSET($A$1,ROW()-1,9),IF(ISNUMBER(OFFSET($A$1,ROW()-1,8)),OFFSET($A$1,ROW()-1,8),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f>IF(NOT(AND($D287&lt;&gt;"",$V287="Macro")),"",IFERROR(CHOOSE(MATCH($D287,ListaPuestos,0),MATCH("[Jefatura] "&amp;$C287,'Cronograma R. Operacional'!$C$5:$C$1000,0),MATCH("[Jefatura] "&amp;$C287,'Cronograma R. Normativo'!$C$5:$C$1000,0),MATCH("[Jefatura] "&amp;$C287,'Cronograma R. Financiero'!$C$5:$C$1000,0),MATCH("[Jefatura] "&amp;$C287,'Cronograma Asistente Técnico'!$C$5:$C$1000,0)),0))</f>
        <v/>
      </c>
      <c r="AN287" s="62">
        <f>IF(AND(AND($D287&lt;&gt;"",$V287="Macro"),$S287=MesCiclo),COUNTIFS($D$5:$D287,$D287,$S$5:$S287,MesCiclo,$V$5:$V287,"Macro"),"")</f>
        <v/>
      </c>
      <c r="AO287" s="62">
        <f>IF($AN287="","",$D287&amp;"|"&amp;$AN287)</f>
        <v/>
      </c>
      <c r="AP287" s="62">
        <f>IF(AND($D287&lt;&gt;"",$V287="Macro"),$D287&amp;"|"&amp;$C287,"")</f>
        <v/>
      </c>
      <c r="AQ287" s="62">
        <f>""</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t="n"/>
      <c r="F288" s="59" t="n"/>
      <c r="G288" s="59" t="n"/>
      <c r="H288" s="60" t="n"/>
      <c r="I288" s="60">
        <f>IF(N($W288)=0,"",IF(AND($S288=MesCiclo,1&gt;SemanaActual),"",MIN(1,SUMIFS(OFFSET($A$1,ROW(),29,1000-ROW(),1),OFFSET($A$1,ROW(),20,1000-ROW(),1),ROW(),OFFSET($A$1,ROW(),21,1000-ROW(),1),"Sub"))))</f>
        <v/>
      </c>
      <c r="J288" s="60">
        <f>IF(N($W288)=0,"",IF(AND($S288=MesCiclo,2&gt;SemanaActual),"",MIN(1,SUMIFS(OFFSET($A$1,ROW(),30,1000-ROW(),1),OFFSET($A$1,ROW(),20,1000-ROW(),1),ROW(),OFFSET($A$1,ROW(),21,1000-ROW(),1),"Sub"))))</f>
        <v/>
      </c>
      <c r="K288" s="60">
        <f>IF(N($W288)=0,"",IF(AND($S288=MesCiclo,3&gt;SemanaActual),"",MIN(1,SUMIFS(OFFSET($A$1,ROW(),31,1000-ROW(),1),OFFSET($A$1,ROW(),20,1000-ROW(),1),ROW(),OFFSET($A$1,ROW(),21,1000-ROW(),1),"Sub"))))</f>
        <v/>
      </c>
      <c r="L288" s="60">
        <f>IF(N($W288)=0,"",IF(AND($S288=MesCiclo,4&gt;SemanaActual),"",MIN(1,SUMIFS(OFFSET($A$1,ROW(),32,1000-ROW(),1),OFFSET($A$1,ROW(),20,1000-ROW(),1),ROW(),OFFSET($A$1,ROW(),21,1000-ROW(),1),"Sub"))))</f>
        <v/>
      </c>
      <c r="M288" s="61">
        <f>IF(NOT((COUNTA($B288:$D288)+COUNTA($G288:$H288)+COUNTA($Q288))&gt;0),"",IF(AND($D288&lt;&gt;"",$V288="Macro"),IF(N($AM288)&gt;0,N(CHOOSE(MATCH($D288,ListaPuestos,0),INDEX('Cronograma R. Operacional'!$M$5:$M$1000,$AM288),INDEX('Cronograma R. Normativo'!$M$5:$M$1000,$AM288),INDEX('Cronograma R. Financiero'!$M$5:$M$1000,$AM288),INDEX('Cronograma Asistente Técnico'!$M$5:$M$1000,$AM288))),0),IF(ISNUMBER($G288),1,IF(N($W288)&gt;0,MIN(1,SUMIFS($Y$5:$Y$1000,$U$5:$U$1000,ROW(),$V$5:$V$1000,"Sub")),$Y288))))</f>
        <v/>
      </c>
      <c r="N288" s="56">
        <f>IF(OR($M288="",$V288="Sub"),"",IF($M288&gt;=1,"Completado",IF($M288&gt;0,"En curso","Pendiente")))</f>
        <v/>
      </c>
      <c r="O288" s="56">
        <f>IF(NOT((COUNTA($B288:$D288)+COUNTA($G288:$H288)+COUNTA($Q288))&gt;0),"",IF(AND(AND($D288&lt;&gt;"",$V288="Macro"),N($AM288)&gt;0),CHOOSE(MATCH($D288,ListaPuestos,0),INDEX('Cronograma R. Operacional'!$O$5:$O$1000,$AM288),INDEX('Cronograma R. Normativo'!$O$5:$O$1000,$AM288),INDEX('Cronograma R. Financiero'!$O$5:$O$1000,$AM288),INDEX('Cronograma Asistente Técnico'!$O$5:$O$1000,$AM288))&amp;"",IF(ISNUMBER($G288),IF(AND(ISNUMBER($AS288),$G288&gt;$AS288),"Cumplida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f>IF(NOT((COUNTA($B288:$D288)+COUNTA($G288:$H288)+COUNTA($Q288))&gt;0),"",IF($D288="","Propia",IF($V288&lt;&gt;"Macro","Solo se delegan macroactividades",IF(N($AM288)&gt;0,"✔ Recibida por "&amp;$D288,"⚠ "&amp;$D288&amp;" aún no la agrega"))))</f>
        <v/>
      </c>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IF($V288&lt;&gt;"Sub","",N($X288)*IF(AND(ISNUMBER($G288),$G288&lt;=IF($S288=MesCiclo,InicioCiclo,$S288+MOD(2-WEEKDAY($S288),7))+6),1,MIN(1,MAX(0,IF(ISNUMBER(OFFSET($A$1,ROW()-1,8)),OFFSET($A$1,ROW()-1,8),0)))))</f>
        <v/>
      </c>
      <c r="AE288" s="62">
        <f>IF($V288&lt;&gt;"Sub","",N($X288)*IF(AND(ISNUMBER($G288),$G288&lt;=IF($S288=MesCiclo,InicioCiclo,$S288+MOD(2-WEEKDAY($S288),7))+13),1,MIN(1,MAX(0,IF(ISNUMBER(OFFSET($A$1,ROW()-1,9)),OFFSET($A$1,ROW()-1,9),IF(ISNUMBER(OFFSET($A$1,ROW()-1,8)),OFFSET($A$1,ROW()-1,8),0))))))</f>
        <v/>
      </c>
      <c r="AF288" s="62">
        <f>IF($V288&lt;&gt;"Sub","",N($X288)*IF(AND(ISNUMBER($G288),$G288&lt;=IF($S288=MesCiclo,InicioCiclo,$S288+MOD(2-WEEKDAY($S288),7))+20),1,MIN(1,MAX(0,IF(ISNUMBER(OFFSET($A$1,ROW()-1,10)),OFFSET($A$1,ROW()-1,10),IF(ISNUMBER(OFFSET($A$1,ROW()-1,9)),OFFSET($A$1,ROW()-1,9),IF(ISNUMBER(OFFSET($A$1,ROW()-1,8)),OFFSET($A$1,ROW()-1,8),0)))))))</f>
        <v/>
      </c>
      <c r="AG288" s="62">
        <f>IF($V288&lt;&gt;"Sub","",N($X288)*IF(AND(ISNUMBER($G288),$G288&lt;=IF($S288=MesCiclo,InicioCiclo,$S288+MOD(2-WEEKDAY($S288),7))+27),1,MIN(1,MAX(0,IF(ISNUMBER(OFFSET($A$1,ROW()-1,11)),OFFSET($A$1,ROW()-1,11),IF(ISNUMBER(OFFSET($A$1,ROW()-1,10)),OFFSET($A$1,ROW()-1,10),IF(ISNUMBER(OFFSET($A$1,ROW()-1,9)),OFFSET($A$1,ROW()-1,9),IF(ISNUMBER(OFFSET($A$1,ROW()-1,8)),OFFSET($A$1,ROW()-1,8),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f>IF(NOT(AND($D288&lt;&gt;"",$V288="Macro")),"",IFERROR(CHOOSE(MATCH($D288,ListaPuestos,0),MATCH("[Jefatura] "&amp;$C288,'Cronograma R. Operacional'!$C$5:$C$1000,0),MATCH("[Jefatura] "&amp;$C288,'Cronograma R. Normativo'!$C$5:$C$1000,0),MATCH("[Jefatura] "&amp;$C288,'Cronograma R. Financiero'!$C$5:$C$1000,0),MATCH("[Jefatura] "&amp;$C288,'Cronograma Asistente Técnico'!$C$5:$C$1000,0)),0))</f>
        <v/>
      </c>
      <c r="AN288" s="62">
        <f>IF(AND(AND($D288&lt;&gt;"",$V288="Macro"),$S288=MesCiclo),COUNTIFS($D$5:$D288,$D288,$S$5:$S288,MesCiclo,$V$5:$V288,"Macro"),"")</f>
        <v/>
      </c>
      <c r="AO288" s="62">
        <f>IF($AN288="","",$D288&amp;"|"&amp;$AN288)</f>
        <v/>
      </c>
      <c r="AP288" s="62">
        <f>IF(AND($D288&lt;&gt;"",$V288="Macro"),$D288&amp;"|"&amp;$C288,"")</f>
        <v/>
      </c>
      <c r="AQ288" s="62">
        <f>""</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t="n"/>
      <c r="F289" s="59" t="n"/>
      <c r="G289" s="59" t="n"/>
      <c r="H289" s="60" t="n"/>
      <c r="I289" s="60">
        <f>IF(N($W289)=0,"",IF(AND($S289=MesCiclo,1&gt;SemanaActual),"",MIN(1,SUMIFS(OFFSET($A$1,ROW(),29,1000-ROW(),1),OFFSET($A$1,ROW(),20,1000-ROW(),1),ROW(),OFFSET($A$1,ROW(),21,1000-ROW(),1),"Sub"))))</f>
        <v/>
      </c>
      <c r="J289" s="60">
        <f>IF(N($W289)=0,"",IF(AND($S289=MesCiclo,2&gt;SemanaActual),"",MIN(1,SUMIFS(OFFSET($A$1,ROW(),30,1000-ROW(),1),OFFSET($A$1,ROW(),20,1000-ROW(),1),ROW(),OFFSET($A$1,ROW(),21,1000-ROW(),1),"Sub"))))</f>
        <v/>
      </c>
      <c r="K289" s="60">
        <f>IF(N($W289)=0,"",IF(AND($S289=MesCiclo,3&gt;SemanaActual),"",MIN(1,SUMIFS(OFFSET($A$1,ROW(),31,1000-ROW(),1),OFFSET($A$1,ROW(),20,1000-ROW(),1),ROW(),OFFSET($A$1,ROW(),21,1000-ROW(),1),"Sub"))))</f>
        <v/>
      </c>
      <c r="L289" s="60">
        <f>IF(N($W289)=0,"",IF(AND($S289=MesCiclo,4&gt;SemanaActual),"",MIN(1,SUMIFS(OFFSET($A$1,ROW(),32,1000-ROW(),1),OFFSET($A$1,ROW(),20,1000-ROW(),1),ROW(),OFFSET($A$1,ROW(),21,1000-ROW(),1),"Sub"))))</f>
        <v/>
      </c>
      <c r="M289" s="61">
        <f>IF(NOT((COUNTA($B289:$D289)+COUNTA($G289:$H289)+COUNTA($Q289))&gt;0),"",IF(AND($D289&lt;&gt;"",$V289="Macro"),IF(N($AM289)&gt;0,N(CHOOSE(MATCH($D289,ListaPuestos,0),INDEX('Cronograma R. Operacional'!$M$5:$M$1000,$AM289),INDEX('Cronograma R. Normativo'!$M$5:$M$1000,$AM289),INDEX('Cronograma R. Financiero'!$M$5:$M$1000,$AM289),INDEX('Cronograma Asistente Técnico'!$M$5:$M$1000,$AM289))),0),IF(ISNUMBER($G289),1,IF(N($W289)&gt;0,MIN(1,SUMIFS($Y$5:$Y$1000,$U$5:$U$1000,ROW(),$V$5:$V$1000,"Sub")),$Y289))))</f>
        <v/>
      </c>
      <c r="N289" s="56">
        <f>IF(OR($M289="",$V289="Sub"),"",IF($M289&gt;=1,"Completado",IF($M289&gt;0,"En curso","Pendiente")))</f>
        <v/>
      </c>
      <c r="O289" s="56">
        <f>IF(NOT((COUNTA($B289:$D289)+COUNTA($G289:$H289)+COUNTA($Q289))&gt;0),"",IF(AND(AND($D289&lt;&gt;"",$V289="Macro"),N($AM289)&gt;0),CHOOSE(MATCH($D289,ListaPuestos,0),INDEX('Cronograma R. Operacional'!$O$5:$O$1000,$AM289),INDEX('Cronograma R. Normativo'!$O$5:$O$1000,$AM289),INDEX('Cronograma R. Financiero'!$O$5:$O$1000,$AM289),INDEX('Cronograma Asistente Técnico'!$O$5:$O$1000,$AM289))&amp;"",IF(ISNUMBER($G289),IF(AND(ISNUMBER($AS289),$G289&gt;$AS289),"Cumplida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f>IF(NOT((COUNTA($B289:$D289)+COUNTA($G289:$H289)+COUNTA($Q289))&gt;0),"",IF($D289="","Propia",IF($V289&lt;&gt;"Macro","Solo se delegan macroactividades",IF(N($AM289)&gt;0,"✔ Recibida por "&amp;$D289,"⚠ "&amp;$D289&amp;" aún no la agrega"))))</f>
        <v/>
      </c>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IF($V289&lt;&gt;"Sub","",N($X289)*IF(AND(ISNUMBER($G289),$G289&lt;=IF($S289=MesCiclo,InicioCiclo,$S289+MOD(2-WEEKDAY($S289),7))+6),1,MIN(1,MAX(0,IF(ISNUMBER(OFFSET($A$1,ROW()-1,8)),OFFSET($A$1,ROW()-1,8),0)))))</f>
        <v/>
      </c>
      <c r="AE289" s="62">
        <f>IF($V289&lt;&gt;"Sub","",N($X289)*IF(AND(ISNUMBER($G289),$G289&lt;=IF($S289=MesCiclo,InicioCiclo,$S289+MOD(2-WEEKDAY($S289),7))+13),1,MIN(1,MAX(0,IF(ISNUMBER(OFFSET($A$1,ROW()-1,9)),OFFSET($A$1,ROW()-1,9),IF(ISNUMBER(OFFSET($A$1,ROW()-1,8)),OFFSET($A$1,ROW()-1,8),0))))))</f>
        <v/>
      </c>
      <c r="AF289" s="62">
        <f>IF($V289&lt;&gt;"Sub","",N($X289)*IF(AND(ISNUMBER($G289),$G289&lt;=IF($S289=MesCiclo,InicioCiclo,$S289+MOD(2-WEEKDAY($S289),7))+20),1,MIN(1,MAX(0,IF(ISNUMBER(OFFSET($A$1,ROW()-1,10)),OFFSET($A$1,ROW()-1,10),IF(ISNUMBER(OFFSET($A$1,ROW()-1,9)),OFFSET($A$1,ROW()-1,9),IF(ISNUMBER(OFFSET($A$1,ROW()-1,8)),OFFSET($A$1,ROW()-1,8),0)))))))</f>
        <v/>
      </c>
      <c r="AG289" s="62">
        <f>IF($V289&lt;&gt;"Sub","",N($X289)*IF(AND(ISNUMBER($G289),$G289&lt;=IF($S289=MesCiclo,InicioCiclo,$S289+MOD(2-WEEKDAY($S289),7))+27),1,MIN(1,MAX(0,IF(ISNUMBER(OFFSET($A$1,ROW()-1,11)),OFFSET($A$1,ROW()-1,11),IF(ISNUMBER(OFFSET($A$1,ROW()-1,10)),OFFSET($A$1,ROW()-1,10),IF(ISNUMBER(OFFSET($A$1,ROW()-1,9)),OFFSET($A$1,ROW()-1,9),IF(ISNUMBER(OFFSET($A$1,ROW()-1,8)),OFFSET($A$1,ROW()-1,8),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f>IF(NOT(AND($D289&lt;&gt;"",$V289="Macro")),"",IFERROR(CHOOSE(MATCH($D289,ListaPuestos,0),MATCH("[Jefatura] "&amp;$C289,'Cronograma R. Operacional'!$C$5:$C$1000,0),MATCH("[Jefatura] "&amp;$C289,'Cronograma R. Normativo'!$C$5:$C$1000,0),MATCH("[Jefatura] "&amp;$C289,'Cronograma R. Financiero'!$C$5:$C$1000,0),MATCH("[Jefatura] "&amp;$C289,'Cronograma Asistente Técnico'!$C$5:$C$1000,0)),0))</f>
        <v/>
      </c>
      <c r="AN289" s="62">
        <f>IF(AND(AND($D289&lt;&gt;"",$V289="Macro"),$S289=MesCiclo),COUNTIFS($D$5:$D289,$D289,$S$5:$S289,MesCiclo,$V$5:$V289,"Macro"),"")</f>
        <v/>
      </c>
      <c r="AO289" s="62">
        <f>IF($AN289="","",$D289&amp;"|"&amp;$AN289)</f>
        <v/>
      </c>
      <c r="AP289" s="62">
        <f>IF(AND($D289&lt;&gt;"",$V289="Macro"),$D289&amp;"|"&amp;$C289,"")</f>
        <v/>
      </c>
      <c r="AQ289" s="62">
        <f>""</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t="n"/>
      <c r="F290" s="59" t="n"/>
      <c r="G290" s="59" t="n"/>
      <c r="H290" s="60" t="n"/>
      <c r="I290" s="60">
        <f>IF(N($W290)=0,"",IF(AND($S290=MesCiclo,1&gt;SemanaActual),"",MIN(1,SUMIFS(OFFSET($A$1,ROW(),29,1000-ROW(),1),OFFSET($A$1,ROW(),20,1000-ROW(),1),ROW(),OFFSET($A$1,ROW(),21,1000-ROW(),1),"Sub"))))</f>
        <v/>
      </c>
      <c r="J290" s="60">
        <f>IF(N($W290)=0,"",IF(AND($S290=MesCiclo,2&gt;SemanaActual),"",MIN(1,SUMIFS(OFFSET($A$1,ROW(),30,1000-ROW(),1),OFFSET($A$1,ROW(),20,1000-ROW(),1),ROW(),OFFSET($A$1,ROW(),21,1000-ROW(),1),"Sub"))))</f>
        <v/>
      </c>
      <c r="K290" s="60">
        <f>IF(N($W290)=0,"",IF(AND($S290=MesCiclo,3&gt;SemanaActual),"",MIN(1,SUMIFS(OFFSET($A$1,ROW(),31,1000-ROW(),1),OFFSET($A$1,ROW(),20,1000-ROW(),1),ROW(),OFFSET($A$1,ROW(),21,1000-ROW(),1),"Sub"))))</f>
        <v/>
      </c>
      <c r="L290" s="60">
        <f>IF(N($W290)=0,"",IF(AND($S290=MesCiclo,4&gt;SemanaActual),"",MIN(1,SUMIFS(OFFSET($A$1,ROW(),32,1000-ROW(),1),OFFSET($A$1,ROW(),20,1000-ROW(),1),ROW(),OFFSET($A$1,ROW(),21,1000-ROW(),1),"Sub"))))</f>
        <v/>
      </c>
      <c r="M290" s="61">
        <f>IF(NOT((COUNTA($B290:$D290)+COUNTA($G290:$H290)+COUNTA($Q290))&gt;0),"",IF(AND($D290&lt;&gt;"",$V290="Macro"),IF(N($AM290)&gt;0,N(CHOOSE(MATCH($D290,ListaPuestos,0),INDEX('Cronograma R. Operacional'!$M$5:$M$1000,$AM290),INDEX('Cronograma R. Normativo'!$M$5:$M$1000,$AM290),INDEX('Cronograma R. Financiero'!$M$5:$M$1000,$AM290),INDEX('Cronograma Asistente Técnico'!$M$5:$M$1000,$AM290))),0),IF(ISNUMBER($G290),1,IF(N($W290)&gt;0,MIN(1,SUMIFS($Y$5:$Y$1000,$U$5:$U$1000,ROW(),$V$5:$V$1000,"Sub")),$Y290))))</f>
        <v/>
      </c>
      <c r="N290" s="56">
        <f>IF(OR($M290="",$V290="Sub"),"",IF($M290&gt;=1,"Completado",IF($M290&gt;0,"En curso","Pendiente")))</f>
        <v/>
      </c>
      <c r="O290" s="56">
        <f>IF(NOT((COUNTA($B290:$D290)+COUNTA($G290:$H290)+COUNTA($Q290))&gt;0),"",IF(AND(AND($D290&lt;&gt;"",$V290="Macro"),N($AM290)&gt;0),CHOOSE(MATCH($D290,ListaPuestos,0),INDEX('Cronograma R. Operacional'!$O$5:$O$1000,$AM290),INDEX('Cronograma R. Normativo'!$O$5:$O$1000,$AM290),INDEX('Cronograma R. Financiero'!$O$5:$O$1000,$AM290),INDEX('Cronograma Asistente Técnico'!$O$5:$O$1000,$AM290))&amp;"",IF(ISNUMBER($G290),IF(AND(ISNUMBER($AS290),$G290&gt;$AS290),"Cumplida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f>IF(NOT((COUNTA($B290:$D290)+COUNTA($G290:$H290)+COUNTA($Q290))&gt;0),"",IF($D290="","Propia",IF($V290&lt;&gt;"Macro","Solo se delegan macroactividades",IF(N($AM290)&gt;0,"✔ Recibida por "&amp;$D290,"⚠ "&amp;$D290&amp;" aún no la agrega"))))</f>
        <v/>
      </c>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IF($V290&lt;&gt;"Sub","",N($X290)*IF(AND(ISNUMBER($G290),$G290&lt;=IF($S290=MesCiclo,InicioCiclo,$S290+MOD(2-WEEKDAY($S290),7))+6),1,MIN(1,MAX(0,IF(ISNUMBER(OFFSET($A$1,ROW()-1,8)),OFFSET($A$1,ROW()-1,8),0)))))</f>
        <v/>
      </c>
      <c r="AE290" s="62">
        <f>IF($V290&lt;&gt;"Sub","",N($X290)*IF(AND(ISNUMBER($G290),$G290&lt;=IF($S290=MesCiclo,InicioCiclo,$S290+MOD(2-WEEKDAY($S290),7))+13),1,MIN(1,MAX(0,IF(ISNUMBER(OFFSET($A$1,ROW()-1,9)),OFFSET($A$1,ROW()-1,9),IF(ISNUMBER(OFFSET($A$1,ROW()-1,8)),OFFSET($A$1,ROW()-1,8),0))))))</f>
        <v/>
      </c>
      <c r="AF290" s="62">
        <f>IF($V290&lt;&gt;"Sub","",N($X290)*IF(AND(ISNUMBER($G290),$G290&lt;=IF($S290=MesCiclo,InicioCiclo,$S290+MOD(2-WEEKDAY($S290),7))+20),1,MIN(1,MAX(0,IF(ISNUMBER(OFFSET($A$1,ROW()-1,10)),OFFSET($A$1,ROW()-1,10),IF(ISNUMBER(OFFSET($A$1,ROW()-1,9)),OFFSET($A$1,ROW()-1,9),IF(ISNUMBER(OFFSET($A$1,ROW()-1,8)),OFFSET($A$1,ROW()-1,8),0)))))))</f>
        <v/>
      </c>
      <c r="AG290" s="62">
        <f>IF($V290&lt;&gt;"Sub","",N($X290)*IF(AND(ISNUMBER($G290),$G290&lt;=IF($S290=MesCiclo,InicioCiclo,$S290+MOD(2-WEEKDAY($S290),7))+27),1,MIN(1,MAX(0,IF(ISNUMBER(OFFSET($A$1,ROW()-1,11)),OFFSET($A$1,ROW()-1,11),IF(ISNUMBER(OFFSET($A$1,ROW()-1,10)),OFFSET($A$1,ROW()-1,10),IF(ISNUMBER(OFFSET($A$1,ROW()-1,9)),OFFSET($A$1,ROW()-1,9),IF(ISNUMBER(OFFSET($A$1,ROW()-1,8)),OFFSET($A$1,ROW()-1,8),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f>IF(NOT(AND($D290&lt;&gt;"",$V290="Macro")),"",IFERROR(CHOOSE(MATCH($D290,ListaPuestos,0),MATCH("[Jefatura] "&amp;$C290,'Cronograma R. Operacional'!$C$5:$C$1000,0),MATCH("[Jefatura] "&amp;$C290,'Cronograma R. Normativo'!$C$5:$C$1000,0),MATCH("[Jefatura] "&amp;$C290,'Cronograma R. Financiero'!$C$5:$C$1000,0),MATCH("[Jefatura] "&amp;$C290,'Cronograma Asistente Técnico'!$C$5:$C$1000,0)),0))</f>
        <v/>
      </c>
      <c r="AN290" s="62">
        <f>IF(AND(AND($D290&lt;&gt;"",$V290="Macro"),$S290=MesCiclo),COUNTIFS($D$5:$D290,$D290,$S$5:$S290,MesCiclo,$V$5:$V290,"Macro"),"")</f>
        <v/>
      </c>
      <c r="AO290" s="62">
        <f>IF($AN290="","",$D290&amp;"|"&amp;$AN290)</f>
        <v/>
      </c>
      <c r="AP290" s="62">
        <f>IF(AND($D290&lt;&gt;"",$V290="Macro"),$D290&amp;"|"&amp;$C290,"")</f>
        <v/>
      </c>
      <c r="AQ290" s="62">
        <f>""</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t="n"/>
      <c r="F291" s="59" t="n"/>
      <c r="G291" s="59" t="n"/>
      <c r="H291" s="60" t="n"/>
      <c r="I291" s="60">
        <f>IF(N($W291)=0,"",IF(AND($S291=MesCiclo,1&gt;SemanaActual),"",MIN(1,SUMIFS(OFFSET($A$1,ROW(),29,1000-ROW(),1),OFFSET($A$1,ROW(),20,1000-ROW(),1),ROW(),OFFSET($A$1,ROW(),21,1000-ROW(),1),"Sub"))))</f>
        <v/>
      </c>
      <c r="J291" s="60">
        <f>IF(N($W291)=0,"",IF(AND($S291=MesCiclo,2&gt;SemanaActual),"",MIN(1,SUMIFS(OFFSET($A$1,ROW(),30,1000-ROW(),1),OFFSET($A$1,ROW(),20,1000-ROW(),1),ROW(),OFFSET($A$1,ROW(),21,1000-ROW(),1),"Sub"))))</f>
        <v/>
      </c>
      <c r="K291" s="60">
        <f>IF(N($W291)=0,"",IF(AND($S291=MesCiclo,3&gt;SemanaActual),"",MIN(1,SUMIFS(OFFSET($A$1,ROW(),31,1000-ROW(),1),OFFSET($A$1,ROW(),20,1000-ROW(),1),ROW(),OFFSET($A$1,ROW(),21,1000-ROW(),1),"Sub"))))</f>
        <v/>
      </c>
      <c r="L291" s="60">
        <f>IF(N($W291)=0,"",IF(AND($S291=MesCiclo,4&gt;SemanaActual),"",MIN(1,SUMIFS(OFFSET($A$1,ROW(),32,1000-ROW(),1),OFFSET($A$1,ROW(),20,1000-ROW(),1),ROW(),OFFSET($A$1,ROW(),21,1000-ROW(),1),"Sub"))))</f>
        <v/>
      </c>
      <c r="M291" s="61">
        <f>IF(NOT((COUNTA($B291:$D291)+COUNTA($G291:$H291)+COUNTA($Q291))&gt;0),"",IF(AND($D291&lt;&gt;"",$V291="Macro"),IF(N($AM291)&gt;0,N(CHOOSE(MATCH($D291,ListaPuestos,0),INDEX('Cronograma R. Operacional'!$M$5:$M$1000,$AM291),INDEX('Cronograma R. Normativo'!$M$5:$M$1000,$AM291),INDEX('Cronograma R. Financiero'!$M$5:$M$1000,$AM291),INDEX('Cronograma Asistente Técnico'!$M$5:$M$1000,$AM291))),0),IF(ISNUMBER($G291),1,IF(N($W291)&gt;0,MIN(1,SUMIFS($Y$5:$Y$1000,$U$5:$U$1000,ROW(),$V$5:$V$1000,"Sub")),$Y291))))</f>
        <v/>
      </c>
      <c r="N291" s="56">
        <f>IF(OR($M291="",$V291="Sub"),"",IF($M291&gt;=1,"Completado",IF($M291&gt;0,"En curso","Pendiente")))</f>
        <v/>
      </c>
      <c r="O291" s="56">
        <f>IF(NOT((COUNTA($B291:$D291)+COUNTA($G291:$H291)+COUNTA($Q291))&gt;0),"",IF(AND(AND($D291&lt;&gt;"",$V291="Macro"),N($AM291)&gt;0),CHOOSE(MATCH($D291,ListaPuestos,0),INDEX('Cronograma R. Operacional'!$O$5:$O$1000,$AM291),INDEX('Cronograma R. Normativo'!$O$5:$O$1000,$AM291),INDEX('Cronograma R. Financiero'!$O$5:$O$1000,$AM291),INDEX('Cronograma Asistente Técnico'!$O$5:$O$1000,$AM291))&amp;"",IF(ISNUMBER($G291),IF(AND(ISNUMBER($AS291),$G291&gt;$AS291),"Cumplida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f>IF(NOT((COUNTA($B291:$D291)+COUNTA($G291:$H291)+COUNTA($Q291))&gt;0),"",IF($D291="","Propia",IF($V291&lt;&gt;"Macro","Solo se delegan macroactividades",IF(N($AM291)&gt;0,"✔ Recibida por "&amp;$D291,"⚠ "&amp;$D291&amp;" aún no la agrega"))))</f>
        <v/>
      </c>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IF($V291&lt;&gt;"Sub","",N($X291)*IF(AND(ISNUMBER($G291),$G291&lt;=IF($S291=MesCiclo,InicioCiclo,$S291+MOD(2-WEEKDAY($S291),7))+6),1,MIN(1,MAX(0,IF(ISNUMBER(OFFSET($A$1,ROW()-1,8)),OFFSET($A$1,ROW()-1,8),0)))))</f>
        <v/>
      </c>
      <c r="AE291" s="62">
        <f>IF($V291&lt;&gt;"Sub","",N($X291)*IF(AND(ISNUMBER($G291),$G291&lt;=IF($S291=MesCiclo,InicioCiclo,$S291+MOD(2-WEEKDAY($S291),7))+13),1,MIN(1,MAX(0,IF(ISNUMBER(OFFSET($A$1,ROW()-1,9)),OFFSET($A$1,ROW()-1,9),IF(ISNUMBER(OFFSET($A$1,ROW()-1,8)),OFFSET($A$1,ROW()-1,8),0))))))</f>
        <v/>
      </c>
      <c r="AF291" s="62">
        <f>IF($V291&lt;&gt;"Sub","",N($X291)*IF(AND(ISNUMBER($G291),$G291&lt;=IF($S291=MesCiclo,InicioCiclo,$S291+MOD(2-WEEKDAY($S291),7))+20),1,MIN(1,MAX(0,IF(ISNUMBER(OFFSET($A$1,ROW()-1,10)),OFFSET($A$1,ROW()-1,10),IF(ISNUMBER(OFFSET($A$1,ROW()-1,9)),OFFSET($A$1,ROW()-1,9),IF(ISNUMBER(OFFSET($A$1,ROW()-1,8)),OFFSET($A$1,ROW()-1,8),0)))))))</f>
        <v/>
      </c>
      <c r="AG291" s="62">
        <f>IF($V291&lt;&gt;"Sub","",N($X291)*IF(AND(ISNUMBER($G291),$G291&lt;=IF($S291=MesCiclo,InicioCiclo,$S291+MOD(2-WEEKDAY($S291),7))+27),1,MIN(1,MAX(0,IF(ISNUMBER(OFFSET($A$1,ROW()-1,11)),OFFSET($A$1,ROW()-1,11),IF(ISNUMBER(OFFSET($A$1,ROW()-1,10)),OFFSET($A$1,ROW()-1,10),IF(ISNUMBER(OFFSET($A$1,ROW()-1,9)),OFFSET($A$1,ROW()-1,9),IF(ISNUMBER(OFFSET($A$1,ROW()-1,8)),OFFSET($A$1,ROW()-1,8),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f>IF(NOT(AND($D291&lt;&gt;"",$V291="Macro")),"",IFERROR(CHOOSE(MATCH($D291,ListaPuestos,0),MATCH("[Jefatura] "&amp;$C291,'Cronograma R. Operacional'!$C$5:$C$1000,0),MATCH("[Jefatura] "&amp;$C291,'Cronograma R. Normativo'!$C$5:$C$1000,0),MATCH("[Jefatura] "&amp;$C291,'Cronograma R. Financiero'!$C$5:$C$1000,0),MATCH("[Jefatura] "&amp;$C291,'Cronograma Asistente Técnico'!$C$5:$C$1000,0)),0))</f>
        <v/>
      </c>
      <c r="AN291" s="62">
        <f>IF(AND(AND($D291&lt;&gt;"",$V291="Macro"),$S291=MesCiclo),COUNTIFS($D$5:$D291,$D291,$S$5:$S291,MesCiclo,$V$5:$V291,"Macro"),"")</f>
        <v/>
      </c>
      <c r="AO291" s="62">
        <f>IF($AN291="","",$D291&amp;"|"&amp;$AN291)</f>
        <v/>
      </c>
      <c r="AP291" s="62">
        <f>IF(AND($D291&lt;&gt;"",$V291="Macro"),$D291&amp;"|"&amp;$C291,"")</f>
        <v/>
      </c>
      <c r="AQ291" s="62">
        <f>""</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t="n"/>
      <c r="F292" s="59" t="n"/>
      <c r="G292" s="59" t="n"/>
      <c r="H292" s="60" t="n"/>
      <c r="I292" s="60">
        <f>IF(N($W292)=0,"",IF(AND($S292=MesCiclo,1&gt;SemanaActual),"",MIN(1,SUMIFS(OFFSET($A$1,ROW(),29,1000-ROW(),1),OFFSET($A$1,ROW(),20,1000-ROW(),1),ROW(),OFFSET($A$1,ROW(),21,1000-ROW(),1),"Sub"))))</f>
        <v/>
      </c>
      <c r="J292" s="60">
        <f>IF(N($W292)=0,"",IF(AND($S292=MesCiclo,2&gt;SemanaActual),"",MIN(1,SUMIFS(OFFSET($A$1,ROW(),30,1000-ROW(),1),OFFSET($A$1,ROW(),20,1000-ROW(),1),ROW(),OFFSET($A$1,ROW(),21,1000-ROW(),1),"Sub"))))</f>
        <v/>
      </c>
      <c r="K292" s="60">
        <f>IF(N($W292)=0,"",IF(AND($S292=MesCiclo,3&gt;SemanaActual),"",MIN(1,SUMIFS(OFFSET($A$1,ROW(),31,1000-ROW(),1),OFFSET($A$1,ROW(),20,1000-ROW(),1),ROW(),OFFSET($A$1,ROW(),21,1000-ROW(),1),"Sub"))))</f>
        <v/>
      </c>
      <c r="L292" s="60">
        <f>IF(N($W292)=0,"",IF(AND($S292=MesCiclo,4&gt;SemanaActual),"",MIN(1,SUMIFS(OFFSET($A$1,ROW(),32,1000-ROW(),1),OFFSET($A$1,ROW(),20,1000-ROW(),1),ROW(),OFFSET($A$1,ROW(),21,1000-ROW(),1),"Sub"))))</f>
        <v/>
      </c>
      <c r="M292" s="61">
        <f>IF(NOT((COUNTA($B292:$D292)+COUNTA($G292:$H292)+COUNTA($Q292))&gt;0),"",IF(AND($D292&lt;&gt;"",$V292="Macro"),IF(N($AM292)&gt;0,N(CHOOSE(MATCH($D292,ListaPuestos,0),INDEX('Cronograma R. Operacional'!$M$5:$M$1000,$AM292),INDEX('Cronograma R. Normativo'!$M$5:$M$1000,$AM292),INDEX('Cronograma R. Financiero'!$M$5:$M$1000,$AM292),INDEX('Cronograma Asistente Técnico'!$M$5:$M$1000,$AM292))),0),IF(ISNUMBER($G292),1,IF(N($W292)&gt;0,MIN(1,SUMIFS($Y$5:$Y$1000,$U$5:$U$1000,ROW(),$V$5:$V$1000,"Sub")),$Y292))))</f>
        <v/>
      </c>
      <c r="N292" s="56">
        <f>IF(OR($M292="",$V292="Sub"),"",IF($M292&gt;=1,"Completado",IF($M292&gt;0,"En curso","Pendiente")))</f>
        <v/>
      </c>
      <c r="O292" s="56">
        <f>IF(NOT((COUNTA($B292:$D292)+COUNTA($G292:$H292)+COUNTA($Q292))&gt;0),"",IF(AND(AND($D292&lt;&gt;"",$V292="Macro"),N($AM292)&gt;0),CHOOSE(MATCH($D292,ListaPuestos,0),INDEX('Cronograma R. Operacional'!$O$5:$O$1000,$AM292),INDEX('Cronograma R. Normativo'!$O$5:$O$1000,$AM292),INDEX('Cronograma R. Financiero'!$O$5:$O$1000,$AM292),INDEX('Cronograma Asistente Técnico'!$O$5:$O$1000,$AM292))&amp;"",IF(ISNUMBER($G292),IF(AND(ISNUMBER($AS292),$G292&gt;$AS292),"Cumplida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f>IF(NOT((COUNTA($B292:$D292)+COUNTA($G292:$H292)+COUNTA($Q292))&gt;0),"",IF($D292="","Propia",IF($V292&lt;&gt;"Macro","Solo se delegan macroactividades",IF(N($AM292)&gt;0,"✔ Recibida por "&amp;$D292,"⚠ "&amp;$D292&amp;" aún no la agrega"))))</f>
        <v/>
      </c>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IF($V292&lt;&gt;"Sub","",N($X292)*IF(AND(ISNUMBER($G292),$G292&lt;=IF($S292=MesCiclo,InicioCiclo,$S292+MOD(2-WEEKDAY($S292),7))+6),1,MIN(1,MAX(0,IF(ISNUMBER(OFFSET($A$1,ROW()-1,8)),OFFSET($A$1,ROW()-1,8),0)))))</f>
        <v/>
      </c>
      <c r="AE292" s="62">
        <f>IF($V292&lt;&gt;"Sub","",N($X292)*IF(AND(ISNUMBER($G292),$G292&lt;=IF($S292=MesCiclo,InicioCiclo,$S292+MOD(2-WEEKDAY($S292),7))+13),1,MIN(1,MAX(0,IF(ISNUMBER(OFFSET($A$1,ROW()-1,9)),OFFSET($A$1,ROW()-1,9),IF(ISNUMBER(OFFSET($A$1,ROW()-1,8)),OFFSET($A$1,ROW()-1,8),0))))))</f>
        <v/>
      </c>
      <c r="AF292" s="62">
        <f>IF($V292&lt;&gt;"Sub","",N($X292)*IF(AND(ISNUMBER($G292),$G292&lt;=IF($S292=MesCiclo,InicioCiclo,$S292+MOD(2-WEEKDAY($S292),7))+20),1,MIN(1,MAX(0,IF(ISNUMBER(OFFSET($A$1,ROW()-1,10)),OFFSET($A$1,ROW()-1,10),IF(ISNUMBER(OFFSET($A$1,ROW()-1,9)),OFFSET($A$1,ROW()-1,9),IF(ISNUMBER(OFFSET($A$1,ROW()-1,8)),OFFSET($A$1,ROW()-1,8),0)))))))</f>
        <v/>
      </c>
      <c r="AG292" s="62">
        <f>IF($V292&lt;&gt;"Sub","",N($X292)*IF(AND(ISNUMBER($G292),$G292&lt;=IF($S292=MesCiclo,InicioCiclo,$S292+MOD(2-WEEKDAY($S292),7))+27),1,MIN(1,MAX(0,IF(ISNUMBER(OFFSET($A$1,ROW()-1,11)),OFFSET($A$1,ROW()-1,11),IF(ISNUMBER(OFFSET($A$1,ROW()-1,10)),OFFSET($A$1,ROW()-1,10),IF(ISNUMBER(OFFSET($A$1,ROW()-1,9)),OFFSET($A$1,ROW()-1,9),IF(ISNUMBER(OFFSET($A$1,ROW()-1,8)),OFFSET($A$1,ROW()-1,8),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f>IF(NOT(AND($D292&lt;&gt;"",$V292="Macro")),"",IFERROR(CHOOSE(MATCH($D292,ListaPuestos,0),MATCH("[Jefatura] "&amp;$C292,'Cronograma R. Operacional'!$C$5:$C$1000,0),MATCH("[Jefatura] "&amp;$C292,'Cronograma R. Normativo'!$C$5:$C$1000,0),MATCH("[Jefatura] "&amp;$C292,'Cronograma R. Financiero'!$C$5:$C$1000,0),MATCH("[Jefatura] "&amp;$C292,'Cronograma Asistente Técnico'!$C$5:$C$1000,0)),0))</f>
        <v/>
      </c>
      <c r="AN292" s="62">
        <f>IF(AND(AND($D292&lt;&gt;"",$V292="Macro"),$S292=MesCiclo),COUNTIFS($D$5:$D292,$D292,$S$5:$S292,MesCiclo,$V$5:$V292,"Macro"),"")</f>
        <v/>
      </c>
      <c r="AO292" s="62">
        <f>IF($AN292="","",$D292&amp;"|"&amp;$AN292)</f>
        <v/>
      </c>
      <c r="AP292" s="62">
        <f>IF(AND($D292&lt;&gt;"",$V292="Macro"),$D292&amp;"|"&amp;$C292,"")</f>
        <v/>
      </c>
      <c r="AQ292" s="62">
        <f>""</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t="n"/>
      <c r="F293" s="59" t="n"/>
      <c r="G293" s="59" t="n"/>
      <c r="H293" s="60" t="n"/>
      <c r="I293" s="60">
        <f>IF(N($W293)=0,"",IF(AND($S293=MesCiclo,1&gt;SemanaActual),"",MIN(1,SUMIFS(OFFSET($A$1,ROW(),29,1000-ROW(),1),OFFSET($A$1,ROW(),20,1000-ROW(),1),ROW(),OFFSET($A$1,ROW(),21,1000-ROW(),1),"Sub"))))</f>
        <v/>
      </c>
      <c r="J293" s="60">
        <f>IF(N($W293)=0,"",IF(AND($S293=MesCiclo,2&gt;SemanaActual),"",MIN(1,SUMIFS(OFFSET($A$1,ROW(),30,1000-ROW(),1),OFFSET($A$1,ROW(),20,1000-ROW(),1),ROW(),OFFSET($A$1,ROW(),21,1000-ROW(),1),"Sub"))))</f>
        <v/>
      </c>
      <c r="K293" s="60">
        <f>IF(N($W293)=0,"",IF(AND($S293=MesCiclo,3&gt;SemanaActual),"",MIN(1,SUMIFS(OFFSET($A$1,ROW(),31,1000-ROW(),1),OFFSET($A$1,ROW(),20,1000-ROW(),1),ROW(),OFFSET($A$1,ROW(),21,1000-ROW(),1),"Sub"))))</f>
        <v/>
      </c>
      <c r="L293" s="60">
        <f>IF(N($W293)=0,"",IF(AND($S293=MesCiclo,4&gt;SemanaActual),"",MIN(1,SUMIFS(OFFSET($A$1,ROW(),32,1000-ROW(),1),OFFSET($A$1,ROW(),20,1000-ROW(),1),ROW(),OFFSET($A$1,ROW(),21,1000-ROW(),1),"Sub"))))</f>
        <v/>
      </c>
      <c r="M293" s="61">
        <f>IF(NOT((COUNTA($B293:$D293)+COUNTA($G293:$H293)+COUNTA($Q293))&gt;0),"",IF(AND($D293&lt;&gt;"",$V293="Macro"),IF(N($AM293)&gt;0,N(CHOOSE(MATCH($D293,ListaPuestos,0),INDEX('Cronograma R. Operacional'!$M$5:$M$1000,$AM293),INDEX('Cronograma R. Normativo'!$M$5:$M$1000,$AM293),INDEX('Cronograma R. Financiero'!$M$5:$M$1000,$AM293),INDEX('Cronograma Asistente Técnico'!$M$5:$M$1000,$AM293))),0),IF(ISNUMBER($G293),1,IF(N($W293)&gt;0,MIN(1,SUMIFS($Y$5:$Y$1000,$U$5:$U$1000,ROW(),$V$5:$V$1000,"Sub")),$Y293))))</f>
        <v/>
      </c>
      <c r="N293" s="56">
        <f>IF(OR($M293="",$V293="Sub"),"",IF($M293&gt;=1,"Completado",IF($M293&gt;0,"En curso","Pendiente")))</f>
        <v/>
      </c>
      <c r="O293" s="56">
        <f>IF(NOT((COUNTA($B293:$D293)+COUNTA($G293:$H293)+COUNTA($Q293))&gt;0),"",IF(AND(AND($D293&lt;&gt;"",$V293="Macro"),N($AM293)&gt;0),CHOOSE(MATCH($D293,ListaPuestos,0),INDEX('Cronograma R. Operacional'!$O$5:$O$1000,$AM293),INDEX('Cronograma R. Normativo'!$O$5:$O$1000,$AM293),INDEX('Cronograma R. Financiero'!$O$5:$O$1000,$AM293),INDEX('Cronograma Asistente Técnico'!$O$5:$O$1000,$AM293))&amp;"",IF(ISNUMBER($G293),IF(AND(ISNUMBER($AS293),$G293&gt;$AS293),"Cumplida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f>IF(NOT((COUNTA($B293:$D293)+COUNTA($G293:$H293)+COUNTA($Q293))&gt;0),"",IF($D293="","Propia",IF($V293&lt;&gt;"Macro","Solo se delegan macroactividades",IF(N($AM293)&gt;0,"✔ Recibida por "&amp;$D293,"⚠ "&amp;$D293&amp;" aún no la agrega"))))</f>
        <v/>
      </c>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IF($V293&lt;&gt;"Sub","",N($X293)*IF(AND(ISNUMBER($G293),$G293&lt;=IF($S293=MesCiclo,InicioCiclo,$S293+MOD(2-WEEKDAY($S293),7))+6),1,MIN(1,MAX(0,IF(ISNUMBER(OFFSET($A$1,ROW()-1,8)),OFFSET($A$1,ROW()-1,8),0)))))</f>
        <v/>
      </c>
      <c r="AE293" s="62">
        <f>IF($V293&lt;&gt;"Sub","",N($X293)*IF(AND(ISNUMBER($G293),$G293&lt;=IF($S293=MesCiclo,InicioCiclo,$S293+MOD(2-WEEKDAY($S293),7))+13),1,MIN(1,MAX(0,IF(ISNUMBER(OFFSET($A$1,ROW()-1,9)),OFFSET($A$1,ROW()-1,9),IF(ISNUMBER(OFFSET($A$1,ROW()-1,8)),OFFSET($A$1,ROW()-1,8),0))))))</f>
        <v/>
      </c>
      <c r="AF293" s="62">
        <f>IF($V293&lt;&gt;"Sub","",N($X293)*IF(AND(ISNUMBER($G293),$G293&lt;=IF($S293=MesCiclo,InicioCiclo,$S293+MOD(2-WEEKDAY($S293),7))+20),1,MIN(1,MAX(0,IF(ISNUMBER(OFFSET($A$1,ROW()-1,10)),OFFSET($A$1,ROW()-1,10),IF(ISNUMBER(OFFSET($A$1,ROW()-1,9)),OFFSET($A$1,ROW()-1,9),IF(ISNUMBER(OFFSET($A$1,ROW()-1,8)),OFFSET($A$1,ROW()-1,8),0)))))))</f>
        <v/>
      </c>
      <c r="AG293" s="62">
        <f>IF($V293&lt;&gt;"Sub","",N($X293)*IF(AND(ISNUMBER($G293),$G293&lt;=IF($S293=MesCiclo,InicioCiclo,$S293+MOD(2-WEEKDAY($S293),7))+27),1,MIN(1,MAX(0,IF(ISNUMBER(OFFSET($A$1,ROW()-1,11)),OFFSET($A$1,ROW()-1,11),IF(ISNUMBER(OFFSET($A$1,ROW()-1,10)),OFFSET($A$1,ROW()-1,10),IF(ISNUMBER(OFFSET($A$1,ROW()-1,9)),OFFSET($A$1,ROW()-1,9),IF(ISNUMBER(OFFSET($A$1,ROW()-1,8)),OFFSET($A$1,ROW()-1,8),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f>IF(NOT(AND($D293&lt;&gt;"",$V293="Macro")),"",IFERROR(CHOOSE(MATCH($D293,ListaPuestos,0),MATCH("[Jefatura] "&amp;$C293,'Cronograma R. Operacional'!$C$5:$C$1000,0),MATCH("[Jefatura] "&amp;$C293,'Cronograma R. Normativo'!$C$5:$C$1000,0),MATCH("[Jefatura] "&amp;$C293,'Cronograma R. Financiero'!$C$5:$C$1000,0),MATCH("[Jefatura] "&amp;$C293,'Cronograma Asistente Técnico'!$C$5:$C$1000,0)),0))</f>
        <v/>
      </c>
      <c r="AN293" s="62">
        <f>IF(AND(AND($D293&lt;&gt;"",$V293="Macro"),$S293=MesCiclo),COUNTIFS($D$5:$D293,$D293,$S$5:$S293,MesCiclo,$V$5:$V293,"Macro"),"")</f>
        <v/>
      </c>
      <c r="AO293" s="62">
        <f>IF($AN293="","",$D293&amp;"|"&amp;$AN293)</f>
        <v/>
      </c>
      <c r="AP293" s="62">
        <f>IF(AND($D293&lt;&gt;"",$V293="Macro"),$D293&amp;"|"&amp;$C293,"")</f>
        <v/>
      </c>
      <c r="AQ293" s="62">
        <f>""</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t="n"/>
      <c r="F294" s="59" t="n"/>
      <c r="G294" s="59" t="n"/>
      <c r="H294" s="60" t="n"/>
      <c r="I294" s="60">
        <f>IF(N($W294)=0,"",IF(AND($S294=MesCiclo,1&gt;SemanaActual),"",MIN(1,SUMIFS(OFFSET($A$1,ROW(),29,1000-ROW(),1),OFFSET($A$1,ROW(),20,1000-ROW(),1),ROW(),OFFSET($A$1,ROW(),21,1000-ROW(),1),"Sub"))))</f>
        <v/>
      </c>
      <c r="J294" s="60">
        <f>IF(N($W294)=0,"",IF(AND($S294=MesCiclo,2&gt;SemanaActual),"",MIN(1,SUMIFS(OFFSET($A$1,ROW(),30,1000-ROW(),1),OFFSET($A$1,ROW(),20,1000-ROW(),1),ROW(),OFFSET($A$1,ROW(),21,1000-ROW(),1),"Sub"))))</f>
        <v/>
      </c>
      <c r="K294" s="60">
        <f>IF(N($W294)=0,"",IF(AND($S294=MesCiclo,3&gt;SemanaActual),"",MIN(1,SUMIFS(OFFSET($A$1,ROW(),31,1000-ROW(),1),OFFSET($A$1,ROW(),20,1000-ROW(),1),ROW(),OFFSET($A$1,ROW(),21,1000-ROW(),1),"Sub"))))</f>
        <v/>
      </c>
      <c r="L294" s="60">
        <f>IF(N($W294)=0,"",IF(AND($S294=MesCiclo,4&gt;SemanaActual),"",MIN(1,SUMIFS(OFFSET($A$1,ROW(),32,1000-ROW(),1),OFFSET($A$1,ROW(),20,1000-ROW(),1),ROW(),OFFSET($A$1,ROW(),21,1000-ROW(),1),"Sub"))))</f>
        <v/>
      </c>
      <c r="M294" s="61">
        <f>IF(NOT((COUNTA($B294:$D294)+COUNTA($G294:$H294)+COUNTA($Q294))&gt;0),"",IF(AND($D294&lt;&gt;"",$V294="Macro"),IF(N($AM294)&gt;0,N(CHOOSE(MATCH($D294,ListaPuestos,0),INDEX('Cronograma R. Operacional'!$M$5:$M$1000,$AM294),INDEX('Cronograma R. Normativo'!$M$5:$M$1000,$AM294),INDEX('Cronograma R. Financiero'!$M$5:$M$1000,$AM294),INDEX('Cronograma Asistente Técnico'!$M$5:$M$1000,$AM294))),0),IF(ISNUMBER($G294),1,IF(N($W294)&gt;0,MIN(1,SUMIFS($Y$5:$Y$1000,$U$5:$U$1000,ROW(),$V$5:$V$1000,"Sub")),$Y294))))</f>
        <v/>
      </c>
      <c r="N294" s="56">
        <f>IF(OR($M294="",$V294="Sub"),"",IF($M294&gt;=1,"Completado",IF($M294&gt;0,"En curso","Pendiente")))</f>
        <v/>
      </c>
      <c r="O294" s="56">
        <f>IF(NOT((COUNTA($B294:$D294)+COUNTA($G294:$H294)+COUNTA($Q294))&gt;0),"",IF(AND(AND($D294&lt;&gt;"",$V294="Macro"),N($AM294)&gt;0),CHOOSE(MATCH($D294,ListaPuestos,0),INDEX('Cronograma R. Operacional'!$O$5:$O$1000,$AM294),INDEX('Cronograma R. Normativo'!$O$5:$O$1000,$AM294),INDEX('Cronograma R. Financiero'!$O$5:$O$1000,$AM294),INDEX('Cronograma Asistente Técnico'!$O$5:$O$1000,$AM294))&amp;"",IF(ISNUMBER($G294),IF(AND(ISNUMBER($AS294),$G294&gt;$AS294),"Cumplida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f>IF(NOT((COUNTA($B294:$D294)+COUNTA($G294:$H294)+COUNTA($Q294))&gt;0),"",IF($D294="","Propia",IF($V294&lt;&gt;"Macro","Solo se delegan macroactividades",IF(N($AM294)&gt;0,"✔ Recibida por "&amp;$D294,"⚠ "&amp;$D294&amp;" aún no la agrega"))))</f>
        <v/>
      </c>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IF($V294&lt;&gt;"Sub","",N($X294)*IF(AND(ISNUMBER($G294),$G294&lt;=IF($S294=MesCiclo,InicioCiclo,$S294+MOD(2-WEEKDAY($S294),7))+6),1,MIN(1,MAX(0,IF(ISNUMBER(OFFSET($A$1,ROW()-1,8)),OFFSET($A$1,ROW()-1,8),0)))))</f>
        <v/>
      </c>
      <c r="AE294" s="62">
        <f>IF($V294&lt;&gt;"Sub","",N($X294)*IF(AND(ISNUMBER($G294),$G294&lt;=IF($S294=MesCiclo,InicioCiclo,$S294+MOD(2-WEEKDAY($S294),7))+13),1,MIN(1,MAX(0,IF(ISNUMBER(OFFSET($A$1,ROW()-1,9)),OFFSET($A$1,ROW()-1,9),IF(ISNUMBER(OFFSET($A$1,ROW()-1,8)),OFFSET($A$1,ROW()-1,8),0))))))</f>
        <v/>
      </c>
      <c r="AF294" s="62">
        <f>IF($V294&lt;&gt;"Sub","",N($X294)*IF(AND(ISNUMBER($G294),$G294&lt;=IF($S294=MesCiclo,InicioCiclo,$S294+MOD(2-WEEKDAY($S294),7))+20),1,MIN(1,MAX(0,IF(ISNUMBER(OFFSET($A$1,ROW()-1,10)),OFFSET($A$1,ROW()-1,10),IF(ISNUMBER(OFFSET($A$1,ROW()-1,9)),OFFSET($A$1,ROW()-1,9),IF(ISNUMBER(OFFSET($A$1,ROW()-1,8)),OFFSET($A$1,ROW()-1,8),0)))))))</f>
        <v/>
      </c>
      <c r="AG294" s="62">
        <f>IF($V294&lt;&gt;"Sub","",N($X294)*IF(AND(ISNUMBER($G294),$G294&lt;=IF($S294=MesCiclo,InicioCiclo,$S294+MOD(2-WEEKDAY($S294),7))+27),1,MIN(1,MAX(0,IF(ISNUMBER(OFFSET($A$1,ROW()-1,11)),OFFSET($A$1,ROW()-1,11),IF(ISNUMBER(OFFSET($A$1,ROW()-1,10)),OFFSET($A$1,ROW()-1,10),IF(ISNUMBER(OFFSET($A$1,ROW()-1,9)),OFFSET($A$1,ROW()-1,9),IF(ISNUMBER(OFFSET($A$1,ROW()-1,8)),OFFSET($A$1,ROW()-1,8),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f>IF(NOT(AND($D294&lt;&gt;"",$V294="Macro")),"",IFERROR(CHOOSE(MATCH($D294,ListaPuestos,0),MATCH("[Jefatura] "&amp;$C294,'Cronograma R. Operacional'!$C$5:$C$1000,0),MATCH("[Jefatura] "&amp;$C294,'Cronograma R. Normativo'!$C$5:$C$1000,0),MATCH("[Jefatura] "&amp;$C294,'Cronograma R. Financiero'!$C$5:$C$1000,0),MATCH("[Jefatura] "&amp;$C294,'Cronograma Asistente Técnico'!$C$5:$C$1000,0)),0))</f>
        <v/>
      </c>
      <c r="AN294" s="62">
        <f>IF(AND(AND($D294&lt;&gt;"",$V294="Macro"),$S294=MesCiclo),COUNTIFS($D$5:$D294,$D294,$S$5:$S294,MesCiclo,$V$5:$V294,"Macro"),"")</f>
        <v/>
      </c>
      <c r="AO294" s="62">
        <f>IF($AN294="","",$D294&amp;"|"&amp;$AN294)</f>
        <v/>
      </c>
      <c r="AP294" s="62">
        <f>IF(AND($D294&lt;&gt;"",$V294="Macro"),$D294&amp;"|"&amp;$C294,"")</f>
        <v/>
      </c>
      <c r="AQ294" s="62">
        <f>""</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t="n"/>
      <c r="F295" s="59" t="n"/>
      <c r="G295" s="59" t="n"/>
      <c r="H295" s="60" t="n"/>
      <c r="I295" s="60">
        <f>IF(N($W295)=0,"",IF(AND($S295=MesCiclo,1&gt;SemanaActual),"",MIN(1,SUMIFS(OFFSET($A$1,ROW(),29,1000-ROW(),1),OFFSET($A$1,ROW(),20,1000-ROW(),1),ROW(),OFFSET($A$1,ROW(),21,1000-ROW(),1),"Sub"))))</f>
        <v/>
      </c>
      <c r="J295" s="60">
        <f>IF(N($W295)=0,"",IF(AND($S295=MesCiclo,2&gt;SemanaActual),"",MIN(1,SUMIFS(OFFSET($A$1,ROW(),30,1000-ROW(),1),OFFSET($A$1,ROW(),20,1000-ROW(),1),ROW(),OFFSET($A$1,ROW(),21,1000-ROW(),1),"Sub"))))</f>
        <v/>
      </c>
      <c r="K295" s="60">
        <f>IF(N($W295)=0,"",IF(AND($S295=MesCiclo,3&gt;SemanaActual),"",MIN(1,SUMIFS(OFFSET($A$1,ROW(),31,1000-ROW(),1),OFFSET($A$1,ROW(),20,1000-ROW(),1),ROW(),OFFSET($A$1,ROW(),21,1000-ROW(),1),"Sub"))))</f>
        <v/>
      </c>
      <c r="L295" s="60">
        <f>IF(N($W295)=0,"",IF(AND($S295=MesCiclo,4&gt;SemanaActual),"",MIN(1,SUMIFS(OFFSET($A$1,ROW(),32,1000-ROW(),1),OFFSET($A$1,ROW(),20,1000-ROW(),1),ROW(),OFFSET($A$1,ROW(),21,1000-ROW(),1),"Sub"))))</f>
        <v/>
      </c>
      <c r="M295" s="61">
        <f>IF(NOT((COUNTA($B295:$D295)+COUNTA($G295:$H295)+COUNTA($Q295))&gt;0),"",IF(AND($D295&lt;&gt;"",$V295="Macro"),IF(N($AM295)&gt;0,N(CHOOSE(MATCH($D295,ListaPuestos,0),INDEX('Cronograma R. Operacional'!$M$5:$M$1000,$AM295),INDEX('Cronograma R. Normativo'!$M$5:$M$1000,$AM295),INDEX('Cronograma R. Financiero'!$M$5:$M$1000,$AM295),INDEX('Cronograma Asistente Técnico'!$M$5:$M$1000,$AM295))),0),IF(ISNUMBER($G295),1,IF(N($W295)&gt;0,MIN(1,SUMIFS($Y$5:$Y$1000,$U$5:$U$1000,ROW(),$V$5:$V$1000,"Sub")),$Y295))))</f>
        <v/>
      </c>
      <c r="N295" s="56">
        <f>IF(OR($M295="",$V295="Sub"),"",IF($M295&gt;=1,"Completado",IF($M295&gt;0,"En curso","Pendiente")))</f>
        <v/>
      </c>
      <c r="O295" s="56">
        <f>IF(NOT((COUNTA($B295:$D295)+COUNTA($G295:$H295)+COUNTA($Q295))&gt;0),"",IF(AND(AND($D295&lt;&gt;"",$V295="Macro"),N($AM295)&gt;0),CHOOSE(MATCH($D295,ListaPuestos,0),INDEX('Cronograma R. Operacional'!$O$5:$O$1000,$AM295),INDEX('Cronograma R. Normativo'!$O$5:$O$1000,$AM295),INDEX('Cronograma R. Financiero'!$O$5:$O$1000,$AM295),INDEX('Cronograma Asistente Técnico'!$O$5:$O$1000,$AM295))&amp;"",IF(ISNUMBER($G295),IF(AND(ISNUMBER($AS295),$G295&gt;$AS295),"Cumplida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f>IF(NOT((COUNTA($B295:$D295)+COUNTA($G295:$H295)+COUNTA($Q295))&gt;0),"",IF($D295="","Propia",IF($V295&lt;&gt;"Macro","Solo se delegan macroactividades",IF(N($AM295)&gt;0,"✔ Recibida por "&amp;$D295,"⚠ "&amp;$D295&amp;" aún no la agrega"))))</f>
        <v/>
      </c>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IF($V295&lt;&gt;"Sub","",N($X295)*IF(AND(ISNUMBER($G295),$G295&lt;=IF($S295=MesCiclo,InicioCiclo,$S295+MOD(2-WEEKDAY($S295),7))+6),1,MIN(1,MAX(0,IF(ISNUMBER(OFFSET($A$1,ROW()-1,8)),OFFSET($A$1,ROW()-1,8),0)))))</f>
        <v/>
      </c>
      <c r="AE295" s="62">
        <f>IF($V295&lt;&gt;"Sub","",N($X295)*IF(AND(ISNUMBER($G295),$G295&lt;=IF($S295=MesCiclo,InicioCiclo,$S295+MOD(2-WEEKDAY($S295),7))+13),1,MIN(1,MAX(0,IF(ISNUMBER(OFFSET($A$1,ROW()-1,9)),OFFSET($A$1,ROW()-1,9),IF(ISNUMBER(OFFSET($A$1,ROW()-1,8)),OFFSET($A$1,ROW()-1,8),0))))))</f>
        <v/>
      </c>
      <c r="AF295" s="62">
        <f>IF($V295&lt;&gt;"Sub","",N($X295)*IF(AND(ISNUMBER($G295),$G295&lt;=IF($S295=MesCiclo,InicioCiclo,$S295+MOD(2-WEEKDAY($S295),7))+20),1,MIN(1,MAX(0,IF(ISNUMBER(OFFSET($A$1,ROW()-1,10)),OFFSET($A$1,ROW()-1,10),IF(ISNUMBER(OFFSET($A$1,ROW()-1,9)),OFFSET($A$1,ROW()-1,9),IF(ISNUMBER(OFFSET($A$1,ROW()-1,8)),OFFSET($A$1,ROW()-1,8),0)))))))</f>
        <v/>
      </c>
      <c r="AG295" s="62">
        <f>IF($V295&lt;&gt;"Sub","",N($X295)*IF(AND(ISNUMBER($G295),$G295&lt;=IF($S295=MesCiclo,InicioCiclo,$S295+MOD(2-WEEKDAY($S295),7))+27),1,MIN(1,MAX(0,IF(ISNUMBER(OFFSET($A$1,ROW()-1,11)),OFFSET($A$1,ROW()-1,11),IF(ISNUMBER(OFFSET($A$1,ROW()-1,10)),OFFSET($A$1,ROW()-1,10),IF(ISNUMBER(OFFSET($A$1,ROW()-1,9)),OFFSET($A$1,ROW()-1,9),IF(ISNUMBER(OFFSET($A$1,ROW()-1,8)),OFFSET($A$1,ROW()-1,8),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f>IF(NOT(AND($D295&lt;&gt;"",$V295="Macro")),"",IFERROR(CHOOSE(MATCH($D295,ListaPuestos,0),MATCH("[Jefatura] "&amp;$C295,'Cronograma R. Operacional'!$C$5:$C$1000,0),MATCH("[Jefatura] "&amp;$C295,'Cronograma R. Normativo'!$C$5:$C$1000,0),MATCH("[Jefatura] "&amp;$C295,'Cronograma R. Financiero'!$C$5:$C$1000,0),MATCH("[Jefatura] "&amp;$C295,'Cronograma Asistente Técnico'!$C$5:$C$1000,0)),0))</f>
        <v/>
      </c>
      <c r="AN295" s="62">
        <f>IF(AND(AND($D295&lt;&gt;"",$V295="Macro"),$S295=MesCiclo),COUNTIFS($D$5:$D295,$D295,$S$5:$S295,MesCiclo,$V$5:$V295,"Macro"),"")</f>
        <v/>
      </c>
      <c r="AO295" s="62">
        <f>IF($AN295="","",$D295&amp;"|"&amp;$AN295)</f>
        <v/>
      </c>
      <c r="AP295" s="62">
        <f>IF(AND($D295&lt;&gt;"",$V295="Macro"),$D295&amp;"|"&amp;$C295,"")</f>
        <v/>
      </c>
      <c r="AQ295" s="62">
        <f>""</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t="n"/>
      <c r="F296" s="59" t="n"/>
      <c r="G296" s="59" t="n"/>
      <c r="H296" s="60" t="n"/>
      <c r="I296" s="60">
        <f>IF(N($W296)=0,"",IF(AND($S296=MesCiclo,1&gt;SemanaActual),"",MIN(1,SUMIFS(OFFSET($A$1,ROW(),29,1000-ROW(),1),OFFSET($A$1,ROW(),20,1000-ROW(),1),ROW(),OFFSET($A$1,ROW(),21,1000-ROW(),1),"Sub"))))</f>
        <v/>
      </c>
      <c r="J296" s="60">
        <f>IF(N($W296)=0,"",IF(AND($S296=MesCiclo,2&gt;SemanaActual),"",MIN(1,SUMIFS(OFFSET($A$1,ROW(),30,1000-ROW(),1),OFFSET($A$1,ROW(),20,1000-ROW(),1),ROW(),OFFSET($A$1,ROW(),21,1000-ROW(),1),"Sub"))))</f>
        <v/>
      </c>
      <c r="K296" s="60">
        <f>IF(N($W296)=0,"",IF(AND($S296=MesCiclo,3&gt;SemanaActual),"",MIN(1,SUMIFS(OFFSET($A$1,ROW(),31,1000-ROW(),1),OFFSET($A$1,ROW(),20,1000-ROW(),1),ROW(),OFFSET($A$1,ROW(),21,1000-ROW(),1),"Sub"))))</f>
        <v/>
      </c>
      <c r="L296" s="60">
        <f>IF(N($W296)=0,"",IF(AND($S296=MesCiclo,4&gt;SemanaActual),"",MIN(1,SUMIFS(OFFSET($A$1,ROW(),32,1000-ROW(),1),OFFSET($A$1,ROW(),20,1000-ROW(),1),ROW(),OFFSET($A$1,ROW(),21,1000-ROW(),1),"Sub"))))</f>
        <v/>
      </c>
      <c r="M296" s="61">
        <f>IF(NOT((COUNTA($B296:$D296)+COUNTA($G296:$H296)+COUNTA($Q296))&gt;0),"",IF(AND($D296&lt;&gt;"",$V296="Macro"),IF(N($AM296)&gt;0,N(CHOOSE(MATCH($D296,ListaPuestos,0),INDEX('Cronograma R. Operacional'!$M$5:$M$1000,$AM296),INDEX('Cronograma R. Normativo'!$M$5:$M$1000,$AM296),INDEX('Cronograma R. Financiero'!$M$5:$M$1000,$AM296),INDEX('Cronograma Asistente Técnico'!$M$5:$M$1000,$AM296))),0),IF(ISNUMBER($G296),1,IF(N($W296)&gt;0,MIN(1,SUMIFS($Y$5:$Y$1000,$U$5:$U$1000,ROW(),$V$5:$V$1000,"Sub")),$Y296))))</f>
        <v/>
      </c>
      <c r="N296" s="56">
        <f>IF(OR($M296="",$V296="Sub"),"",IF($M296&gt;=1,"Completado",IF($M296&gt;0,"En curso","Pendiente")))</f>
        <v/>
      </c>
      <c r="O296" s="56">
        <f>IF(NOT((COUNTA($B296:$D296)+COUNTA($G296:$H296)+COUNTA($Q296))&gt;0),"",IF(AND(AND($D296&lt;&gt;"",$V296="Macro"),N($AM296)&gt;0),CHOOSE(MATCH($D296,ListaPuestos,0),INDEX('Cronograma R. Operacional'!$O$5:$O$1000,$AM296),INDEX('Cronograma R. Normativo'!$O$5:$O$1000,$AM296),INDEX('Cronograma R. Financiero'!$O$5:$O$1000,$AM296),INDEX('Cronograma Asistente Técnico'!$O$5:$O$1000,$AM296))&amp;"",IF(ISNUMBER($G296),IF(AND(ISNUMBER($AS296),$G296&gt;$AS296),"Cumplida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f>IF(NOT((COUNTA($B296:$D296)+COUNTA($G296:$H296)+COUNTA($Q296))&gt;0),"",IF($D296="","Propia",IF($V296&lt;&gt;"Macro","Solo se delegan macroactividades",IF(N($AM296)&gt;0,"✔ Recibida por "&amp;$D296,"⚠ "&amp;$D296&amp;" aún no la agrega"))))</f>
        <v/>
      </c>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IF($V296&lt;&gt;"Sub","",N($X296)*IF(AND(ISNUMBER($G296),$G296&lt;=IF($S296=MesCiclo,InicioCiclo,$S296+MOD(2-WEEKDAY($S296),7))+6),1,MIN(1,MAX(0,IF(ISNUMBER(OFFSET($A$1,ROW()-1,8)),OFFSET($A$1,ROW()-1,8),0)))))</f>
        <v/>
      </c>
      <c r="AE296" s="62">
        <f>IF($V296&lt;&gt;"Sub","",N($X296)*IF(AND(ISNUMBER($G296),$G296&lt;=IF($S296=MesCiclo,InicioCiclo,$S296+MOD(2-WEEKDAY($S296),7))+13),1,MIN(1,MAX(0,IF(ISNUMBER(OFFSET($A$1,ROW()-1,9)),OFFSET($A$1,ROW()-1,9),IF(ISNUMBER(OFFSET($A$1,ROW()-1,8)),OFFSET($A$1,ROW()-1,8),0))))))</f>
        <v/>
      </c>
      <c r="AF296" s="62">
        <f>IF($V296&lt;&gt;"Sub","",N($X296)*IF(AND(ISNUMBER($G296),$G296&lt;=IF($S296=MesCiclo,InicioCiclo,$S296+MOD(2-WEEKDAY($S296),7))+20),1,MIN(1,MAX(0,IF(ISNUMBER(OFFSET($A$1,ROW()-1,10)),OFFSET($A$1,ROW()-1,10),IF(ISNUMBER(OFFSET($A$1,ROW()-1,9)),OFFSET($A$1,ROW()-1,9),IF(ISNUMBER(OFFSET($A$1,ROW()-1,8)),OFFSET($A$1,ROW()-1,8),0)))))))</f>
        <v/>
      </c>
      <c r="AG296" s="62">
        <f>IF($V296&lt;&gt;"Sub","",N($X296)*IF(AND(ISNUMBER($G296),$G296&lt;=IF($S296=MesCiclo,InicioCiclo,$S296+MOD(2-WEEKDAY($S296),7))+27),1,MIN(1,MAX(0,IF(ISNUMBER(OFFSET($A$1,ROW()-1,11)),OFFSET($A$1,ROW()-1,11),IF(ISNUMBER(OFFSET($A$1,ROW()-1,10)),OFFSET($A$1,ROW()-1,10),IF(ISNUMBER(OFFSET($A$1,ROW()-1,9)),OFFSET($A$1,ROW()-1,9),IF(ISNUMBER(OFFSET($A$1,ROW()-1,8)),OFFSET($A$1,ROW()-1,8),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f>IF(NOT(AND($D296&lt;&gt;"",$V296="Macro")),"",IFERROR(CHOOSE(MATCH($D296,ListaPuestos,0),MATCH("[Jefatura] "&amp;$C296,'Cronograma R. Operacional'!$C$5:$C$1000,0),MATCH("[Jefatura] "&amp;$C296,'Cronograma R. Normativo'!$C$5:$C$1000,0),MATCH("[Jefatura] "&amp;$C296,'Cronograma R. Financiero'!$C$5:$C$1000,0),MATCH("[Jefatura] "&amp;$C296,'Cronograma Asistente Técnico'!$C$5:$C$1000,0)),0))</f>
        <v/>
      </c>
      <c r="AN296" s="62">
        <f>IF(AND(AND($D296&lt;&gt;"",$V296="Macro"),$S296=MesCiclo),COUNTIFS($D$5:$D296,$D296,$S$5:$S296,MesCiclo,$V$5:$V296,"Macro"),"")</f>
        <v/>
      </c>
      <c r="AO296" s="62">
        <f>IF($AN296="","",$D296&amp;"|"&amp;$AN296)</f>
        <v/>
      </c>
      <c r="AP296" s="62">
        <f>IF(AND($D296&lt;&gt;"",$V296="Macro"),$D296&amp;"|"&amp;$C296,"")</f>
        <v/>
      </c>
      <c r="AQ296" s="62">
        <f>""</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t="n"/>
      <c r="F297" s="59" t="n"/>
      <c r="G297" s="59" t="n"/>
      <c r="H297" s="60" t="n"/>
      <c r="I297" s="60">
        <f>IF(N($W297)=0,"",IF(AND($S297=MesCiclo,1&gt;SemanaActual),"",MIN(1,SUMIFS(OFFSET($A$1,ROW(),29,1000-ROW(),1),OFFSET($A$1,ROW(),20,1000-ROW(),1),ROW(),OFFSET($A$1,ROW(),21,1000-ROW(),1),"Sub"))))</f>
        <v/>
      </c>
      <c r="J297" s="60">
        <f>IF(N($W297)=0,"",IF(AND($S297=MesCiclo,2&gt;SemanaActual),"",MIN(1,SUMIFS(OFFSET($A$1,ROW(),30,1000-ROW(),1),OFFSET($A$1,ROW(),20,1000-ROW(),1),ROW(),OFFSET($A$1,ROW(),21,1000-ROW(),1),"Sub"))))</f>
        <v/>
      </c>
      <c r="K297" s="60">
        <f>IF(N($W297)=0,"",IF(AND($S297=MesCiclo,3&gt;SemanaActual),"",MIN(1,SUMIFS(OFFSET($A$1,ROW(),31,1000-ROW(),1),OFFSET($A$1,ROW(),20,1000-ROW(),1),ROW(),OFFSET($A$1,ROW(),21,1000-ROW(),1),"Sub"))))</f>
        <v/>
      </c>
      <c r="L297" s="60">
        <f>IF(N($W297)=0,"",IF(AND($S297=MesCiclo,4&gt;SemanaActual),"",MIN(1,SUMIFS(OFFSET($A$1,ROW(),32,1000-ROW(),1),OFFSET($A$1,ROW(),20,1000-ROW(),1),ROW(),OFFSET($A$1,ROW(),21,1000-ROW(),1),"Sub"))))</f>
        <v/>
      </c>
      <c r="M297" s="61">
        <f>IF(NOT((COUNTA($B297:$D297)+COUNTA($G297:$H297)+COUNTA($Q297))&gt;0),"",IF(AND($D297&lt;&gt;"",$V297="Macro"),IF(N($AM297)&gt;0,N(CHOOSE(MATCH($D297,ListaPuestos,0),INDEX('Cronograma R. Operacional'!$M$5:$M$1000,$AM297),INDEX('Cronograma R. Normativo'!$M$5:$M$1000,$AM297),INDEX('Cronograma R. Financiero'!$M$5:$M$1000,$AM297),INDEX('Cronograma Asistente Técnico'!$M$5:$M$1000,$AM297))),0),IF(ISNUMBER($G297),1,IF(N($W297)&gt;0,MIN(1,SUMIFS($Y$5:$Y$1000,$U$5:$U$1000,ROW(),$V$5:$V$1000,"Sub")),$Y297))))</f>
        <v/>
      </c>
      <c r="N297" s="56">
        <f>IF(OR($M297="",$V297="Sub"),"",IF($M297&gt;=1,"Completado",IF($M297&gt;0,"En curso","Pendiente")))</f>
        <v/>
      </c>
      <c r="O297" s="56">
        <f>IF(NOT((COUNTA($B297:$D297)+COUNTA($G297:$H297)+COUNTA($Q297))&gt;0),"",IF(AND(AND($D297&lt;&gt;"",$V297="Macro"),N($AM297)&gt;0),CHOOSE(MATCH($D297,ListaPuestos,0),INDEX('Cronograma R. Operacional'!$O$5:$O$1000,$AM297),INDEX('Cronograma R. Normativo'!$O$5:$O$1000,$AM297),INDEX('Cronograma R. Financiero'!$O$5:$O$1000,$AM297),INDEX('Cronograma Asistente Técnico'!$O$5:$O$1000,$AM297))&amp;"",IF(ISNUMBER($G297),IF(AND(ISNUMBER($AS297),$G297&gt;$AS297),"Cumplida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f>IF(NOT((COUNTA($B297:$D297)+COUNTA($G297:$H297)+COUNTA($Q297))&gt;0),"",IF($D297="","Propia",IF($V297&lt;&gt;"Macro","Solo se delegan macroactividades",IF(N($AM297)&gt;0,"✔ Recibida por "&amp;$D297,"⚠ "&amp;$D297&amp;" aún no la agrega"))))</f>
        <v/>
      </c>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IF($V297&lt;&gt;"Sub","",N($X297)*IF(AND(ISNUMBER($G297),$G297&lt;=IF($S297=MesCiclo,InicioCiclo,$S297+MOD(2-WEEKDAY($S297),7))+6),1,MIN(1,MAX(0,IF(ISNUMBER(OFFSET($A$1,ROW()-1,8)),OFFSET($A$1,ROW()-1,8),0)))))</f>
        <v/>
      </c>
      <c r="AE297" s="62">
        <f>IF($V297&lt;&gt;"Sub","",N($X297)*IF(AND(ISNUMBER($G297),$G297&lt;=IF($S297=MesCiclo,InicioCiclo,$S297+MOD(2-WEEKDAY($S297),7))+13),1,MIN(1,MAX(0,IF(ISNUMBER(OFFSET($A$1,ROW()-1,9)),OFFSET($A$1,ROW()-1,9),IF(ISNUMBER(OFFSET($A$1,ROW()-1,8)),OFFSET($A$1,ROW()-1,8),0))))))</f>
        <v/>
      </c>
      <c r="AF297" s="62">
        <f>IF($V297&lt;&gt;"Sub","",N($X297)*IF(AND(ISNUMBER($G297),$G297&lt;=IF($S297=MesCiclo,InicioCiclo,$S297+MOD(2-WEEKDAY($S297),7))+20),1,MIN(1,MAX(0,IF(ISNUMBER(OFFSET($A$1,ROW()-1,10)),OFFSET($A$1,ROW()-1,10),IF(ISNUMBER(OFFSET($A$1,ROW()-1,9)),OFFSET($A$1,ROW()-1,9),IF(ISNUMBER(OFFSET($A$1,ROW()-1,8)),OFFSET($A$1,ROW()-1,8),0)))))))</f>
        <v/>
      </c>
      <c r="AG297" s="62">
        <f>IF($V297&lt;&gt;"Sub","",N($X297)*IF(AND(ISNUMBER($G297),$G297&lt;=IF($S297=MesCiclo,InicioCiclo,$S297+MOD(2-WEEKDAY($S297),7))+27),1,MIN(1,MAX(0,IF(ISNUMBER(OFFSET($A$1,ROW()-1,11)),OFFSET($A$1,ROW()-1,11),IF(ISNUMBER(OFFSET($A$1,ROW()-1,10)),OFFSET($A$1,ROW()-1,10),IF(ISNUMBER(OFFSET($A$1,ROW()-1,9)),OFFSET($A$1,ROW()-1,9),IF(ISNUMBER(OFFSET($A$1,ROW()-1,8)),OFFSET($A$1,ROW()-1,8),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f>IF(NOT(AND($D297&lt;&gt;"",$V297="Macro")),"",IFERROR(CHOOSE(MATCH($D297,ListaPuestos,0),MATCH("[Jefatura] "&amp;$C297,'Cronograma R. Operacional'!$C$5:$C$1000,0),MATCH("[Jefatura] "&amp;$C297,'Cronograma R. Normativo'!$C$5:$C$1000,0),MATCH("[Jefatura] "&amp;$C297,'Cronograma R. Financiero'!$C$5:$C$1000,0),MATCH("[Jefatura] "&amp;$C297,'Cronograma Asistente Técnico'!$C$5:$C$1000,0)),0))</f>
        <v/>
      </c>
      <c r="AN297" s="62">
        <f>IF(AND(AND($D297&lt;&gt;"",$V297="Macro"),$S297=MesCiclo),COUNTIFS($D$5:$D297,$D297,$S$5:$S297,MesCiclo,$V$5:$V297,"Macro"),"")</f>
        <v/>
      </c>
      <c r="AO297" s="62">
        <f>IF($AN297="","",$D297&amp;"|"&amp;$AN297)</f>
        <v/>
      </c>
      <c r="AP297" s="62">
        <f>IF(AND($D297&lt;&gt;"",$V297="Macro"),$D297&amp;"|"&amp;$C297,"")</f>
        <v/>
      </c>
      <c r="AQ297" s="62">
        <f>""</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t="n"/>
      <c r="F298" s="59" t="n"/>
      <c r="G298" s="59" t="n"/>
      <c r="H298" s="60" t="n"/>
      <c r="I298" s="60">
        <f>IF(N($W298)=0,"",IF(AND($S298=MesCiclo,1&gt;SemanaActual),"",MIN(1,SUMIFS(OFFSET($A$1,ROW(),29,1000-ROW(),1),OFFSET($A$1,ROW(),20,1000-ROW(),1),ROW(),OFFSET($A$1,ROW(),21,1000-ROW(),1),"Sub"))))</f>
        <v/>
      </c>
      <c r="J298" s="60">
        <f>IF(N($W298)=0,"",IF(AND($S298=MesCiclo,2&gt;SemanaActual),"",MIN(1,SUMIFS(OFFSET($A$1,ROW(),30,1000-ROW(),1),OFFSET($A$1,ROW(),20,1000-ROW(),1),ROW(),OFFSET($A$1,ROW(),21,1000-ROW(),1),"Sub"))))</f>
        <v/>
      </c>
      <c r="K298" s="60">
        <f>IF(N($W298)=0,"",IF(AND($S298=MesCiclo,3&gt;SemanaActual),"",MIN(1,SUMIFS(OFFSET($A$1,ROW(),31,1000-ROW(),1),OFFSET($A$1,ROW(),20,1000-ROW(),1),ROW(),OFFSET($A$1,ROW(),21,1000-ROW(),1),"Sub"))))</f>
        <v/>
      </c>
      <c r="L298" s="60">
        <f>IF(N($W298)=0,"",IF(AND($S298=MesCiclo,4&gt;SemanaActual),"",MIN(1,SUMIFS(OFFSET($A$1,ROW(),32,1000-ROW(),1),OFFSET($A$1,ROW(),20,1000-ROW(),1),ROW(),OFFSET($A$1,ROW(),21,1000-ROW(),1),"Sub"))))</f>
        <v/>
      </c>
      <c r="M298" s="61">
        <f>IF(NOT((COUNTA($B298:$D298)+COUNTA($G298:$H298)+COUNTA($Q298))&gt;0),"",IF(AND($D298&lt;&gt;"",$V298="Macro"),IF(N($AM298)&gt;0,N(CHOOSE(MATCH($D298,ListaPuestos,0),INDEX('Cronograma R. Operacional'!$M$5:$M$1000,$AM298),INDEX('Cronograma R. Normativo'!$M$5:$M$1000,$AM298),INDEX('Cronograma R. Financiero'!$M$5:$M$1000,$AM298),INDEX('Cronograma Asistente Técnico'!$M$5:$M$1000,$AM298))),0),IF(ISNUMBER($G298),1,IF(N($W298)&gt;0,MIN(1,SUMIFS($Y$5:$Y$1000,$U$5:$U$1000,ROW(),$V$5:$V$1000,"Sub")),$Y298))))</f>
        <v/>
      </c>
      <c r="N298" s="56">
        <f>IF(OR($M298="",$V298="Sub"),"",IF($M298&gt;=1,"Completado",IF($M298&gt;0,"En curso","Pendiente")))</f>
        <v/>
      </c>
      <c r="O298" s="56">
        <f>IF(NOT((COUNTA($B298:$D298)+COUNTA($G298:$H298)+COUNTA($Q298))&gt;0),"",IF(AND(AND($D298&lt;&gt;"",$V298="Macro"),N($AM298)&gt;0),CHOOSE(MATCH($D298,ListaPuestos,0),INDEX('Cronograma R. Operacional'!$O$5:$O$1000,$AM298),INDEX('Cronograma R. Normativo'!$O$5:$O$1000,$AM298),INDEX('Cronograma R. Financiero'!$O$5:$O$1000,$AM298),INDEX('Cronograma Asistente Técnico'!$O$5:$O$1000,$AM298))&amp;"",IF(ISNUMBER($G298),IF(AND(ISNUMBER($AS298),$G298&gt;$AS298),"Cumplida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f>IF(NOT((COUNTA($B298:$D298)+COUNTA($G298:$H298)+COUNTA($Q298))&gt;0),"",IF($D298="","Propia",IF($V298&lt;&gt;"Macro","Solo se delegan macroactividades",IF(N($AM298)&gt;0,"✔ Recibida por "&amp;$D298,"⚠ "&amp;$D298&amp;" aún no la agrega"))))</f>
        <v/>
      </c>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IF($V298&lt;&gt;"Sub","",N($X298)*IF(AND(ISNUMBER($G298),$G298&lt;=IF($S298=MesCiclo,InicioCiclo,$S298+MOD(2-WEEKDAY($S298),7))+6),1,MIN(1,MAX(0,IF(ISNUMBER(OFFSET($A$1,ROW()-1,8)),OFFSET($A$1,ROW()-1,8),0)))))</f>
        <v/>
      </c>
      <c r="AE298" s="62">
        <f>IF($V298&lt;&gt;"Sub","",N($X298)*IF(AND(ISNUMBER($G298),$G298&lt;=IF($S298=MesCiclo,InicioCiclo,$S298+MOD(2-WEEKDAY($S298),7))+13),1,MIN(1,MAX(0,IF(ISNUMBER(OFFSET($A$1,ROW()-1,9)),OFFSET($A$1,ROW()-1,9),IF(ISNUMBER(OFFSET($A$1,ROW()-1,8)),OFFSET($A$1,ROW()-1,8),0))))))</f>
        <v/>
      </c>
      <c r="AF298" s="62">
        <f>IF($V298&lt;&gt;"Sub","",N($X298)*IF(AND(ISNUMBER($G298),$G298&lt;=IF($S298=MesCiclo,InicioCiclo,$S298+MOD(2-WEEKDAY($S298),7))+20),1,MIN(1,MAX(0,IF(ISNUMBER(OFFSET($A$1,ROW()-1,10)),OFFSET($A$1,ROW()-1,10),IF(ISNUMBER(OFFSET($A$1,ROW()-1,9)),OFFSET($A$1,ROW()-1,9),IF(ISNUMBER(OFFSET($A$1,ROW()-1,8)),OFFSET($A$1,ROW()-1,8),0)))))))</f>
        <v/>
      </c>
      <c r="AG298" s="62">
        <f>IF($V298&lt;&gt;"Sub","",N($X298)*IF(AND(ISNUMBER($G298),$G298&lt;=IF($S298=MesCiclo,InicioCiclo,$S298+MOD(2-WEEKDAY($S298),7))+27),1,MIN(1,MAX(0,IF(ISNUMBER(OFFSET($A$1,ROW()-1,11)),OFFSET($A$1,ROW()-1,11),IF(ISNUMBER(OFFSET($A$1,ROW()-1,10)),OFFSET($A$1,ROW()-1,10),IF(ISNUMBER(OFFSET($A$1,ROW()-1,9)),OFFSET($A$1,ROW()-1,9),IF(ISNUMBER(OFFSET($A$1,ROW()-1,8)),OFFSET($A$1,ROW()-1,8),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f>IF(NOT(AND($D298&lt;&gt;"",$V298="Macro")),"",IFERROR(CHOOSE(MATCH($D298,ListaPuestos,0),MATCH("[Jefatura] "&amp;$C298,'Cronograma R. Operacional'!$C$5:$C$1000,0),MATCH("[Jefatura] "&amp;$C298,'Cronograma R. Normativo'!$C$5:$C$1000,0),MATCH("[Jefatura] "&amp;$C298,'Cronograma R. Financiero'!$C$5:$C$1000,0),MATCH("[Jefatura] "&amp;$C298,'Cronograma Asistente Técnico'!$C$5:$C$1000,0)),0))</f>
        <v/>
      </c>
      <c r="AN298" s="62">
        <f>IF(AND(AND($D298&lt;&gt;"",$V298="Macro"),$S298=MesCiclo),COUNTIFS($D$5:$D298,$D298,$S$5:$S298,MesCiclo,$V$5:$V298,"Macro"),"")</f>
        <v/>
      </c>
      <c r="AO298" s="62">
        <f>IF($AN298="","",$D298&amp;"|"&amp;$AN298)</f>
        <v/>
      </c>
      <c r="AP298" s="62">
        <f>IF(AND($D298&lt;&gt;"",$V298="Macro"),$D298&amp;"|"&amp;$C298,"")</f>
        <v/>
      </c>
      <c r="AQ298" s="62">
        <f>""</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t="n"/>
      <c r="F299" s="59" t="n"/>
      <c r="G299" s="59" t="n"/>
      <c r="H299" s="60" t="n"/>
      <c r="I299" s="60">
        <f>IF(N($W299)=0,"",IF(AND($S299=MesCiclo,1&gt;SemanaActual),"",MIN(1,SUMIFS(OFFSET($A$1,ROW(),29,1000-ROW(),1),OFFSET($A$1,ROW(),20,1000-ROW(),1),ROW(),OFFSET($A$1,ROW(),21,1000-ROW(),1),"Sub"))))</f>
        <v/>
      </c>
      <c r="J299" s="60">
        <f>IF(N($W299)=0,"",IF(AND($S299=MesCiclo,2&gt;SemanaActual),"",MIN(1,SUMIFS(OFFSET($A$1,ROW(),30,1000-ROW(),1),OFFSET($A$1,ROW(),20,1000-ROW(),1),ROW(),OFFSET($A$1,ROW(),21,1000-ROW(),1),"Sub"))))</f>
        <v/>
      </c>
      <c r="K299" s="60">
        <f>IF(N($W299)=0,"",IF(AND($S299=MesCiclo,3&gt;SemanaActual),"",MIN(1,SUMIFS(OFFSET($A$1,ROW(),31,1000-ROW(),1),OFFSET($A$1,ROW(),20,1000-ROW(),1),ROW(),OFFSET($A$1,ROW(),21,1000-ROW(),1),"Sub"))))</f>
        <v/>
      </c>
      <c r="L299" s="60">
        <f>IF(N($W299)=0,"",IF(AND($S299=MesCiclo,4&gt;SemanaActual),"",MIN(1,SUMIFS(OFFSET($A$1,ROW(),32,1000-ROW(),1),OFFSET($A$1,ROW(),20,1000-ROW(),1),ROW(),OFFSET($A$1,ROW(),21,1000-ROW(),1),"Sub"))))</f>
        <v/>
      </c>
      <c r="M299" s="61">
        <f>IF(NOT((COUNTA($B299:$D299)+COUNTA($G299:$H299)+COUNTA($Q299))&gt;0),"",IF(AND($D299&lt;&gt;"",$V299="Macro"),IF(N($AM299)&gt;0,N(CHOOSE(MATCH($D299,ListaPuestos,0),INDEX('Cronograma R. Operacional'!$M$5:$M$1000,$AM299),INDEX('Cronograma R. Normativo'!$M$5:$M$1000,$AM299),INDEX('Cronograma R. Financiero'!$M$5:$M$1000,$AM299),INDEX('Cronograma Asistente Técnico'!$M$5:$M$1000,$AM299))),0),IF(ISNUMBER($G299),1,IF(N($W299)&gt;0,MIN(1,SUMIFS($Y$5:$Y$1000,$U$5:$U$1000,ROW(),$V$5:$V$1000,"Sub")),$Y299))))</f>
        <v/>
      </c>
      <c r="N299" s="56">
        <f>IF(OR($M299="",$V299="Sub"),"",IF($M299&gt;=1,"Completado",IF($M299&gt;0,"En curso","Pendiente")))</f>
        <v/>
      </c>
      <c r="O299" s="56">
        <f>IF(NOT((COUNTA($B299:$D299)+COUNTA($G299:$H299)+COUNTA($Q299))&gt;0),"",IF(AND(AND($D299&lt;&gt;"",$V299="Macro"),N($AM299)&gt;0),CHOOSE(MATCH($D299,ListaPuestos,0),INDEX('Cronograma R. Operacional'!$O$5:$O$1000,$AM299),INDEX('Cronograma R. Normativo'!$O$5:$O$1000,$AM299),INDEX('Cronograma R. Financiero'!$O$5:$O$1000,$AM299),INDEX('Cronograma Asistente Técnico'!$O$5:$O$1000,$AM299))&amp;"",IF(ISNUMBER($G299),IF(AND(ISNUMBER($AS299),$G299&gt;$AS299),"Cumplida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f>IF(NOT((COUNTA($B299:$D299)+COUNTA($G299:$H299)+COUNTA($Q299))&gt;0),"",IF($D299="","Propia",IF($V299&lt;&gt;"Macro","Solo se delegan macroactividades",IF(N($AM299)&gt;0,"✔ Recibida por "&amp;$D299,"⚠ "&amp;$D299&amp;" aún no la agrega"))))</f>
        <v/>
      </c>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IF($V299&lt;&gt;"Sub","",N($X299)*IF(AND(ISNUMBER($G299),$G299&lt;=IF($S299=MesCiclo,InicioCiclo,$S299+MOD(2-WEEKDAY($S299),7))+6),1,MIN(1,MAX(0,IF(ISNUMBER(OFFSET($A$1,ROW()-1,8)),OFFSET($A$1,ROW()-1,8),0)))))</f>
        <v/>
      </c>
      <c r="AE299" s="62">
        <f>IF($V299&lt;&gt;"Sub","",N($X299)*IF(AND(ISNUMBER($G299),$G299&lt;=IF($S299=MesCiclo,InicioCiclo,$S299+MOD(2-WEEKDAY($S299),7))+13),1,MIN(1,MAX(0,IF(ISNUMBER(OFFSET($A$1,ROW()-1,9)),OFFSET($A$1,ROW()-1,9),IF(ISNUMBER(OFFSET($A$1,ROW()-1,8)),OFFSET($A$1,ROW()-1,8),0))))))</f>
        <v/>
      </c>
      <c r="AF299" s="62">
        <f>IF($V299&lt;&gt;"Sub","",N($X299)*IF(AND(ISNUMBER($G299),$G299&lt;=IF($S299=MesCiclo,InicioCiclo,$S299+MOD(2-WEEKDAY($S299),7))+20),1,MIN(1,MAX(0,IF(ISNUMBER(OFFSET($A$1,ROW()-1,10)),OFFSET($A$1,ROW()-1,10),IF(ISNUMBER(OFFSET($A$1,ROW()-1,9)),OFFSET($A$1,ROW()-1,9),IF(ISNUMBER(OFFSET($A$1,ROW()-1,8)),OFFSET($A$1,ROW()-1,8),0)))))))</f>
        <v/>
      </c>
      <c r="AG299" s="62">
        <f>IF($V299&lt;&gt;"Sub","",N($X299)*IF(AND(ISNUMBER($G299),$G299&lt;=IF($S299=MesCiclo,InicioCiclo,$S299+MOD(2-WEEKDAY($S299),7))+27),1,MIN(1,MAX(0,IF(ISNUMBER(OFFSET($A$1,ROW()-1,11)),OFFSET($A$1,ROW()-1,11),IF(ISNUMBER(OFFSET($A$1,ROW()-1,10)),OFFSET($A$1,ROW()-1,10),IF(ISNUMBER(OFFSET($A$1,ROW()-1,9)),OFFSET($A$1,ROW()-1,9),IF(ISNUMBER(OFFSET($A$1,ROW()-1,8)),OFFSET($A$1,ROW()-1,8),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f>IF(NOT(AND($D299&lt;&gt;"",$V299="Macro")),"",IFERROR(CHOOSE(MATCH($D299,ListaPuestos,0),MATCH("[Jefatura] "&amp;$C299,'Cronograma R. Operacional'!$C$5:$C$1000,0),MATCH("[Jefatura] "&amp;$C299,'Cronograma R. Normativo'!$C$5:$C$1000,0),MATCH("[Jefatura] "&amp;$C299,'Cronograma R. Financiero'!$C$5:$C$1000,0),MATCH("[Jefatura] "&amp;$C299,'Cronograma Asistente Técnico'!$C$5:$C$1000,0)),0))</f>
        <v/>
      </c>
      <c r="AN299" s="62">
        <f>IF(AND(AND($D299&lt;&gt;"",$V299="Macro"),$S299=MesCiclo),COUNTIFS($D$5:$D299,$D299,$S$5:$S299,MesCiclo,$V$5:$V299,"Macro"),"")</f>
        <v/>
      </c>
      <c r="AO299" s="62">
        <f>IF($AN299="","",$D299&amp;"|"&amp;$AN299)</f>
        <v/>
      </c>
      <c r="AP299" s="62">
        <f>IF(AND($D299&lt;&gt;"",$V299="Macro"),$D299&amp;"|"&amp;$C299,"")</f>
        <v/>
      </c>
      <c r="AQ299" s="62">
        <f>""</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t="n"/>
      <c r="F300" s="59" t="n"/>
      <c r="G300" s="59" t="n"/>
      <c r="H300" s="60" t="n"/>
      <c r="I300" s="60">
        <f>IF(N($W300)=0,"",IF(AND($S300=MesCiclo,1&gt;SemanaActual),"",MIN(1,SUMIFS(OFFSET($A$1,ROW(),29,1000-ROW(),1),OFFSET($A$1,ROW(),20,1000-ROW(),1),ROW(),OFFSET($A$1,ROW(),21,1000-ROW(),1),"Sub"))))</f>
        <v/>
      </c>
      <c r="J300" s="60">
        <f>IF(N($W300)=0,"",IF(AND($S300=MesCiclo,2&gt;SemanaActual),"",MIN(1,SUMIFS(OFFSET($A$1,ROW(),30,1000-ROW(),1),OFFSET($A$1,ROW(),20,1000-ROW(),1),ROW(),OFFSET($A$1,ROW(),21,1000-ROW(),1),"Sub"))))</f>
        <v/>
      </c>
      <c r="K300" s="60">
        <f>IF(N($W300)=0,"",IF(AND($S300=MesCiclo,3&gt;SemanaActual),"",MIN(1,SUMIFS(OFFSET($A$1,ROW(),31,1000-ROW(),1),OFFSET($A$1,ROW(),20,1000-ROW(),1),ROW(),OFFSET($A$1,ROW(),21,1000-ROW(),1),"Sub"))))</f>
        <v/>
      </c>
      <c r="L300" s="60">
        <f>IF(N($W300)=0,"",IF(AND($S300=MesCiclo,4&gt;SemanaActual),"",MIN(1,SUMIFS(OFFSET($A$1,ROW(),32,1000-ROW(),1),OFFSET($A$1,ROW(),20,1000-ROW(),1),ROW(),OFFSET($A$1,ROW(),21,1000-ROW(),1),"Sub"))))</f>
        <v/>
      </c>
      <c r="M300" s="61">
        <f>IF(NOT((COUNTA($B300:$D300)+COUNTA($G300:$H300)+COUNTA($Q300))&gt;0),"",IF(AND($D300&lt;&gt;"",$V300="Macro"),IF(N($AM300)&gt;0,N(CHOOSE(MATCH($D300,ListaPuestos,0),INDEX('Cronograma R. Operacional'!$M$5:$M$1000,$AM300),INDEX('Cronograma R. Normativo'!$M$5:$M$1000,$AM300),INDEX('Cronograma R. Financiero'!$M$5:$M$1000,$AM300),INDEX('Cronograma Asistente Técnico'!$M$5:$M$1000,$AM300))),0),IF(ISNUMBER($G300),1,IF(N($W300)&gt;0,MIN(1,SUMIFS($Y$5:$Y$1000,$U$5:$U$1000,ROW(),$V$5:$V$1000,"Sub")),$Y300))))</f>
        <v/>
      </c>
      <c r="N300" s="56">
        <f>IF(OR($M300="",$V300="Sub"),"",IF($M300&gt;=1,"Completado",IF($M300&gt;0,"En curso","Pendiente")))</f>
        <v/>
      </c>
      <c r="O300" s="56">
        <f>IF(NOT((COUNTA($B300:$D300)+COUNTA($G300:$H300)+COUNTA($Q300))&gt;0),"",IF(AND(AND($D300&lt;&gt;"",$V300="Macro"),N($AM300)&gt;0),CHOOSE(MATCH($D300,ListaPuestos,0),INDEX('Cronograma R. Operacional'!$O$5:$O$1000,$AM300),INDEX('Cronograma R. Normativo'!$O$5:$O$1000,$AM300),INDEX('Cronograma R. Financiero'!$O$5:$O$1000,$AM300),INDEX('Cronograma Asistente Técnico'!$O$5:$O$1000,$AM300))&amp;"",IF(ISNUMBER($G300),IF(AND(ISNUMBER($AS300),$G300&gt;$AS300),"Cumplida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f>IF(NOT((COUNTA($B300:$D300)+COUNTA($G300:$H300)+COUNTA($Q300))&gt;0),"",IF($D300="","Propia",IF($V300&lt;&gt;"Macro","Solo se delegan macroactividades",IF(N($AM300)&gt;0,"✔ Recibida por "&amp;$D300,"⚠ "&amp;$D300&amp;" aún no la agrega"))))</f>
        <v/>
      </c>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IF($V300&lt;&gt;"Sub","",N($X300)*IF(AND(ISNUMBER($G300),$G300&lt;=IF($S300=MesCiclo,InicioCiclo,$S300+MOD(2-WEEKDAY($S300),7))+6),1,MIN(1,MAX(0,IF(ISNUMBER(OFFSET($A$1,ROW()-1,8)),OFFSET($A$1,ROW()-1,8),0)))))</f>
        <v/>
      </c>
      <c r="AE300" s="62">
        <f>IF($V300&lt;&gt;"Sub","",N($X300)*IF(AND(ISNUMBER($G300),$G300&lt;=IF($S300=MesCiclo,InicioCiclo,$S300+MOD(2-WEEKDAY($S300),7))+13),1,MIN(1,MAX(0,IF(ISNUMBER(OFFSET($A$1,ROW()-1,9)),OFFSET($A$1,ROW()-1,9),IF(ISNUMBER(OFFSET($A$1,ROW()-1,8)),OFFSET($A$1,ROW()-1,8),0))))))</f>
        <v/>
      </c>
      <c r="AF300" s="62">
        <f>IF($V300&lt;&gt;"Sub","",N($X300)*IF(AND(ISNUMBER($G300),$G300&lt;=IF($S300=MesCiclo,InicioCiclo,$S300+MOD(2-WEEKDAY($S300),7))+20),1,MIN(1,MAX(0,IF(ISNUMBER(OFFSET($A$1,ROW()-1,10)),OFFSET($A$1,ROW()-1,10),IF(ISNUMBER(OFFSET($A$1,ROW()-1,9)),OFFSET($A$1,ROW()-1,9),IF(ISNUMBER(OFFSET($A$1,ROW()-1,8)),OFFSET($A$1,ROW()-1,8),0)))))))</f>
        <v/>
      </c>
      <c r="AG300" s="62">
        <f>IF($V300&lt;&gt;"Sub","",N($X300)*IF(AND(ISNUMBER($G300),$G300&lt;=IF($S300=MesCiclo,InicioCiclo,$S300+MOD(2-WEEKDAY($S300),7))+27),1,MIN(1,MAX(0,IF(ISNUMBER(OFFSET($A$1,ROW()-1,11)),OFFSET($A$1,ROW()-1,11),IF(ISNUMBER(OFFSET($A$1,ROW()-1,10)),OFFSET($A$1,ROW()-1,10),IF(ISNUMBER(OFFSET($A$1,ROW()-1,9)),OFFSET($A$1,ROW()-1,9),IF(ISNUMBER(OFFSET($A$1,ROW()-1,8)),OFFSET($A$1,ROW()-1,8),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f>IF(NOT(AND($D300&lt;&gt;"",$V300="Macro")),"",IFERROR(CHOOSE(MATCH($D300,ListaPuestos,0),MATCH("[Jefatura] "&amp;$C300,'Cronograma R. Operacional'!$C$5:$C$1000,0),MATCH("[Jefatura] "&amp;$C300,'Cronograma R. Normativo'!$C$5:$C$1000,0),MATCH("[Jefatura] "&amp;$C300,'Cronograma R. Financiero'!$C$5:$C$1000,0),MATCH("[Jefatura] "&amp;$C300,'Cronograma Asistente Técnico'!$C$5:$C$1000,0)),0))</f>
        <v/>
      </c>
      <c r="AN300" s="62">
        <f>IF(AND(AND($D300&lt;&gt;"",$V300="Macro"),$S300=MesCiclo),COUNTIFS($D$5:$D300,$D300,$S$5:$S300,MesCiclo,$V$5:$V300,"Macro"),"")</f>
        <v/>
      </c>
      <c r="AO300" s="62">
        <f>IF($AN300="","",$D300&amp;"|"&amp;$AN300)</f>
        <v/>
      </c>
      <c r="AP300" s="62">
        <f>IF(AND($D300&lt;&gt;"",$V300="Macro"),$D300&amp;"|"&amp;$C300,"")</f>
        <v/>
      </c>
      <c r="AQ300" s="62">
        <f>""</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t="n"/>
      <c r="F301" s="59" t="n"/>
      <c r="G301" s="59" t="n"/>
      <c r="H301" s="60" t="n"/>
      <c r="I301" s="60">
        <f>IF(N($W301)=0,"",IF(AND($S301=MesCiclo,1&gt;SemanaActual),"",MIN(1,SUMIFS(OFFSET($A$1,ROW(),29,1000-ROW(),1),OFFSET($A$1,ROW(),20,1000-ROW(),1),ROW(),OFFSET($A$1,ROW(),21,1000-ROW(),1),"Sub"))))</f>
        <v/>
      </c>
      <c r="J301" s="60">
        <f>IF(N($W301)=0,"",IF(AND($S301=MesCiclo,2&gt;SemanaActual),"",MIN(1,SUMIFS(OFFSET($A$1,ROW(),30,1000-ROW(),1),OFFSET($A$1,ROW(),20,1000-ROW(),1),ROW(),OFFSET($A$1,ROW(),21,1000-ROW(),1),"Sub"))))</f>
        <v/>
      </c>
      <c r="K301" s="60">
        <f>IF(N($W301)=0,"",IF(AND($S301=MesCiclo,3&gt;SemanaActual),"",MIN(1,SUMIFS(OFFSET($A$1,ROW(),31,1000-ROW(),1),OFFSET($A$1,ROW(),20,1000-ROW(),1),ROW(),OFFSET($A$1,ROW(),21,1000-ROW(),1),"Sub"))))</f>
        <v/>
      </c>
      <c r="L301" s="60">
        <f>IF(N($W301)=0,"",IF(AND($S301=MesCiclo,4&gt;SemanaActual),"",MIN(1,SUMIFS(OFFSET($A$1,ROW(),32,1000-ROW(),1),OFFSET($A$1,ROW(),20,1000-ROW(),1),ROW(),OFFSET($A$1,ROW(),21,1000-ROW(),1),"Sub"))))</f>
        <v/>
      </c>
      <c r="M301" s="61">
        <f>IF(NOT((COUNTA($B301:$D301)+COUNTA($G301:$H301)+COUNTA($Q301))&gt;0),"",IF(AND($D301&lt;&gt;"",$V301="Macro"),IF(N($AM301)&gt;0,N(CHOOSE(MATCH($D301,ListaPuestos,0),INDEX('Cronograma R. Operacional'!$M$5:$M$1000,$AM301),INDEX('Cronograma R. Normativo'!$M$5:$M$1000,$AM301),INDEX('Cronograma R. Financiero'!$M$5:$M$1000,$AM301),INDEX('Cronograma Asistente Técnico'!$M$5:$M$1000,$AM301))),0),IF(ISNUMBER($G301),1,IF(N($W301)&gt;0,MIN(1,SUMIFS($Y$5:$Y$1000,$U$5:$U$1000,ROW(),$V$5:$V$1000,"Sub")),$Y301))))</f>
        <v/>
      </c>
      <c r="N301" s="56">
        <f>IF(OR($M301="",$V301="Sub"),"",IF($M301&gt;=1,"Completado",IF($M301&gt;0,"En curso","Pendiente")))</f>
        <v/>
      </c>
      <c r="O301" s="56">
        <f>IF(NOT((COUNTA($B301:$D301)+COUNTA($G301:$H301)+COUNTA($Q301))&gt;0),"",IF(AND(AND($D301&lt;&gt;"",$V301="Macro"),N($AM301)&gt;0),CHOOSE(MATCH($D301,ListaPuestos,0),INDEX('Cronograma R. Operacional'!$O$5:$O$1000,$AM301),INDEX('Cronograma R. Normativo'!$O$5:$O$1000,$AM301),INDEX('Cronograma R. Financiero'!$O$5:$O$1000,$AM301),INDEX('Cronograma Asistente Técnico'!$O$5:$O$1000,$AM301))&amp;"",IF(ISNUMBER($G301),IF(AND(ISNUMBER($AS301),$G301&gt;$AS301),"Cumplida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f>IF(NOT((COUNTA($B301:$D301)+COUNTA($G301:$H301)+COUNTA($Q301))&gt;0),"",IF($D301="","Propia",IF($V301&lt;&gt;"Macro","Solo se delegan macroactividades",IF(N($AM301)&gt;0,"✔ Recibida por "&amp;$D301,"⚠ "&amp;$D301&amp;" aún no la agrega"))))</f>
        <v/>
      </c>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IF($V301&lt;&gt;"Sub","",N($X301)*IF(AND(ISNUMBER($G301),$G301&lt;=IF($S301=MesCiclo,InicioCiclo,$S301+MOD(2-WEEKDAY($S301),7))+6),1,MIN(1,MAX(0,IF(ISNUMBER(OFFSET($A$1,ROW()-1,8)),OFFSET($A$1,ROW()-1,8),0)))))</f>
        <v/>
      </c>
      <c r="AE301" s="62">
        <f>IF($V301&lt;&gt;"Sub","",N($X301)*IF(AND(ISNUMBER($G301),$G301&lt;=IF($S301=MesCiclo,InicioCiclo,$S301+MOD(2-WEEKDAY($S301),7))+13),1,MIN(1,MAX(0,IF(ISNUMBER(OFFSET($A$1,ROW()-1,9)),OFFSET($A$1,ROW()-1,9),IF(ISNUMBER(OFFSET($A$1,ROW()-1,8)),OFFSET($A$1,ROW()-1,8),0))))))</f>
        <v/>
      </c>
      <c r="AF301" s="62">
        <f>IF($V301&lt;&gt;"Sub","",N($X301)*IF(AND(ISNUMBER($G301),$G301&lt;=IF($S301=MesCiclo,InicioCiclo,$S301+MOD(2-WEEKDAY($S301),7))+20),1,MIN(1,MAX(0,IF(ISNUMBER(OFFSET($A$1,ROW()-1,10)),OFFSET($A$1,ROW()-1,10),IF(ISNUMBER(OFFSET($A$1,ROW()-1,9)),OFFSET($A$1,ROW()-1,9),IF(ISNUMBER(OFFSET($A$1,ROW()-1,8)),OFFSET($A$1,ROW()-1,8),0)))))))</f>
        <v/>
      </c>
      <c r="AG301" s="62">
        <f>IF($V301&lt;&gt;"Sub","",N($X301)*IF(AND(ISNUMBER($G301),$G301&lt;=IF($S301=MesCiclo,InicioCiclo,$S301+MOD(2-WEEKDAY($S301),7))+27),1,MIN(1,MAX(0,IF(ISNUMBER(OFFSET($A$1,ROW()-1,11)),OFFSET($A$1,ROW()-1,11),IF(ISNUMBER(OFFSET($A$1,ROW()-1,10)),OFFSET($A$1,ROW()-1,10),IF(ISNUMBER(OFFSET($A$1,ROW()-1,9)),OFFSET($A$1,ROW()-1,9),IF(ISNUMBER(OFFSET($A$1,ROW()-1,8)),OFFSET($A$1,ROW()-1,8),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f>IF(NOT(AND($D301&lt;&gt;"",$V301="Macro")),"",IFERROR(CHOOSE(MATCH($D301,ListaPuestos,0),MATCH("[Jefatura] "&amp;$C301,'Cronograma R. Operacional'!$C$5:$C$1000,0),MATCH("[Jefatura] "&amp;$C301,'Cronograma R. Normativo'!$C$5:$C$1000,0),MATCH("[Jefatura] "&amp;$C301,'Cronograma R. Financiero'!$C$5:$C$1000,0),MATCH("[Jefatura] "&amp;$C301,'Cronograma Asistente Técnico'!$C$5:$C$1000,0)),0))</f>
        <v/>
      </c>
      <c r="AN301" s="62">
        <f>IF(AND(AND($D301&lt;&gt;"",$V301="Macro"),$S301=MesCiclo),COUNTIFS($D$5:$D301,$D301,$S$5:$S301,MesCiclo,$V$5:$V301,"Macro"),"")</f>
        <v/>
      </c>
      <c r="AO301" s="62">
        <f>IF($AN301="","",$D301&amp;"|"&amp;$AN301)</f>
        <v/>
      </c>
      <c r="AP301" s="62">
        <f>IF(AND($D301&lt;&gt;"",$V301="Macro"),$D301&amp;"|"&amp;$C301,"")</f>
        <v/>
      </c>
      <c r="AQ301" s="62">
        <f>""</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t="n"/>
      <c r="F302" s="59" t="n"/>
      <c r="G302" s="59" t="n"/>
      <c r="H302" s="60" t="n"/>
      <c r="I302" s="60">
        <f>IF(N($W302)=0,"",IF(AND($S302=MesCiclo,1&gt;SemanaActual),"",MIN(1,SUMIFS(OFFSET($A$1,ROW(),29,1000-ROW(),1),OFFSET($A$1,ROW(),20,1000-ROW(),1),ROW(),OFFSET($A$1,ROW(),21,1000-ROW(),1),"Sub"))))</f>
        <v/>
      </c>
      <c r="J302" s="60">
        <f>IF(N($W302)=0,"",IF(AND($S302=MesCiclo,2&gt;SemanaActual),"",MIN(1,SUMIFS(OFFSET($A$1,ROW(),30,1000-ROW(),1),OFFSET($A$1,ROW(),20,1000-ROW(),1),ROW(),OFFSET($A$1,ROW(),21,1000-ROW(),1),"Sub"))))</f>
        <v/>
      </c>
      <c r="K302" s="60">
        <f>IF(N($W302)=0,"",IF(AND($S302=MesCiclo,3&gt;SemanaActual),"",MIN(1,SUMIFS(OFFSET($A$1,ROW(),31,1000-ROW(),1),OFFSET($A$1,ROW(),20,1000-ROW(),1),ROW(),OFFSET($A$1,ROW(),21,1000-ROW(),1),"Sub"))))</f>
        <v/>
      </c>
      <c r="L302" s="60">
        <f>IF(N($W302)=0,"",IF(AND($S302=MesCiclo,4&gt;SemanaActual),"",MIN(1,SUMIFS(OFFSET($A$1,ROW(),32,1000-ROW(),1),OFFSET($A$1,ROW(),20,1000-ROW(),1),ROW(),OFFSET($A$1,ROW(),21,1000-ROW(),1),"Sub"))))</f>
        <v/>
      </c>
      <c r="M302" s="61">
        <f>IF(NOT((COUNTA($B302:$D302)+COUNTA($G302:$H302)+COUNTA($Q302))&gt;0),"",IF(AND($D302&lt;&gt;"",$V302="Macro"),IF(N($AM302)&gt;0,N(CHOOSE(MATCH($D302,ListaPuestos,0),INDEX('Cronograma R. Operacional'!$M$5:$M$1000,$AM302),INDEX('Cronograma R. Normativo'!$M$5:$M$1000,$AM302),INDEX('Cronograma R. Financiero'!$M$5:$M$1000,$AM302),INDEX('Cronograma Asistente Técnico'!$M$5:$M$1000,$AM302))),0),IF(ISNUMBER($G302),1,IF(N($W302)&gt;0,MIN(1,SUMIFS($Y$5:$Y$1000,$U$5:$U$1000,ROW(),$V$5:$V$1000,"Sub")),$Y302))))</f>
        <v/>
      </c>
      <c r="N302" s="56">
        <f>IF(OR($M302="",$V302="Sub"),"",IF($M302&gt;=1,"Completado",IF($M302&gt;0,"En curso","Pendiente")))</f>
        <v/>
      </c>
      <c r="O302" s="56">
        <f>IF(NOT((COUNTA($B302:$D302)+COUNTA($G302:$H302)+COUNTA($Q302))&gt;0),"",IF(AND(AND($D302&lt;&gt;"",$V302="Macro"),N($AM302)&gt;0),CHOOSE(MATCH($D302,ListaPuestos,0),INDEX('Cronograma R. Operacional'!$O$5:$O$1000,$AM302),INDEX('Cronograma R. Normativo'!$O$5:$O$1000,$AM302),INDEX('Cronograma R. Financiero'!$O$5:$O$1000,$AM302),INDEX('Cronograma Asistente Técnico'!$O$5:$O$1000,$AM302))&amp;"",IF(ISNUMBER($G302),IF(AND(ISNUMBER($AS302),$G302&gt;$AS302),"Cumplida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f>IF(NOT((COUNTA($B302:$D302)+COUNTA($G302:$H302)+COUNTA($Q302))&gt;0),"",IF($D302="","Propia",IF($V302&lt;&gt;"Macro","Solo se delegan macroactividades",IF(N($AM302)&gt;0,"✔ Recibida por "&amp;$D302,"⚠ "&amp;$D302&amp;" aún no la agrega"))))</f>
        <v/>
      </c>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IF($V302&lt;&gt;"Sub","",N($X302)*IF(AND(ISNUMBER($G302),$G302&lt;=IF($S302=MesCiclo,InicioCiclo,$S302+MOD(2-WEEKDAY($S302),7))+6),1,MIN(1,MAX(0,IF(ISNUMBER(OFFSET($A$1,ROW()-1,8)),OFFSET($A$1,ROW()-1,8),0)))))</f>
        <v/>
      </c>
      <c r="AE302" s="62">
        <f>IF($V302&lt;&gt;"Sub","",N($X302)*IF(AND(ISNUMBER($G302),$G302&lt;=IF($S302=MesCiclo,InicioCiclo,$S302+MOD(2-WEEKDAY($S302),7))+13),1,MIN(1,MAX(0,IF(ISNUMBER(OFFSET($A$1,ROW()-1,9)),OFFSET($A$1,ROW()-1,9),IF(ISNUMBER(OFFSET($A$1,ROW()-1,8)),OFFSET($A$1,ROW()-1,8),0))))))</f>
        <v/>
      </c>
      <c r="AF302" s="62">
        <f>IF($V302&lt;&gt;"Sub","",N($X302)*IF(AND(ISNUMBER($G302),$G302&lt;=IF($S302=MesCiclo,InicioCiclo,$S302+MOD(2-WEEKDAY($S302),7))+20),1,MIN(1,MAX(0,IF(ISNUMBER(OFFSET($A$1,ROW()-1,10)),OFFSET($A$1,ROW()-1,10),IF(ISNUMBER(OFFSET($A$1,ROW()-1,9)),OFFSET($A$1,ROW()-1,9),IF(ISNUMBER(OFFSET($A$1,ROW()-1,8)),OFFSET($A$1,ROW()-1,8),0)))))))</f>
        <v/>
      </c>
      <c r="AG302" s="62">
        <f>IF($V302&lt;&gt;"Sub","",N($X302)*IF(AND(ISNUMBER($G302),$G302&lt;=IF($S302=MesCiclo,InicioCiclo,$S302+MOD(2-WEEKDAY($S302),7))+27),1,MIN(1,MAX(0,IF(ISNUMBER(OFFSET($A$1,ROW()-1,11)),OFFSET($A$1,ROW()-1,11),IF(ISNUMBER(OFFSET($A$1,ROW()-1,10)),OFFSET($A$1,ROW()-1,10),IF(ISNUMBER(OFFSET($A$1,ROW()-1,9)),OFFSET($A$1,ROW()-1,9),IF(ISNUMBER(OFFSET($A$1,ROW()-1,8)),OFFSET($A$1,ROW()-1,8),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f>IF(NOT(AND($D302&lt;&gt;"",$V302="Macro")),"",IFERROR(CHOOSE(MATCH($D302,ListaPuestos,0),MATCH("[Jefatura] "&amp;$C302,'Cronograma R. Operacional'!$C$5:$C$1000,0),MATCH("[Jefatura] "&amp;$C302,'Cronograma R. Normativo'!$C$5:$C$1000,0),MATCH("[Jefatura] "&amp;$C302,'Cronograma R. Financiero'!$C$5:$C$1000,0),MATCH("[Jefatura] "&amp;$C302,'Cronograma Asistente Técnico'!$C$5:$C$1000,0)),0))</f>
        <v/>
      </c>
      <c r="AN302" s="62">
        <f>IF(AND(AND($D302&lt;&gt;"",$V302="Macro"),$S302=MesCiclo),COUNTIFS($D$5:$D302,$D302,$S$5:$S302,MesCiclo,$V$5:$V302,"Macro"),"")</f>
        <v/>
      </c>
      <c r="AO302" s="62">
        <f>IF($AN302="","",$D302&amp;"|"&amp;$AN302)</f>
        <v/>
      </c>
      <c r="AP302" s="62">
        <f>IF(AND($D302&lt;&gt;"",$V302="Macro"),$D302&amp;"|"&amp;$C302,"")</f>
        <v/>
      </c>
      <c r="AQ302" s="62">
        <f>""</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t="n"/>
      <c r="F303" s="59" t="n"/>
      <c r="G303" s="59" t="n"/>
      <c r="H303" s="60" t="n"/>
      <c r="I303" s="60">
        <f>IF(N($W303)=0,"",IF(AND($S303=MesCiclo,1&gt;SemanaActual),"",MIN(1,SUMIFS(OFFSET($A$1,ROW(),29,1000-ROW(),1),OFFSET($A$1,ROW(),20,1000-ROW(),1),ROW(),OFFSET($A$1,ROW(),21,1000-ROW(),1),"Sub"))))</f>
        <v/>
      </c>
      <c r="J303" s="60">
        <f>IF(N($W303)=0,"",IF(AND($S303=MesCiclo,2&gt;SemanaActual),"",MIN(1,SUMIFS(OFFSET($A$1,ROW(),30,1000-ROW(),1),OFFSET($A$1,ROW(),20,1000-ROW(),1),ROW(),OFFSET($A$1,ROW(),21,1000-ROW(),1),"Sub"))))</f>
        <v/>
      </c>
      <c r="K303" s="60">
        <f>IF(N($W303)=0,"",IF(AND($S303=MesCiclo,3&gt;SemanaActual),"",MIN(1,SUMIFS(OFFSET($A$1,ROW(),31,1000-ROW(),1),OFFSET($A$1,ROW(),20,1000-ROW(),1),ROW(),OFFSET($A$1,ROW(),21,1000-ROW(),1),"Sub"))))</f>
        <v/>
      </c>
      <c r="L303" s="60">
        <f>IF(N($W303)=0,"",IF(AND($S303=MesCiclo,4&gt;SemanaActual),"",MIN(1,SUMIFS(OFFSET($A$1,ROW(),32,1000-ROW(),1),OFFSET($A$1,ROW(),20,1000-ROW(),1),ROW(),OFFSET($A$1,ROW(),21,1000-ROW(),1),"Sub"))))</f>
        <v/>
      </c>
      <c r="M303" s="61">
        <f>IF(NOT((COUNTA($B303:$D303)+COUNTA($G303:$H303)+COUNTA($Q303))&gt;0),"",IF(AND($D303&lt;&gt;"",$V303="Macro"),IF(N($AM303)&gt;0,N(CHOOSE(MATCH($D303,ListaPuestos,0),INDEX('Cronograma R. Operacional'!$M$5:$M$1000,$AM303),INDEX('Cronograma R. Normativo'!$M$5:$M$1000,$AM303),INDEX('Cronograma R. Financiero'!$M$5:$M$1000,$AM303),INDEX('Cronograma Asistente Técnico'!$M$5:$M$1000,$AM303))),0),IF(ISNUMBER($G303),1,IF(N($W303)&gt;0,MIN(1,SUMIFS($Y$5:$Y$1000,$U$5:$U$1000,ROW(),$V$5:$V$1000,"Sub")),$Y303))))</f>
        <v/>
      </c>
      <c r="N303" s="56">
        <f>IF(OR($M303="",$V303="Sub"),"",IF($M303&gt;=1,"Completado",IF($M303&gt;0,"En curso","Pendiente")))</f>
        <v/>
      </c>
      <c r="O303" s="56">
        <f>IF(NOT((COUNTA($B303:$D303)+COUNTA($G303:$H303)+COUNTA($Q303))&gt;0),"",IF(AND(AND($D303&lt;&gt;"",$V303="Macro"),N($AM303)&gt;0),CHOOSE(MATCH($D303,ListaPuestos,0),INDEX('Cronograma R. Operacional'!$O$5:$O$1000,$AM303),INDEX('Cronograma R. Normativo'!$O$5:$O$1000,$AM303),INDEX('Cronograma R. Financiero'!$O$5:$O$1000,$AM303),INDEX('Cronograma Asistente Técnico'!$O$5:$O$1000,$AM303))&amp;"",IF(ISNUMBER($G303),IF(AND(ISNUMBER($AS303),$G303&gt;$AS303),"Cumplida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f>IF(NOT((COUNTA($B303:$D303)+COUNTA($G303:$H303)+COUNTA($Q303))&gt;0),"",IF($D303="","Propia",IF($V303&lt;&gt;"Macro","Solo se delegan macroactividades",IF(N($AM303)&gt;0,"✔ Recibida por "&amp;$D303,"⚠ "&amp;$D303&amp;" aún no la agrega"))))</f>
        <v/>
      </c>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IF($V303&lt;&gt;"Sub","",N($X303)*IF(AND(ISNUMBER($G303),$G303&lt;=IF($S303=MesCiclo,InicioCiclo,$S303+MOD(2-WEEKDAY($S303),7))+6),1,MIN(1,MAX(0,IF(ISNUMBER(OFFSET($A$1,ROW()-1,8)),OFFSET($A$1,ROW()-1,8),0)))))</f>
        <v/>
      </c>
      <c r="AE303" s="62">
        <f>IF($V303&lt;&gt;"Sub","",N($X303)*IF(AND(ISNUMBER($G303),$G303&lt;=IF($S303=MesCiclo,InicioCiclo,$S303+MOD(2-WEEKDAY($S303),7))+13),1,MIN(1,MAX(0,IF(ISNUMBER(OFFSET($A$1,ROW()-1,9)),OFFSET($A$1,ROW()-1,9),IF(ISNUMBER(OFFSET($A$1,ROW()-1,8)),OFFSET($A$1,ROW()-1,8),0))))))</f>
        <v/>
      </c>
      <c r="AF303" s="62">
        <f>IF($V303&lt;&gt;"Sub","",N($X303)*IF(AND(ISNUMBER($G303),$G303&lt;=IF($S303=MesCiclo,InicioCiclo,$S303+MOD(2-WEEKDAY($S303),7))+20),1,MIN(1,MAX(0,IF(ISNUMBER(OFFSET($A$1,ROW()-1,10)),OFFSET($A$1,ROW()-1,10),IF(ISNUMBER(OFFSET($A$1,ROW()-1,9)),OFFSET($A$1,ROW()-1,9),IF(ISNUMBER(OFFSET($A$1,ROW()-1,8)),OFFSET($A$1,ROW()-1,8),0)))))))</f>
        <v/>
      </c>
      <c r="AG303" s="62">
        <f>IF($V303&lt;&gt;"Sub","",N($X303)*IF(AND(ISNUMBER($G303),$G303&lt;=IF($S303=MesCiclo,InicioCiclo,$S303+MOD(2-WEEKDAY($S303),7))+27),1,MIN(1,MAX(0,IF(ISNUMBER(OFFSET($A$1,ROW()-1,11)),OFFSET($A$1,ROW()-1,11),IF(ISNUMBER(OFFSET($A$1,ROW()-1,10)),OFFSET($A$1,ROW()-1,10),IF(ISNUMBER(OFFSET($A$1,ROW()-1,9)),OFFSET($A$1,ROW()-1,9),IF(ISNUMBER(OFFSET($A$1,ROW()-1,8)),OFFSET($A$1,ROW()-1,8),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f>IF(NOT(AND($D303&lt;&gt;"",$V303="Macro")),"",IFERROR(CHOOSE(MATCH($D303,ListaPuestos,0),MATCH("[Jefatura] "&amp;$C303,'Cronograma R. Operacional'!$C$5:$C$1000,0),MATCH("[Jefatura] "&amp;$C303,'Cronograma R. Normativo'!$C$5:$C$1000,0),MATCH("[Jefatura] "&amp;$C303,'Cronograma R. Financiero'!$C$5:$C$1000,0),MATCH("[Jefatura] "&amp;$C303,'Cronograma Asistente Técnico'!$C$5:$C$1000,0)),0))</f>
        <v/>
      </c>
      <c r="AN303" s="62">
        <f>IF(AND(AND($D303&lt;&gt;"",$V303="Macro"),$S303=MesCiclo),COUNTIFS($D$5:$D303,$D303,$S$5:$S303,MesCiclo,$V$5:$V303,"Macro"),"")</f>
        <v/>
      </c>
      <c r="AO303" s="62">
        <f>IF($AN303="","",$D303&amp;"|"&amp;$AN303)</f>
        <v/>
      </c>
      <c r="AP303" s="62">
        <f>IF(AND($D303&lt;&gt;"",$V303="Macro"),$D303&amp;"|"&amp;$C303,"")</f>
        <v/>
      </c>
      <c r="AQ303" s="62">
        <f>""</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t="n"/>
      <c r="F304" s="59" t="n"/>
      <c r="G304" s="59" t="n"/>
      <c r="H304" s="60" t="n"/>
      <c r="I304" s="60">
        <f>IF(N($W304)=0,"",IF(AND($S304=MesCiclo,1&gt;SemanaActual),"",MIN(1,SUMIFS(OFFSET($A$1,ROW(),29,1000-ROW(),1),OFFSET($A$1,ROW(),20,1000-ROW(),1),ROW(),OFFSET($A$1,ROW(),21,1000-ROW(),1),"Sub"))))</f>
        <v/>
      </c>
      <c r="J304" s="60">
        <f>IF(N($W304)=0,"",IF(AND($S304=MesCiclo,2&gt;SemanaActual),"",MIN(1,SUMIFS(OFFSET($A$1,ROW(),30,1000-ROW(),1),OFFSET($A$1,ROW(),20,1000-ROW(),1),ROW(),OFFSET($A$1,ROW(),21,1000-ROW(),1),"Sub"))))</f>
        <v/>
      </c>
      <c r="K304" s="60">
        <f>IF(N($W304)=0,"",IF(AND($S304=MesCiclo,3&gt;SemanaActual),"",MIN(1,SUMIFS(OFFSET($A$1,ROW(),31,1000-ROW(),1),OFFSET($A$1,ROW(),20,1000-ROW(),1),ROW(),OFFSET($A$1,ROW(),21,1000-ROW(),1),"Sub"))))</f>
        <v/>
      </c>
      <c r="L304" s="60">
        <f>IF(N($W304)=0,"",IF(AND($S304=MesCiclo,4&gt;SemanaActual),"",MIN(1,SUMIFS(OFFSET($A$1,ROW(),32,1000-ROW(),1),OFFSET($A$1,ROW(),20,1000-ROW(),1),ROW(),OFFSET($A$1,ROW(),21,1000-ROW(),1),"Sub"))))</f>
        <v/>
      </c>
      <c r="M304" s="61">
        <f>IF(NOT((COUNTA($B304:$D304)+COUNTA($G304:$H304)+COUNTA($Q304))&gt;0),"",IF(AND($D304&lt;&gt;"",$V304="Macro"),IF(N($AM304)&gt;0,N(CHOOSE(MATCH($D304,ListaPuestos,0),INDEX('Cronograma R. Operacional'!$M$5:$M$1000,$AM304),INDEX('Cronograma R. Normativo'!$M$5:$M$1000,$AM304),INDEX('Cronograma R. Financiero'!$M$5:$M$1000,$AM304),INDEX('Cronograma Asistente Técnico'!$M$5:$M$1000,$AM304))),0),IF(ISNUMBER($G304),1,IF(N($W304)&gt;0,MIN(1,SUMIFS($Y$5:$Y$1000,$U$5:$U$1000,ROW(),$V$5:$V$1000,"Sub")),$Y304))))</f>
        <v/>
      </c>
      <c r="N304" s="56">
        <f>IF(OR($M304="",$V304="Sub"),"",IF($M304&gt;=1,"Completado",IF($M304&gt;0,"En curso","Pendiente")))</f>
        <v/>
      </c>
      <c r="O304" s="56">
        <f>IF(NOT((COUNTA($B304:$D304)+COUNTA($G304:$H304)+COUNTA($Q304))&gt;0),"",IF(AND(AND($D304&lt;&gt;"",$V304="Macro"),N($AM304)&gt;0),CHOOSE(MATCH($D304,ListaPuestos,0),INDEX('Cronograma R. Operacional'!$O$5:$O$1000,$AM304),INDEX('Cronograma R. Normativo'!$O$5:$O$1000,$AM304),INDEX('Cronograma R. Financiero'!$O$5:$O$1000,$AM304),INDEX('Cronograma Asistente Técnico'!$O$5:$O$1000,$AM304))&amp;"",IF(ISNUMBER($G304),IF(AND(ISNUMBER($AS304),$G304&gt;$AS304),"Cumplida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f>IF(NOT((COUNTA($B304:$D304)+COUNTA($G304:$H304)+COUNTA($Q304))&gt;0),"",IF($D304="","Propia",IF($V304&lt;&gt;"Macro","Solo se delegan macroactividades",IF(N($AM304)&gt;0,"✔ Recibida por "&amp;$D304,"⚠ "&amp;$D304&amp;" aún no la agrega"))))</f>
        <v/>
      </c>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IF($V304&lt;&gt;"Sub","",N($X304)*IF(AND(ISNUMBER($G304),$G304&lt;=IF($S304=MesCiclo,InicioCiclo,$S304+MOD(2-WEEKDAY($S304),7))+6),1,MIN(1,MAX(0,IF(ISNUMBER(OFFSET($A$1,ROW()-1,8)),OFFSET($A$1,ROW()-1,8),0)))))</f>
        <v/>
      </c>
      <c r="AE304" s="62">
        <f>IF($V304&lt;&gt;"Sub","",N($X304)*IF(AND(ISNUMBER($G304),$G304&lt;=IF($S304=MesCiclo,InicioCiclo,$S304+MOD(2-WEEKDAY($S304),7))+13),1,MIN(1,MAX(0,IF(ISNUMBER(OFFSET($A$1,ROW()-1,9)),OFFSET($A$1,ROW()-1,9),IF(ISNUMBER(OFFSET($A$1,ROW()-1,8)),OFFSET($A$1,ROW()-1,8),0))))))</f>
        <v/>
      </c>
      <c r="AF304" s="62">
        <f>IF($V304&lt;&gt;"Sub","",N($X304)*IF(AND(ISNUMBER($G304),$G304&lt;=IF($S304=MesCiclo,InicioCiclo,$S304+MOD(2-WEEKDAY($S304),7))+20),1,MIN(1,MAX(0,IF(ISNUMBER(OFFSET($A$1,ROW()-1,10)),OFFSET($A$1,ROW()-1,10),IF(ISNUMBER(OFFSET($A$1,ROW()-1,9)),OFFSET($A$1,ROW()-1,9),IF(ISNUMBER(OFFSET($A$1,ROW()-1,8)),OFFSET($A$1,ROW()-1,8),0)))))))</f>
        <v/>
      </c>
      <c r="AG304" s="62">
        <f>IF($V304&lt;&gt;"Sub","",N($X304)*IF(AND(ISNUMBER($G304),$G304&lt;=IF($S304=MesCiclo,InicioCiclo,$S304+MOD(2-WEEKDAY($S304),7))+27),1,MIN(1,MAX(0,IF(ISNUMBER(OFFSET($A$1,ROW()-1,11)),OFFSET($A$1,ROW()-1,11),IF(ISNUMBER(OFFSET($A$1,ROW()-1,10)),OFFSET($A$1,ROW()-1,10),IF(ISNUMBER(OFFSET($A$1,ROW()-1,9)),OFFSET($A$1,ROW()-1,9),IF(ISNUMBER(OFFSET($A$1,ROW()-1,8)),OFFSET($A$1,ROW()-1,8),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f>IF(NOT(AND($D304&lt;&gt;"",$V304="Macro")),"",IFERROR(CHOOSE(MATCH($D304,ListaPuestos,0),MATCH("[Jefatura] "&amp;$C304,'Cronograma R. Operacional'!$C$5:$C$1000,0),MATCH("[Jefatura] "&amp;$C304,'Cronograma R. Normativo'!$C$5:$C$1000,0),MATCH("[Jefatura] "&amp;$C304,'Cronograma R. Financiero'!$C$5:$C$1000,0),MATCH("[Jefatura] "&amp;$C304,'Cronograma Asistente Técnico'!$C$5:$C$1000,0)),0))</f>
        <v/>
      </c>
      <c r="AN304" s="62">
        <f>IF(AND(AND($D304&lt;&gt;"",$V304="Macro"),$S304=MesCiclo),COUNTIFS($D$5:$D304,$D304,$S$5:$S304,MesCiclo,$V$5:$V304,"Macro"),"")</f>
        <v/>
      </c>
      <c r="AO304" s="62">
        <f>IF($AN304="","",$D304&amp;"|"&amp;$AN304)</f>
        <v/>
      </c>
      <c r="AP304" s="62">
        <f>IF(AND($D304&lt;&gt;"",$V304="Macro"),$D304&amp;"|"&amp;$C304,"")</f>
        <v/>
      </c>
      <c r="AQ304" s="62">
        <f>""</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I3:L3">
    <cfRule type="expression" priority="4" dxfId="1">
      <formula>COLUMN(I3)-8=SemanaActual</formula>
    </cfRule>
  </conditionalFormatting>
  <conditionalFormatting sqref="C5:C1000">
    <cfRule type="expression" priority="5" dxfId="10" stopIfTrue="1">
      <formula>LEFT($C5,11)="[Jefatura] "</formula>
    </cfRule>
    <cfRule type="expression" priority="8" dxfId="11" stopIfTrue="1">
      <formula>AND($V5="Sub",LEN($C5)&lt;=255)</formula>
    </cfRule>
    <cfRule type="expression" priority="9" dxfId="12">
      <formula>$V5="Sub"</formula>
    </cfRule>
  </conditionalFormatting>
  <conditionalFormatting sqref="A5:C1000">
    <cfRule type="expression" priority="6" dxfId="5" stopIfTrue="1">
      <formula>AND($V5="Macro",$C5="")</formula>
    </cfRule>
    <cfRule type="expression" priority="7" dxfId="13">
      <formula>$V5="Macro"</formula>
    </cfRule>
  </conditionalFormatting>
  <conditionalFormatting sqref="P5:P1000">
    <cfRule type="expression" priority="10" dxfId="0">
      <formula>LEFT($P5,1)="✔"</formula>
    </cfRule>
    <cfRule type="expression" priority="11" dxfId="2">
      <formula>LEFT($P5,1)="⚠"</formula>
    </cfRule>
  </conditionalFormatting>
  <conditionalFormatting sqref="N5:N1000">
    <cfRule type="expression" priority="12" dxfId="0">
      <formula>$N5="Completado"</formula>
    </cfRule>
    <cfRule type="expression" priority="13" dxfId="4">
      <formula>$N5="En curso"</formula>
    </cfRule>
    <cfRule type="expression" priority="14" dxfId="5">
      <formula>$N5="Pendiente"</formula>
    </cfRule>
  </conditionalFormatting>
  <conditionalFormatting sqref="O5:O1000">
    <cfRule type="expression" priority="15" dxfId="8" stopIfTrue="1">
      <formula>LEFT($O5,7)="Vencida"</formula>
    </cfRule>
    <cfRule type="expression" priority="16" dxfId="9" stopIfTrue="1">
      <formula>LEFT($O5,5)="Vence"</formula>
    </cfRule>
    <cfRule type="expression" priority="17" dxfId="0" stopIfTrue="1">
      <formula>LEFT($O5,8)="Cumplida"</formula>
    </cfRule>
    <cfRule type="expression" priority="18" dxfId="14" stopIfTrue="1">
      <formula>$O5="En plazo"</formula>
    </cfRule>
    <cfRule type="expression" priority="19" dxfId="5">
      <formula>$O5="Sin fecha límite"</formula>
    </cfRule>
  </conditionalFormatting>
  <conditionalFormatting sqref="I5:L1000">
    <cfRule type="expression" priority="20" dxfId="15" stopIfTrue="1">
      <formula>AND($V5="Sub",ISNUMBER($G5),MIN(4,MAX(1,INT(($G5-InicioCiclo)/7)+1))=COLUMN(I5)-8)</formula>
    </cfRule>
    <cfRule type="expression" priority="29" dxfId="5" stopIfTrue="1">
      <formula>AND(N($W5)&gt;0,I5&lt;&gt;"")</formula>
    </cfRule>
    <cfRule type="expression" priority="30" dxfId="16" stopIfTrue="1">
      <formula>OR(N($W5)&gt;0,ISNUMBER($G5))</formula>
    </cfRule>
    <cfRule type="expression" priority="31" dxfId="5" stopIfTrue="1">
      <formula>AND(I5&lt;&gt;"",OR(NOT(ISNUMBER(I5)),I5&gt;1,I5&lt;0))</formula>
    </cfRule>
  </conditionalFormatting>
  <conditionalFormatting sqref="M5:M1000">
    <cfRule type="expression" priority="21" dxfId="0">
      <formula>AND(ISNUMBER($M5),$M5&gt;=1)</formula>
    </cfRule>
    <cfRule type="dataBar" priority="22">
      <dataBar showValue="1">
        <cfvo type="num" val="0"/>
        <cfvo type="num" val="1"/>
        <color rgb="005B9BD5"/>
      </dataBar>
    </cfRule>
  </conditionalFormatting>
  <conditionalFormatting sqref="G5:G1000">
    <cfRule type="expression" priority="23" dxfId="0">
      <formula>ISNUMBER($G5)</formula>
    </cfRule>
  </conditionalFormatting>
  <conditionalFormatting sqref="F5:F1000">
    <cfRule type="expression" priority="24" dxfId="6" stopIfTrue="1">
      <formula>AND(ISNUMBER($AS5),$AS5&lt;FechaRef,IF($V5="Sub",1,N($M5))&lt;1)</formula>
    </cfRule>
    <cfRule type="expression" priority="25" dxfId="7">
      <formula>AND(ISNUMBER($AS5),$AS5&gt;=FechaRef,$AS5-FechaRef&lt;=DiasAlerta,IF($V5="Sub",1,N($M5))&lt;1)</formula>
    </cfRule>
  </conditionalFormatting>
  <conditionalFormatting sqref="E5:F1000">
    <cfRule type="expression" priority="26" dxfId="10" stopIfTrue="1">
      <formula>AND(N($AQ5)&gt;0)</formula>
    </cfRule>
    <cfRule type="expression" priority="27" dxfId="5" stopIfTrue="1">
      <formula>AND((COUNTA($B5:$D5)+COUNTA($G5:$H5)+COUNTA($Q5))&gt;0,$AR5="")</formula>
    </cfRule>
    <cfRule type="expression" priority="28" dxfId="6">
      <formula>AND(ISNUMBER($E5),ISNUMBER($F5),$E5&gt;$F5)</formula>
    </cfRule>
  </conditionalFormatting>
  <conditionalFormatting sqref="J5:L1000">
    <cfRule type="expression" priority="32" dxfId="6">
      <formula>AND(J5&lt;&gt;"",J5&lt;MAX($I5:I5))</formula>
    </cfRule>
  </conditionalFormatting>
  <conditionalFormatting sqref="Q5:Q1000">
    <cfRule type="expression" priority="33" dxfId="5">
      <formula>AND(ObsObligatoria="Sí",ISNUMBER($F5),$F5&lt;FechaRef,IF($V5="Sub",1,N($M5))&lt;1,$Q5="")</formula>
    </cfRule>
  </conditionalFormatting>
  <conditionalFormatting sqref="R5:R1000">
    <cfRule type="expression" priority="34" dxfId="5">
      <formula>LEFT($R5,1)="⚠"</formula>
    </cfRule>
    <cfRule type="expression" priority="35" dxfId="17">
      <formula>LEFT($R5,1)="✔"</formula>
    </cfRule>
  </conditionalFormatting>
  <conditionalFormatting sqref="S5:S1000">
    <cfRule type="expression" priority="36" dxfId="1">
      <formula>AND($S5&lt;&gt;"",$S5=MesCiclo)</formula>
    </cfRule>
  </conditionalFormatting>
  <dataValidations count="6">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E5:E1000 F5:F1000" showDropDown="0" showInputMessage="0" showErrorMessage="1" allowBlank="1" errorTitle="Fecha no válida" error="Ingrese una fecha válida (dd/mm/aaaa)." type="date" operator="greaterThan">
      <formula1>36526</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D5:D1000" showDropDown="0" showInputMessage="1" showErrorMessage="1" allowBlank="1" errorTitle="Puesto no válido" error="Elija un puesto de la lista o deje vacío (actividad de la jefatura)." promptTitle="Delegar a" prompt="Elija el puesto al que delega esta macroactividad. Vacío = la hace la jefatura." type="list">
      <formula1>ListaPuestos</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B1:Q29"/>
  <sheetViews>
    <sheetView showGridLines="0" zoomScale="9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8" customWidth="1" min="11" max="11"/>
    <col hidden="1" width="13" customWidth="1" min="13" max="13"/>
    <col hidden="1" width="13" customWidth="1" min="14" max="14"/>
    <col hidden="1" width="13" customWidth="1" min="15" max="15"/>
    <col hidden="1" width="13" customWidth="1" min="16" max="16"/>
    <col hidden="1" width="13" customWidth="1" min="17" max="17"/>
  </cols>
  <sheetData>
    <row r="1" ht="28" customHeight="1">
      <c r="B1" s="65" t="inlineStr">
        <is>
          <t>Historial mensual de actividades</t>
        </is>
      </c>
      <c r="C1" s="65" t="n"/>
      <c r="D1" s="65" t="n"/>
      <c r="E1" s="65" t="n"/>
      <c r="F1" s="65" t="n"/>
      <c r="G1" s="65" t="n"/>
      <c r="H1" s="65" t="n"/>
      <c r="I1" s="65" t="n"/>
      <c r="J1" s="65" t="n"/>
      <c r="K1" s="65" t="n"/>
    </row>
    <row r="2" ht="32" customHeight="1">
      <c r="B2" s="48" t="inlineStr">
        <is>
          <t>HOJA AUTOMÁTICA: resume cada mes con las actividades guardadas en los Cronogramas (nada se borra al empezar un mes). Empieza en octubre 2026 y muestra 24 meses (el mes actual se resalta en amarillo). «Sin datos» = el puesto no registró actividades ese mes; «Pesos ≠ 100%» = los pesos de ese mes no suman 100%.</t>
        </is>
      </c>
      <c r="C2" s="48" t="n"/>
      <c r="D2" s="48" t="n"/>
      <c r="E2" s="48" t="n"/>
      <c r="F2" s="48" t="n"/>
      <c r="G2" s="48" t="n"/>
      <c r="H2" s="48" t="n"/>
      <c r="I2" s="48" t="n"/>
      <c r="J2" s="48" t="n"/>
      <c r="K2" s="48" t="n"/>
    </row>
    <row r="4">
      <c r="B4" s="66" t="inlineStr">
        <is>
          <t>Mes</t>
        </is>
      </c>
      <c r="C4" s="67" t="inlineStr">
        <is>
          <t>Riesgo Operacional</t>
        </is>
      </c>
      <c r="D4" s="67" t="n"/>
      <c r="E4" s="68" t="inlineStr">
        <is>
          <t>Riesgo Normativo</t>
        </is>
      </c>
      <c r="F4" s="68" t="n"/>
      <c r="G4" s="69" t="inlineStr">
        <is>
          <t>Riesgo Financiero</t>
        </is>
      </c>
      <c r="H4" s="69" t="n"/>
      <c r="I4" s="7" t="inlineStr">
        <is>
          <t>Asistente Técnico de Riesgo</t>
        </is>
      </c>
      <c r="J4" s="7" t="n"/>
      <c r="K4" s="66" t="inlineStr">
        <is>
          <t>Avance general</t>
        </is>
      </c>
    </row>
    <row r="5" ht="28" customHeight="1">
      <c r="B5" s="66" t="n"/>
      <c r="C5" s="31" t="inlineStr">
        <is>
          <t>Avance</t>
        </is>
      </c>
      <c r="D5" s="31" t="inlineStr">
        <is>
          <t>Completadas / total</t>
        </is>
      </c>
      <c r="E5" s="31" t="inlineStr">
        <is>
          <t>Avance</t>
        </is>
      </c>
      <c r="F5" s="31" t="inlineStr">
        <is>
          <t>Completadas / total</t>
        </is>
      </c>
      <c r="G5" s="31" t="inlineStr">
        <is>
          <t>Avance</t>
        </is>
      </c>
      <c r="H5" s="31" t="inlineStr">
        <is>
          <t>Completadas / total</t>
        </is>
      </c>
      <c r="I5" s="31" t="inlineStr">
        <is>
          <t>Avance</t>
        </is>
      </c>
      <c r="J5" s="31" t="inlineStr">
        <is>
          <t>Completadas / total</t>
        </is>
      </c>
      <c r="K5" s="66" t="n"/>
      <c r="M5" t="inlineStr">
        <is>
          <t>Mes (gráfico)</t>
        </is>
      </c>
      <c r="N5" t="inlineStr">
        <is>
          <t>R. Operacional</t>
        </is>
      </c>
      <c r="O5" t="inlineStr">
        <is>
          <t>R. Normativo</t>
        </is>
      </c>
      <c r="P5" t="inlineStr">
        <is>
          <t>R. Financiero</t>
        </is>
      </c>
      <c r="Q5" t="inlineStr">
        <is>
          <t>Asistente Técnico</t>
        </is>
      </c>
    </row>
    <row r="6" ht="20" customHeight="1">
      <c r="B6" s="70">
        <f>DATE(YEAR(HistInicio),MONTH(HistInicio)+0,1)</f>
        <v/>
      </c>
      <c r="C6" s="20">
        <f>IF(COUNTIFS(rMes_RO,$B6,rTipo_RO,"Macro")=0,"Sin datos",IF(ABS(SUMIFS(rPeso_RO,rMes_RO,$B6,rTipo_RO,"Macro")-1)&gt;0.0001,"Pesos ≠ 100%",SUMPRODUCT(--((rMes_RO=$B6)*(rTipo_RO="Macro")),rPeso_RO,rAvance_RO)))</f>
        <v/>
      </c>
      <c r="D6" s="22">
        <f>IF(COUNTIFS(rMes_RO,$B6,rTipo_RO,"Macro")=0,"",COUNTIFS(rEstado_RO,"Completado",rMes_RO,$B6,rTipo_RO,"Macro")&amp;" / "&amp;COUNTIFS(rMes_RO,$B6,rTipo_RO,"Macro"))</f>
        <v/>
      </c>
      <c r="E6" s="20">
        <f>IF(COUNTIFS(rMes_RN,$B6,rTipo_RN,"Macro")=0,"Sin datos",IF(ABS(SUMIFS(rPeso_RN,rMes_RN,$B6,rTipo_RN,"Macro")-1)&gt;0.0001,"Pesos ≠ 100%",SUMPRODUCT(--((rMes_RN=$B6)*(rTipo_RN="Macro")),rPeso_RN,rAvance_RN)))</f>
        <v/>
      </c>
      <c r="F6" s="22">
        <f>IF(COUNTIFS(rMes_RN,$B6,rTipo_RN,"Macro")=0,"",COUNTIFS(rEstado_RN,"Completado",rMes_RN,$B6,rTipo_RN,"Macro")&amp;" / "&amp;COUNTIFS(rMes_RN,$B6,rTipo_RN,"Macro"))</f>
        <v/>
      </c>
      <c r="G6" s="20">
        <f>IF(COUNTIFS(rMes_RF,$B6,rTipo_RF,"Macro")=0,"Sin datos",IF(ABS(SUMIFS(rPeso_RF,rMes_RF,$B6,rTipo_RF,"Macro")-1)&gt;0.0001,"Pesos ≠ 100%",SUMPRODUCT(--((rMes_RF=$B6)*(rTipo_RF="Macro")),rPeso_RF,rAvance_RF)))</f>
        <v/>
      </c>
      <c r="H6" s="22">
        <f>IF(COUNTIFS(rMes_RF,$B6,rTipo_RF,"Macro")=0,"",COUNTIFS(rEstado_RF,"Completado",rMes_RF,$B6,rTipo_RF,"Macro")&amp;" / "&amp;COUNTIFS(rMes_RF,$B6,rTipo_RF,"Macro"))</f>
        <v/>
      </c>
      <c r="I6" s="20">
        <f>IF(COUNTIFS(rMes_ATR,$B6,rTipo_ATR,"Macro")=0,"Sin datos",IF(ABS(SUMIFS(rPeso_ATR,rMes_ATR,$B6,rTipo_ATR,"Macro")-1)&gt;0.0001,"Pesos ≠ 100%",SUMPRODUCT(--((rMes_ATR=$B6)*(rTipo_ATR="Macro")),rPeso_ATR,rAvance_ATR)))</f>
        <v/>
      </c>
      <c r="J6" s="22">
        <f>IF(COUNTIFS(rMes_ATR,$B6,rTipo_ATR,"Macro")=0,"",COUNTIFS(rEstado_ATR,"Completado",rMes_ATR,$B6,rTipo_ATR,"Macro")&amp;" / "&amp;COUNTIFS(rMes_ATR,$B6,rTipo_ATR,"Macro"))</f>
        <v/>
      </c>
      <c r="K6" s="71">
        <f>IF(COUNT(C6,E6,G6,I6)=4,AVERAGE(C6,E6,G6,I6),IF(COUNTIF(C6:J6,"Sin datos")=4,"Sin datos","No definitivo"))</f>
        <v/>
      </c>
      <c r="M6">
        <f>CHOOSE(MONTH(DATE(YEAR(MAX(HistInicio,EDATE(MesCiclo,-5))),MONTH(MAX(HistInicio,EDATE(MesCiclo,-5)))+0,1)),"ene","feb","mar","abr","may","jun","jul","ago","sep","oct","nov","dic")&amp;" "&amp;YEAR(DATE(YEAR(MAX(HistInicio,EDATE(MesCiclo,-5))),MONTH(MAX(HistInicio,EDATE(MesCiclo,-5)))+0,1))</f>
        <v/>
      </c>
      <c r="N6">
        <f>IFERROR(N(INDEX(C6:C29,MATCH(DATE(YEAR(MAX(HistInicio,EDATE(MesCiclo,-5))),MONTH(MAX(HistInicio,EDATE(MesCiclo,-5)))+0,1),B6:B29,0))),0)</f>
        <v/>
      </c>
      <c r="O6">
        <f>IFERROR(N(INDEX(E6:E29,MATCH(DATE(YEAR(MAX(HistInicio,EDATE(MesCiclo,-5))),MONTH(MAX(HistInicio,EDATE(MesCiclo,-5)))+0,1),B6:B29,0))),0)</f>
        <v/>
      </c>
      <c r="P6">
        <f>IFERROR(N(INDEX(G6:G29,MATCH(DATE(YEAR(MAX(HistInicio,EDATE(MesCiclo,-5))),MONTH(MAX(HistInicio,EDATE(MesCiclo,-5)))+0,1),B6:B29,0))),0)</f>
        <v/>
      </c>
      <c r="Q6">
        <f>IFERROR(N(INDEX(I6:I29,MATCH(DATE(YEAR(MAX(HistInicio,EDATE(MesCiclo,-5))),MONTH(MAX(HistInicio,EDATE(MesCiclo,-5)))+0,1),B6:B29,0))),0)</f>
        <v/>
      </c>
    </row>
    <row r="7" ht="20" customHeight="1">
      <c r="B7" s="70">
        <f>DATE(YEAR(HistInicio),MONTH(HistInicio)+1,1)</f>
        <v/>
      </c>
      <c r="C7" s="20">
        <f>IF(COUNTIFS(rMes_RO,$B7,rTipo_RO,"Macro")=0,"Sin datos",IF(ABS(SUMIFS(rPeso_RO,rMes_RO,$B7,rTipo_RO,"Macro")-1)&gt;0.0001,"Pesos ≠ 100%",SUMPRODUCT(--((rMes_RO=$B7)*(rTipo_RO="Macro")),rPeso_RO,rAvance_RO)))</f>
        <v/>
      </c>
      <c r="D7" s="22">
        <f>IF(COUNTIFS(rMes_RO,$B7,rTipo_RO,"Macro")=0,"",COUNTIFS(rEstado_RO,"Completado",rMes_RO,$B7,rTipo_RO,"Macro")&amp;" / "&amp;COUNTIFS(rMes_RO,$B7,rTipo_RO,"Macro"))</f>
        <v/>
      </c>
      <c r="E7" s="20">
        <f>IF(COUNTIFS(rMes_RN,$B7,rTipo_RN,"Macro")=0,"Sin datos",IF(ABS(SUMIFS(rPeso_RN,rMes_RN,$B7,rTipo_RN,"Macro")-1)&gt;0.0001,"Pesos ≠ 100%",SUMPRODUCT(--((rMes_RN=$B7)*(rTipo_RN="Macro")),rPeso_RN,rAvance_RN)))</f>
        <v/>
      </c>
      <c r="F7" s="22">
        <f>IF(COUNTIFS(rMes_RN,$B7,rTipo_RN,"Macro")=0,"",COUNTIFS(rEstado_RN,"Completado",rMes_RN,$B7,rTipo_RN,"Macro")&amp;" / "&amp;COUNTIFS(rMes_RN,$B7,rTipo_RN,"Macro"))</f>
        <v/>
      </c>
      <c r="G7" s="20">
        <f>IF(COUNTIFS(rMes_RF,$B7,rTipo_RF,"Macro")=0,"Sin datos",IF(ABS(SUMIFS(rPeso_RF,rMes_RF,$B7,rTipo_RF,"Macro")-1)&gt;0.0001,"Pesos ≠ 100%",SUMPRODUCT(--((rMes_RF=$B7)*(rTipo_RF="Macro")),rPeso_RF,rAvance_RF)))</f>
        <v/>
      </c>
      <c r="H7" s="22">
        <f>IF(COUNTIFS(rMes_RF,$B7,rTipo_RF,"Macro")=0,"",COUNTIFS(rEstado_RF,"Completado",rMes_RF,$B7,rTipo_RF,"Macro")&amp;" / "&amp;COUNTIFS(rMes_RF,$B7,rTipo_RF,"Macro"))</f>
        <v/>
      </c>
      <c r="I7" s="20">
        <f>IF(COUNTIFS(rMes_ATR,$B7,rTipo_ATR,"Macro")=0,"Sin datos",IF(ABS(SUMIFS(rPeso_ATR,rMes_ATR,$B7,rTipo_ATR,"Macro")-1)&gt;0.0001,"Pesos ≠ 100%",SUMPRODUCT(--((rMes_ATR=$B7)*(rTipo_ATR="Macro")),rPeso_ATR,rAvance_ATR)))</f>
        <v/>
      </c>
      <c r="J7" s="22">
        <f>IF(COUNTIFS(rMes_ATR,$B7,rTipo_ATR,"Macro")=0,"",COUNTIFS(rEstado_ATR,"Completado",rMes_ATR,$B7,rTipo_ATR,"Macro")&amp;" / "&amp;COUNTIFS(rMes_ATR,$B7,rTipo_ATR,"Macro"))</f>
        <v/>
      </c>
      <c r="K7" s="71">
        <f>IF(COUNT(C7,E7,G7,I7)=4,AVERAGE(C7,E7,G7,I7),IF(COUNTIF(C7:J7,"Sin datos")=4,"Sin datos","No definitivo"))</f>
        <v/>
      </c>
      <c r="M7">
        <f>CHOOSE(MONTH(DATE(YEAR(MAX(HistInicio,EDATE(MesCiclo,-5))),MONTH(MAX(HistInicio,EDATE(MesCiclo,-5)))+1,1)),"ene","feb","mar","abr","may","jun","jul","ago","sep","oct","nov","dic")&amp;" "&amp;YEAR(DATE(YEAR(MAX(HistInicio,EDATE(MesCiclo,-5))),MONTH(MAX(HistInicio,EDATE(MesCiclo,-5)))+1,1))</f>
        <v/>
      </c>
      <c r="N7">
        <f>IFERROR(N(INDEX(C6:C29,MATCH(DATE(YEAR(MAX(HistInicio,EDATE(MesCiclo,-5))),MONTH(MAX(HistInicio,EDATE(MesCiclo,-5)))+1,1),B6:B29,0))),0)</f>
        <v/>
      </c>
      <c r="O7">
        <f>IFERROR(N(INDEX(E6:E29,MATCH(DATE(YEAR(MAX(HistInicio,EDATE(MesCiclo,-5))),MONTH(MAX(HistInicio,EDATE(MesCiclo,-5)))+1,1),B6:B29,0))),0)</f>
        <v/>
      </c>
      <c r="P7">
        <f>IFERROR(N(INDEX(G6:G29,MATCH(DATE(YEAR(MAX(HistInicio,EDATE(MesCiclo,-5))),MONTH(MAX(HistInicio,EDATE(MesCiclo,-5)))+1,1),B6:B29,0))),0)</f>
        <v/>
      </c>
      <c r="Q7">
        <f>IFERROR(N(INDEX(I6:I29,MATCH(DATE(YEAR(MAX(HistInicio,EDATE(MesCiclo,-5))),MONTH(MAX(HistInicio,EDATE(MesCiclo,-5)))+1,1),B6:B29,0))),0)</f>
        <v/>
      </c>
    </row>
    <row r="8" ht="20" customHeight="1">
      <c r="B8" s="70">
        <f>DATE(YEAR(HistInicio),MONTH(HistInicio)+2,1)</f>
        <v/>
      </c>
      <c r="C8" s="20">
        <f>IF(COUNTIFS(rMes_RO,$B8,rTipo_RO,"Macro")=0,"Sin datos",IF(ABS(SUMIFS(rPeso_RO,rMes_RO,$B8,rTipo_RO,"Macro")-1)&gt;0.0001,"Pesos ≠ 100%",SUMPRODUCT(--((rMes_RO=$B8)*(rTipo_RO="Macro")),rPeso_RO,rAvance_RO)))</f>
        <v/>
      </c>
      <c r="D8" s="22">
        <f>IF(COUNTIFS(rMes_RO,$B8,rTipo_RO,"Macro")=0,"",COUNTIFS(rEstado_RO,"Completado",rMes_RO,$B8,rTipo_RO,"Macro")&amp;" / "&amp;COUNTIFS(rMes_RO,$B8,rTipo_RO,"Macro"))</f>
        <v/>
      </c>
      <c r="E8" s="20">
        <f>IF(COUNTIFS(rMes_RN,$B8,rTipo_RN,"Macro")=0,"Sin datos",IF(ABS(SUMIFS(rPeso_RN,rMes_RN,$B8,rTipo_RN,"Macro")-1)&gt;0.0001,"Pesos ≠ 100%",SUMPRODUCT(--((rMes_RN=$B8)*(rTipo_RN="Macro")),rPeso_RN,rAvance_RN)))</f>
        <v/>
      </c>
      <c r="F8" s="22">
        <f>IF(COUNTIFS(rMes_RN,$B8,rTipo_RN,"Macro")=0,"",COUNTIFS(rEstado_RN,"Completado",rMes_RN,$B8,rTipo_RN,"Macro")&amp;" / "&amp;COUNTIFS(rMes_RN,$B8,rTipo_RN,"Macro"))</f>
        <v/>
      </c>
      <c r="G8" s="20">
        <f>IF(COUNTIFS(rMes_RF,$B8,rTipo_RF,"Macro")=0,"Sin datos",IF(ABS(SUMIFS(rPeso_RF,rMes_RF,$B8,rTipo_RF,"Macro")-1)&gt;0.0001,"Pesos ≠ 100%",SUMPRODUCT(--((rMes_RF=$B8)*(rTipo_RF="Macro")),rPeso_RF,rAvance_RF)))</f>
        <v/>
      </c>
      <c r="H8" s="22">
        <f>IF(COUNTIFS(rMes_RF,$B8,rTipo_RF,"Macro")=0,"",COUNTIFS(rEstado_RF,"Completado",rMes_RF,$B8,rTipo_RF,"Macro")&amp;" / "&amp;COUNTIFS(rMes_RF,$B8,rTipo_RF,"Macro"))</f>
        <v/>
      </c>
      <c r="I8" s="20">
        <f>IF(COUNTIFS(rMes_ATR,$B8,rTipo_ATR,"Macro")=0,"Sin datos",IF(ABS(SUMIFS(rPeso_ATR,rMes_ATR,$B8,rTipo_ATR,"Macro")-1)&gt;0.0001,"Pesos ≠ 100%",SUMPRODUCT(--((rMes_ATR=$B8)*(rTipo_ATR="Macro")),rPeso_ATR,rAvance_ATR)))</f>
        <v/>
      </c>
      <c r="J8" s="22">
        <f>IF(COUNTIFS(rMes_ATR,$B8,rTipo_ATR,"Macro")=0,"",COUNTIFS(rEstado_ATR,"Completado",rMes_ATR,$B8,rTipo_ATR,"Macro")&amp;" / "&amp;COUNTIFS(rMes_ATR,$B8,rTipo_ATR,"Macro"))</f>
        <v/>
      </c>
      <c r="K8" s="71">
        <f>IF(COUNT(C8,E8,G8,I8)=4,AVERAGE(C8,E8,G8,I8),IF(COUNTIF(C8:J8,"Sin datos")=4,"Sin datos","No definitivo"))</f>
        <v/>
      </c>
      <c r="M8">
        <f>CHOOSE(MONTH(DATE(YEAR(MAX(HistInicio,EDATE(MesCiclo,-5))),MONTH(MAX(HistInicio,EDATE(MesCiclo,-5)))+2,1)),"ene","feb","mar","abr","may","jun","jul","ago","sep","oct","nov","dic")&amp;" "&amp;YEAR(DATE(YEAR(MAX(HistInicio,EDATE(MesCiclo,-5))),MONTH(MAX(HistInicio,EDATE(MesCiclo,-5)))+2,1))</f>
        <v/>
      </c>
      <c r="N8">
        <f>IFERROR(N(INDEX(C6:C29,MATCH(DATE(YEAR(MAX(HistInicio,EDATE(MesCiclo,-5))),MONTH(MAX(HistInicio,EDATE(MesCiclo,-5)))+2,1),B6:B29,0))),0)</f>
        <v/>
      </c>
      <c r="O8">
        <f>IFERROR(N(INDEX(E6:E29,MATCH(DATE(YEAR(MAX(HistInicio,EDATE(MesCiclo,-5))),MONTH(MAX(HistInicio,EDATE(MesCiclo,-5)))+2,1),B6:B29,0))),0)</f>
        <v/>
      </c>
      <c r="P8">
        <f>IFERROR(N(INDEX(G6:G29,MATCH(DATE(YEAR(MAX(HistInicio,EDATE(MesCiclo,-5))),MONTH(MAX(HistInicio,EDATE(MesCiclo,-5)))+2,1),B6:B29,0))),0)</f>
        <v/>
      </c>
      <c r="Q8">
        <f>IFERROR(N(INDEX(I6:I29,MATCH(DATE(YEAR(MAX(HistInicio,EDATE(MesCiclo,-5))),MONTH(MAX(HistInicio,EDATE(MesCiclo,-5)))+2,1),B6:B29,0))),0)</f>
        <v/>
      </c>
    </row>
    <row r="9" ht="20" customHeight="1">
      <c r="B9" s="70">
        <f>DATE(YEAR(HistInicio),MONTH(HistInicio)+3,1)</f>
        <v/>
      </c>
      <c r="C9" s="20">
        <f>IF(COUNTIFS(rMes_RO,$B9,rTipo_RO,"Macro")=0,"Sin datos",IF(ABS(SUMIFS(rPeso_RO,rMes_RO,$B9,rTipo_RO,"Macro")-1)&gt;0.0001,"Pesos ≠ 100%",SUMPRODUCT(--((rMes_RO=$B9)*(rTipo_RO="Macro")),rPeso_RO,rAvance_RO)))</f>
        <v/>
      </c>
      <c r="D9" s="22">
        <f>IF(COUNTIFS(rMes_RO,$B9,rTipo_RO,"Macro")=0,"",COUNTIFS(rEstado_RO,"Completado",rMes_RO,$B9,rTipo_RO,"Macro")&amp;" / "&amp;COUNTIFS(rMes_RO,$B9,rTipo_RO,"Macro"))</f>
        <v/>
      </c>
      <c r="E9" s="20">
        <f>IF(COUNTIFS(rMes_RN,$B9,rTipo_RN,"Macro")=0,"Sin datos",IF(ABS(SUMIFS(rPeso_RN,rMes_RN,$B9,rTipo_RN,"Macro")-1)&gt;0.0001,"Pesos ≠ 100%",SUMPRODUCT(--((rMes_RN=$B9)*(rTipo_RN="Macro")),rPeso_RN,rAvance_RN)))</f>
        <v/>
      </c>
      <c r="F9" s="22">
        <f>IF(COUNTIFS(rMes_RN,$B9,rTipo_RN,"Macro")=0,"",COUNTIFS(rEstado_RN,"Completado",rMes_RN,$B9,rTipo_RN,"Macro")&amp;" / "&amp;COUNTIFS(rMes_RN,$B9,rTipo_RN,"Macro"))</f>
        <v/>
      </c>
      <c r="G9" s="20">
        <f>IF(COUNTIFS(rMes_RF,$B9,rTipo_RF,"Macro")=0,"Sin datos",IF(ABS(SUMIFS(rPeso_RF,rMes_RF,$B9,rTipo_RF,"Macro")-1)&gt;0.0001,"Pesos ≠ 100%",SUMPRODUCT(--((rMes_RF=$B9)*(rTipo_RF="Macro")),rPeso_RF,rAvance_RF)))</f>
        <v/>
      </c>
      <c r="H9" s="22">
        <f>IF(COUNTIFS(rMes_RF,$B9,rTipo_RF,"Macro")=0,"",COUNTIFS(rEstado_RF,"Completado",rMes_RF,$B9,rTipo_RF,"Macro")&amp;" / "&amp;COUNTIFS(rMes_RF,$B9,rTipo_RF,"Macro"))</f>
        <v/>
      </c>
      <c r="I9" s="20">
        <f>IF(COUNTIFS(rMes_ATR,$B9,rTipo_ATR,"Macro")=0,"Sin datos",IF(ABS(SUMIFS(rPeso_ATR,rMes_ATR,$B9,rTipo_ATR,"Macro")-1)&gt;0.0001,"Pesos ≠ 100%",SUMPRODUCT(--((rMes_ATR=$B9)*(rTipo_ATR="Macro")),rPeso_ATR,rAvance_ATR)))</f>
        <v/>
      </c>
      <c r="J9" s="22">
        <f>IF(COUNTIFS(rMes_ATR,$B9,rTipo_ATR,"Macro")=0,"",COUNTIFS(rEstado_ATR,"Completado",rMes_ATR,$B9,rTipo_ATR,"Macro")&amp;" / "&amp;COUNTIFS(rMes_ATR,$B9,rTipo_ATR,"Macro"))</f>
        <v/>
      </c>
      <c r="K9" s="71">
        <f>IF(COUNT(C9,E9,G9,I9)=4,AVERAGE(C9,E9,G9,I9),IF(COUNTIF(C9:J9,"Sin datos")=4,"Sin datos","No definitivo"))</f>
        <v/>
      </c>
      <c r="M9">
        <f>CHOOSE(MONTH(DATE(YEAR(MAX(HistInicio,EDATE(MesCiclo,-5))),MONTH(MAX(HistInicio,EDATE(MesCiclo,-5)))+3,1)),"ene","feb","mar","abr","may","jun","jul","ago","sep","oct","nov","dic")&amp;" "&amp;YEAR(DATE(YEAR(MAX(HistInicio,EDATE(MesCiclo,-5))),MONTH(MAX(HistInicio,EDATE(MesCiclo,-5)))+3,1))</f>
        <v/>
      </c>
      <c r="N9">
        <f>IFERROR(N(INDEX(C6:C29,MATCH(DATE(YEAR(MAX(HistInicio,EDATE(MesCiclo,-5))),MONTH(MAX(HistInicio,EDATE(MesCiclo,-5)))+3,1),B6:B29,0))),0)</f>
        <v/>
      </c>
      <c r="O9">
        <f>IFERROR(N(INDEX(E6:E29,MATCH(DATE(YEAR(MAX(HistInicio,EDATE(MesCiclo,-5))),MONTH(MAX(HistInicio,EDATE(MesCiclo,-5)))+3,1),B6:B29,0))),0)</f>
        <v/>
      </c>
      <c r="P9">
        <f>IFERROR(N(INDEX(G6:G29,MATCH(DATE(YEAR(MAX(HistInicio,EDATE(MesCiclo,-5))),MONTH(MAX(HistInicio,EDATE(MesCiclo,-5)))+3,1),B6:B29,0))),0)</f>
        <v/>
      </c>
      <c r="Q9">
        <f>IFERROR(N(INDEX(I6:I29,MATCH(DATE(YEAR(MAX(HistInicio,EDATE(MesCiclo,-5))),MONTH(MAX(HistInicio,EDATE(MesCiclo,-5)))+3,1),B6:B29,0))),0)</f>
        <v/>
      </c>
    </row>
    <row r="10" ht="20" customHeight="1">
      <c r="B10" s="70">
        <f>DATE(YEAR(HistInicio),MONTH(HistInicio)+4,1)</f>
        <v/>
      </c>
      <c r="C10" s="20">
        <f>IF(COUNTIFS(rMes_RO,$B10,rTipo_RO,"Macro")=0,"Sin datos",IF(ABS(SUMIFS(rPeso_RO,rMes_RO,$B10,rTipo_RO,"Macro")-1)&gt;0.0001,"Pesos ≠ 100%",SUMPRODUCT(--((rMes_RO=$B10)*(rTipo_RO="Macro")),rPeso_RO,rAvance_RO)))</f>
        <v/>
      </c>
      <c r="D10" s="22">
        <f>IF(COUNTIFS(rMes_RO,$B10,rTipo_RO,"Macro")=0,"",COUNTIFS(rEstado_RO,"Completado",rMes_RO,$B10,rTipo_RO,"Macro")&amp;" / "&amp;COUNTIFS(rMes_RO,$B10,rTipo_RO,"Macro"))</f>
        <v/>
      </c>
      <c r="E10" s="20">
        <f>IF(COUNTIFS(rMes_RN,$B10,rTipo_RN,"Macro")=0,"Sin datos",IF(ABS(SUMIFS(rPeso_RN,rMes_RN,$B10,rTipo_RN,"Macro")-1)&gt;0.0001,"Pesos ≠ 100%",SUMPRODUCT(--((rMes_RN=$B10)*(rTipo_RN="Macro")),rPeso_RN,rAvance_RN)))</f>
        <v/>
      </c>
      <c r="F10" s="22">
        <f>IF(COUNTIFS(rMes_RN,$B10,rTipo_RN,"Macro")=0,"",COUNTIFS(rEstado_RN,"Completado",rMes_RN,$B10,rTipo_RN,"Macro")&amp;" / "&amp;COUNTIFS(rMes_RN,$B10,rTipo_RN,"Macro"))</f>
        <v/>
      </c>
      <c r="G10" s="20">
        <f>IF(COUNTIFS(rMes_RF,$B10,rTipo_RF,"Macro")=0,"Sin datos",IF(ABS(SUMIFS(rPeso_RF,rMes_RF,$B10,rTipo_RF,"Macro")-1)&gt;0.0001,"Pesos ≠ 100%",SUMPRODUCT(--((rMes_RF=$B10)*(rTipo_RF="Macro")),rPeso_RF,rAvance_RF)))</f>
        <v/>
      </c>
      <c r="H10" s="22">
        <f>IF(COUNTIFS(rMes_RF,$B10,rTipo_RF,"Macro")=0,"",COUNTIFS(rEstado_RF,"Completado",rMes_RF,$B10,rTipo_RF,"Macro")&amp;" / "&amp;COUNTIFS(rMes_RF,$B10,rTipo_RF,"Macro"))</f>
        <v/>
      </c>
      <c r="I10" s="20">
        <f>IF(COUNTIFS(rMes_ATR,$B10,rTipo_ATR,"Macro")=0,"Sin datos",IF(ABS(SUMIFS(rPeso_ATR,rMes_ATR,$B10,rTipo_ATR,"Macro")-1)&gt;0.0001,"Pesos ≠ 100%",SUMPRODUCT(--((rMes_ATR=$B10)*(rTipo_ATR="Macro")),rPeso_ATR,rAvance_ATR)))</f>
        <v/>
      </c>
      <c r="J10" s="22">
        <f>IF(COUNTIFS(rMes_ATR,$B10,rTipo_ATR,"Macro")=0,"",COUNTIFS(rEstado_ATR,"Completado",rMes_ATR,$B10,rTipo_ATR,"Macro")&amp;" / "&amp;COUNTIFS(rMes_ATR,$B10,rTipo_ATR,"Macro"))</f>
        <v/>
      </c>
      <c r="K10" s="71">
        <f>IF(COUNT(C10,E10,G10,I10)=4,AVERAGE(C10,E10,G10,I10),IF(COUNTIF(C10:J10,"Sin datos")=4,"Sin datos","No definitivo"))</f>
        <v/>
      </c>
      <c r="M10">
        <f>CHOOSE(MONTH(DATE(YEAR(MAX(HistInicio,EDATE(MesCiclo,-5))),MONTH(MAX(HistInicio,EDATE(MesCiclo,-5)))+4,1)),"ene","feb","mar","abr","may","jun","jul","ago","sep","oct","nov","dic")&amp;" "&amp;YEAR(DATE(YEAR(MAX(HistInicio,EDATE(MesCiclo,-5))),MONTH(MAX(HistInicio,EDATE(MesCiclo,-5)))+4,1))</f>
        <v/>
      </c>
      <c r="N10">
        <f>IFERROR(N(INDEX(C6:C29,MATCH(DATE(YEAR(MAX(HistInicio,EDATE(MesCiclo,-5))),MONTH(MAX(HistInicio,EDATE(MesCiclo,-5)))+4,1),B6:B29,0))),0)</f>
        <v/>
      </c>
      <c r="O10">
        <f>IFERROR(N(INDEX(E6:E29,MATCH(DATE(YEAR(MAX(HistInicio,EDATE(MesCiclo,-5))),MONTH(MAX(HistInicio,EDATE(MesCiclo,-5)))+4,1),B6:B29,0))),0)</f>
        <v/>
      </c>
      <c r="P10">
        <f>IFERROR(N(INDEX(G6:G29,MATCH(DATE(YEAR(MAX(HistInicio,EDATE(MesCiclo,-5))),MONTH(MAX(HistInicio,EDATE(MesCiclo,-5)))+4,1),B6:B29,0))),0)</f>
        <v/>
      </c>
      <c r="Q10">
        <f>IFERROR(N(INDEX(I6:I29,MATCH(DATE(YEAR(MAX(HistInicio,EDATE(MesCiclo,-5))),MONTH(MAX(HistInicio,EDATE(MesCiclo,-5)))+4,1),B6:B29,0))),0)</f>
        <v/>
      </c>
    </row>
    <row r="11" ht="20" customHeight="1">
      <c r="B11" s="70">
        <f>DATE(YEAR(HistInicio),MONTH(HistInicio)+5,1)</f>
        <v/>
      </c>
      <c r="C11" s="20">
        <f>IF(COUNTIFS(rMes_RO,$B11,rTipo_RO,"Macro")=0,"Sin datos",IF(ABS(SUMIFS(rPeso_RO,rMes_RO,$B11,rTipo_RO,"Macro")-1)&gt;0.0001,"Pesos ≠ 100%",SUMPRODUCT(--((rMes_RO=$B11)*(rTipo_RO="Macro")),rPeso_RO,rAvance_RO)))</f>
        <v/>
      </c>
      <c r="D11" s="22">
        <f>IF(COUNTIFS(rMes_RO,$B11,rTipo_RO,"Macro")=0,"",COUNTIFS(rEstado_RO,"Completado",rMes_RO,$B11,rTipo_RO,"Macro")&amp;" / "&amp;COUNTIFS(rMes_RO,$B11,rTipo_RO,"Macro"))</f>
        <v/>
      </c>
      <c r="E11" s="20">
        <f>IF(COUNTIFS(rMes_RN,$B11,rTipo_RN,"Macro")=0,"Sin datos",IF(ABS(SUMIFS(rPeso_RN,rMes_RN,$B11,rTipo_RN,"Macro")-1)&gt;0.0001,"Pesos ≠ 100%",SUMPRODUCT(--((rMes_RN=$B11)*(rTipo_RN="Macro")),rPeso_RN,rAvance_RN)))</f>
        <v/>
      </c>
      <c r="F11" s="22">
        <f>IF(COUNTIFS(rMes_RN,$B11,rTipo_RN,"Macro")=0,"",COUNTIFS(rEstado_RN,"Completado",rMes_RN,$B11,rTipo_RN,"Macro")&amp;" / "&amp;COUNTIFS(rMes_RN,$B11,rTipo_RN,"Macro"))</f>
        <v/>
      </c>
      <c r="G11" s="20">
        <f>IF(COUNTIFS(rMes_RF,$B11,rTipo_RF,"Macro")=0,"Sin datos",IF(ABS(SUMIFS(rPeso_RF,rMes_RF,$B11,rTipo_RF,"Macro")-1)&gt;0.0001,"Pesos ≠ 100%",SUMPRODUCT(--((rMes_RF=$B11)*(rTipo_RF="Macro")),rPeso_RF,rAvance_RF)))</f>
        <v/>
      </c>
      <c r="H11" s="22">
        <f>IF(COUNTIFS(rMes_RF,$B11,rTipo_RF,"Macro")=0,"",COUNTIFS(rEstado_RF,"Completado",rMes_RF,$B11,rTipo_RF,"Macro")&amp;" / "&amp;COUNTIFS(rMes_RF,$B11,rTipo_RF,"Macro"))</f>
        <v/>
      </c>
      <c r="I11" s="20">
        <f>IF(COUNTIFS(rMes_ATR,$B11,rTipo_ATR,"Macro")=0,"Sin datos",IF(ABS(SUMIFS(rPeso_ATR,rMes_ATR,$B11,rTipo_ATR,"Macro")-1)&gt;0.0001,"Pesos ≠ 100%",SUMPRODUCT(--((rMes_ATR=$B11)*(rTipo_ATR="Macro")),rPeso_ATR,rAvance_ATR)))</f>
        <v/>
      </c>
      <c r="J11" s="22">
        <f>IF(COUNTIFS(rMes_ATR,$B11,rTipo_ATR,"Macro")=0,"",COUNTIFS(rEstado_ATR,"Completado",rMes_ATR,$B11,rTipo_ATR,"Macro")&amp;" / "&amp;COUNTIFS(rMes_ATR,$B11,rTipo_ATR,"Macro"))</f>
        <v/>
      </c>
      <c r="K11" s="71">
        <f>IF(COUNT(C11,E11,G11,I11)=4,AVERAGE(C11,E11,G11,I11),IF(COUNTIF(C11:J11,"Sin datos")=4,"Sin datos","No definitivo"))</f>
        <v/>
      </c>
      <c r="M11">
        <f>CHOOSE(MONTH(DATE(YEAR(MAX(HistInicio,EDATE(MesCiclo,-5))),MONTH(MAX(HistInicio,EDATE(MesCiclo,-5)))+5,1)),"ene","feb","mar","abr","may","jun","jul","ago","sep","oct","nov","dic")&amp;" "&amp;YEAR(DATE(YEAR(MAX(HistInicio,EDATE(MesCiclo,-5))),MONTH(MAX(HistInicio,EDATE(MesCiclo,-5)))+5,1))</f>
        <v/>
      </c>
      <c r="N11">
        <f>IFERROR(N(INDEX(C6:C29,MATCH(DATE(YEAR(MAX(HistInicio,EDATE(MesCiclo,-5))),MONTH(MAX(HistInicio,EDATE(MesCiclo,-5)))+5,1),B6:B29,0))),0)</f>
        <v/>
      </c>
      <c r="O11">
        <f>IFERROR(N(INDEX(E6:E29,MATCH(DATE(YEAR(MAX(HistInicio,EDATE(MesCiclo,-5))),MONTH(MAX(HistInicio,EDATE(MesCiclo,-5)))+5,1),B6:B29,0))),0)</f>
        <v/>
      </c>
      <c r="P11">
        <f>IFERROR(N(INDEX(G6:G29,MATCH(DATE(YEAR(MAX(HistInicio,EDATE(MesCiclo,-5))),MONTH(MAX(HistInicio,EDATE(MesCiclo,-5)))+5,1),B6:B29,0))),0)</f>
        <v/>
      </c>
      <c r="Q11">
        <f>IFERROR(N(INDEX(I6:I29,MATCH(DATE(YEAR(MAX(HistInicio,EDATE(MesCiclo,-5))),MONTH(MAX(HistInicio,EDATE(MesCiclo,-5)))+5,1),B6:B29,0))),0)</f>
        <v/>
      </c>
    </row>
    <row r="12" ht="20" customHeight="1">
      <c r="B12" s="70">
        <f>DATE(YEAR(HistInicio),MONTH(HistInicio)+6,1)</f>
        <v/>
      </c>
      <c r="C12" s="20">
        <f>IF(COUNTIFS(rMes_RO,$B12,rTipo_RO,"Macro")=0,"Sin datos",IF(ABS(SUMIFS(rPeso_RO,rMes_RO,$B12,rTipo_RO,"Macro")-1)&gt;0.0001,"Pesos ≠ 100%",SUMPRODUCT(--((rMes_RO=$B12)*(rTipo_RO="Macro")),rPeso_RO,rAvance_RO)))</f>
        <v/>
      </c>
      <c r="D12" s="22">
        <f>IF(COUNTIFS(rMes_RO,$B12,rTipo_RO,"Macro")=0,"",COUNTIFS(rEstado_RO,"Completado",rMes_RO,$B12,rTipo_RO,"Macro")&amp;" / "&amp;COUNTIFS(rMes_RO,$B12,rTipo_RO,"Macro"))</f>
        <v/>
      </c>
      <c r="E12" s="20">
        <f>IF(COUNTIFS(rMes_RN,$B12,rTipo_RN,"Macro")=0,"Sin datos",IF(ABS(SUMIFS(rPeso_RN,rMes_RN,$B12,rTipo_RN,"Macro")-1)&gt;0.0001,"Pesos ≠ 100%",SUMPRODUCT(--((rMes_RN=$B12)*(rTipo_RN="Macro")),rPeso_RN,rAvance_RN)))</f>
        <v/>
      </c>
      <c r="F12" s="22">
        <f>IF(COUNTIFS(rMes_RN,$B12,rTipo_RN,"Macro")=0,"",COUNTIFS(rEstado_RN,"Completado",rMes_RN,$B12,rTipo_RN,"Macro")&amp;" / "&amp;COUNTIFS(rMes_RN,$B12,rTipo_RN,"Macro"))</f>
        <v/>
      </c>
      <c r="G12" s="20">
        <f>IF(COUNTIFS(rMes_RF,$B12,rTipo_RF,"Macro")=0,"Sin datos",IF(ABS(SUMIFS(rPeso_RF,rMes_RF,$B12,rTipo_RF,"Macro")-1)&gt;0.0001,"Pesos ≠ 100%",SUMPRODUCT(--((rMes_RF=$B12)*(rTipo_RF="Macro")),rPeso_RF,rAvance_RF)))</f>
        <v/>
      </c>
      <c r="H12" s="22">
        <f>IF(COUNTIFS(rMes_RF,$B12,rTipo_RF,"Macro")=0,"",COUNTIFS(rEstado_RF,"Completado",rMes_RF,$B12,rTipo_RF,"Macro")&amp;" / "&amp;COUNTIFS(rMes_RF,$B12,rTipo_RF,"Macro"))</f>
        <v/>
      </c>
      <c r="I12" s="20">
        <f>IF(COUNTIFS(rMes_ATR,$B12,rTipo_ATR,"Macro")=0,"Sin datos",IF(ABS(SUMIFS(rPeso_ATR,rMes_ATR,$B12,rTipo_ATR,"Macro")-1)&gt;0.0001,"Pesos ≠ 100%",SUMPRODUCT(--((rMes_ATR=$B12)*(rTipo_ATR="Macro")),rPeso_ATR,rAvance_ATR)))</f>
        <v/>
      </c>
      <c r="J12" s="22">
        <f>IF(COUNTIFS(rMes_ATR,$B12,rTipo_ATR,"Macro")=0,"",COUNTIFS(rEstado_ATR,"Completado",rMes_ATR,$B12,rTipo_ATR,"Macro")&amp;" / "&amp;COUNTIFS(rMes_ATR,$B12,rTipo_ATR,"Macro"))</f>
        <v/>
      </c>
      <c r="K12" s="71">
        <f>IF(COUNT(C12,E12,G12,I12)=4,AVERAGE(C12,E12,G12,I12),IF(COUNTIF(C12:J12,"Sin datos")=4,"Sin datos","No definitivo"))</f>
        <v/>
      </c>
    </row>
    <row r="13" ht="20" customHeight="1">
      <c r="B13" s="70">
        <f>DATE(YEAR(HistInicio),MONTH(HistInicio)+7,1)</f>
        <v/>
      </c>
      <c r="C13" s="20">
        <f>IF(COUNTIFS(rMes_RO,$B13,rTipo_RO,"Macro")=0,"Sin datos",IF(ABS(SUMIFS(rPeso_RO,rMes_RO,$B13,rTipo_RO,"Macro")-1)&gt;0.0001,"Pesos ≠ 100%",SUMPRODUCT(--((rMes_RO=$B13)*(rTipo_RO="Macro")),rPeso_RO,rAvance_RO)))</f>
        <v/>
      </c>
      <c r="D13" s="22">
        <f>IF(COUNTIFS(rMes_RO,$B13,rTipo_RO,"Macro")=0,"",COUNTIFS(rEstado_RO,"Completado",rMes_RO,$B13,rTipo_RO,"Macro")&amp;" / "&amp;COUNTIFS(rMes_RO,$B13,rTipo_RO,"Macro"))</f>
        <v/>
      </c>
      <c r="E13" s="20">
        <f>IF(COUNTIFS(rMes_RN,$B13,rTipo_RN,"Macro")=0,"Sin datos",IF(ABS(SUMIFS(rPeso_RN,rMes_RN,$B13,rTipo_RN,"Macro")-1)&gt;0.0001,"Pesos ≠ 100%",SUMPRODUCT(--((rMes_RN=$B13)*(rTipo_RN="Macro")),rPeso_RN,rAvance_RN)))</f>
        <v/>
      </c>
      <c r="F13" s="22">
        <f>IF(COUNTIFS(rMes_RN,$B13,rTipo_RN,"Macro")=0,"",COUNTIFS(rEstado_RN,"Completado",rMes_RN,$B13,rTipo_RN,"Macro")&amp;" / "&amp;COUNTIFS(rMes_RN,$B13,rTipo_RN,"Macro"))</f>
        <v/>
      </c>
      <c r="G13" s="20">
        <f>IF(COUNTIFS(rMes_RF,$B13,rTipo_RF,"Macro")=0,"Sin datos",IF(ABS(SUMIFS(rPeso_RF,rMes_RF,$B13,rTipo_RF,"Macro")-1)&gt;0.0001,"Pesos ≠ 100%",SUMPRODUCT(--((rMes_RF=$B13)*(rTipo_RF="Macro")),rPeso_RF,rAvance_RF)))</f>
        <v/>
      </c>
      <c r="H13" s="22">
        <f>IF(COUNTIFS(rMes_RF,$B13,rTipo_RF,"Macro")=0,"",COUNTIFS(rEstado_RF,"Completado",rMes_RF,$B13,rTipo_RF,"Macro")&amp;" / "&amp;COUNTIFS(rMes_RF,$B13,rTipo_RF,"Macro"))</f>
        <v/>
      </c>
      <c r="I13" s="20">
        <f>IF(COUNTIFS(rMes_ATR,$B13,rTipo_ATR,"Macro")=0,"Sin datos",IF(ABS(SUMIFS(rPeso_ATR,rMes_ATR,$B13,rTipo_ATR,"Macro")-1)&gt;0.0001,"Pesos ≠ 100%",SUMPRODUCT(--((rMes_ATR=$B13)*(rTipo_ATR="Macro")),rPeso_ATR,rAvance_ATR)))</f>
        <v/>
      </c>
      <c r="J13" s="22">
        <f>IF(COUNTIFS(rMes_ATR,$B13,rTipo_ATR,"Macro")=0,"",COUNTIFS(rEstado_ATR,"Completado",rMes_ATR,$B13,rTipo_ATR,"Macro")&amp;" / "&amp;COUNTIFS(rMes_ATR,$B13,rTipo_ATR,"Macro"))</f>
        <v/>
      </c>
      <c r="K13" s="71">
        <f>IF(COUNT(C13,E13,G13,I13)=4,AVERAGE(C13,E13,G13,I13),IF(COUNTIF(C13:J13,"Sin datos")=4,"Sin datos","No definitivo"))</f>
        <v/>
      </c>
    </row>
    <row r="14" ht="20" customHeight="1">
      <c r="B14" s="70">
        <f>DATE(YEAR(HistInicio),MONTH(HistInicio)+8,1)</f>
        <v/>
      </c>
      <c r="C14" s="20">
        <f>IF(COUNTIFS(rMes_RO,$B14,rTipo_RO,"Macro")=0,"Sin datos",IF(ABS(SUMIFS(rPeso_RO,rMes_RO,$B14,rTipo_RO,"Macro")-1)&gt;0.0001,"Pesos ≠ 100%",SUMPRODUCT(--((rMes_RO=$B14)*(rTipo_RO="Macro")),rPeso_RO,rAvance_RO)))</f>
        <v/>
      </c>
      <c r="D14" s="22">
        <f>IF(COUNTIFS(rMes_RO,$B14,rTipo_RO,"Macro")=0,"",COUNTIFS(rEstado_RO,"Completado",rMes_RO,$B14,rTipo_RO,"Macro")&amp;" / "&amp;COUNTIFS(rMes_RO,$B14,rTipo_RO,"Macro"))</f>
        <v/>
      </c>
      <c r="E14" s="20">
        <f>IF(COUNTIFS(rMes_RN,$B14,rTipo_RN,"Macro")=0,"Sin datos",IF(ABS(SUMIFS(rPeso_RN,rMes_RN,$B14,rTipo_RN,"Macro")-1)&gt;0.0001,"Pesos ≠ 100%",SUMPRODUCT(--((rMes_RN=$B14)*(rTipo_RN="Macro")),rPeso_RN,rAvance_RN)))</f>
        <v/>
      </c>
      <c r="F14" s="22">
        <f>IF(COUNTIFS(rMes_RN,$B14,rTipo_RN,"Macro")=0,"",COUNTIFS(rEstado_RN,"Completado",rMes_RN,$B14,rTipo_RN,"Macro")&amp;" / "&amp;COUNTIFS(rMes_RN,$B14,rTipo_RN,"Macro"))</f>
        <v/>
      </c>
      <c r="G14" s="20">
        <f>IF(COUNTIFS(rMes_RF,$B14,rTipo_RF,"Macro")=0,"Sin datos",IF(ABS(SUMIFS(rPeso_RF,rMes_RF,$B14,rTipo_RF,"Macro")-1)&gt;0.0001,"Pesos ≠ 100%",SUMPRODUCT(--((rMes_RF=$B14)*(rTipo_RF="Macro")),rPeso_RF,rAvance_RF)))</f>
        <v/>
      </c>
      <c r="H14" s="22">
        <f>IF(COUNTIFS(rMes_RF,$B14,rTipo_RF,"Macro")=0,"",COUNTIFS(rEstado_RF,"Completado",rMes_RF,$B14,rTipo_RF,"Macro")&amp;" / "&amp;COUNTIFS(rMes_RF,$B14,rTipo_RF,"Macro"))</f>
        <v/>
      </c>
      <c r="I14" s="20">
        <f>IF(COUNTIFS(rMes_ATR,$B14,rTipo_ATR,"Macro")=0,"Sin datos",IF(ABS(SUMIFS(rPeso_ATR,rMes_ATR,$B14,rTipo_ATR,"Macro")-1)&gt;0.0001,"Pesos ≠ 100%",SUMPRODUCT(--((rMes_ATR=$B14)*(rTipo_ATR="Macro")),rPeso_ATR,rAvance_ATR)))</f>
        <v/>
      </c>
      <c r="J14" s="22">
        <f>IF(COUNTIFS(rMes_ATR,$B14,rTipo_ATR,"Macro")=0,"",COUNTIFS(rEstado_ATR,"Completado",rMes_ATR,$B14,rTipo_ATR,"Macro")&amp;" / "&amp;COUNTIFS(rMes_ATR,$B14,rTipo_ATR,"Macro"))</f>
        <v/>
      </c>
      <c r="K14" s="71">
        <f>IF(COUNT(C14,E14,G14,I14)=4,AVERAGE(C14,E14,G14,I14),IF(COUNTIF(C14:J14,"Sin datos")=4,"Sin datos","No definitivo"))</f>
        <v/>
      </c>
    </row>
    <row r="15" ht="20" customHeight="1">
      <c r="B15" s="70">
        <f>DATE(YEAR(HistInicio),MONTH(HistInicio)+9,1)</f>
        <v/>
      </c>
      <c r="C15" s="20">
        <f>IF(COUNTIFS(rMes_RO,$B15,rTipo_RO,"Macro")=0,"Sin datos",IF(ABS(SUMIFS(rPeso_RO,rMes_RO,$B15,rTipo_RO,"Macro")-1)&gt;0.0001,"Pesos ≠ 100%",SUMPRODUCT(--((rMes_RO=$B15)*(rTipo_RO="Macro")),rPeso_RO,rAvance_RO)))</f>
        <v/>
      </c>
      <c r="D15" s="22">
        <f>IF(COUNTIFS(rMes_RO,$B15,rTipo_RO,"Macro")=0,"",COUNTIFS(rEstado_RO,"Completado",rMes_RO,$B15,rTipo_RO,"Macro")&amp;" / "&amp;COUNTIFS(rMes_RO,$B15,rTipo_RO,"Macro"))</f>
        <v/>
      </c>
      <c r="E15" s="20">
        <f>IF(COUNTIFS(rMes_RN,$B15,rTipo_RN,"Macro")=0,"Sin datos",IF(ABS(SUMIFS(rPeso_RN,rMes_RN,$B15,rTipo_RN,"Macro")-1)&gt;0.0001,"Pesos ≠ 100%",SUMPRODUCT(--((rMes_RN=$B15)*(rTipo_RN="Macro")),rPeso_RN,rAvance_RN)))</f>
        <v/>
      </c>
      <c r="F15" s="22">
        <f>IF(COUNTIFS(rMes_RN,$B15,rTipo_RN,"Macro")=0,"",COUNTIFS(rEstado_RN,"Completado",rMes_RN,$B15,rTipo_RN,"Macro")&amp;" / "&amp;COUNTIFS(rMes_RN,$B15,rTipo_RN,"Macro"))</f>
        <v/>
      </c>
      <c r="G15" s="20">
        <f>IF(COUNTIFS(rMes_RF,$B15,rTipo_RF,"Macro")=0,"Sin datos",IF(ABS(SUMIFS(rPeso_RF,rMes_RF,$B15,rTipo_RF,"Macro")-1)&gt;0.0001,"Pesos ≠ 100%",SUMPRODUCT(--((rMes_RF=$B15)*(rTipo_RF="Macro")),rPeso_RF,rAvance_RF)))</f>
        <v/>
      </c>
      <c r="H15" s="22">
        <f>IF(COUNTIFS(rMes_RF,$B15,rTipo_RF,"Macro")=0,"",COUNTIFS(rEstado_RF,"Completado",rMes_RF,$B15,rTipo_RF,"Macro")&amp;" / "&amp;COUNTIFS(rMes_RF,$B15,rTipo_RF,"Macro"))</f>
        <v/>
      </c>
      <c r="I15" s="20">
        <f>IF(COUNTIFS(rMes_ATR,$B15,rTipo_ATR,"Macro")=0,"Sin datos",IF(ABS(SUMIFS(rPeso_ATR,rMes_ATR,$B15,rTipo_ATR,"Macro")-1)&gt;0.0001,"Pesos ≠ 100%",SUMPRODUCT(--((rMes_ATR=$B15)*(rTipo_ATR="Macro")),rPeso_ATR,rAvance_ATR)))</f>
        <v/>
      </c>
      <c r="J15" s="22">
        <f>IF(COUNTIFS(rMes_ATR,$B15,rTipo_ATR,"Macro")=0,"",COUNTIFS(rEstado_ATR,"Completado",rMes_ATR,$B15,rTipo_ATR,"Macro")&amp;" / "&amp;COUNTIFS(rMes_ATR,$B15,rTipo_ATR,"Macro"))</f>
        <v/>
      </c>
      <c r="K15" s="71">
        <f>IF(COUNT(C15,E15,G15,I15)=4,AVERAGE(C15,E15,G15,I15),IF(COUNTIF(C15:J15,"Sin datos")=4,"Sin datos","No definitivo"))</f>
        <v/>
      </c>
    </row>
    <row r="16" ht="20" customHeight="1">
      <c r="B16" s="70">
        <f>DATE(YEAR(HistInicio),MONTH(HistInicio)+10,1)</f>
        <v/>
      </c>
      <c r="C16" s="20">
        <f>IF(COUNTIFS(rMes_RO,$B16,rTipo_RO,"Macro")=0,"Sin datos",IF(ABS(SUMIFS(rPeso_RO,rMes_RO,$B16,rTipo_RO,"Macro")-1)&gt;0.0001,"Pesos ≠ 100%",SUMPRODUCT(--((rMes_RO=$B16)*(rTipo_RO="Macro")),rPeso_RO,rAvance_RO)))</f>
        <v/>
      </c>
      <c r="D16" s="22">
        <f>IF(COUNTIFS(rMes_RO,$B16,rTipo_RO,"Macro")=0,"",COUNTIFS(rEstado_RO,"Completado",rMes_RO,$B16,rTipo_RO,"Macro")&amp;" / "&amp;COUNTIFS(rMes_RO,$B16,rTipo_RO,"Macro"))</f>
        <v/>
      </c>
      <c r="E16" s="20">
        <f>IF(COUNTIFS(rMes_RN,$B16,rTipo_RN,"Macro")=0,"Sin datos",IF(ABS(SUMIFS(rPeso_RN,rMes_RN,$B16,rTipo_RN,"Macro")-1)&gt;0.0001,"Pesos ≠ 100%",SUMPRODUCT(--((rMes_RN=$B16)*(rTipo_RN="Macro")),rPeso_RN,rAvance_RN)))</f>
        <v/>
      </c>
      <c r="F16" s="22">
        <f>IF(COUNTIFS(rMes_RN,$B16,rTipo_RN,"Macro")=0,"",COUNTIFS(rEstado_RN,"Completado",rMes_RN,$B16,rTipo_RN,"Macro")&amp;" / "&amp;COUNTIFS(rMes_RN,$B16,rTipo_RN,"Macro"))</f>
        <v/>
      </c>
      <c r="G16" s="20">
        <f>IF(COUNTIFS(rMes_RF,$B16,rTipo_RF,"Macro")=0,"Sin datos",IF(ABS(SUMIFS(rPeso_RF,rMes_RF,$B16,rTipo_RF,"Macro")-1)&gt;0.0001,"Pesos ≠ 100%",SUMPRODUCT(--((rMes_RF=$B16)*(rTipo_RF="Macro")),rPeso_RF,rAvance_RF)))</f>
        <v/>
      </c>
      <c r="H16" s="22">
        <f>IF(COUNTIFS(rMes_RF,$B16,rTipo_RF,"Macro")=0,"",COUNTIFS(rEstado_RF,"Completado",rMes_RF,$B16,rTipo_RF,"Macro")&amp;" / "&amp;COUNTIFS(rMes_RF,$B16,rTipo_RF,"Macro"))</f>
        <v/>
      </c>
      <c r="I16" s="20">
        <f>IF(COUNTIFS(rMes_ATR,$B16,rTipo_ATR,"Macro")=0,"Sin datos",IF(ABS(SUMIFS(rPeso_ATR,rMes_ATR,$B16,rTipo_ATR,"Macro")-1)&gt;0.0001,"Pesos ≠ 100%",SUMPRODUCT(--((rMes_ATR=$B16)*(rTipo_ATR="Macro")),rPeso_ATR,rAvance_ATR)))</f>
        <v/>
      </c>
      <c r="J16" s="22">
        <f>IF(COUNTIFS(rMes_ATR,$B16,rTipo_ATR,"Macro")=0,"",COUNTIFS(rEstado_ATR,"Completado",rMes_ATR,$B16,rTipo_ATR,"Macro")&amp;" / "&amp;COUNTIFS(rMes_ATR,$B16,rTipo_ATR,"Macro"))</f>
        <v/>
      </c>
      <c r="K16" s="71">
        <f>IF(COUNT(C16,E16,G16,I16)=4,AVERAGE(C16,E16,G16,I16),IF(COUNTIF(C16:J16,"Sin datos")=4,"Sin datos","No definitivo"))</f>
        <v/>
      </c>
    </row>
    <row r="17" ht="20" customHeight="1">
      <c r="B17" s="70">
        <f>DATE(YEAR(HistInicio),MONTH(HistInicio)+11,1)</f>
        <v/>
      </c>
      <c r="C17" s="20">
        <f>IF(COUNTIFS(rMes_RO,$B17,rTipo_RO,"Macro")=0,"Sin datos",IF(ABS(SUMIFS(rPeso_RO,rMes_RO,$B17,rTipo_RO,"Macro")-1)&gt;0.0001,"Pesos ≠ 100%",SUMPRODUCT(--((rMes_RO=$B17)*(rTipo_RO="Macro")),rPeso_RO,rAvance_RO)))</f>
        <v/>
      </c>
      <c r="D17" s="22">
        <f>IF(COUNTIFS(rMes_RO,$B17,rTipo_RO,"Macro")=0,"",COUNTIFS(rEstado_RO,"Completado",rMes_RO,$B17,rTipo_RO,"Macro")&amp;" / "&amp;COUNTIFS(rMes_RO,$B17,rTipo_RO,"Macro"))</f>
        <v/>
      </c>
      <c r="E17" s="20">
        <f>IF(COUNTIFS(rMes_RN,$B17,rTipo_RN,"Macro")=0,"Sin datos",IF(ABS(SUMIFS(rPeso_RN,rMes_RN,$B17,rTipo_RN,"Macro")-1)&gt;0.0001,"Pesos ≠ 100%",SUMPRODUCT(--((rMes_RN=$B17)*(rTipo_RN="Macro")),rPeso_RN,rAvance_RN)))</f>
        <v/>
      </c>
      <c r="F17" s="22">
        <f>IF(COUNTIFS(rMes_RN,$B17,rTipo_RN,"Macro")=0,"",COUNTIFS(rEstado_RN,"Completado",rMes_RN,$B17,rTipo_RN,"Macro")&amp;" / "&amp;COUNTIFS(rMes_RN,$B17,rTipo_RN,"Macro"))</f>
        <v/>
      </c>
      <c r="G17" s="20">
        <f>IF(COUNTIFS(rMes_RF,$B17,rTipo_RF,"Macro")=0,"Sin datos",IF(ABS(SUMIFS(rPeso_RF,rMes_RF,$B17,rTipo_RF,"Macro")-1)&gt;0.0001,"Pesos ≠ 100%",SUMPRODUCT(--((rMes_RF=$B17)*(rTipo_RF="Macro")),rPeso_RF,rAvance_RF)))</f>
        <v/>
      </c>
      <c r="H17" s="22">
        <f>IF(COUNTIFS(rMes_RF,$B17,rTipo_RF,"Macro")=0,"",COUNTIFS(rEstado_RF,"Completado",rMes_RF,$B17,rTipo_RF,"Macro")&amp;" / "&amp;COUNTIFS(rMes_RF,$B17,rTipo_RF,"Macro"))</f>
        <v/>
      </c>
      <c r="I17" s="20">
        <f>IF(COUNTIFS(rMes_ATR,$B17,rTipo_ATR,"Macro")=0,"Sin datos",IF(ABS(SUMIFS(rPeso_ATR,rMes_ATR,$B17,rTipo_ATR,"Macro")-1)&gt;0.0001,"Pesos ≠ 100%",SUMPRODUCT(--((rMes_ATR=$B17)*(rTipo_ATR="Macro")),rPeso_ATR,rAvance_ATR)))</f>
        <v/>
      </c>
      <c r="J17" s="22">
        <f>IF(COUNTIFS(rMes_ATR,$B17,rTipo_ATR,"Macro")=0,"",COUNTIFS(rEstado_ATR,"Completado",rMes_ATR,$B17,rTipo_ATR,"Macro")&amp;" / "&amp;COUNTIFS(rMes_ATR,$B17,rTipo_ATR,"Macro"))</f>
        <v/>
      </c>
      <c r="K17" s="71">
        <f>IF(COUNT(C17,E17,G17,I17)=4,AVERAGE(C17,E17,G17,I17),IF(COUNTIF(C17:J17,"Sin datos")=4,"Sin datos","No definitivo"))</f>
        <v/>
      </c>
    </row>
    <row r="18" ht="20" customHeight="1">
      <c r="B18" s="70">
        <f>DATE(YEAR(HistInicio),MONTH(HistInicio)+12,1)</f>
        <v/>
      </c>
      <c r="C18" s="20">
        <f>IF(COUNTIFS(rMes_RO,$B18,rTipo_RO,"Macro")=0,"Sin datos",IF(ABS(SUMIFS(rPeso_RO,rMes_RO,$B18,rTipo_RO,"Macro")-1)&gt;0.0001,"Pesos ≠ 100%",SUMPRODUCT(--((rMes_RO=$B18)*(rTipo_RO="Macro")),rPeso_RO,rAvance_RO)))</f>
        <v/>
      </c>
      <c r="D18" s="22">
        <f>IF(COUNTIFS(rMes_RO,$B18,rTipo_RO,"Macro")=0,"",COUNTIFS(rEstado_RO,"Completado",rMes_RO,$B18,rTipo_RO,"Macro")&amp;" / "&amp;COUNTIFS(rMes_RO,$B18,rTipo_RO,"Macro"))</f>
        <v/>
      </c>
      <c r="E18" s="20">
        <f>IF(COUNTIFS(rMes_RN,$B18,rTipo_RN,"Macro")=0,"Sin datos",IF(ABS(SUMIFS(rPeso_RN,rMes_RN,$B18,rTipo_RN,"Macro")-1)&gt;0.0001,"Pesos ≠ 100%",SUMPRODUCT(--((rMes_RN=$B18)*(rTipo_RN="Macro")),rPeso_RN,rAvance_RN)))</f>
        <v/>
      </c>
      <c r="F18" s="22">
        <f>IF(COUNTIFS(rMes_RN,$B18,rTipo_RN,"Macro")=0,"",COUNTIFS(rEstado_RN,"Completado",rMes_RN,$B18,rTipo_RN,"Macro")&amp;" / "&amp;COUNTIFS(rMes_RN,$B18,rTipo_RN,"Macro"))</f>
        <v/>
      </c>
      <c r="G18" s="20">
        <f>IF(COUNTIFS(rMes_RF,$B18,rTipo_RF,"Macro")=0,"Sin datos",IF(ABS(SUMIFS(rPeso_RF,rMes_RF,$B18,rTipo_RF,"Macro")-1)&gt;0.0001,"Pesos ≠ 100%",SUMPRODUCT(--((rMes_RF=$B18)*(rTipo_RF="Macro")),rPeso_RF,rAvance_RF)))</f>
        <v/>
      </c>
      <c r="H18" s="22">
        <f>IF(COUNTIFS(rMes_RF,$B18,rTipo_RF,"Macro")=0,"",COUNTIFS(rEstado_RF,"Completado",rMes_RF,$B18,rTipo_RF,"Macro")&amp;" / "&amp;COUNTIFS(rMes_RF,$B18,rTipo_RF,"Macro"))</f>
        <v/>
      </c>
      <c r="I18" s="20">
        <f>IF(COUNTIFS(rMes_ATR,$B18,rTipo_ATR,"Macro")=0,"Sin datos",IF(ABS(SUMIFS(rPeso_ATR,rMes_ATR,$B18,rTipo_ATR,"Macro")-1)&gt;0.0001,"Pesos ≠ 100%",SUMPRODUCT(--((rMes_ATR=$B18)*(rTipo_ATR="Macro")),rPeso_ATR,rAvance_ATR)))</f>
        <v/>
      </c>
      <c r="J18" s="22">
        <f>IF(COUNTIFS(rMes_ATR,$B18,rTipo_ATR,"Macro")=0,"",COUNTIFS(rEstado_ATR,"Completado",rMes_ATR,$B18,rTipo_ATR,"Macro")&amp;" / "&amp;COUNTIFS(rMes_ATR,$B18,rTipo_ATR,"Macro"))</f>
        <v/>
      </c>
      <c r="K18" s="71">
        <f>IF(COUNT(C18,E18,G18,I18)=4,AVERAGE(C18,E18,G18,I18),IF(COUNTIF(C18:J18,"Sin datos")=4,"Sin datos","No definitivo"))</f>
        <v/>
      </c>
    </row>
    <row r="19" ht="20" customHeight="1">
      <c r="B19" s="70">
        <f>DATE(YEAR(HistInicio),MONTH(HistInicio)+13,1)</f>
        <v/>
      </c>
      <c r="C19" s="20">
        <f>IF(COUNTIFS(rMes_RO,$B19,rTipo_RO,"Macro")=0,"Sin datos",IF(ABS(SUMIFS(rPeso_RO,rMes_RO,$B19,rTipo_RO,"Macro")-1)&gt;0.0001,"Pesos ≠ 100%",SUMPRODUCT(--((rMes_RO=$B19)*(rTipo_RO="Macro")),rPeso_RO,rAvance_RO)))</f>
        <v/>
      </c>
      <c r="D19" s="22">
        <f>IF(COUNTIFS(rMes_RO,$B19,rTipo_RO,"Macro")=0,"",COUNTIFS(rEstado_RO,"Completado",rMes_RO,$B19,rTipo_RO,"Macro")&amp;" / "&amp;COUNTIFS(rMes_RO,$B19,rTipo_RO,"Macro"))</f>
        <v/>
      </c>
      <c r="E19" s="20">
        <f>IF(COUNTIFS(rMes_RN,$B19,rTipo_RN,"Macro")=0,"Sin datos",IF(ABS(SUMIFS(rPeso_RN,rMes_RN,$B19,rTipo_RN,"Macro")-1)&gt;0.0001,"Pesos ≠ 100%",SUMPRODUCT(--((rMes_RN=$B19)*(rTipo_RN="Macro")),rPeso_RN,rAvance_RN)))</f>
        <v/>
      </c>
      <c r="F19" s="22">
        <f>IF(COUNTIFS(rMes_RN,$B19,rTipo_RN,"Macro")=0,"",COUNTIFS(rEstado_RN,"Completado",rMes_RN,$B19,rTipo_RN,"Macro")&amp;" / "&amp;COUNTIFS(rMes_RN,$B19,rTipo_RN,"Macro"))</f>
        <v/>
      </c>
      <c r="G19" s="20">
        <f>IF(COUNTIFS(rMes_RF,$B19,rTipo_RF,"Macro")=0,"Sin datos",IF(ABS(SUMIFS(rPeso_RF,rMes_RF,$B19,rTipo_RF,"Macro")-1)&gt;0.0001,"Pesos ≠ 100%",SUMPRODUCT(--((rMes_RF=$B19)*(rTipo_RF="Macro")),rPeso_RF,rAvance_RF)))</f>
        <v/>
      </c>
      <c r="H19" s="22">
        <f>IF(COUNTIFS(rMes_RF,$B19,rTipo_RF,"Macro")=0,"",COUNTIFS(rEstado_RF,"Completado",rMes_RF,$B19,rTipo_RF,"Macro")&amp;" / "&amp;COUNTIFS(rMes_RF,$B19,rTipo_RF,"Macro"))</f>
        <v/>
      </c>
      <c r="I19" s="20">
        <f>IF(COUNTIFS(rMes_ATR,$B19,rTipo_ATR,"Macro")=0,"Sin datos",IF(ABS(SUMIFS(rPeso_ATR,rMes_ATR,$B19,rTipo_ATR,"Macro")-1)&gt;0.0001,"Pesos ≠ 100%",SUMPRODUCT(--((rMes_ATR=$B19)*(rTipo_ATR="Macro")),rPeso_ATR,rAvance_ATR)))</f>
        <v/>
      </c>
      <c r="J19" s="22">
        <f>IF(COUNTIFS(rMes_ATR,$B19,rTipo_ATR,"Macro")=0,"",COUNTIFS(rEstado_ATR,"Completado",rMes_ATR,$B19,rTipo_ATR,"Macro")&amp;" / "&amp;COUNTIFS(rMes_ATR,$B19,rTipo_ATR,"Macro"))</f>
        <v/>
      </c>
      <c r="K19" s="71">
        <f>IF(COUNT(C19,E19,G19,I19)=4,AVERAGE(C19,E19,G19,I19),IF(COUNTIF(C19:J19,"Sin datos")=4,"Sin datos","No definitivo"))</f>
        <v/>
      </c>
    </row>
    <row r="20" ht="20" customHeight="1">
      <c r="B20" s="70">
        <f>DATE(YEAR(HistInicio),MONTH(HistInicio)+14,1)</f>
        <v/>
      </c>
      <c r="C20" s="20">
        <f>IF(COUNTIFS(rMes_RO,$B20,rTipo_RO,"Macro")=0,"Sin datos",IF(ABS(SUMIFS(rPeso_RO,rMes_RO,$B20,rTipo_RO,"Macro")-1)&gt;0.0001,"Pesos ≠ 100%",SUMPRODUCT(--((rMes_RO=$B20)*(rTipo_RO="Macro")),rPeso_RO,rAvance_RO)))</f>
        <v/>
      </c>
      <c r="D20" s="22">
        <f>IF(COUNTIFS(rMes_RO,$B20,rTipo_RO,"Macro")=0,"",COUNTIFS(rEstado_RO,"Completado",rMes_RO,$B20,rTipo_RO,"Macro")&amp;" / "&amp;COUNTIFS(rMes_RO,$B20,rTipo_RO,"Macro"))</f>
        <v/>
      </c>
      <c r="E20" s="20">
        <f>IF(COUNTIFS(rMes_RN,$B20,rTipo_RN,"Macro")=0,"Sin datos",IF(ABS(SUMIFS(rPeso_RN,rMes_RN,$B20,rTipo_RN,"Macro")-1)&gt;0.0001,"Pesos ≠ 100%",SUMPRODUCT(--((rMes_RN=$B20)*(rTipo_RN="Macro")),rPeso_RN,rAvance_RN)))</f>
        <v/>
      </c>
      <c r="F20" s="22">
        <f>IF(COUNTIFS(rMes_RN,$B20,rTipo_RN,"Macro")=0,"",COUNTIFS(rEstado_RN,"Completado",rMes_RN,$B20,rTipo_RN,"Macro")&amp;" / "&amp;COUNTIFS(rMes_RN,$B20,rTipo_RN,"Macro"))</f>
        <v/>
      </c>
      <c r="G20" s="20">
        <f>IF(COUNTIFS(rMes_RF,$B20,rTipo_RF,"Macro")=0,"Sin datos",IF(ABS(SUMIFS(rPeso_RF,rMes_RF,$B20,rTipo_RF,"Macro")-1)&gt;0.0001,"Pesos ≠ 100%",SUMPRODUCT(--((rMes_RF=$B20)*(rTipo_RF="Macro")),rPeso_RF,rAvance_RF)))</f>
        <v/>
      </c>
      <c r="H20" s="22">
        <f>IF(COUNTIFS(rMes_RF,$B20,rTipo_RF,"Macro")=0,"",COUNTIFS(rEstado_RF,"Completado",rMes_RF,$B20,rTipo_RF,"Macro")&amp;" / "&amp;COUNTIFS(rMes_RF,$B20,rTipo_RF,"Macro"))</f>
        <v/>
      </c>
      <c r="I20" s="20">
        <f>IF(COUNTIFS(rMes_ATR,$B20,rTipo_ATR,"Macro")=0,"Sin datos",IF(ABS(SUMIFS(rPeso_ATR,rMes_ATR,$B20,rTipo_ATR,"Macro")-1)&gt;0.0001,"Pesos ≠ 100%",SUMPRODUCT(--((rMes_ATR=$B20)*(rTipo_ATR="Macro")),rPeso_ATR,rAvance_ATR)))</f>
        <v/>
      </c>
      <c r="J20" s="22">
        <f>IF(COUNTIFS(rMes_ATR,$B20,rTipo_ATR,"Macro")=0,"",COUNTIFS(rEstado_ATR,"Completado",rMes_ATR,$B20,rTipo_ATR,"Macro")&amp;" / "&amp;COUNTIFS(rMes_ATR,$B20,rTipo_ATR,"Macro"))</f>
        <v/>
      </c>
      <c r="K20" s="71">
        <f>IF(COUNT(C20,E20,G20,I20)=4,AVERAGE(C20,E20,G20,I20),IF(COUNTIF(C20:J20,"Sin datos")=4,"Sin datos","No definitivo"))</f>
        <v/>
      </c>
    </row>
    <row r="21" ht="20" customHeight="1">
      <c r="B21" s="70">
        <f>DATE(YEAR(HistInicio),MONTH(HistInicio)+15,1)</f>
        <v/>
      </c>
      <c r="C21" s="20">
        <f>IF(COUNTIFS(rMes_RO,$B21,rTipo_RO,"Macro")=0,"Sin datos",IF(ABS(SUMIFS(rPeso_RO,rMes_RO,$B21,rTipo_RO,"Macro")-1)&gt;0.0001,"Pesos ≠ 100%",SUMPRODUCT(--((rMes_RO=$B21)*(rTipo_RO="Macro")),rPeso_RO,rAvance_RO)))</f>
        <v/>
      </c>
      <c r="D21" s="22">
        <f>IF(COUNTIFS(rMes_RO,$B21,rTipo_RO,"Macro")=0,"",COUNTIFS(rEstado_RO,"Completado",rMes_RO,$B21,rTipo_RO,"Macro")&amp;" / "&amp;COUNTIFS(rMes_RO,$B21,rTipo_RO,"Macro"))</f>
        <v/>
      </c>
      <c r="E21" s="20">
        <f>IF(COUNTIFS(rMes_RN,$B21,rTipo_RN,"Macro")=0,"Sin datos",IF(ABS(SUMIFS(rPeso_RN,rMes_RN,$B21,rTipo_RN,"Macro")-1)&gt;0.0001,"Pesos ≠ 100%",SUMPRODUCT(--((rMes_RN=$B21)*(rTipo_RN="Macro")),rPeso_RN,rAvance_RN)))</f>
        <v/>
      </c>
      <c r="F21" s="22">
        <f>IF(COUNTIFS(rMes_RN,$B21,rTipo_RN,"Macro")=0,"",COUNTIFS(rEstado_RN,"Completado",rMes_RN,$B21,rTipo_RN,"Macro")&amp;" / "&amp;COUNTIFS(rMes_RN,$B21,rTipo_RN,"Macro"))</f>
        <v/>
      </c>
      <c r="G21" s="20">
        <f>IF(COUNTIFS(rMes_RF,$B21,rTipo_RF,"Macro")=0,"Sin datos",IF(ABS(SUMIFS(rPeso_RF,rMes_RF,$B21,rTipo_RF,"Macro")-1)&gt;0.0001,"Pesos ≠ 100%",SUMPRODUCT(--((rMes_RF=$B21)*(rTipo_RF="Macro")),rPeso_RF,rAvance_RF)))</f>
        <v/>
      </c>
      <c r="H21" s="22">
        <f>IF(COUNTIFS(rMes_RF,$B21,rTipo_RF,"Macro")=0,"",COUNTIFS(rEstado_RF,"Completado",rMes_RF,$B21,rTipo_RF,"Macro")&amp;" / "&amp;COUNTIFS(rMes_RF,$B21,rTipo_RF,"Macro"))</f>
        <v/>
      </c>
      <c r="I21" s="20">
        <f>IF(COUNTIFS(rMes_ATR,$B21,rTipo_ATR,"Macro")=0,"Sin datos",IF(ABS(SUMIFS(rPeso_ATR,rMes_ATR,$B21,rTipo_ATR,"Macro")-1)&gt;0.0001,"Pesos ≠ 100%",SUMPRODUCT(--((rMes_ATR=$B21)*(rTipo_ATR="Macro")),rPeso_ATR,rAvance_ATR)))</f>
        <v/>
      </c>
      <c r="J21" s="22">
        <f>IF(COUNTIFS(rMes_ATR,$B21,rTipo_ATR,"Macro")=0,"",COUNTIFS(rEstado_ATR,"Completado",rMes_ATR,$B21,rTipo_ATR,"Macro")&amp;" / "&amp;COUNTIFS(rMes_ATR,$B21,rTipo_ATR,"Macro"))</f>
        <v/>
      </c>
      <c r="K21" s="71">
        <f>IF(COUNT(C21,E21,G21,I21)=4,AVERAGE(C21,E21,G21,I21),IF(COUNTIF(C21:J21,"Sin datos")=4,"Sin datos","No definitivo"))</f>
        <v/>
      </c>
    </row>
    <row r="22" ht="20" customHeight="1">
      <c r="B22" s="70">
        <f>DATE(YEAR(HistInicio),MONTH(HistInicio)+16,1)</f>
        <v/>
      </c>
      <c r="C22" s="20">
        <f>IF(COUNTIFS(rMes_RO,$B22,rTipo_RO,"Macro")=0,"Sin datos",IF(ABS(SUMIFS(rPeso_RO,rMes_RO,$B22,rTipo_RO,"Macro")-1)&gt;0.0001,"Pesos ≠ 100%",SUMPRODUCT(--((rMes_RO=$B22)*(rTipo_RO="Macro")),rPeso_RO,rAvance_RO)))</f>
        <v/>
      </c>
      <c r="D22" s="22">
        <f>IF(COUNTIFS(rMes_RO,$B22,rTipo_RO,"Macro")=0,"",COUNTIFS(rEstado_RO,"Completado",rMes_RO,$B22,rTipo_RO,"Macro")&amp;" / "&amp;COUNTIFS(rMes_RO,$B22,rTipo_RO,"Macro"))</f>
        <v/>
      </c>
      <c r="E22" s="20">
        <f>IF(COUNTIFS(rMes_RN,$B22,rTipo_RN,"Macro")=0,"Sin datos",IF(ABS(SUMIFS(rPeso_RN,rMes_RN,$B22,rTipo_RN,"Macro")-1)&gt;0.0001,"Pesos ≠ 100%",SUMPRODUCT(--((rMes_RN=$B22)*(rTipo_RN="Macro")),rPeso_RN,rAvance_RN)))</f>
        <v/>
      </c>
      <c r="F22" s="22">
        <f>IF(COUNTIFS(rMes_RN,$B22,rTipo_RN,"Macro")=0,"",COUNTIFS(rEstado_RN,"Completado",rMes_RN,$B22,rTipo_RN,"Macro")&amp;" / "&amp;COUNTIFS(rMes_RN,$B22,rTipo_RN,"Macro"))</f>
        <v/>
      </c>
      <c r="G22" s="20">
        <f>IF(COUNTIFS(rMes_RF,$B22,rTipo_RF,"Macro")=0,"Sin datos",IF(ABS(SUMIFS(rPeso_RF,rMes_RF,$B22,rTipo_RF,"Macro")-1)&gt;0.0001,"Pesos ≠ 100%",SUMPRODUCT(--((rMes_RF=$B22)*(rTipo_RF="Macro")),rPeso_RF,rAvance_RF)))</f>
        <v/>
      </c>
      <c r="H22" s="22">
        <f>IF(COUNTIFS(rMes_RF,$B22,rTipo_RF,"Macro")=0,"",COUNTIFS(rEstado_RF,"Completado",rMes_RF,$B22,rTipo_RF,"Macro")&amp;" / "&amp;COUNTIFS(rMes_RF,$B22,rTipo_RF,"Macro"))</f>
        <v/>
      </c>
      <c r="I22" s="20">
        <f>IF(COUNTIFS(rMes_ATR,$B22,rTipo_ATR,"Macro")=0,"Sin datos",IF(ABS(SUMIFS(rPeso_ATR,rMes_ATR,$B22,rTipo_ATR,"Macro")-1)&gt;0.0001,"Pesos ≠ 100%",SUMPRODUCT(--((rMes_ATR=$B22)*(rTipo_ATR="Macro")),rPeso_ATR,rAvance_ATR)))</f>
        <v/>
      </c>
      <c r="J22" s="22">
        <f>IF(COUNTIFS(rMes_ATR,$B22,rTipo_ATR,"Macro")=0,"",COUNTIFS(rEstado_ATR,"Completado",rMes_ATR,$B22,rTipo_ATR,"Macro")&amp;" / "&amp;COUNTIFS(rMes_ATR,$B22,rTipo_ATR,"Macro"))</f>
        <v/>
      </c>
      <c r="K22" s="71">
        <f>IF(COUNT(C22,E22,G22,I22)=4,AVERAGE(C22,E22,G22,I22),IF(COUNTIF(C22:J22,"Sin datos")=4,"Sin datos","No definitivo"))</f>
        <v/>
      </c>
    </row>
    <row r="23" ht="20" customHeight="1">
      <c r="B23" s="70">
        <f>DATE(YEAR(HistInicio),MONTH(HistInicio)+17,1)</f>
        <v/>
      </c>
      <c r="C23" s="20">
        <f>IF(COUNTIFS(rMes_RO,$B23,rTipo_RO,"Macro")=0,"Sin datos",IF(ABS(SUMIFS(rPeso_RO,rMes_RO,$B23,rTipo_RO,"Macro")-1)&gt;0.0001,"Pesos ≠ 100%",SUMPRODUCT(--((rMes_RO=$B23)*(rTipo_RO="Macro")),rPeso_RO,rAvance_RO)))</f>
        <v/>
      </c>
      <c r="D23" s="22">
        <f>IF(COUNTIFS(rMes_RO,$B23,rTipo_RO,"Macro")=0,"",COUNTIFS(rEstado_RO,"Completado",rMes_RO,$B23,rTipo_RO,"Macro")&amp;" / "&amp;COUNTIFS(rMes_RO,$B23,rTipo_RO,"Macro"))</f>
        <v/>
      </c>
      <c r="E23" s="20">
        <f>IF(COUNTIFS(rMes_RN,$B23,rTipo_RN,"Macro")=0,"Sin datos",IF(ABS(SUMIFS(rPeso_RN,rMes_RN,$B23,rTipo_RN,"Macro")-1)&gt;0.0001,"Pesos ≠ 100%",SUMPRODUCT(--((rMes_RN=$B23)*(rTipo_RN="Macro")),rPeso_RN,rAvance_RN)))</f>
        <v/>
      </c>
      <c r="F23" s="22">
        <f>IF(COUNTIFS(rMes_RN,$B23,rTipo_RN,"Macro")=0,"",COUNTIFS(rEstado_RN,"Completado",rMes_RN,$B23,rTipo_RN,"Macro")&amp;" / "&amp;COUNTIFS(rMes_RN,$B23,rTipo_RN,"Macro"))</f>
        <v/>
      </c>
      <c r="G23" s="20">
        <f>IF(COUNTIFS(rMes_RF,$B23,rTipo_RF,"Macro")=0,"Sin datos",IF(ABS(SUMIFS(rPeso_RF,rMes_RF,$B23,rTipo_RF,"Macro")-1)&gt;0.0001,"Pesos ≠ 100%",SUMPRODUCT(--((rMes_RF=$B23)*(rTipo_RF="Macro")),rPeso_RF,rAvance_RF)))</f>
        <v/>
      </c>
      <c r="H23" s="22">
        <f>IF(COUNTIFS(rMes_RF,$B23,rTipo_RF,"Macro")=0,"",COUNTIFS(rEstado_RF,"Completado",rMes_RF,$B23,rTipo_RF,"Macro")&amp;" / "&amp;COUNTIFS(rMes_RF,$B23,rTipo_RF,"Macro"))</f>
        <v/>
      </c>
      <c r="I23" s="20">
        <f>IF(COUNTIFS(rMes_ATR,$B23,rTipo_ATR,"Macro")=0,"Sin datos",IF(ABS(SUMIFS(rPeso_ATR,rMes_ATR,$B23,rTipo_ATR,"Macro")-1)&gt;0.0001,"Pesos ≠ 100%",SUMPRODUCT(--((rMes_ATR=$B23)*(rTipo_ATR="Macro")),rPeso_ATR,rAvance_ATR)))</f>
        <v/>
      </c>
      <c r="J23" s="22">
        <f>IF(COUNTIFS(rMes_ATR,$B23,rTipo_ATR,"Macro")=0,"",COUNTIFS(rEstado_ATR,"Completado",rMes_ATR,$B23,rTipo_ATR,"Macro")&amp;" / "&amp;COUNTIFS(rMes_ATR,$B23,rTipo_ATR,"Macro"))</f>
        <v/>
      </c>
      <c r="K23" s="71">
        <f>IF(COUNT(C23,E23,G23,I23)=4,AVERAGE(C23,E23,G23,I23),IF(COUNTIF(C23:J23,"Sin datos")=4,"Sin datos","No definitivo"))</f>
        <v/>
      </c>
    </row>
    <row r="24" ht="20" customHeight="1">
      <c r="B24" s="70">
        <f>DATE(YEAR(HistInicio),MONTH(HistInicio)+18,1)</f>
        <v/>
      </c>
      <c r="C24" s="20">
        <f>IF(COUNTIFS(rMes_RO,$B24,rTipo_RO,"Macro")=0,"Sin datos",IF(ABS(SUMIFS(rPeso_RO,rMes_RO,$B24,rTipo_RO,"Macro")-1)&gt;0.0001,"Pesos ≠ 100%",SUMPRODUCT(--((rMes_RO=$B24)*(rTipo_RO="Macro")),rPeso_RO,rAvance_RO)))</f>
        <v/>
      </c>
      <c r="D24" s="22">
        <f>IF(COUNTIFS(rMes_RO,$B24,rTipo_RO,"Macro")=0,"",COUNTIFS(rEstado_RO,"Completado",rMes_RO,$B24,rTipo_RO,"Macro")&amp;" / "&amp;COUNTIFS(rMes_RO,$B24,rTipo_RO,"Macro"))</f>
        <v/>
      </c>
      <c r="E24" s="20">
        <f>IF(COUNTIFS(rMes_RN,$B24,rTipo_RN,"Macro")=0,"Sin datos",IF(ABS(SUMIFS(rPeso_RN,rMes_RN,$B24,rTipo_RN,"Macro")-1)&gt;0.0001,"Pesos ≠ 100%",SUMPRODUCT(--((rMes_RN=$B24)*(rTipo_RN="Macro")),rPeso_RN,rAvance_RN)))</f>
        <v/>
      </c>
      <c r="F24" s="22">
        <f>IF(COUNTIFS(rMes_RN,$B24,rTipo_RN,"Macro")=0,"",COUNTIFS(rEstado_RN,"Completado",rMes_RN,$B24,rTipo_RN,"Macro")&amp;" / "&amp;COUNTIFS(rMes_RN,$B24,rTipo_RN,"Macro"))</f>
        <v/>
      </c>
      <c r="G24" s="20">
        <f>IF(COUNTIFS(rMes_RF,$B24,rTipo_RF,"Macro")=0,"Sin datos",IF(ABS(SUMIFS(rPeso_RF,rMes_RF,$B24,rTipo_RF,"Macro")-1)&gt;0.0001,"Pesos ≠ 100%",SUMPRODUCT(--((rMes_RF=$B24)*(rTipo_RF="Macro")),rPeso_RF,rAvance_RF)))</f>
        <v/>
      </c>
      <c r="H24" s="22">
        <f>IF(COUNTIFS(rMes_RF,$B24,rTipo_RF,"Macro")=0,"",COUNTIFS(rEstado_RF,"Completado",rMes_RF,$B24,rTipo_RF,"Macro")&amp;" / "&amp;COUNTIFS(rMes_RF,$B24,rTipo_RF,"Macro"))</f>
        <v/>
      </c>
      <c r="I24" s="20">
        <f>IF(COUNTIFS(rMes_ATR,$B24,rTipo_ATR,"Macro")=0,"Sin datos",IF(ABS(SUMIFS(rPeso_ATR,rMes_ATR,$B24,rTipo_ATR,"Macro")-1)&gt;0.0001,"Pesos ≠ 100%",SUMPRODUCT(--((rMes_ATR=$B24)*(rTipo_ATR="Macro")),rPeso_ATR,rAvance_ATR)))</f>
        <v/>
      </c>
      <c r="J24" s="22">
        <f>IF(COUNTIFS(rMes_ATR,$B24,rTipo_ATR,"Macro")=0,"",COUNTIFS(rEstado_ATR,"Completado",rMes_ATR,$B24,rTipo_ATR,"Macro")&amp;" / "&amp;COUNTIFS(rMes_ATR,$B24,rTipo_ATR,"Macro"))</f>
        <v/>
      </c>
      <c r="K24" s="71">
        <f>IF(COUNT(C24,E24,G24,I24)=4,AVERAGE(C24,E24,G24,I24),IF(COUNTIF(C24:J24,"Sin datos")=4,"Sin datos","No definitivo"))</f>
        <v/>
      </c>
    </row>
    <row r="25" ht="20" customHeight="1">
      <c r="B25" s="70">
        <f>DATE(YEAR(HistInicio),MONTH(HistInicio)+19,1)</f>
        <v/>
      </c>
      <c r="C25" s="20">
        <f>IF(COUNTIFS(rMes_RO,$B25,rTipo_RO,"Macro")=0,"Sin datos",IF(ABS(SUMIFS(rPeso_RO,rMes_RO,$B25,rTipo_RO,"Macro")-1)&gt;0.0001,"Pesos ≠ 100%",SUMPRODUCT(--((rMes_RO=$B25)*(rTipo_RO="Macro")),rPeso_RO,rAvance_RO)))</f>
        <v/>
      </c>
      <c r="D25" s="22">
        <f>IF(COUNTIFS(rMes_RO,$B25,rTipo_RO,"Macro")=0,"",COUNTIFS(rEstado_RO,"Completado",rMes_RO,$B25,rTipo_RO,"Macro")&amp;" / "&amp;COUNTIFS(rMes_RO,$B25,rTipo_RO,"Macro"))</f>
        <v/>
      </c>
      <c r="E25" s="20">
        <f>IF(COUNTIFS(rMes_RN,$B25,rTipo_RN,"Macro")=0,"Sin datos",IF(ABS(SUMIFS(rPeso_RN,rMes_RN,$B25,rTipo_RN,"Macro")-1)&gt;0.0001,"Pesos ≠ 100%",SUMPRODUCT(--((rMes_RN=$B25)*(rTipo_RN="Macro")),rPeso_RN,rAvance_RN)))</f>
        <v/>
      </c>
      <c r="F25" s="22">
        <f>IF(COUNTIFS(rMes_RN,$B25,rTipo_RN,"Macro")=0,"",COUNTIFS(rEstado_RN,"Completado",rMes_RN,$B25,rTipo_RN,"Macro")&amp;" / "&amp;COUNTIFS(rMes_RN,$B25,rTipo_RN,"Macro"))</f>
        <v/>
      </c>
      <c r="G25" s="20">
        <f>IF(COUNTIFS(rMes_RF,$B25,rTipo_RF,"Macro")=0,"Sin datos",IF(ABS(SUMIFS(rPeso_RF,rMes_RF,$B25,rTipo_RF,"Macro")-1)&gt;0.0001,"Pesos ≠ 100%",SUMPRODUCT(--((rMes_RF=$B25)*(rTipo_RF="Macro")),rPeso_RF,rAvance_RF)))</f>
        <v/>
      </c>
      <c r="H25" s="22">
        <f>IF(COUNTIFS(rMes_RF,$B25,rTipo_RF,"Macro")=0,"",COUNTIFS(rEstado_RF,"Completado",rMes_RF,$B25,rTipo_RF,"Macro")&amp;" / "&amp;COUNTIFS(rMes_RF,$B25,rTipo_RF,"Macro"))</f>
        <v/>
      </c>
      <c r="I25" s="20">
        <f>IF(COUNTIFS(rMes_ATR,$B25,rTipo_ATR,"Macro")=0,"Sin datos",IF(ABS(SUMIFS(rPeso_ATR,rMes_ATR,$B25,rTipo_ATR,"Macro")-1)&gt;0.0001,"Pesos ≠ 100%",SUMPRODUCT(--((rMes_ATR=$B25)*(rTipo_ATR="Macro")),rPeso_ATR,rAvance_ATR)))</f>
        <v/>
      </c>
      <c r="J25" s="22">
        <f>IF(COUNTIFS(rMes_ATR,$B25,rTipo_ATR,"Macro")=0,"",COUNTIFS(rEstado_ATR,"Completado",rMes_ATR,$B25,rTipo_ATR,"Macro")&amp;" / "&amp;COUNTIFS(rMes_ATR,$B25,rTipo_ATR,"Macro"))</f>
        <v/>
      </c>
      <c r="K25" s="71">
        <f>IF(COUNT(C25,E25,G25,I25)=4,AVERAGE(C25,E25,G25,I25),IF(COUNTIF(C25:J25,"Sin datos")=4,"Sin datos","No definitivo"))</f>
        <v/>
      </c>
    </row>
    <row r="26" ht="20" customHeight="1">
      <c r="B26" s="70">
        <f>DATE(YEAR(HistInicio),MONTH(HistInicio)+20,1)</f>
        <v/>
      </c>
      <c r="C26" s="20">
        <f>IF(COUNTIFS(rMes_RO,$B26,rTipo_RO,"Macro")=0,"Sin datos",IF(ABS(SUMIFS(rPeso_RO,rMes_RO,$B26,rTipo_RO,"Macro")-1)&gt;0.0001,"Pesos ≠ 100%",SUMPRODUCT(--((rMes_RO=$B26)*(rTipo_RO="Macro")),rPeso_RO,rAvance_RO)))</f>
        <v/>
      </c>
      <c r="D26" s="22">
        <f>IF(COUNTIFS(rMes_RO,$B26,rTipo_RO,"Macro")=0,"",COUNTIFS(rEstado_RO,"Completado",rMes_RO,$B26,rTipo_RO,"Macro")&amp;" / "&amp;COUNTIFS(rMes_RO,$B26,rTipo_RO,"Macro"))</f>
        <v/>
      </c>
      <c r="E26" s="20">
        <f>IF(COUNTIFS(rMes_RN,$B26,rTipo_RN,"Macro")=0,"Sin datos",IF(ABS(SUMIFS(rPeso_RN,rMes_RN,$B26,rTipo_RN,"Macro")-1)&gt;0.0001,"Pesos ≠ 100%",SUMPRODUCT(--((rMes_RN=$B26)*(rTipo_RN="Macro")),rPeso_RN,rAvance_RN)))</f>
        <v/>
      </c>
      <c r="F26" s="22">
        <f>IF(COUNTIFS(rMes_RN,$B26,rTipo_RN,"Macro")=0,"",COUNTIFS(rEstado_RN,"Completado",rMes_RN,$B26,rTipo_RN,"Macro")&amp;" / "&amp;COUNTIFS(rMes_RN,$B26,rTipo_RN,"Macro"))</f>
        <v/>
      </c>
      <c r="G26" s="20">
        <f>IF(COUNTIFS(rMes_RF,$B26,rTipo_RF,"Macro")=0,"Sin datos",IF(ABS(SUMIFS(rPeso_RF,rMes_RF,$B26,rTipo_RF,"Macro")-1)&gt;0.0001,"Pesos ≠ 100%",SUMPRODUCT(--((rMes_RF=$B26)*(rTipo_RF="Macro")),rPeso_RF,rAvance_RF)))</f>
        <v/>
      </c>
      <c r="H26" s="22">
        <f>IF(COUNTIFS(rMes_RF,$B26,rTipo_RF,"Macro")=0,"",COUNTIFS(rEstado_RF,"Completado",rMes_RF,$B26,rTipo_RF,"Macro")&amp;" / "&amp;COUNTIFS(rMes_RF,$B26,rTipo_RF,"Macro"))</f>
        <v/>
      </c>
      <c r="I26" s="20">
        <f>IF(COUNTIFS(rMes_ATR,$B26,rTipo_ATR,"Macro")=0,"Sin datos",IF(ABS(SUMIFS(rPeso_ATR,rMes_ATR,$B26,rTipo_ATR,"Macro")-1)&gt;0.0001,"Pesos ≠ 100%",SUMPRODUCT(--((rMes_ATR=$B26)*(rTipo_ATR="Macro")),rPeso_ATR,rAvance_ATR)))</f>
        <v/>
      </c>
      <c r="J26" s="22">
        <f>IF(COUNTIFS(rMes_ATR,$B26,rTipo_ATR,"Macro")=0,"",COUNTIFS(rEstado_ATR,"Completado",rMes_ATR,$B26,rTipo_ATR,"Macro")&amp;" / "&amp;COUNTIFS(rMes_ATR,$B26,rTipo_ATR,"Macro"))</f>
        <v/>
      </c>
      <c r="K26" s="71">
        <f>IF(COUNT(C26,E26,G26,I26)=4,AVERAGE(C26,E26,G26,I26),IF(COUNTIF(C26:J26,"Sin datos")=4,"Sin datos","No definitivo"))</f>
        <v/>
      </c>
    </row>
    <row r="27" ht="20" customHeight="1">
      <c r="B27" s="70">
        <f>DATE(YEAR(HistInicio),MONTH(HistInicio)+21,1)</f>
        <v/>
      </c>
      <c r="C27" s="20">
        <f>IF(COUNTIFS(rMes_RO,$B27,rTipo_RO,"Macro")=0,"Sin datos",IF(ABS(SUMIFS(rPeso_RO,rMes_RO,$B27,rTipo_RO,"Macro")-1)&gt;0.0001,"Pesos ≠ 100%",SUMPRODUCT(--((rMes_RO=$B27)*(rTipo_RO="Macro")),rPeso_RO,rAvance_RO)))</f>
        <v/>
      </c>
      <c r="D27" s="22">
        <f>IF(COUNTIFS(rMes_RO,$B27,rTipo_RO,"Macro")=0,"",COUNTIFS(rEstado_RO,"Completado",rMes_RO,$B27,rTipo_RO,"Macro")&amp;" / "&amp;COUNTIFS(rMes_RO,$B27,rTipo_RO,"Macro"))</f>
        <v/>
      </c>
      <c r="E27" s="20">
        <f>IF(COUNTIFS(rMes_RN,$B27,rTipo_RN,"Macro")=0,"Sin datos",IF(ABS(SUMIFS(rPeso_RN,rMes_RN,$B27,rTipo_RN,"Macro")-1)&gt;0.0001,"Pesos ≠ 100%",SUMPRODUCT(--((rMes_RN=$B27)*(rTipo_RN="Macro")),rPeso_RN,rAvance_RN)))</f>
        <v/>
      </c>
      <c r="F27" s="22">
        <f>IF(COUNTIFS(rMes_RN,$B27,rTipo_RN,"Macro")=0,"",COUNTIFS(rEstado_RN,"Completado",rMes_RN,$B27,rTipo_RN,"Macro")&amp;" / "&amp;COUNTIFS(rMes_RN,$B27,rTipo_RN,"Macro"))</f>
        <v/>
      </c>
      <c r="G27" s="20">
        <f>IF(COUNTIFS(rMes_RF,$B27,rTipo_RF,"Macro")=0,"Sin datos",IF(ABS(SUMIFS(rPeso_RF,rMes_RF,$B27,rTipo_RF,"Macro")-1)&gt;0.0001,"Pesos ≠ 100%",SUMPRODUCT(--((rMes_RF=$B27)*(rTipo_RF="Macro")),rPeso_RF,rAvance_RF)))</f>
        <v/>
      </c>
      <c r="H27" s="22">
        <f>IF(COUNTIFS(rMes_RF,$B27,rTipo_RF,"Macro")=0,"",COUNTIFS(rEstado_RF,"Completado",rMes_RF,$B27,rTipo_RF,"Macro")&amp;" / "&amp;COUNTIFS(rMes_RF,$B27,rTipo_RF,"Macro"))</f>
        <v/>
      </c>
      <c r="I27" s="20">
        <f>IF(COUNTIFS(rMes_ATR,$B27,rTipo_ATR,"Macro")=0,"Sin datos",IF(ABS(SUMIFS(rPeso_ATR,rMes_ATR,$B27,rTipo_ATR,"Macro")-1)&gt;0.0001,"Pesos ≠ 100%",SUMPRODUCT(--((rMes_ATR=$B27)*(rTipo_ATR="Macro")),rPeso_ATR,rAvance_ATR)))</f>
        <v/>
      </c>
      <c r="J27" s="22">
        <f>IF(COUNTIFS(rMes_ATR,$B27,rTipo_ATR,"Macro")=0,"",COUNTIFS(rEstado_ATR,"Completado",rMes_ATR,$B27,rTipo_ATR,"Macro")&amp;" / "&amp;COUNTIFS(rMes_ATR,$B27,rTipo_ATR,"Macro"))</f>
        <v/>
      </c>
      <c r="K27" s="71">
        <f>IF(COUNT(C27,E27,G27,I27)=4,AVERAGE(C27,E27,G27,I27),IF(COUNTIF(C27:J27,"Sin datos")=4,"Sin datos","No definitivo"))</f>
        <v/>
      </c>
    </row>
    <row r="28" ht="20" customHeight="1">
      <c r="B28" s="70">
        <f>DATE(YEAR(HistInicio),MONTH(HistInicio)+22,1)</f>
        <v/>
      </c>
      <c r="C28" s="20">
        <f>IF(COUNTIFS(rMes_RO,$B28,rTipo_RO,"Macro")=0,"Sin datos",IF(ABS(SUMIFS(rPeso_RO,rMes_RO,$B28,rTipo_RO,"Macro")-1)&gt;0.0001,"Pesos ≠ 100%",SUMPRODUCT(--((rMes_RO=$B28)*(rTipo_RO="Macro")),rPeso_RO,rAvance_RO)))</f>
        <v/>
      </c>
      <c r="D28" s="22">
        <f>IF(COUNTIFS(rMes_RO,$B28,rTipo_RO,"Macro")=0,"",COUNTIFS(rEstado_RO,"Completado",rMes_RO,$B28,rTipo_RO,"Macro")&amp;" / "&amp;COUNTIFS(rMes_RO,$B28,rTipo_RO,"Macro"))</f>
        <v/>
      </c>
      <c r="E28" s="20">
        <f>IF(COUNTIFS(rMes_RN,$B28,rTipo_RN,"Macro")=0,"Sin datos",IF(ABS(SUMIFS(rPeso_RN,rMes_RN,$B28,rTipo_RN,"Macro")-1)&gt;0.0001,"Pesos ≠ 100%",SUMPRODUCT(--((rMes_RN=$B28)*(rTipo_RN="Macro")),rPeso_RN,rAvance_RN)))</f>
        <v/>
      </c>
      <c r="F28" s="22">
        <f>IF(COUNTIFS(rMes_RN,$B28,rTipo_RN,"Macro")=0,"",COUNTIFS(rEstado_RN,"Completado",rMes_RN,$B28,rTipo_RN,"Macro")&amp;" / "&amp;COUNTIFS(rMes_RN,$B28,rTipo_RN,"Macro"))</f>
        <v/>
      </c>
      <c r="G28" s="20">
        <f>IF(COUNTIFS(rMes_RF,$B28,rTipo_RF,"Macro")=0,"Sin datos",IF(ABS(SUMIFS(rPeso_RF,rMes_RF,$B28,rTipo_RF,"Macro")-1)&gt;0.0001,"Pesos ≠ 100%",SUMPRODUCT(--((rMes_RF=$B28)*(rTipo_RF="Macro")),rPeso_RF,rAvance_RF)))</f>
        <v/>
      </c>
      <c r="H28" s="22">
        <f>IF(COUNTIFS(rMes_RF,$B28,rTipo_RF,"Macro")=0,"",COUNTIFS(rEstado_RF,"Completado",rMes_RF,$B28,rTipo_RF,"Macro")&amp;" / "&amp;COUNTIFS(rMes_RF,$B28,rTipo_RF,"Macro"))</f>
        <v/>
      </c>
      <c r="I28" s="20">
        <f>IF(COUNTIFS(rMes_ATR,$B28,rTipo_ATR,"Macro")=0,"Sin datos",IF(ABS(SUMIFS(rPeso_ATR,rMes_ATR,$B28,rTipo_ATR,"Macro")-1)&gt;0.0001,"Pesos ≠ 100%",SUMPRODUCT(--((rMes_ATR=$B28)*(rTipo_ATR="Macro")),rPeso_ATR,rAvance_ATR)))</f>
        <v/>
      </c>
      <c r="J28" s="22">
        <f>IF(COUNTIFS(rMes_ATR,$B28,rTipo_ATR,"Macro")=0,"",COUNTIFS(rEstado_ATR,"Completado",rMes_ATR,$B28,rTipo_ATR,"Macro")&amp;" / "&amp;COUNTIFS(rMes_ATR,$B28,rTipo_ATR,"Macro"))</f>
        <v/>
      </c>
      <c r="K28" s="71">
        <f>IF(COUNT(C28,E28,G28,I28)=4,AVERAGE(C28,E28,G28,I28),IF(COUNTIF(C28:J28,"Sin datos")=4,"Sin datos","No definitivo"))</f>
        <v/>
      </c>
    </row>
    <row r="29" ht="20" customHeight="1">
      <c r="B29" s="70">
        <f>DATE(YEAR(HistInicio),MONTH(HistInicio)+23,1)</f>
        <v/>
      </c>
      <c r="C29" s="20">
        <f>IF(COUNTIFS(rMes_RO,$B29,rTipo_RO,"Macro")=0,"Sin datos",IF(ABS(SUMIFS(rPeso_RO,rMes_RO,$B29,rTipo_RO,"Macro")-1)&gt;0.0001,"Pesos ≠ 100%",SUMPRODUCT(--((rMes_RO=$B29)*(rTipo_RO="Macro")),rPeso_RO,rAvance_RO)))</f>
        <v/>
      </c>
      <c r="D29" s="22">
        <f>IF(COUNTIFS(rMes_RO,$B29,rTipo_RO,"Macro")=0,"",COUNTIFS(rEstado_RO,"Completado",rMes_RO,$B29,rTipo_RO,"Macro")&amp;" / "&amp;COUNTIFS(rMes_RO,$B29,rTipo_RO,"Macro"))</f>
        <v/>
      </c>
      <c r="E29" s="20">
        <f>IF(COUNTIFS(rMes_RN,$B29,rTipo_RN,"Macro")=0,"Sin datos",IF(ABS(SUMIFS(rPeso_RN,rMes_RN,$B29,rTipo_RN,"Macro")-1)&gt;0.0001,"Pesos ≠ 100%",SUMPRODUCT(--((rMes_RN=$B29)*(rTipo_RN="Macro")),rPeso_RN,rAvance_RN)))</f>
        <v/>
      </c>
      <c r="F29" s="22">
        <f>IF(COUNTIFS(rMes_RN,$B29,rTipo_RN,"Macro")=0,"",COUNTIFS(rEstado_RN,"Completado",rMes_RN,$B29,rTipo_RN,"Macro")&amp;" / "&amp;COUNTIFS(rMes_RN,$B29,rTipo_RN,"Macro"))</f>
        <v/>
      </c>
      <c r="G29" s="20">
        <f>IF(COUNTIFS(rMes_RF,$B29,rTipo_RF,"Macro")=0,"Sin datos",IF(ABS(SUMIFS(rPeso_RF,rMes_RF,$B29,rTipo_RF,"Macro")-1)&gt;0.0001,"Pesos ≠ 100%",SUMPRODUCT(--((rMes_RF=$B29)*(rTipo_RF="Macro")),rPeso_RF,rAvance_RF)))</f>
        <v/>
      </c>
      <c r="H29" s="22">
        <f>IF(COUNTIFS(rMes_RF,$B29,rTipo_RF,"Macro")=0,"",COUNTIFS(rEstado_RF,"Completado",rMes_RF,$B29,rTipo_RF,"Macro")&amp;" / "&amp;COUNTIFS(rMes_RF,$B29,rTipo_RF,"Macro"))</f>
        <v/>
      </c>
      <c r="I29" s="20">
        <f>IF(COUNTIFS(rMes_ATR,$B29,rTipo_ATR,"Macro")=0,"Sin datos",IF(ABS(SUMIFS(rPeso_ATR,rMes_ATR,$B29,rTipo_ATR,"Macro")-1)&gt;0.0001,"Pesos ≠ 100%",SUMPRODUCT(--((rMes_ATR=$B29)*(rTipo_ATR="Macro")),rPeso_ATR,rAvance_ATR)))</f>
        <v/>
      </c>
      <c r="J29" s="22">
        <f>IF(COUNTIFS(rMes_ATR,$B29,rTipo_ATR,"Macro")=0,"",COUNTIFS(rEstado_ATR,"Completado",rMes_ATR,$B29,rTipo_ATR,"Macro")&amp;" / "&amp;COUNTIFS(rMes_ATR,$B29,rTipo_ATR,"Macro"))</f>
        <v/>
      </c>
      <c r="K29" s="71">
        <f>IF(COUNT(C29,E29,G29,I29)=4,AVERAGE(C29,E29,G29,I29),IF(COUNTIF(C29:J29,"Sin datos")=4,"Sin datos","No definitivo"))</f>
        <v/>
      </c>
    </row>
  </sheetData>
  <sheetProtection selectLockedCells="0" selectUnlockedCells="0" sheet="1" objects="0" insertRows="1" insertHyperlinks="1" autoFilter="1" scenarios="0" formatColumns="1" deleteColumns="1" insertColumns="1" pivotTables="1" deleteRows="1" formatCells="1" formatRows="1" sort="1"/>
  <mergeCells count="8">
    <mergeCell ref="G4:H4"/>
    <mergeCell ref="E4:F4"/>
    <mergeCell ref="I4:J4"/>
    <mergeCell ref="B1:K1"/>
    <mergeCell ref="B4:B5"/>
    <mergeCell ref="K4:K5"/>
    <mergeCell ref="B2:K2"/>
    <mergeCell ref="C4:D4"/>
  </mergeCells>
  <conditionalFormatting sqref="C6:K29">
    <cfRule type="expression" priority="1" dxfId="0">
      <formula>AND(ISNUMBER(C6),C6&gt;=1)</formula>
    </cfRule>
    <cfRule type="expression" priority="2" dxfId="18">
      <formula>AND(ISNUMBER(C6),C6&lt;1)</formula>
    </cfRule>
    <cfRule type="expression" priority="3" dxfId="7">
      <formula>OR(C6="Pesos ≠ 100%",C6="No definitivo")</formula>
    </cfRule>
    <cfRule type="expression" priority="4" dxfId="19">
      <formula>C6="Sin datos"</formula>
    </cfRule>
  </conditionalFormatting>
  <conditionalFormatting sqref="B6:B29">
    <cfRule type="expression" priority="5" dxfId="1">
      <formula>$B6=MesCiclo</formula>
    </cfRule>
  </conditionalFormatting>
  <pageMargins left="0.75" right="0.75" top="1" bottom="1" header="0.5" footer="0.5"/>
  <pageSetup orientation="landscape" fitToHeight="0" fitToWidth="1"/>
  <rowBreaks count="1" manualBreakCount="1">
    <brk id="30" min="0" max="16383" man="1"/>
  </rowBreaks>
  <drawing xmlns:r="http://schemas.openxmlformats.org/officeDocument/2006/relationships" r:id="rId1"/>
</worksheet>
</file>

<file path=xl/worksheets/sheet4.xml><?xml version="1.0" encoding="utf-8"?>
<worksheet xmlns="http://schemas.openxmlformats.org/spreadsheetml/2006/main">
  <sheetPr>
    <tabColor rgb="00C55A11"/>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72" t="inlineStr">
        <is>
          <t>Cronograma – Riesgo Operacional</t>
        </is>
      </c>
      <c r="B1" s="72" t="n"/>
      <c r="C1" s="72" t="n"/>
      <c r="D1" s="72" t="n"/>
      <c r="E1" s="72" t="n"/>
      <c r="F1" s="72" t="n"/>
      <c r="G1" s="72" t="n"/>
      <c r="H1" s="72" t="n"/>
      <c r="I1" s="72" t="n"/>
      <c r="J1" s="72" t="n"/>
      <c r="K1" s="72" t="n"/>
      <c r="L1" s="72" t="n"/>
      <c r="M1" s="72" t="n"/>
      <c r="N1" s="72" t="n"/>
      <c r="O1" s="72" t="n"/>
      <c r="P1" s="72" t="n"/>
      <c r="Q1" s="72" t="n"/>
      <c r="R1" s="72" t="n"/>
      <c r="S1" s="72"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73"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IF(COUNTIFS('Administración'!$D$5:$D$1000,"Riesgo Operacional",'Administración'!$S$5:$S$1000,MesCiclo,'Administración'!$V$5:$V$1000,"Macro")=0,"Sin actividades delegadas por la jefatura este mes","★ La jefatura le delegó "&amp;COUNTIFS('Administración'!$D$5:$D$1000,"Riesgo Operacional",'Administración'!$S$5:$S$1000,MesCiclo,'Administración'!$V$5:$V$1000,"Macro")&amp;" actividad(es) este mes · "&amp;(COUNTIFS('Administración'!$D$5:$D$1000,"Riesgo Operacional",'Administración'!$S$5:$S$1000,MesCiclo,'Administración'!$V$5:$V$1000,"Macro")-COUNTIFS('Administración'!$D$5:$D$1000,"Riesgo Operacional",'Administración'!$S$5:$S$1000,MesCiclo,'Administración'!$V$5:$V$1000,"Macro",'Administración'!$AM$5:$AM$1000,"&gt;0"))&amp;" pendiente(s) de agregar (elíjalas en la lista de «Actividad»). Cuentan en su avance del mes.")</f>
        <v/>
      </c>
      <c r="R3" s="45" t="n"/>
      <c r="S3" s="45" t="n"/>
    </row>
    <row r="4" ht="42" customHeight="1">
      <c r="A4" s="54" t="inlineStr">
        <is>
          <t>N°</t>
        </is>
      </c>
      <c r="B4" s="67" t="inlineStr">
        <is>
          <t>Tipo</t>
        </is>
      </c>
      <c r="C4" s="67" t="inlineStr">
        <is>
          <t>Actividad</t>
        </is>
      </c>
      <c r="D4" s="67" t="inlineStr">
        <is>
          <t>Delegar a</t>
        </is>
      </c>
      <c r="E4" s="67" t="inlineStr">
        <is>
          <t>Fecha de inicio</t>
        </is>
      </c>
      <c r="F4" s="67" t="inlineStr">
        <is>
          <t>Fecha límite</t>
        </is>
      </c>
      <c r="G4" s="67" t="inlineStr">
        <is>
          <t>Fecha de cumplimiento</t>
        </is>
      </c>
      <c r="H4" s="67" t="inlineStr">
        <is>
          <t>Peso / % de la subactividad</t>
        </is>
      </c>
      <c r="I4" s="67" t="inlineStr">
        <is>
          <t>Avance Semana 1 (%)</t>
        </is>
      </c>
      <c r="J4" s="67" t="inlineStr">
        <is>
          <t>Avance Semana 2 (%)</t>
        </is>
      </c>
      <c r="K4" s="67" t="inlineStr">
        <is>
          <t>Avance Semana 3 (%)</t>
        </is>
      </c>
      <c r="L4" s="67" t="inlineStr">
        <is>
          <t>Avance Semana 4 (%)</t>
        </is>
      </c>
      <c r="M4" s="54" t="inlineStr">
        <is>
          <t>% de Avance Total Actual</t>
        </is>
      </c>
      <c r="N4" s="54" t="inlineStr">
        <is>
          <t>Estado</t>
        </is>
      </c>
      <c r="O4" s="54" t="inlineStr">
        <is>
          <t>Alerta de plazo</t>
        </is>
      </c>
      <c r="P4" s="54" t="inlineStr">
        <is>
          <t>Seguimiento de la delegación</t>
        </is>
      </c>
      <c r="Q4" s="67"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inlineStr">
        <is>
          <t>Macroactividad</t>
        </is>
      </c>
      <c r="C5" s="58" t="inlineStr">
        <is>
          <t>Opinión caso asociado Jonathan Jacobo Marroquín</t>
        </is>
      </c>
      <c r="D5" s="58" t="n"/>
      <c r="E5" s="59" t="n">
        <v>46300</v>
      </c>
      <c r="F5" s="59">
        <f>IF(N($AQ5)&gt;0,INDEX(rLim_ADM,$AQ5),"")</f>
        <v/>
      </c>
      <c r="G5" s="59" t="n"/>
      <c r="H5" s="60" t="n"/>
      <c r="I5" s="60">
        <f>IF(N($W5)=0,"",IF(AND($S5=MesCiclo,1&gt;SemanaActual),"",MIN(1,SUMIFS(OFFSET($A$1,ROW(),29,1000-ROW(),1),OFFSET($A$1,ROW(),20,1000-ROW(),1),ROW(),OFFSET($A$1,ROW(),21,1000-ROW(),1),"Sub"))))</f>
        <v/>
      </c>
      <c r="J5" s="60" t="n">
        <v>1</v>
      </c>
      <c r="K5" s="60">
        <f>IF(N($W5)=0,"",IF(AND($S5=MesCiclo,3&gt;SemanaActual),"",MIN(1,SUMIFS(OFFSET($A$1,ROW(),31,1000-ROW(),1),OFFSET($A$1,ROW(),20,1000-ROW(),1),ROW(),OFFSET($A$1,ROW(),21,1000-ROW(),1),"Sub"))))</f>
        <v/>
      </c>
      <c r="L5" s="60">
        <f>IF(N($W5)=0,"",IF(AND($S5=MesCiclo,4&gt;SemanaActual),"",MIN(1,SUMIFS(OFFSET($A$1,ROW(),32,1000-ROW(),1),OFFSET($A$1,ROW(),20,1000-ROW(),1),ROW(),OFFSET($A$1,ROW(),21,1000-ROW(),1),"Sub"))))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IF($V5&lt;&gt;"Sub","",N($X5)*IF(AND(ISNUMBER($G5),$G5&lt;=IF($S5=MesCiclo,InicioCiclo,$S5+MOD(2-WEEKDAY($S5),7))+6),1,MIN(1,MAX(0,IF(ISNUMBER(OFFSET($A$1,ROW()-1,8)),OFFSET($A$1,ROW()-1,8),0)))))</f>
        <v/>
      </c>
      <c r="AE5" s="62">
        <f>IF($V5&lt;&gt;"Sub","",N($X5)*IF(AND(ISNUMBER($G5),$G5&lt;=IF($S5=MesCiclo,InicioCiclo,$S5+MOD(2-WEEKDAY($S5),7))+13),1,MIN(1,MAX(0,IF(ISNUMBER(OFFSET($A$1,ROW()-1,9)),OFFSET($A$1,ROW()-1,9),IF(ISNUMBER(OFFSET($A$1,ROW()-1,8)),OFFSET($A$1,ROW()-1,8),0))))))</f>
        <v/>
      </c>
      <c r="AF5" s="62">
        <f>IF($V5&lt;&gt;"Sub","",N($X5)*IF(AND(ISNUMBER($G5),$G5&lt;=IF($S5=MesCiclo,InicioCiclo,$S5+MOD(2-WEEKDAY($S5),7))+20),1,MIN(1,MAX(0,IF(ISNUMBER(OFFSET($A$1,ROW()-1,10)),OFFSET($A$1,ROW()-1,10),IF(ISNUMBER(OFFSET($A$1,ROW()-1,9)),OFFSET($A$1,ROW()-1,9),IF(ISNUMBER(OFFSET($A$1,ROW()-1,8)),OFFSET($A$1,ROW()-1,8),0)))))))</f>
        <v/>
      </c>
      <c r="AG5" s="62">
        <f>IF($V5&lt;&gt;"Sub","",N($X5)*IF(AND(ISNUMBER($G5),$G5&lt;=IF($S5=MesCiclo,InicioCiclo,$S5+MOD(2-WEEKDAY($S5),7))+27),1,MIN(1,MAX(0,IF(ISNUMBER(OFFSET($A$1,ROW()-1,11)),OFFSET($A$1,ROW()-1,11),IF(ISNUMBER(OFFSET($A$1,ROW()-1,10)),OFFSET($A$1,ROW()-1,10),IF(ISNUMBER(OFFSET($A$1,ROW()-1,9)),OFFSET($A$1,ROW()-1,9),IF(ISNUMBER(OFFSET($A$1,ROW()-1,8)),OFFSET($A$1,ROW()-1,8),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",IFERROR(MATCH("Riesgo Operacional|"&amp;MID($C5,12,500),rDname_ADM,0),0),"")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inlineStr">
        <is>
          <t>Macroactividad</t>
        </is>
      </c>
      <c r="C6" s="58" t="inlineStr">
        <is>
          <t>Capacitación de GIR 2026</t>
        </is>
      </c>
      <c r="D6" s="58" t="n"/>
      <c r="E6" s="59" t="n">
        <v>46300</v>
      </c>
      <c r="F6" s="59">
        <f>IF(N($AQ6)&gt;0,INDEX(rLim_ADM,$AQ6),"")</f>
        <v/>
      </c>
      <c r="G6" s="59" t="n"/>
      <c r="H6" s="60" t="n"/>
      <c r="I6" s="60">
        <f>IF(N($W6)=0,"",IF(AND($S6=MesCiclo,1&gt;SemanaActual),"",MIN(1,SUMIFS(OFFSET($A$1,ROW(),29,1000-ROW(),1),OFFSET($A$1,ROW(),20,1000-ROW(),1),ROW(),OFFSET($A$1,ROW(),21,1000-ROW(),1),"Sub"))))</f>
        <v/>
      </c>
      <c r="J6" s="60" t="n">
        <v>0.9</v>
      </c>
      <c r="K6" s="60">
        <f>IF(N($W6)=0,"",IF(AND($S6=MesCiclo,3&gt;SemanaActual),"",MIN(1,SUMIFS(OFFSET($A$1,ROW(),31,1000-ROW(),1),OFFSET($A$1,ROW(),20,1000-ROW(),1),ROW(),OFFSET($A$1,ROW(),21,1000-ROW(),1),"Sub"))))</f>
        <v/>
      </c>
      <c r="L6" s="60">
        <f>IF(N($W6)=0,"",IF(AND($S6=MesCiclo,4&gt;SemanaActual),"",MIN(1,SUMIFS(OFFSET($A$1,ROW(),32,1000-ROW(),1),OFFSET($A$1,ROW(),20,1000-ROW(),1),ROW(),OFFSET($A$1,ROW(),21,1000-ROW(),1),"Sub"))))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IF($V6&lt;&gt;"Sub","",N($X6)*IF(AND(ISNUMBER($G6),$G6&lt;=IF($S6=MesCiclo,InicioCiclo,$S6+MOD(2-WEEKDAY($S6),7))+6),1,MIN(1,MAX(0,IF(ISNUMBER(OFFSET($A$1,ROW()-1,8)),OFFSET($A$1,ROW()-1,8),0)))))</f>
        <v/>
      </c>
      <c r="AE6" s="62">
        <f>IF($V6&lt;&gt;"Sub","",N($X6)*IF(AND(ISNUMBER($G6),$G6&lt;=IF($S6=MesCiclo,InicioCiclo,$S6+MOD(2-WEEKDAY($S6),7))+13),1,MIN(1,MAX(0,IF(ISNUMBER(OFFSET($A$1,ROW()-1,9)),OFFSET($A$1,ROW()-1,9),IF(ISNUMBER(OFFSET($A$1,ROW()-1,8)),OFFSET($A$1,ROW()-1,8),0))))))</f>
        <v/>
      </c>
      <c r="AF6" s="62">
        <f>IF($V6&lt;&gt;"Sub","",N($X6)*IF(AND(ISNUMBER($G6),$G6&lt;=IF($S6=MesCiclo,InicioCiclo,$S6+MOD(2-WEEKDAY($S6),7))+20),1,MIN(1,MAX(0,IF(ISNUMBER(OFFSET($A$1,ROW()-1,10)),OFFSET($A$1,ROW()-1,10),IF(ISNUMBER(OFFSET($A$1,ROW()-1,9)),OFFSET($A$1,ROW()-1,9),IF(ISNUMBER(OFFSET($A$1,ROW()-1,8)),OFFSET($A$1,ROW()-1,8),0)))))))</f>
        <v/>
      </c>
      <c r="AG6" s="62">
        <f>IF($V6&lt;&gt;"Sub","",N($X6)*IF(AND(ISNUMBER($G6),$G6&lt;=IF($S6=MesCiclo,InicioCiclo,$S6+MOD(2-WEEKDAY($S6),7))+27),1,MIN(1,MAX(0,IF(ISNUMBER(OFFSET($A$1,ROW()-1,11)),OFFSET($A$1,ROW()-1,11),IF(ISNUMBER(OFFSET($A$1,ROW()-1,10)),OFFSET($A$1,ROW()-1,10),IF(ISNUMBER(OFFSET($A$1,ROW()-1,9)),OFFSET($A$1,ROW()-1,9),IF(ISNUMBER(OFFSET($A$1,ROW()-1,8)),OFFSET($A$1,ROW()-1,8),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",IFERROR(MATCH("Riesgo Operacional|"&amp;MID($C6,12,500),rDname_ADM,0),0),"")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inlineStr">
        <is>
          <t>Macroactividad</t>
        </is>
      </c>
      <c r="C7" s="58" t="inlineStr">
        <is>
          <t>Preparación de información de Auditoría Externa</t>
        </is>
      </c>
      <c r="D7" s="58" t="n"/>
      <c r="E7" s="59" t="n">
        <v>46300</v>
      </c>
      <c r="F7" s="59">
        <f>IF(N($AQ7)&gt;0,INDEX(rLim_ADM,$AQ7),"")</f>
        <v/>
      </c>
      <c r="G7" s="59" t="n"/>
      <c r="H7" s="60" t="n"/>
      <c r="I7" s="60">
        <f>IF(N($W7)=0,"",IF(AND($S7=MesCiclo,1&gt;SemanaActual),"",MIN(1,SUMIFS(OFFSET($A$1,ROW(),29,1000-ROW(),1),OFFSET($A$1,ROW(),20,1000-ROW(),1),ROW(),OFFSET($A$1,ROW(),21,1000-ROW(),1),"Sub"))))</f>
        <v/>
      </c>
      <c r="J7" s="60" t="n">
        <v>1</v>
      </c>
      <c r="K7" s="60">
        <f>IF(N($W7)=0,"",IF(AND($S7=MesCiclo,3&gt;SemanaActual),"",MIN(1,SUMIFS(OFFSET($A$1,ROW(),31,1000-ROW(),1),OFFSET($A$1,ROW(),20,1000-ROW(),1),ROW(),OFFSET($A$1,ROW(),21,1000-ROW(),1),"Sub"))))</f>
        <v/>
      </c>
      <c r="L7" s="60">
        <f>IF(N($W7)=0,"",IF(AND($S7=MesCiclo,4&gt;SemanaActual),"",MIN(1,SUMIFS(OFFSET($A$1,ROW(),32,1000-ROW(),1),OFFSET($A$1,ROW(),20,1000-ROW(),1),ROW(),OFFSET($A$1,ROW(),21,1000-ROW(),1),"Sub"))))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IF($V7&lt;&gt;"Sub","",N($X7)*IF(AND(ISNUMBER($G7),$G7&lt;=IF($S7=MesCiclo,InicioCiclo,$S7+MOD(2-WEEKDAY($S7),7))+6),1,MIN(1,MAX(0,IF(ISNUMBER(OFFSET($A$1,ROW()-1,8)),OFFSET($A$1,ROW()-1,8),0)))))</f>
        <v/>
      </c>
      <c r="AE7" s="62">
        <f>IF($V7&lt;&gt;"Sub","",N($X7)*IF(AND(ISNUMBER($G7),$G7&lt;=IF($S7=MesCiclo,InicioCiclo,$S7+MOD(2-WEEKDAY($S7),7))+13),1,MIN(1,MAX(0,IF(ISNUMBER(OFFSET($A$1,ROW()-1,9)),OFFSET($A$1,ROW()-1,9),IF(ISNUMBER(OFFSET($A$1,ROW()-1,8)),OFFSET($A$1,ROW()-1,8),0))))))</f>
        <v/>
      </c>
      <c r="AF7" s="62">
        <f>IF($V7&lt;&gt;"Sub","",N($X7)*IF(AND(ISNUMBER($G7),$G7&lt;=IF($S7=MesCiclo,InicioCiclo,$S7+MOD(2-WEEKDAY($S7),7))+20),1,MIN(1,MAX(0,IF(ISNUMBER(OFFSET($A$1,ROW()-1,10)),OFFSET($A$1,ROW()-1,10),IF(ISNUMBER(OFFSET($A$1,ROW()-1,9)),OFFSET($A$1,ROW()-1,9),IF(ISNUMBER(OFFSET($A$1,ROW()-1,8)),OFFSET($A$1,ROW()-1,8),0)))))))</f>
        <v/>
      </c>
      <c r="AG7" s="62">
        <f>IF($V7&lt;&gt;"Sub","",N($X7)*IF(AND(ISNUMBER($G7),$G7&lt;=IF($S7=MesCiclo,InicioCiclo,$S7+MOD(2-WEEKDAY($S7),7))+27),1,MIN(1,MAX(0,IF(ISNUMBER(OFFSET($A$1,ROW()-1,11)),OFFSET($A$1,ROW()-1,11),IF(ISNUMBER(OFFSET($A$1,ROW()-1,10)),OFFSET($A$1,ROW()-1,10),IF(ISNUMBER(OFFSET($A$1,ROW()-1,9)),OFFSET($A$1,ROW()-1,9),IF(ISNUMBER(OFFSET($A$1,ROW()-1,8)),OFFSET($A$1,ROW()-1,8),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",IFERROR(MATCH("Riesgo Operacional|"&amp;MID($C7,12,500),rDname_ADM,0),0),"")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inlineStr">
        <is>
          <t>Macroactividad</t>
        </is>
      </c>
      <c r="C8" s="58" t="inlineStr">
        <is>
          <t>Reunión proyecto unificación de formulario Actualización de Datos (Atención al Asociado) y Conozca tu Cliente (Oficialía de Cumplimiento)</t>
        </is>
      </c>
      <c r="D8" s="58" t="n"/>
      <c r="E8" s="59" t="n">
        <v>46300</v>
      </c>
      <c r="F8" s="59">
        <f>IF(N($AQ8)&gt;0,INDEX(rLim_ADM,$AQ8),"")</f>
        <v/>
      </c>
      <c r="G8" s="59" t="n"/>
      <c r="H8" s="60" t="n"/>
      <c r="I8" s="60">
        <f>IF(N($W8)=0,"",IF(AND($S8=MesCiclo,1&gt;SemanaActual),"",MIN(1,SUMIFS(OFFSET($A$1,ROW(),29,1000-ROW(),1),OFFSET($A$1,ROW(),20,1000-ROW(),1),ROW(),OFFSET($A$1,ROW(),21,1000-ROW(),1),"Sub"))))</f>
        <v/>
      </c>
      <c r="J8" s="60" t="n">
        <v>0.35</v>
      </c>
      <c r="K8" s="60">
        <f>IF(N($W8)=0,"",IF(AND($S8=MesCiclo,3&gt;SemanaActual),"",MIN(1,SUMIFS(OFFSET($A$1,ROW(),31,1000-ROW(),1),OFFSET($A$1,ROW(),20,1000-ROW(),1),ROW(),OFFSET($A$1,ROW(),21,1000-ROW(),1),"Sub"))))</f>
        <v/>
      </c>
      <c r="L8" s="60">
        <f>IF(N($W8)=0,"",IF(AND($S8=MesCiclo,4&gt;SemanaActual),"",MIN(1,SUMIFS(OFFSET($A$1,ROW(),32,1000-ROW(),1),OFFSET($A$1,ROW(),20,1000-ROW(),1),ROW(),OFFSET($A$1,ROW(),21,1000-ROW(),1),"Sub"))))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IF($V8&lt;&gt;"Sub","",N($X8)*IF(AND(ISNUMBER($G8),$G8&lt;=IF($S8=MesCiclo,InicioCiclo,$S8+MOD(2-WEEKDAY($S8),7))+6),1,MIN(1,MAX(0,IF(ISNUMBER(OFFSET($A$1,ROW()-1,8)),OFFSET($A$1,ROW()-1,8),0)))))</f>
        <v/>
      </c>
      <c r="AE8" s="62">
        <f>IF($V8&lt;&gt;"Sub","",N($X8)*IF(AND(ISNUMBER($G8),$G8&lt;=IF($S8=MesCiclo,InicioCiclo,$S8+MOD(2-WEEKDAY($S8),7))+13),1,MIN(1,MAX(0,IF(ISNUMBER(OFFSET($A$1,ROW()-1,9)),OFFSET($A$1,ROW()-1,9),IF(ISNUMBER(OFFSET($A$1,ROW()-1,8)),OFFSET($A$1,ROW()-1,8),0))))))</f>
        <v/>
      </c>
      <c r="AF8" s="62">
        <f>IF($V8&lt;&gt;"Sub","",N($X8)*IF(AND(ISNUMBER($G8),$G8&lt;=IF($S8=MesCiclo,InicioCiclo,$S8+MOD(2-WEEKDAY($S8),7))+20),1,MIN(1,MAX(0,IF(ISNUMBER(OFFSET($A$1,ROW()-1,10)),OFFSET($A$1,ROW()-1,10),IF(ISNUMBER(OFFSET($A$1,ROW()-1,9)),OFFSET($A$1,ROW()-1,9),IF(ISNUMBER(OFFSET($A$1,ROW()-1,8)),OFFSET($A$1,ROW()-1,8),0)))))))</f>
        <v/>
      </c>
      <c r="AG8" s="62">
        <f>IF($V8&lt;&gt;"Sub","",N($X8)*IF(AND(ISNUMBER($G8),$G8&lt;=IF($S8=MesCiclo,InicioCiclo,$S8+MOD(2-WEEKDAY($S8),7))+27),1,MIN(1,MAX(0,IF(ISNUMBER(OFFSET($A$1,ROW()-1,11)),OFFSET($A$1,ROW()-1,11),IF(ISNUMBER(OFFSET($A$1,ROW()-1,10)),OFFSET($A$1,ROW()-1,10),IF(ISNUMBER(OFFSET($A$1,ROW()-1,9)),OFFSET($A$1,ROW()-1,9),IF(ISNUMBER(OFFSET($A$1,ROW()-1,8)),OFFSET($A$1,ROW()-1,8),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",IFERROR(MATCH("Riesgo Operacional|"&amp;MID($C8,12,500),rDname_ADM,0),0),"")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inlineStr">
        <is>
          <t>Macroactividad</t>
        </is>
      </c>
      <c r="C9" s="58" t="inlineStr">
        <is>
          <t>Informe de segunda prueba de Continuidad del Negocio realizada el 01.10.2026</t>
        </is>
      </c>
      <c r="D9" s="58" t="n"/>
      <c r="E9" s="59" t="n">
        <v>46300</v>
      </c>
      <c r="F9" s="59">
        <f>IF(N($AQ9)&gt;0,INDEX(rLim_ADM,$AQ9),"")</f>
        <v/>
      </c>
      <c r="G9" s="59" t="n"/>
      <c r="H9" s="60" t="n"/>
      <c r="I9" s="60">
        <f>IF(N($W9)=0,"",IF(AND($S9=MesCiclo,1&gt;SemanaActual),"",MIN(1,SUMIFS(OFFSET($A$1,ROW(),29,1000-ROW(),1),OFFSET($A$1,ROW(),20,1000-ROW(),1),ROW(),OFFSET($A$1,ROW(),21,1000-ROW(),1),"Sub"))))</f>
        <v/>
      </c>
      <c r="J9" s="60" t="n">
        <v>0.75</v>
      </c>
      <c r="K9" s="60">
        <f>IF(N($W9)=0,"",IF(AND($S9=MesCiclo,3&gt;SemanaActual),"",MIN(1,SUMIFS(OFFSET($A$1,ROW(),31,1000-ROW(),1),OFFSET($A$1,ROW(),20,1000-ROW(),1),ROW(),OFFSET($A$1,ROW(),21,1000-ROW(),1),"Sub"))))</f>
        <v/>
      </c>
      <c r="L9" s="60">
        <f>IF(N($W9)=0,"",IF(AND($S9=MesCiclo,4&gt;SemanaActual),"",MIN(1,SUMIFS(OFFSET($A$1,ROW(),32,1000-ROW(),1),OFFSET($A$1,ROW(),20,1000-ROW(),1),ROW(),OFFSET($A$1,ROW(),21,1000-ROW(),1),"Sub"))))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IF($V9&lt;&gt;"Sub","",N($X9)*IF(AND(ISNUMBER($G9),$G9&lt;=IF($S9=MesCiclo,InicioCiclo,$S9+MOD(2-WEEKDAY($S9),7))+6),1,MIN(1,MAX(0,IF(ISNUMBER(OFFSET($A$1,ROW()-1,8)),OFFSET($A$1,ROW()-1,8),0)))))</f>
        <v/>
      </c>
      <c r="AE9" s="62">
        <f>IF($V9&lt;&gt;"Sub","",N($X9)*IF(AND(ISNUMBER($G9),$G9&lt;=IF($S9=MesCiclo,InicioCiclo,$S9+MOD(2-WEEKDAY($S9),7))+13),1,MIN(1,MAX(0,IF(ISNUMBER(OFFSET($A$1,ROW()-1,9)),OFFSET($A$1,ROW()-1,9),IF(ISNUMBER(OFFSET($A$1,ROW()-1,8)),OFFSET($A$1,ROW()-1,8),0))))))</f>
        <v/>
      </c>
      <c r="AF9" s="62">
        <f>IF($V9&lt;&gt;"Sub","",N($X9)*IF(AND(ISNUMBER($G9),$G9&lt;=IF($S9=MesCiclo,InicioCiclo,$S9+MOD(2-WEEKDAY($S9),7))+20),1,MIN(1,MAX(0,IF(ISNUMBER(OFFSET($A$1,ROW()-1,10)),OFFSET($A$1,ROW()-1,10),IF(ISNUMBER(OFFSET($A$1,ROW()-1,9)),OFFSET($A$1,ROW()-1,9),IF(ISNUMBER(OFFSET($A$1,ROW()-1,8)),OFFSET($A$1,ROW()-1,8),0)))))))</f>
        <v/>
      </c>
      <c r="AG9" s="62">
        <f>IF($V9&lt;&gt;"Sub","",N($X9)*IF(AND(ISNUMBER($G9),$G9&lt;=IF($S9=MesCiclo,InicioCiclo,$S9+MOD(2-WEEKDAY($S9),7))+27),1,MIN(1,MAX(0,IF(ISNUMBER(OFFSET($A$1,ROW()-1,11)),OFFSET($A$1,ROW()-1,11),IF(ISNUMBER(OFFSET($A$1,ROW()-1,10)),OFFSET($A$1,ROW()-1,10),IF(ISNUMBER(OFFSET($A$1,ROW()-1,9)),OFFSET($A$1,ROW()-1,9),IF(ISNUMBER(OFFSET($A$1,ROW()-1,8)),OFFSET($A$1,ROW()-1,8),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",IFERROR(MATCH("Riesgo Operacional|"&amp;MID($C9,12,500),rDname_ADM,0),0),"")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inlineStr">
        <is>
          <t>Macroactividad</t>
        </is>
      </c>
      <c r="C10" s="58" t="inlineStr">
        <is>
          <t>Informe y presentación Acuerdos Semestrales del Comité de Riesgos para la Junta de Vigilancia</t>
        </is>
      </c>
      <c r="D10" s="58" t="n"/>
      <c r="E10" s="59" t="n">
        <v>46300</v>
      </c>
      <c r="F10" s="59">
        <f>IF(N($AQ10)&gt;0,INDEX(rLim_ADM,$AQ10),"")</f>
        <v/>
      </c>
      <c r="G10" s="59" t="n"/>
      <c r="H10" s="60" t="n"/>
      <c r="I10" s="60">
        <f>IF(N($W10)=0,"",IF(AND($S10=MesCiclo,1&gt;SemanaActual),"",MIN(1,SUMIFS(OFFSET($A$1,ROW(),29,1000-ROW(),1),OFFSET($A$1,ROW(),20,1000-ROW(),1),ROW(),OFFSET($A$1,ROW(),21,1000-ROW(),1),"Sub"))))</f>
        <v/>
      </c>
      <c r="J10" s="60" t="n">
        <v>1</v>
      </c>
      <c r="K10" s="60">
        <f>IF(N($W10)=0,"",IF(AND($S10=MesCiclo,3&gt;SemanaActual),"",MIN(1,SUMIFS(OFFSET($A$1,ROW(),31,1000-ROW(),1),OFFSET($A$1,ROW(),20,1000-ROW(),1),ROW(),OFFSET($A$1,ROW(),21,1000-ROW(),1),"Sub"))))</f>
        <v/>
      </c>
      <c r="L10" s="60">
        <f>IF(N($W10)=0,"",IF(AND($S10=MesCiclo,4&gt;SemanaActual),"",MIN(1,SUMIFS(OFFSET($A$1,ROW(),32,1000-ROW(),1),OFFSET($A$1,ROW(),20,1000-ROW(),1),ROW(),OFFSET($A$1,ROW(),21,1000-ROW(),1),"Sub"))))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IF($V10&lt;&gt;"Sub","",N($X10)*IF(AND(ISNUMBER($G10),$G10&lt;=IF($S10=MesCiclo,InicioCiclo,$S10+MOD(2-WEEKDAY($S10),7))+6),1,MIN(1,MAX(0,IF(ISNUMBER(OFFSET($A$1,ROW()-1,8)),OFFSET($A$1,ROW()-1,8),0)))))</f>
        <v/>
      </c>
      <c r="AE10" s="62">
        <f>IF($V10&lt;&gt;"Sub","",N($X10)*IF(AND(ISNUMBER($G10),$G10&lt;=IF($S10=MesCiclo,InicioCiclo,$S10+MOD(2-WEEKDAY($S10),7))+13),1,MIN(1,MAX(0,IF(ISNUMBER(OFFSET($A$1,ROW()-1,9)),OFFSET($A$1,ROW()-1,9),IF(ISNUMBER(OFFSET($A$1,ROW()-1,8)),OFFSET($A$1,ROW()-1,8),0))))))</f>
        <v/>
      </c>
      <c r="AF10" s="62">
        <f>IF($V10&lt;&gt;"Sub","",N($X10)*IF(AND(ISNUMBER($G10),$G10&lt;=IF($S10=MesCiclo,InicioCiclo,$S10+MOD(2-WEEKDAY($S10),7))+20),1,MIN(1,MAX(0,IF(ISNUMBER(OFFSET($A$1,ROW()-1,10)),OFFSET($A$1,ROW()-1,10),IF(ISNUMBER(OFFSET($A$1,ROW()-1,9)),OFFSET($A$1,ROW()-1,9),IF(ISNUMBER(OFFSET($A$1,ROW()-1,8)),OFFSET($A$1,ROW()-1,8),0)))))))</f>
        <v/>
      </c>
      <c r="AG10" s="62">
        <f>IF($V10&lt;&gt;"Sub","",N($X10)*IF(AND(ISNUMBER($G10),$G10&lt;=IF($S10=MesCiclo,InicioCiclo,$S10+MOD(2-WEEKDAY($S10),7))+27),1,MIN(1,MAX(0,IF(ISNUMBER(OFFSET($A$1,ROW()-1,11)),OFFSET($A$1,ROW()-1,11),IF(ISNUMBER(OFFSET($A$1,ROW()-1,10)),OFFSET($A$1,ROW()-1,10),IF(ISNUMBER(OFFSET($A$1,ROW()-1,9)),OFFSET($A$1,ROW()-1,9),IF(ISNUMBER(OFFSET($A$1,ROW()-1,8)),OFFSET($A$1,ROW()-1,8),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",IFERROR(MATCH("Riesgo Operacional|"&amp;MID($C10,12,500),rDname_ADM,0),0),"")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inlineStr">
        <is>
          <t>Macroactividad</t>
        </is>
      </c>
      <c r="C11" s="58" t="inlineStr">
        <is>
          <t>Seguimiento planes de acción Matriz de Riesgos Institucional 2026</t>
        </is>
      </c>
      <c r="D11" s="58" t="n"/>
      <c r="E11" s="59" t="n">
        <v>46300</v>
      </c>
      <c r="F11" s="59">
        <f>IF(N($AQ11)&gt;0,INDEX(rLim_ADM,$AQ11),"")</f>
        <v/>
      </c>
      <c r="G11" s="59" t="n"/>
      <c r="H11" s="60" t="n"/>
      <c r="I11" s="60">
        <f>IF(N($W11)=0,"",IF(AND($S11=MesCiclo,1&gt;SemanaActual),"",MIN(1,SUMIFS(OFFSET($A$1,ROW(),29,1000-ROW(),1),OFFSET($A$1,ROW(),20,1000-ROW(),1),ROW(),OFFSET($A$1,ROW(),21,1000-ROW(),1),"Sub"))))</f>
        <v/>
      </c>
      <c r="J11" s="60" t="n">
        <v>1</v>
      </c>
      <c r="K11" s="60">
        <f>IF(N($W11)=0,"",IF(AND($S11=MesCiclo,3&gt;SemanaActual),"",MIN(1,SUMIFS(OFFSET($A$1,ROW(),31,1000-ROW(),1),OFFSET($A$1,ROW(),20,1000-ROW(),1),ROW(),OFFSET($A$1,ROW(),21,1000-ROW(),1),"Sub"))))</f>
        <v/>
      </c>
      <c r="L11" s="60">
        <f>IF(N($W11)=0,"",IF(AND($S11=MesCiclo,4&gt;SemanaActual),"",MIN(1,SUMIFS(OFFSET($A$1,ROW(),32,1000-ROW(),1),OFFSET($A$1,ROW(),20,1000-ROW(),1),ROW(),OFFSET($A$1,ROW(),21,1000-ROW(),1),"Sub"))))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IF($V11&lt;&gt;"Sub","",N($X11)*IF(AND(ISNUMBER($G11),$G11&lt;=IF($S11=MesCiclo,InicioCiclo,$S11+MOD(2-WEEKDAY($S11),7))+6),1,MIN(1,MAX(0,IF(ISNUMBER(OFFSET($A$1,ROW()-1,8)),OFFSET($A$1,ROW()-1,8),0)))))</f>
        <v/>
      </c>
      <c r="AE11" s="62">
        <f>IF($V11&lt;&gt;"Sub","",N($X11)*IF(AND(ISNUMBER($G11),$G11&lt;=IF($S11=MesCiclo,InicioCiclo,$S11+MOD(2-WEEKDAY($S11),7))+13),1,MIN(1,MAX(0,IF(ISNUMBER(OFFSET($A$1,ROW()-1,9)),OFFSET($A$1,ROW()-1,9),IF(ISNUMBER(OFFSET($A$1,ROW()-1,8)),OFFSET($A$1,ROW()-1,8),0))))))</f>
        <v/>
      </c>
      <c r="AF11" s="62">
        <f>IF($V11&lt;&gt;"Sub","",N($X11)*IF(AND(ISNUMBER($G11),$G11&lt;=IF($S11=MesCiclo,InicioCiclo,$S11+MOD(2-WEEKDAY($S11),7))+20),1,MIN(1,MAX(0,IF(ISNUMBER(OFFSET($A$1,ROW()-1,10)),OFFSET($A$1,ROW()-1,10),IF(ISNUMBER(OFFSET($A$1,ROW()-1,9)),OFFSET($A$1,ROW()-1,9),IF(ISNUMBER(OFFSET($A$1,ROW()-1,8)),OFFSET($A$1,ROW()-1,8),0)))))))</f>
        <v/>
      </c>
      <c r="AG11" s="62">
        <f>IF($V11&lt;&gt;"Sub","",N($X11)*IF(AND(ISNUMBER($G11),$G11&lt;=IF($S11=MesCiclo,InicioCiclo,$S11+MOD(2-WEEKDAY($S11),7))+27),1,MIN(1,MAX(0,IF(ISNUMBER(OFFSET($A$1,ROW()-1,11)),OFFSET($A$1,ROW()-1,11),IF(ISNUMBER(OFFSET($A$1,ROW()-1,10)),OFFSET($A$1,ROW()-1,10),IF(ISNUMBER(OFFSET($A$1,ROW()-1,9)),OFFSET($A$1,ROW()-1,9),IF(ISNUMBER(OFFSET($A$1,ROW()-1,8)),OFFSET($A$1,ROW()-1,8),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",IFERROR(MATCH("Riesgo Operacional|"&amp;MID($C11,12,500),rDname_ADM,0),0),"")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inlineStr">
        <is>
          <t>Macroactividad</t>
        </is>
      </c>
      <c r="C12" s="58" t="inlineStr">
        <is>
          <t>Remisión de información a Auditoría Interna – NRP-24</t>
        </is>
      </c>
      <c r="D12" s="58" t="n"/>
      <c r="E12" s="59" t="n">
        <v>46300</v>
      </c>
      <c r="F12" s="59">
        <f>IF(N($AQ12)&gt;0,INDEX(rLim_ADM,$AQ12),"")</f>
        <v/>
      </c>
      <c r="G12" s="59" t="n"/>
      <c r="H12" s="60" t="n"/>
      <c r="I12" s="60">
        <f>IF(N($W12)=0,"",IF(AND($S12=MesCiclo,1&gt;SemanaActual),"",MIN(1,SUMIFS(OFFSET($A$1,ROW(),29,1000-ROW(),1),OFFSET($A$1,ROW(),20,1000-ROW(),1),ROW(),OFFSET($A$1,ROW(),21,1000-ROW(),1),"Sub"))))</f>
        <v/>
      </c>
      <c r="J12" s="60" t="n">
        <v>1</v>
      </c>
      <c r="K12" s="60">
        <f>IF(N($W12)=0,"",IF(AND($S12=MesCiclo,3&gt;SemanaActual),"",MIN(1,SUMIFS(OFFSET($A$1,ROW(),31,1000-ROW(),1),OFFSET($A$1,ROW(),20,1000-ROW(),1),ROW(),OFFSET($A$1,ROW(),21,1000-ROW(),1),"Sub"))))</f>
        <v/>
      </c>
      <c r="L12" s="60">
        <f>IF(N($W12)=0,"",IF(AND($S12=MesCiclo,4&gt;SemanaActual),"",MIN(1,SUMIFS(OFFSET($A$1,ROW(),32,1000-ROW(),1),OFFSET($A$1,ROW(),20,1000-ROW(),1),ROW(),OFFSET($A$1,ROW(),21,1000-ROW(),1),"Sub"))))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IF($V12&lt;&gt;"Sub","",N($X12)*IF(AND(ISNUMBER($G12),$G12&lt;=IF($S12=MesCiclo,InicioCiclo,$S12+MOD(2-WEEKDAY($S12),7))+6),1,MIN(1,MAX(0,IF(ISNUMBER(OFFSET($A$1,ROW()-1,8)),OFFSET($A$1,ROW()-1,8),0)))))</f>
        <v/>
      </c>
      <c r="AE12" s="62">
        <f>IF($V12&lt;&gt;"Sub","",N($X12)*IF(AND(ISNUMBER($G12),$G12&lt;=IF($S12=MesCiclo,InicioCiclo,$S12+MOD(2-WEEKDAY($S12),7))+13),1,MIN(1,MAX(0,IF(ISNUMBER(OFFSET($A$1,ROW()-1,9)),OFFSET($A$1,ROW()-1,9),IF(ISNUMBER(OFFSET($A$1,ROW()-1,8)),OFFSET($A$1,ROW()-1,8),0))))))</f>
        <v/>
      </c>
      <c r="AF12" s="62">
        <f>IF($V12&lt;&gt;"Sub","",N($X12)*IF(AND(ISNUMBER($G12),$G12&lt;=IF($S12=MesCiclo,InicioCiclo,$S12+MOD(2-WEEKDAY($S12),7))+20),1,MIN(1,MAX(0,IF(ISNUMBER(OFFSET($A$1,ROW()-1,10)),OFFSET($A$1,ROW()-1,10),IF(ISNUMBER(OFFSET($A$1,ROW()-1,9)),OFFSET($A$1,ROW()-1,9),IF(ISNUMBER(OFFSET($A$1,ROW()-1,8)),OFFSET($A$1,ROW()-1,8),0)))))))</f>
        <v/>
      </c>
      <c r="AG12" s="62">
        <f>IF($V12&lt;&gt;"Sub","",N($X12)*IF(AND(ISNUMBER($G12),$G12&lt;=IF($S12=MesCiclo,InicioCiclo,$S12+MOD(2-WEEKDAY($S12),7))+27),1,MIN(1,MAX(0,IF(ISNUMBER(OFFSET($A$1,ROW()-1,11)),OFFSET($A$1,ROW()-1,11),IF(ISNUMBER(OFFSET($A$1,ROW()-1,10)),OFFSET($A$1,ROW()-1,10),IF(ISNUMBER(OFFSET($A$1,ROW()-1,9)),OFFSET($A$1,ROW()-1,9),IF(ISNUMBER(OFFSET($A$1,ROW()-1,8)),OFFSET($A$1,ROW()-1,8),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",IFERROR(MATCH("Riesgo Operacional|"&amp;MID($C12,12,500),rDname_ADM,0),0),"")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inlineStr">
        <is>
          <t>Macroactividad</t>
        </is>
      </c>
      <c r="C13" s="58" t="inlineStr">
        <is>
          <t>Remisión Matriz Administración de Sistemas Informáticos al departamento de Procesos</t>
        </is>
      </c>
      <c r="D13" s="58" t="n"/>
      <c r="E13" s="59" t="n">
        <v>46300</v>
      </c>
      <c r="F13" s="59">
        <f>IF(N($AQ13)&gt;0,INDEX(rLim_ADM,$AQ13),"")</f>
        <v/>
      </c>
      <c r="G13" s="59" t="n"/>
      <c r="H13" s="60" t="n"/>
      <c r="I13" s="60">
        <f>IF(N($W13)=0,"",IF(AND($S13=MesCiclo,1&gt;SemanaActual),"",MIN(1,SUMIFS(OFFSET($A$1,ROW(),29,1000-ROW(),1),OFFSET($A$1,ROW(),20,1000-ROW(),1),ROW(),OFFSET($A$1,ROW(),21,1000-ROW(),1),"Sub"))))</f>
        <v/>
      </c>
      <c r="J13" s="60" t="n">
        <v>1</v>
      </c>
      <c r="K13" s="60">
        <f>IF(N($W13)=0,"",IF(AND($S13=MesCiclo,3&gt;SemanaActual),"",MIN(1,SUMIFS(OFFSET($A$1,ROW(),31,1000-ROW(),1),OFFSET($A$1,ROW(),20,1000-ROW(),1),ROW(),OFFSET($A$1,ROW(),21,1000-ROW(),1),"Sub"))))</f>
        <v/>
      </c>
      <c r="L13" s="60">
        <f>IF(N($W13)=0,"",IF(AND($S13=MesCiclo,4&gt;SemanaActual),"",MIN(1,SUMIFS(OFFSET($A$1,ROW(),32,1000-ROW(),1),OFFSET($A$1,ROW(),20,1000-ROW(),1),ROW(),OFFSET($A$1,ROW(),21,1000-ROW(),1),"Sub"))))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IF($V13&lt;&gt;"Sub","",N($X13)*IF(AND(ISNUMBER($G13),$G13&lt;=IF($S13=MesCiclo,InicioCiclo,$S13+MOD(2-WEEKDAY($S13),7))+6),1,MIN(1,MAX(0,IF(ISNUMBER(OFFSET($A$1,ROW()-1,8)),OFFSET($A$1,ROW()-1,8),0)))))</f>
        <v/>
      </c>
      <c r="AE13" s="62">
        <f>IF($V13&lt;&gt;"Sub","",N($X13)*IF(AND(ISNUMBER($G13),$G13&lt;=IF($S13=MesCiclo,InicioCiclo,$S13+MOD(2-WEEKDAY($S13),7))+13),1,MIN(1,MAX(0,IF(ISNUMBER(OFFSET($A$1,ROW()-1,9)),OFFSET($A$1,ROW()-1,9),IF(ISNUMBER(OFFSET($A$1,ROW()-1,8)),OFFSET($A$1,ROW()-1,8),0))))))</f>
        <v/>
      </c>
      <c r="AF13" s="62">
        <f>IF($V13&lt;&gt;"Sub","",N($X13)*IF(AND(ISNUMBER($G13),$G13&lt;=IF($S13=MesCiclo,InicioCiclo,$S13+MOD(2-WEEKDAY($S13),7))+20),1,MIN(1,MAX(0,IF(ISNUMBER(OFFSET($A$1,ROW()-1,10)),OFFSET($A$1,ROW()-1,10),IF(ISNUMBER(OFFSET($A$1,ROW()-1,9)),OFFSET($A$1,ROW()-1,9),IF(ISNUMBER(OFFSET($A$1,ROW()-1,8)),OFFSET($A$1,ROW()-1,8),0)))))))</f>
        <v/>
      </c>
      <c r="AG13" s="62">
        <f>IF($V13&lt;&gt;"Sub","",N($X13)*IF(AND(ISNUMBER($G13),$G13&lt;=IF($S13=MesCiclo,InicioCiclo,$S13+MOD(2-WEEKDAY($S13),7))+27),1,MIN(1,MAX(0,IF(ISNUMBER(OFFSET($A$1,ROW()-1,11)),OFFSET($A$1,ROW()-1,11),IF(ISNUMBER(OFFSET($A$1,ROW()-1,10)),OFFSET($A$1,ROW()-1,10),IF(ISNUMBER(OFFSET($A$1,ROW()-1,9)),OFFSET($A$1,ROW()-1,9),IF(ISNUMBER(OFFSET($A$1,ROW()-1,8)),OFFSET($A$1,ROW()-1,8),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",IFERROR(MATCH("Riesgo Operacional|"&amp;MID($C13,12,500),rDname_ADM,0),0),"")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inlineStr">
        <is>
          <t>Macroactividad</t>
        </is>
      </c>
      <c r="C14" s="58" t="inlineStr">
        <is>
          <t>Flujo de fábrica de créditos – Conclusión Administración de Riesgos</t>
        </is>
      </c>
      <c r="D14" s="58" t="n"/>
      <c r="E14" s="59" t="n">
        <v>46300</v>
      </c>
      <c r="F14" s="59">
        <f>IF(N($AQ14)&gt;0,INDEX(rLim_ADM,$AQ14),"")</f>
        <v/>
      </c>
      <c r="G14" s="59" t="n"/>
      <c r="H14" s="60" t="n"/>
      <c r="I14" s="60">
        <f>IF(N($W14)=0,"",IF(AND($S14=MesCiclo,1&gt;SemanaActual),"",MIN(1,SUMIFS(OFFSET($A$1,ROW(),29,1000-ROW(),1),OFFSET($A$1,ROW(),20,1000-ROW(),1),ROW(),OFFSET($A$1,ROW(),21,1000-ROW(),1),"Sub"))))</f>
        <v/>
      </c>
      <c r="J14" s="60" t="n">
        <v>1</v>
      </c>
      <c r="K14" s="60">
        <f>IF(N($W14)=0,"",IF(AND($S14=MesCiclo,3&gt;SemanaActual),"",MIN(1,SUMIFS(OFFSET($A$1,ROW(),31,1000-ROW(),1),OFFSET($A$1,ROW(),20,1000-ROW(),1),ROW(),OFFSET($A$1,ROW(),21,1000-ROW(),1),"Sub"))))</f>
        <v/>
      </c>
      <c r="L14" s="60">
        <f>IF(N($W14)=0,"",IF(AND($S14=MesCiclo,4&gt;SemanaActual),"",MIN(1,SUMIFS(OFFSET($A$1,ROW(),32,1000-ROW(),1),OFFSET($A$1,ROW(),20,1000-ROW(),1),ROW(),OFFSET($A$1,ROW(),21,1000-ROW(),1),"Sub"))))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IF($V14&lt;&gt;"Sub","",N($X14)*IF(AND(ISNUMBER($G14),$G14&lt;=IF($S14=MesCiclo,InicioCiclo,$S14+MOD(2-WEEKDAY($S14),7))+6),1,MIN(1,MAX(0,IF(ISNUMBER(OFFSET($A$1,ROW()-1,8)),OFFSET($A$1,ROW()-1,8),0)))))</f>
        <v/>
      </c>
      <c r="AE14" s="62">
        <f>IF($V14&lt;&gt;"Sub","",N($X14)*IF(AND(ISNUMBER($G14),$G14&lt;=IF($S14=MesCiclo,InicioCiclo,$S14+MOD(2-WEEKDAY($S14),7))+13),1,MIN(1,MAX(0,IF(ISNUMBER(OFFSET($A$1,ROW()-1,9)),OFFSET($A$1,ROW()-1,9),IF(ISNUMBER(OFFSET($A$1,ROW()-1,8)),OFFSET($A$1,ROW()-1,8),0))))))</f>
        <v/>
      </c>
      <c r="AF14" s="62">
        <f>IF($V14&lt;&gt;"Sub","",N($X14)*IF(AND(ISNUMBER($G14),$G14&lt;=IF($S14=MesCiclo,InicioCiclo,$S14+MOD(2-WEEKDAY($S14),7))+20),1,MIN(1,MAX(0,IF(ISNUMBER(OFFSET($A$1,ROW()-1,10)),OFFSET($A$1,ROW()-1,10),IF(ISNUMBER(OFFSET($A$1,ROW()-1,9)),OFFSET($A$1,ROW()-1,9),IF(ISNUMBER(OFFSET($A$1,ROW()-1,8)),OFFSET($A$1,ROW()-1,8),0)))))))</f>
        <v/>
      </c>
      <c r="AG14" s="62">
        <f>IF($V14&lt;&gt;"Sub","",N($X14)*IF(AND(ISNUMBER($G14),$G14&lt;=IF($S14=MesCiclo,InicioCiclo,$S14+MOD(2-WEEKDAY($S14),7))+27),1,MIN(1,MAX(0,IF(ISNUMBER(OFFSET($A$1,ROW()-1,11)),OFFSET($A$1,ROW()-1,11),IF(ISNUMBER(OFFSET($A$1,ROW()-1,10)),OFFSET($A$1,ROW()-1,10),IF(ISNUMBER(OFFSET($A$1,ROW()-1,9)),OFFSET($A$1,ROW()-1,9),IF(ISNUMBER(OFFSET($A$1,ROW()-1,8)),OFFSET($A$1,ROW()-1,8),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",IFERROR(MATCH("Riesgo Operacional|"&amp;MID($C14,12,500),rDname_ADM,0),0),"")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inlineStr">
        <is>
          <t>Macroactividad</t>
        </is>
      </c>
      <c r="C15" s="58" t="inlineStr">
        <is>
          <t>Ventana de mantenimiento sistemas</t>
        </is>
      </c>
      <c r="D15" s="58" t="n"/>
      <c r="E15" s="59" t="n">
        <v>46300</v>
      </c>
      <c r="F15" s="59">
        <f>IF(N($AQ15)&gt;0,INDEX(rLim_ADM,$AQ15),"")</f>
        <v/>
      </c>
      <c r="G15" s="59" t="n"/>
      <c r="H15" s="60" t="n"/>
      <c r="I15" s="60">
        <f>IF(N($W15)=0,"",IF(AND($S15=MesCiclo,1&gt;SemanaActual),"",MIN(1,SUMIFS(OFFSET($A$1,ROW(),29,1000-ROW(),1),OFFSET($A$1,ROW(),20,1000-ROW(),1),ROW(),OFFSET($A$1,ROW(),21,1000-ROW(),1),"Sub"))))</f>
        <v/>
      </c>
      <c r="J15" s="60" t="n">
        <v>1</v>
      </c>
      <c r="K15" s="60">
        <f>IF(N($W15)=0,"",IF(AND($S15=MesCiclo,3&gt;SemanaActual),"",MIN(1,SUMIFS(OFFSET($A$1,ROW(),31,1000-ROW(),1),OFFSET($A$1,ROW(),20,1000-ROW(),1),ROW(),OFFSET($A$1,ROW(),21,1000-ROW(),1),"Sub"))))</f>
        <v/>
      </c>
      <c r="L15" s="60">
        <f>IF(N($W15)=0,"",IF(AND($S15=MesCiclo,4&gt;SemanaActual),"",MIN(1,SUMIFS(OFFSET($A$1,ROW(),32,1000-ROW(),1),OFFSET($A$1,ROW(),20,1000-ROW(),1),ROW(),OFFSET($A$1,ROW(),21,1000-ROW(),1),"Sub"))))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IF($V15&lt;&gt;"Sub","",N($X15)*IF(AND(ISNUMBER($G15),$G15&lt;=IF($S15=MesCiclo,InicioCiclo,$S15+MOD(2-WEEKDAY($S15),7))+6),1,MIN(1,MAX(0,IF(ISNUMBER(OFFSET($A$1,ROW()-1,8)),OFFSET($A$1,ROW()-1,8),0)))))</f>
        <v/>
      </c>
      <c r="AE15" s="62">
        <f>IF($V15&lt;&gt;"Sub","",N($X15)*IF(AND(ISNUMBER($G15),$G15&lt;=IF($S15=MesCiclo,InicioCiclo,$S15+MOD(2-WEEKDAY($S15),7))+13),1,MIN(1,MAX(0,IF(ISNUMBER(OFFSET($A$1,ROW()-1,9)),OFFSET($A$1,ROW()-1,9),IF(ISNUMBER(OFFSET($A$1,ROW()-1,8)),OFFSET($A$1,ROW()-1,8),0))))))</f>
        <v/>
      </c>
      <c r="AF15" s="62">
        <f>IF($V15&lt;&gt;"Sub","",N($X15)*IF(AND(ISNUMBER($G15),$G15&lt;=IF($S15=MesCiclo,InicioCiclo,$S15+MOD(2-WEEKDAY($S15),7))+20),1,MIN(1,MAX(0,IF(ISNUMBER(OFFSET($A$1,ROW()-1,10)),OFFSET($A$1,ROW()-1,10),IF(ISNUMBER(OFFSET($A$1,ROW()-1,9)),OFFSET($A$1,ROW()-1,9),IF(ISNUMBER(OFFSET($A$1,ROW()-1,8)),OFFSET($A$1,ROW()-1,8),0)))))))</f>
        <v/>
      </c>
      <c r="AG15" s="62">
        <f>IF($V15&lt;&gt;"Sub","",N($X15)*IF(AND(ISNUMBER($G15),$G15&lt;=IF($S15=MesCiclo,InicioCiclo,$S15+MOD(2-WEEKDAY($S15),7))+27),1,MIN(1,MAX(0,IF(ISNUMBER(OFFSET($A$1,ROW()-1,11)),OFFSET($A$1,ROW()-1,11),IF(ISNUMBER(OFFSET($A$1,ROW()-1,10)),OFFSET($A$1,ROW()-1,10),IF(ISNUMBER(OFFSET($A$1,ROW()-1,9)),OFFSET($A$1,ROW()-1,9),IF(ISNUMBER(OFFSET($A$1,ROW()-1,8)),OFFSET($A$1,ROW()-1,8),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",IFERROR(MATCH("Riesgo Operacional|"&amp;MID($C15,12,500),rDname_ADM,0),0),"")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inlineStr">
        <is>
          <t>Macroactividad</t>
        </is>
      </c>
      <c r="C16" s="58" t="inlineStr">
        <is>
          <t>Solicitud cambio de estructura Departamento de Administración de Riesgos al departamento de Procesos</t>
        </is>
      </c>
      <c r="D16" s="58" t="n"/>
      <c r="E16" s="59" t="n">
        <v>46300</v>
      </c>
      <c r="F16" s="59">
        <f>IF(N($AQ16)&gt;0,INDEX(rLim_ADM,$AQ16),"")</f>
        <v/>
      </c>
      <c r="G16" s="59" t="n"/>
      <c r="H16" s="60" t="n"/>
      <c r="I16" s="60">
        <f>IF(N($W16)=0,"",IF(AND($S16=MesCiclo,1&gt;SemanaActual),"",MIN(1,SUMIFS(OFFSET($A$1,ROW(),29,1000-ROW(),1),OFFSET($A$1,ROW(),20,1000-ROW(),1),ROW(),OFFSET($A$1,ROW(),21,1000-ROW(),1),"Sub"))))</f>
        <v/>
      </c>
      <c r="J16" s="60" t="n">
        <v>0.5</v>
      </c>
      <c r="K16" s="60">
        <f>IF(N($W16)=0,"",IF(AND($S16=MesCiclo,3&gt;SemanaActual),"",MIN(1,SUMIFS(OFFSET($A$1,ROW(),31,1000-ROW(),1),OFFSET($A$1,ROW(),20,1000-ROW(),1),ROW(),OFFSET($A$1,ROW(),21,1000-ROW(),1),"Sub"))))</f>
        <v/>
      </c>
      <c r="L16" s="60">
        <f>IF(N($W16)=0,"",IF(AND($S16=MesCiclo,4&gt;SemanaActual),"",MIN(1,SUMIFS(OFFSET($A$1,ROW(),32,1000-ROW(),1),OFFSET($A$1,ROW(),20,1000-ROW(),1),ROW(),OFFSET($A$1,ROW(),21,1000-ROW(),1),"Sub"))))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IF($V16&lt;&gt;"Sub","",N($X16)*IF(AND(ISNUMBER($G16),$G16&lt;=IF($S16=MesCiclo,InicioCiclo,$S16+MOD(2-WEEKDAY($S16),7))+6),1,MIN(1,MAX(0,IF(ISNUMBER(OFFSET($A$1,ROW()-1,8)),OFFSET($A$1,ROW()-1,8),0)))))</f>
        <v/>
      </c>
      <c r="AE16" s="62">
        <f>IF($V16&lt;&gt;"Sub","",N($X16)*IF(AND(ISNUMBER($G16),$G16&lt;=IF($S16=MesCiclo,InicioCiclo,$S16+MOD(2-WEEKDAY($S16),7))+13),1,MIN(1,MAX(0,IF(ISNUMBER(OFFSET($A$1,ROW()-1,9)),OFFSET($A$1,ROW()-1,9),IF(ISNUMBER(OFFSET($A$1,ROW()-1,8)),OFFSET($A$1,ROW()-1,8),0))))))</f>
        <v/>
      </c>
      <c r="AF16" s="62">
        <f>IF($V16&lt;&gt;"Sub","",N($X16)*IF(AND(ISNUMBER($G16),$G16&lt;=IF($S16=MesCiclo,InicioCiclo,$S16+MOD(2-WEEKDAY($S16),7))+20),1,MIN(1,MAX(0,IF(ISNUMBER(OFFSET($A$1,ROW()-1,10)),OFFSET($A$1,ROW()-1,10),IF(ISNUMBER(OFFSET($A$1,ROW()-1,9)),OFFSET($A$1,ROW()-1,9),IF(ISNUMBER(OFFSET($A$1,ROW()-1,8)),OFFSET($A$1,ROW()-1,8),0)))))))</f>
        <v/>
      </c>
      <c r="AG16" s="62">
        <f>IF($V16&lt;&gt;"Sub","",N($X16)*IF(AND(ISNUMBER($G16),$G16&lt;=IF($S16=MesCiclo,InicioCiclo,$S16+MOD(2-WEEKDAY($S16),7))+27),1,MIN(1,MAX(0,IF(ISNUMBER(OFFSET($A$1,ROW()-1,11)),OFFSET($A$1,ROW()-1,11),IF(ISNUMBER(OFFSET($A$1,ROW()-1,10)),OFFSET($A$1,ROW()-1,10),IF(ISNUMBER(OFFSET($A$1,ROW()-1,9)),OFFSET($A$1,ROW()-1,9),IF(ISNUMBER(OFFSET($A$1,ROW()-1,8)),OFFSET($A$1,ROW()-1,8),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",IFERROR(MATCH("Riesgo Operacional|"&amp;MID($C16,12,500),rDname_ADM,0),0),"")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inlineStr">
        <is>
          <t>Macroactividad</t>
        </is>
      </c>
      <c r="C17" s="58" t="inlineStr">
        <is>
          <t>Seguimiento eventos de riesgos por caídas de TC 25.09.2026 y Orion 26.09.2026</t>
        </is>
      </c>
      <c r="D17" s="58" t="n"/>
      <c r="E17" s="59" t="n">
        <v>46300</v>
      </c>
      <c r="F17" s="59">
        <f>IF(N($AQ17)&gt;0,INDEX(rLim_ADM,$AQ17),"")</f>
        <v/>
      </c>
      <c r="G17" s="59" t="n"/>
      <c r="H17" s="60" t="n"/>
      <c r="I17" s="60">
        <f>IF(N($W17)=0,"",IF(AND($S17=MesCiclo,1&gt;SemanaActual),"",MIN(1,SUMIFS(OFFSET($A$1,ROW(),29,1000-ROW(),1),OFFSET($A$1,ROW(),20,1000-ROW(),1),ROW(),OFFSET($A$1,ROW(),21,1000-ROW(),1),"Sub"))))</f>
        <v/>
      </c>
      <c r="J17" s="60" t="n">
        <v>0.5</v>
      </c>
      <c r="K17" s="60">
        <f>IF(N($W17)=0,"",IF(AND($S17=MesCiclo,3&gt;SemanaActual),"",MIN(1,SUMIFS(OFFSET($A$1,ROW(),31,1000-ROW(),1),OFFSET($A$1,ROW(),20,1000-ROW(),1),ROW(),OFFSET($A$1,ROW(),21,1000-ROW(),1),"Sub"))))</f>
        <v/>
      </c>
      <c r="L17" s="60">
        <f>IF(N($W17)=0,"",IF(AND($S17=MesCiclo,4&gt;SemanaActual),"",MIN(1,SUMIFS(OFFSET($A$1,ROW(),32,1000-ROW(),1),OFFSET($A$1,ROW(),20,1000-ROW(),1),ROW(),OFFSET($A$1,ROW(),21,1000-ROW(),1),"Sub"))))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IF($V17&lt;&gt;"Sub","",N($X17)*IF(AND(ISNUMBER($G17),$G17&lt;=IF($S17=MesCiclo,InicioCiclo,$S17+MOD(2-WEEKDAY($S17),7))+6),1,MIN(1,MAX(0,IF(ISNUMBER(OFFSET($A$1,ROW()-1,8)),OFFSET($A$1,ROW()-1,8),0)))))</f>
        <v/>
      </c>
      <c r="AE17" s="62">
        <f>IF($V17&lt;&gt;"Sub","",N($X17)*IF(AND(ISNUMBER($G17),$G17&lt;=IF($S17=MesCiclo,InicioCiclo,$S17+MOD(2-WEEKDAY($S17),7))+13),1,MIN(1,MAX(0,IF(ISNUMBER(OFFSET($A$1,ROW()-1,9)),OFFSET($A$1,ROW()-1,9),IF(ISNUMBER(OFFSET($A$1,ROW()-1,8)),OFFSET($A$1,ROW()-1,8),0))))))</f>
        <v/>
      </c>
      <c r="AF17" s="62">
        <f>IF($V17&lt;&gt;"Sub","",N($X17)*IF(AND(ISNUMBER($G17),$G17&lt;=IF($S17=MesCiclo,InicioCiclo,$S17+MOD(2-WEEKDAY($S17),7))+20),1,MIN(1,MAX(0,IF(ISNUMBER(OFFSET($A$1,ROW()-1,10)),OFFSET($A$1,ROW()-1,10),IF(ISNUMBER(OFFSET($A$1,ROW()-1,9)),OFFSET($A$1,ROW()-1,9),IF(ISNUMBER(OFFSET($A$1,ROW()-1,8)),OFFSET($A$1,ROW()-1,8),0)))))))</f>
        <v/>
      </c>
      <c r="AG17" s="62">
        <f>IF($V17&lt;&gt;"Sub","",N($X17)*IF(AND(ISNUMBER($G17),$G17&lt;=IF($S17=MesCiclo,InicioCiclo,$S17+MOD(2-WEEKDAY($S17),7))+27),1,MIN(1,MAX(0,IF(ISNUMBER(OFFSET($A$1,ROW()-1,11)),OFFSET($A$1,ROW()-1,11),IF(ISNUMBER(OFFSET($A$1,ROW()-1,10)),OFFSET($A$1,ROW()-1,10),IF(ISNUMBER(OFFSET($A$1,ROW()-1,9)),OFFSET($A$1,ROW()-1,9),IF(ISNUMBER(OFFSET($A$1,ROW()-1,8)),OFFSET($A$1,ROW()-1,8),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",IFERROR(MATCH("Riesgo Operacional|"&amp;MID($C17,12,500),rDname_ADM,0),0),"")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inlineStr">
        <is>
          <t>Macroactividad</t>
        </is>
      </c>
      <c r="C18" s="58" t="inlineStr">
        <is>
          <t>Actualización página web – Atención Asociados</t>
        </is>
      </c>
      <c r="D18" s="58" t="n"/>
      <c r="E18" s="59" t="n">
        <v>46300</v>
      </c>
      <c r="F18" s="59">
        <f>IF(N($AQ18)&gt;0,INDEX(rLim_ADM,$AQ18),"")</f>
        <v/>
      </c>
      <c r="G18" s="59" t="n"/>
      <c r="H18" s="60" t="n"/>
      <c r="I18" s="60">
        <f>IF(N($W18)=0,"",IF(AND($S18=MesCiclo,1&gt;SemanaActual),"",MIN(1,SUMIFS(OFFSET($A$1,ROW(),29,1000-ROW(),1),OFFSET($A$1,ROW(),20,1000-ROW(),1),ROW(),OFFSET($A$1,ROW(),21,1000-ROW(),1),"Sub"))))</f>
        <v/>
      </c>
      <c r="J18" s="60" t="n">
        <v>1</v>
      </c>
      <c r="K18" s="60">
        <f>IF(N($W18)=0,"",IF(AND($S18=MesCiclo,3&gt;SemanaActual),"",MIN(1,SUMIFS(OFFSET($A$1,ROW(),31,1000-ROW(),1),OFFSET($A$1,ROW(),20,1000-ROW(),1),ROW(),OFFSET($A$1,ROW(),21,1000-ROW(),1),"Sub"))))</f>
        <v/>
      </c>
      <c r="L18" s="60">
        <f>IF(N($W18)=0,"",IF(AND($S18=MesCiclo,4&gt;SemanaActual),"",MIN(1,SUMIFS(OFFSET($A$1,ROW(),32,1000-ROW(),1),OFFSET($A$1,ROW(),20,1000-ROW(),1),ROW(),OFFSET($A$1,ROW(),21,1000-ROW(),1),"Sub"))))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IF($V18&lt;&gt;"Sub","",N($X18)*IF(AND(ISNUMBER($G18),$G18&lt;=IF($S18=MesCiclo,InicioCiclo,$S18+MOD(2-WEEKDAY($S18),7))+6),1,MIN(1,MAX(0,IF(ISNUMBER(OFFSET($A$1,ROW()-1,8)),OFFSET($A$1,ROW()-1,8),0)))))</f>
        <v/>
      </c>
      <c r="AE18" s="62">
        <f>IF($V18&lt;&gt;"Sub","",N($X18)*IF(AND(ISNUMBER($G18),$G18&lt;=IF($S18=MesCiclo,InicioCiclo,$S18+MOD(2-WEEKDAY($S18),7))+13),1,MIN(1,MAX(0,IF(ISNUMBER(OFFSET($A$1,ROW()-1,9)),OFFSET($A$1,ROW()-1,9),IF(ISNUMBER(OFFSET($A$1,ROW()-1,8)),OFFSET($A$1,ROW()-1,8),0))))))</f>
        <v/>
      </c>
      <c r="AF18" s="62">
        <f>IF($V18&lt;&gt;"Sub","",N($X18)*IF(AND(ISNUMBER($G18),$G18&lt;=IF($S18=MesCiclo,InicioCiclo,$S18+MOD(2-WEEKDAY($S18),7))+20),1,MIN(1,MAX(0,IF(ISNUMBER(OFFSET($A$1,ROW()-1,10)),OFFSET($A$1,ROW()-1,10),IF(ISNUMBER(OFFSET($A$1,ROW()-1,9)),OFFSET($A$1,ROW()-1,9),IF(ISNUMBER(OFFSET($A$1,ROW()-1,8)),OFFSET($A$1,ROW()-1,8),0)))))))</f>
        <v/>
      </c>
      <c r="AG18" s="62">
        <f>IF($V18&lt;&gt;"Sub","",N($X18)*IF(AND(ISNUMBER($G18),$G18&lt;=IF($S18=MesCiclo,InicioCiclo,$S18+MOD(2-WEEKDAY($S18),7))+27),1,MIN(1,MAX(0,IF(ISNUMBER(OFFSET($A$1,ROW()-1,11)),OFFSET($A$1,ROW()-1,11),IF(ISNUMBER(OFFSET($A$1,ROW()-1,10)),OFFSET($A$1,ROW()-1,10),IF(ISNUMBER(OFFSET($A$1,ROW()-1,9)),OFFSET($A$1,ROW()-1,9),IF(ISNUMBER(OFFSET($A$1,ROW()-1,8)),OFFSET($A$1,ROW()-1,8),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",IFERROR(MATCH("Riesgo Operacional|"&amp;MID($C18,12,500),rDname_ADM,0),0),"")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f>IF(N($AQ19)&gt;0,INDEX(rIni_ADM,$AQ19),"")</f>
        <v/>
      </c>
      <c r="F19" s="59">
        <f>IF(N($AQ19)&gt;0,INDEX(rLim_ADM,$AQ19),"")</f>
        <v/>
      </c>
      <c r="G19" s="59" t="n"/>
      <c r="H19" s="60" t="n"/>
      <c r="I19" s="60">
        <f>IF(N($W19)=0,"",IF(AND($S19=MesCiclo,1&gt;SemanaActual),"",MIN(1,SUMIFS(OFFSET($A$1,ROW(),29,1000-ROW(),1),OFFSET($A$1,ROW(),20,1000-ROW(),1),ROW(),OFFSET($A$1,ROW(),21,1000-ROW(),1),"Sub"))))</f>
        <v/>
      </c>
      <c r="J19" s="60">
        <f>IF(N($W19)=0,"",IF(AND($S19=MesCiclo,2&gt;SemanaActual),"",MIN(1,SUMIFS(OFFSET($A$1,ROW(),30,1000-ROW(),1),OFFSET($A$1,ROW(),20,1000-ROW(),1),ROW(),OFFSET($A$1,ROW(),21,1000-ROW(),1),"Sub"))))</f>
        <v/>
      </c>
      <c r="K19" s="60">
        <f>IF(N($W19)=0,"",IF(AND($S19=MesCiclo,3&gt;SemanaActual),"",MIN(1,SUMIFS(OFFSET($A$1,ROW(),31,1000-ROW(),1),OFFSET($A$1,ROW(),20,1000-ROW(),1),ROW(),OFFSET($A$1,ROW(),21,1000-ROW(),1),"Sub"))))</f>
        <v/>
      </c>
      <c r="L19" s="60">
        <f>IF(N($W19)=0,"",IF(AND($S19=MesCiclo,4&gt;SemanaActual),"",MIN(1,SUMIFS(OFFSET($A$1,ROW(),32,1000-ROW(),1),OFFSET($A$1,ROW(),20,1000-ROW(),1),ROW(),OFFSET($A$1,ROW(),21,1000-ROW(),1),"Sub"))))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IF($V19&lt;&gt;"Sub","",N($X19)*IF(AND(ISNUMBER($G19),$G19&lt;=IF($S19=MesCiclo,InicioCiclo,$S19+MOD(2-WEEKDAY($S19),7))+6),1,MIN(1,MAX(0,IF(ISNUMBER(OFFSET($A$1,ROW()-1,8)),OFFSET($A$1,ROW()-1,8),0)))))</f>
        <v/>
      </c>
      <c r="AE19" s="62">
        <f>IF($V19&lt;&gt;"Sub","",N($X19)*IF(AND(ISNUMBER($G19),$G19&lt;=IF($S19=MesCiclo,InicioCiclo,$S19+MOD(2-WEEKDAY($S19),7))+13),1,MIN(1,MAX(0,IF(ISNUMBER(OFFSET($A$1,ROW()-1,9)),OFFSET($A$1,ROW()-1,9),IF(ISNUMBER(OFFSET($A$1,ROW()-1,8)),OFFSET($A$1,ROW()-1,8),0))))))</f>
        <v/>
      </c>
      <c r="AF19" s="62">
        <f>IF($V19&lt;&gt;"Sub","",N($X19)*IF(AND(ISNUMBER($G19),$G19&lt;=IF($S19=MesCiclo,InicioCiclo,$S19+MOD(2-WEEKDAY($S19),7))+20),1,MIN(1,MAX(0,IF(ISNUMBER(OFFSET($A$1,ROW()-1,10)),OFFSET($A$1,ROW()-1,10),IF(ISNUMBER(OFFSET($A$1,ROW()-1,9)),OFFSET($A$1,ROW()-1,9),IF(ISNUMBER(OFFSET($A$1,ROW()-1,8)),OFFSET($A$1,ROW()-1,8),0)))))))</f>
        <v/>
      </c>
      <c r="AG19" s="62">
        <f>IF($V19&lt;&gt;"Sub","",N($X19)*IF(AND(ISNUMBER($G19),$G19&lt;=IF($S19=MesCiclo,InicioCiclo,$S19+MOD(2-WEEKDAY($S19),7))+27),1,MIN(1,MAX(0,IF(ISNUMBER(OFFSET($A$1,ROW()-1,11)),OFFSET($A$1,ROW()-1,11),IF(ISNUMBER(OFFSET($A$1,ROW()-1,10)),OFFSET($A$1,ROW()-1,10),IF(ISNUMBER(OFFSET($A$1,ROW()-1,9)),OFFSET($A$1,ROW()-1,9),IF(ISNUMBER(OFFSET($A$1,ROW()-1,8)),OFFSET($A$1,ROW()-1,8),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",IFERROR(MATCH("Riesgo Operacional|"&amp;MID($C19,12,500),rDname_ADM,0),0),"")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f>IF(N($AQ20)&gt;0,INDEX(rIni_ADM,$AQ20),"")</f>
        <v/>
      </c>
      <c r="F20" s="59">
        <f>IF(N($AQ20)&gt;0,INDEX(rLim_ADM,$AQ20),"")</f>
        <v/>
      </c>
      <c r="G20" s="59" t="n"/>
      <c r="H20" s="60" t="n"/>
      <c r="I20" s="60">
        <f>IF(N($W20)=0,"",IF(AND($S20=MesCiclo,1&gt;SemanaActual),"",MIN(1,SUMIFS(OFFSET($A$1,ROW(),29,1000-ROW(),1),OFFSET($A$1,ROW(),20,1000-ROW(),1),ROW(),OFFSET($A$1,ROW(),21,1000-ROW(),1),"Sub"))))</f>
        <v/>
      </c>
      <c r="J20" s="60">
        <f>IF(N($W20)=0,"",IF(AND($S20=MesCiclo,2&gt;SemanaActual),"",MIN(1,SUMIFS(OFFSET($A$1,ROW(),30,1000-ROW(),1),OFFSET($A$1,ROW(),20,1000-ROW(),1),ROW(),OFFSET($A$1,ROW(),21,1000-ROW(),1),"Sub"))))</f>
        <v/>
      </c>
      <c r="K20" s="60">
        <f>IF(N($W20)=0,"",IF(AND($S20=MesCiclo,3&gt;SemanaActual),"",MIN(1,SUMIFS(OFFSET($A$1,ROW(),31,1000-ROW(),1),OFFSET($A$1,ROW(),20,1000-ROW(),1),ROW(),OFFSET($A$1,ROW(),21,1000-ROW(),1),"Sub"))))</f>
        <v/>
      </c>
      <c r="L20" s="60">
        <f>IF(N($W20)=0,"",IF(AND($S20=MesCiclo,4&gt;SemanaActual),"",MIN(1,SUMIFS(OFFSET($A$1,ROW(),32,1000-ROW(),1),OFFSET($A$1,ROW(),20,1000-ROW(),1),ROW(),OFFSET($A$1,ROW(),21,1000-ROW(),1),"Sub"))))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IF($V20&lt;&gt;"Sub","",N($X20)*IF(AND(ISNUMBER($G20),$G20&lt;=IF($S20=MesCiclo,InicioCiclo,$S20+MOD(2-WEEKDAY($S20),7))+6),1,MIN(1,MAX(0,IF(ISNUMBER(OFFSET($A$1,ROW()-1,8)),OFFSET($A$1,ROW()-1,8),0)))))</f>
        <v/>
      </c>
      <c r="AE20" s="62">
        <f>IF($V20&lt;&gt;"Sub","",N($X20)*IF(AND(ISNUMBER($G20),$G20&lt;=IF($S20=MesCiclo,InicioCiclo,$S20+MOD(2-WEEKDAY($S20),7))+13),1,MIN(1,MAX(0,IF(ISNUMBER(OFFSET($A$1,ROW()-1,9)),OFFSET($A$1,ROW()-1,9),IF(ISNUMBER(OFFSET($A$1,ROW()-1,8)),OFFSET($A$1,ROW()-1,8),0))))))</f>
        <v/>
      </c>
      <c r="AF20" s="62">
        <f>IF($V20&lt;&gt;"Sub","",N($X20)*IF(AND(ISNUMBER($G20),$G20&lt;=IF($S20=MesCiclo,InicioCiclo,$S20+MOD(2-WEEKDAY($S20),7))+20),1,MIN(1,MAX(0,IF(ISNUMBER(OFFSET($A$1,ROW()-1,10)),OFFSET($A$1,ROW()-1,10),IF(ISNUMBER(OFFSET($A$1,ROW()-1,9)),OFFSET($A$1,ROW()-1,9),IF(ISNUMBER(OFFSET($A$1,ROW()-1,8)),OFFSET($A$1,ROW()-1,8),0)))))))</f>
        <v/>
      </c>
      <c r="AG20" s="62">
        <f>IF($V20&lt;&gt;"Sub","",N($X20)*IF(AND(ISNUMBER($G20),$G20&lt;=IF($S20=MesCiclo,InicioCiclo,$S20+MOD(2-WEEKDAY($S20),7))+27),1,MIN(1,MAX(0,IF(ISNUMBER(OFFSET($A$1,ROW()-1,11)),OFFSET($A$1,ROW()-1,11),IF(ISNUMBER(OFFSET($A$1,ROW()-1,10)),OFFSET($A$1,ROW()-1,10),IF(ISNUMBER(OFFSET($A$1,ROW()-1,9)),OFFSET($A$1,ROW()-1,9),IF(ISNUMBER(OFFSET($A$1,ROW()-1,8)),OFFSET($A$1,ROW()-1,8),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",IFERROR(MATCH("Riesgo Operacional|"&amp;MID($C20,12,500),rDname_ADM,0),0),"")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f>IF(N($AQ21)&gt;0,INDEX(rIni_ADM,$AQ21),"")</f>
        <v/>
      </c>
      <c r="F21" s="59">
        <f>IF(N($AQ21)&gt;0,INDEX(rLim_ADM,$AQ21),"")</f>
        <v/>
      </c>
      <c r="G21" s="59" t="n"/>
      <c r="H21" s="60" t="n"/>
      <c r="I21" s="60">
        <f>IF(N($W21)=0,"",IF(AND($S21=MesCiclo,1&gt;SemanaActual),"",MIN(1,SUMIFS(OFFSET($A$1,ROW(),29,1000-ROW(),1),OFFSET($A$1,ROW(),20,1000-ROW(),1),ROW(),OFFSET($A$1,ROW(),21,1000-ROW(),1),"Sub"))))</f>
        <v/>
      </c>
      <c r="J21" s="60">
        <f>IF(N($W21)=0,"",IF(AND($S21=MesCiclo,2&gt;SemanaActual),"",MIN(1,SUMIFS(OFFSET($A$1,ROW(),30,1000-ROW(),1),OFFSET($A$1,ROW(),20,1000-ROW(),1),ROW(),OFFSET($A$1,ROW(),21,1000-ROW(),1),"Sub"))))</f>
        <v/>
      </c>
      <c r="K21" s="60">
        <f>IF(N($W21)=0,"",IF(AND($S21=MesCiclo,3&gt;SemanaActual),"",MIN(1,SUMIFS(OFFSET($A$1,ROW(),31,1000-ROW(),1),OFFSET($A$1,ROW(),20,1000-ROW(),1),ROW(),OFFSET($A$1,ROW(),21,1000-ROW(),1),"Sub"))))</f>
        <v/>
      </c>
      <c r="L21" s="60">
        <f>IF(N($W21)=0,"",IF(AND($S21=MesCiclo,4&gt;SemanaActual),"",MIN(1,SUMIFS(OFFSET($A$1,ROW(),32,1000-ROW(),1),OFFSET($A$1,ROW(),20,1000-ROW(),1),ROW(),OFFSET($A$1,ROW(),21,1000-ROW(),1),"Sub"))))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IF($V21&lt;&gt;"Sub","",N($X21)*IF(AND(ISNUMBER($G21),$G21&lt;=IF($S21=MesCiclo,InicioCiclo,$S21+MOD(2-WEEKDAY($S21),7))+6),1,MIN(1,MAX(0,IF(ISNUMBER(OFFSET($A$1,ROW()-1,8)),OFFSET($A$1,ROW()-1,8),0)))))</f>
        <v/>
      </c>
      <c r="AE21" s="62">
        <f>IF($V21&lt;&gt;"Sub","",N($X21)*IF(AND(ISNUMBER($G21),$G21&lt;=IF($S21=MesCiclo,InicioCiclo,$S21+MOD(2-WEEKDAY($S21),7))+13),1,MIN(1,MAX(0,IF(ISNUMBER(OFFSET($A$1,ROW()-1,9)),OFFSET($A$1,ROW()-1,9),IF(ISNUMBER(OFFSET($A$1,ROW()-1,8)),OFFSET($A$1,ROW()-1,8),0))))))</f>
        <v/>
      </c>
      <c r="AF21" s="62">
        <f>IF($V21&lt;&gt;"Sub","",N($X21)*IF(AND(ISNUMBER($G21),$G21&lt;=IF($S21=MesCiclo,InicioCiclo,$S21+MOD(2-WEEKDAY($S21),7))+20),1,MIN(1,MAX(0,IF(ISNUMBER(OFFSET($A$1,ROW()-1,10)),OFFSET($A$1,ROW()-1,10),IF(ISNUMBER(OFFSET($A$1,ROW()-1,9)),OFFSET($A$1,ROW()-1,9),IF(ISNUMBER(OFFSET($A$1,ROW()-1,8)),OFFSET($A$1,ROW()-1,8),0)))))))</f>
        <v/>
      </c>
      <c r="AG21" s="62">
        <f>IF($V21&lt;&gt;"Sub","",N($X21)*IF(AND(ISNUMBER($G21),$G21&lt;=IF($S21=MesCiclo,InicioCiclo,$S21+MOD(2-WEEKDAY($S21),7))+27),1,MIN(1,MAX(0,IF(ISNUMBER(OFFSET($A$1,ROW()-1,11)),OFFSET($A$1,ROW()-1,11),IF(ISNUMBER(OFFSET($A$1,ROW()-1,10)),OFFSET($A$1,ROW()-1,10),IF(ISNUMBER(OFFSET($A$1,ROW()-1,9)),OFFSET($A$1,ROW()-1,9),IF(ISNUMBER(OFFSET($A$1,ROW()-1,8)),OFFSET($A$1,ROW()-1,8),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",IFERROR(MATCH("Riesgo Operacional|"&amp;MID($C21,12,500),rDname_ADM,0),0),"")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f>IF(N($AQ22)&gt;0,INDEX(rIni_ADM,$AQ22),"")</f>
        <v/>
      </c>
      <c r="F22" s="59">
        <f>IF(N($AQ22)&gt;0,INDEX(rLim_ADM,$AQ22),"")</f>
        <v/>
      </c>
      <c r="G22" s="59" t="n"/>
      <c r="H22" s="60" t="n"/>
      <c r="I22" s="60">
        <f>IF(N($W22)=0,"",IF(AND($S22=MesCiclo,1&gt;SemanaActual),"",MIN(1,SUMIFS(OFFSET($A$1,ROW(),29,1000-ROW(),1),OFFSET($A$1,ROW(),20,1000-ROW(),1),ROW(),OFFSET($A$1,ROW(),21,1000-ROW(),1),"Sub"))))</f>
        <v/>
      </c>
      <c r="J22" s="60">
        <f>IF(N($W22)=0,"",IF(AND($S22=MesCiclo,2&gt;SemanaActual),"",MIN(1,SUMIFS(OFFSET($A$1,ROW(),30,1000-ROW(),1),OFFSET($A$1,ROW(),20,1000-ROW(),1),ROW(),OFFSET($A$1,ROW(),21,1000-ROW(),1),"Sub"))))</f>
        <v/>
      </c>
      <c r="K22" s="60">
        <f>IF(N($W22)=0,"",IF(AND($S22=MesCiclo,3&gt;SemanaActual),"",MIN(1,SUMIFS(OFFSET($A$1,ROW(),31,1000-ROW(),1),OFFSET($A$1,ROW(),20,1000-ROW(),1),ROW(),OFFSET($A$1,ROW(),21,1000-ROW(),1),"Sub"))))</f>
        <v/>
      </c>
      <c r="L22" s="60">
        <f>IF(N($W22)=0,"",IF(AND($S22=MesCiclo,4&gt;SemanaActual),"",MIN(1,SUMIFS(OFFSET($A$1,ROW(),32,1000-ROW(),1),OFFSET($A$1,ROW(),20,1000-ROW(),1),ROW(),OFFSET($A$1,ROW(),21,1000-ROW(),1),"Sub"))))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IF($V22&lt;&gt;"Sub","",N($X22)*IF(AND(ISNUMBER($G22),$G22&lt;=IF($S22=MesCiclo,InicioCiclo,$S22+MOD(2-WEEKDAY($S22),7))+6),1,MIN(1,MAX(0,IF(ISNUMBER(OFFSET($A$1,ROW()-1,8)),OFFSET($A$1,ROW()-1,8),0)))))</f>
        <v/>
      </c>
      <c r="AE22" s="62">
        <f>IF($V22&lt;&gt;"Sub","",N($X22)*IF(AND(ISNUMBER($G22),$G22&lt;=IF($S22=MesCiclo,InicioCiclo,$S22+MOD(2-WEEKDAY($S22),7))+13),1,MIN(1,MAX(0,IF(ISNUMBER(OFFSET($A$1,ROW()-1,9)),OFFSET($A$1,ROW()-1,9),IF(ISNUMBER(OFFSET($A$1,ROW()-1,8)),OFFSET($A$1,ROW()-1,8),0))))))</f>
        <v/>
      </c>
      <c r="AF22" s="62">
        <f>IF($V22&lt;&gt;"Sub","",N($X22)*IF(AND(ISNUMBER($G22),$G22&lt;=IF($S22=MesCiclo,InicioCiclo,$S22+MOD(2-WEEKDAY($S22),7))+20),1,MIN(1,MAX(0,IF(ISNUMBER(OFFSET($A$1,ROW()-1,10)),OFFSET($A$1,ROW()-1,10),IF(ISNUMBER(OFFSET($A$1,ROW()-1,9)),OFFSET($A$1,ROW()-1,9),IF(ISNUMBER(OFFSET($A$1,ROW()-1,8)),OFFSET($A$1,ROW()-1,8),0)))))))</f>
        <v/>
      </c>
      <c r="AG22" s="62">
        <f>IF($V22&lt;&gt;"Sub","",N($X22)*IF(AND(ISNUMBER($G22),$G22&lt;=IF($S22=MesCiclo,InicioCiclo,$S22+MOD(2-WEEKDAY($S22),7))+27),1,MIN(1,MAX(0,IF(ISNUMBER(OFFSET($A$1,ROW()-1,11)),OFFSET($A$1,ROW()-1,11),IF(ISNUMBER(OFFSET($A$1,ROW()-1,10)),OFFSET($A$1,ROW()-1,10),IF(ISNUMBER(OFFSET($A$1,ROW()-1,9)),OFFSET($A$1,ROW()-1,9),IF(ISNUMBER(OFFSET($A$1,ROW()-1,8)),OFFSET($A$1,ROW()-1,8),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",IFERROR(MATCH("Riesgo Operacional|"&amp;MID($C22,12,500),rDname_ADM,0),0),"")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f>IF(N($AQ23)&gt;0,INDEX(rIni_ADM,$AQ23),"")</f>
        <v/>
      </c>
      <c r="F23" s="59">
        <f>IF(N($AQ23)&gt;0,INDEX(rLim_ADM,$AQ23),"")</f>
        <v/>
      </c>
      <c r="G23" s="59" t="n"/>
      <c r="H23" s="60" t="n"/>
      <c r="I23" s="60">
        <f>IF(N($W23)=0,"",IF(AND($S23=MesCiclo,1&gt;SemanaActual),"",MIN(1,SUMIFS(OFFSET($A$1,ROW(),29,1000-ROW(),1),OFFSET($A$1,ROW(),20,1000-ROW(),1),ROW(),OFFSET($A$1,ROW(),21,1000-ROW(),1),"Sub"))))</f>
        <v/>
      </c>
      <c r="J23" s="60">
        <f>IF(N($W23)=0,"",IF(AND($S23=MesCiclo,2&gt;SemanaActual),"",MIN(1,SUMIFS(OFFSET($A$1,ROW(),30,1000-ROW(),1),OFFSET($A$1,ROW(),20,1000-ROW(),1),ROW(),OFFSET($A$1,ROW(),21,1000-ROW(),1),"Sub"))))</f>
        <v/>
      </c>
      <c r="K23" s="60">
        <f>IF(N($W23)=0,"",IF(AND($S23=MesCiclo,3&gt;SemanaActual),"",MIN(1,SUMIFS(OFFSET($A$1,ROW(),31,1000-ROW(),1),OFFSET($A$1,ROW(),20,1000-ROW(),1),ROW(),OFFSET($A$1,ROW(),21,1000-ROW(),1),"Sub"))))</f>
        <v/>
      </c>
      <c r="L23" s="60">
        <f>IF(N($W23)=0,"",IF(AND($S23=MesCiclo,4&gt;SemanaActual),"",MIN(1,SUMIFS(OFFSET($A$1,ROW(),32,1000-ROW(),1),OFFSET($A$1,ROW(),20,1000-ROW(),1),ROW(),OFFSET($A$1,ROW(),21,1000-ROW(),1),"Sub"))))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IF($V23&lt;&gt;"Sub","",N($X23)*IF(AND(ISNUMBER($G23),$G23&lt;=IF($S23=MesCiclo,InicioCiclo,$S23+MOD(2-WEEKDAY($S23),7))+6),1,MIN(1,MAX(0,IF(ISNUMBER(OFFSET($A$1,ROW()-1,8)),OFFSET($A$1,ROW()-1,8),0)))))</f>
        <v/>
      </c>
      <c r="AE23" s="62">
        <f>IF($V23&lt;&gt;"Sub","",N($X23)*IF(AND(ISNUMBER($G23),$G23&lt;=IF($S23=MesCiclo,InicioCiclo,$S23+MOD(2-WEEKDAY($S23),7))+13),1,MIN(1,MAX(0,IF(ISNUMBER(OFFSET($A$1,ROW()-1,9)),OFFSET($A$1,ROW()-1,9),IF(ISNUMBER(OFFSET($A$1,ROW()-1,8)),OFFSET($A$1,ROW()-1,8),0))))))</f>
        <v/>
      </c>
      <c r="AF23" s="62">
        <f>IF($V23&lt;&gt;"Sub","",N($X23)*IF(AND(ISNUMBER($G23),$G23&lt;=IF($S23=MesCiclo,InicioCiclo,$S23+MOD(2-WEEKDAY($S23),7))+20),1,MIN(1,MAX(0,IF(ISNUMBER(OFFSET($A$1,ROW()-1,10)),OFFSET($A$1,ROW()-1,10),IF(ISNUMBER(OFFSET($A$1,ROW()-1,9)),OFFSET($A$1,ROW()-1,9),IF(ISNUMBER(OFFSET($A$1,ROW()-1,8)),OFFSET($A$1,ROW()-1,8),0)))))))</f>
        <v/>
      </c>
      <c r="AG23" s="62">
        <f>IF($V23&lt;&gt;"Sub","",N($X23)*IF(AND(ISNUMBER($G23),$G23&lt;=IF($S23=MesCiclo,InicioCiclo,$S23+MOD(2-WEEKDAY($S23),7))+27),1,MIN(1,MAX(0,IF(ISNUMBER(OFFSET($A$1,ROW()-1,11)),OFFSET($A$1,ROW()-1,11),IF(ISNUMBER(OFFSET($A$1,ROW()-1,10)),OFFSET($A$1,ROW()-1,10),IF(ISNUMBER(OFFSET($A$1,ROW()-1,9)),OFFSET($A$1,ROW()-1,9),IF(ISNUMBER(OFFSET($A$1,ROW()-1,8)),OFFSET($A$1,ROW()-1,8),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",IFERROR(MATCH("Riesgo Operacional|"&amp;MID($C23,12,500),rDname_ADM,0),0),"")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IF(N($W24)=0,"",IF(AND($S24=MesCiclo,1&gt;SemanaActual),"",MIN(1,SUMIFS(OFFSET($A$1,ROW(),29,1000-ROW(),1),OFFSET($A$1,ROW(),20,1000-ROW(),1),ROW(),OFFSET($A$1,ROW(),21,1000-ROW(),1),"Sub"))))</f>
        <v/>
      </c>
      <c r="J24" s="60">
        <f>IF(N($W24)=0,"",IF(AND($S24=MesCiclo,2&gt;SemanaActual),"",MIN(1,SUMIFS(OFFSET($A$1,ROW(),30,1000-ROW(),1),OFFSET($A$1,ROW(),20,1000-ROW(),1),ROW(),OFFSET($A$1,ROW(),21,1000-ROW(),1),"Sub"))))</f>
        <v/>
      </c>
      <c r="K24" s="60">
        <f>IF(N($W24)=0,"",IF(AND($S24=MesCiclo,3&gt;SemanaActual),"",MIN(1,SUMIFS(OFFSET($A$1,ROW(),31,1000-ROW(),1),OFFSET($A$1,ROW(),20,1000-ROW(),1),ROW(),OFFSET($A$1,ROW(),21,1000-ROW(),1),"Sub"))))</f>
        <v/>
      </c>
      <c r="L24" s="60">
        <f>IF(N($W24)=0,"",IF(AND($S24=MesCiclo,4&gt;SemanaActual),"",MIN(1,SUMIFS(OFFSET($A$1,ROW(),32,1000-ROW(),1),OFFSET($A$1,ROW(),20,1000-ROW(),1),ROW(),OFFSET($A$1,ROW(),21,1000-ROW(),1),"Sub"))))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IF($V24&lt;&gt;"Sub","",N($X24)*IF(AND(ISNUMBER($G24),$G24&lt;=IF($S24=MesCiclo,InicioCiclo,$S24+MOD(2-WEEKDAY($S24),7))+6),1,MIN(1,MAX(0,IF(ISNUMBER(OFFSET($A$1,ROW()-1,8)),OFFSET($A$1,ROW()-1,8),0)))))</f>
        <v/>
      </c>
      <c r="AE24" s="62">
        <f>IF($V24&lt;&gt;"Sub","",N($X24)*IF(AND(ISNUMBER($G24),$G24&lt;=IF($S24=MesCiclo,InicioCiclo,$S24+MOD(2-WEEKDAY($S24),7))+13),1,MIN(1,MAX(0,IF(ISNUMBER(OFFSET($A$1,ROW()-1,9)),OFFSET($A$1,ROW()-1,9),IF(ISNUMBER(OFFSET($A$1,ROW()-1,8)),OFFSET($A$1,ROW()-1,8),0))))))</f>
        <v/>
      </c>
      <c r="AF24" s="62">
        <f>IF($V24&lt;&gt;"Sub","",N($X24)*IF(AND(ISNUMBER($G24),$G24&lt;=IF($S24=MesCiclo,InicioCiclo,$S24+MOD(2-WEEKDAY($S24),7))+20),1,MIN(1,MAX(0,IF(ISNUMBER(OFFSET($A$1,ROW()-1,10)),OFFSET($A$1,ROW()-1,10),IF(ISNUMBER(OFFSET($A$1,ROW()-1,9)),OFFSET($A$1,ROW()-1,9),IF(ISNUMBER(OFFSET($A$1,ROW()-1,8)),OFFSET($A$1,ROW()-1,8),0)))))))</f>
        <v/>
      </c>
      <c r="AG24" s="62">
        <f>IF($V24&lt;&gt;"Sub","",N($X24)*IF(AND(ISNUMBER($G24),$G24&lt;=IF($S24=MesCiclo,InicioCiclo,$S24+MOD(2-WEEKDAY($S24),7))+27),1,MIN(1,MAX(0,IF(ISNUMBER(OFFSET($A$1,ROW()-1,11)),OFFSET($A$1,ROW()-1,11),IF(ISNUMBER(OFFSET($A$1,ROW()-1,10)),OFFSET($A$1,ROW()-1,10),IF(ISNUMBER(OFFSET($A$1,ROW()-1,9)),OFFSET($A$1,ROW()-1,9),IF(ISNUMBER(OFFSET($A$1,ROW()-1,8)),OFFSET($A$1,ROW()-1,8),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",IFERROR(MATCH("Riesgo Operacional|"&amp;MID($C24,12,500),rDname_ADM,0),0),"")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IF(N($W25)=0,"",IF(AND($S25=MesCiclo,1&gt;SemanaActual),"",MIN(1,SUMIFS(OFFSET($A$1,ROW(),29,1000-ROW(),1),OFFSET($A$1,ROW(),20,1000-ROW(),1),ROW(),OFFSET($A$1,ROW(),21,1000-ROW(),1),"Sub"))))</f>
        <v/>
      </c>
      <c r="J25" s="60">
        <f>IF(N($W25)=0,"",IF(AND($S25=MesCiclo,2&gt;SemanaActual),"",MIN(1,SUMIFS(OFFSET($A$1,ROW(),30,1000-ROW(),1),OFFSET($A$1,ROW(),20,1000-ROW(),1),ROW(),OFFSET($A$1,ROW(),21,1000-ROW(),1),"Sub"))))</f>
        <v/>
      </c>
      <c r="K25" s="60">
        <f>IF(N($W25)=0,"",IF(AND($S25=MesCiclo,3&gt;SemanaActual),"",MIN(1,SUMIFS(OFFSET($A$1,ROW(),31,1000-ROW(),1),OFFSET($A$1,ROW(),20,1000-ROW(),1),ROW(),OFFSET($A$1,ROW(),21,1000-ROW(),1),"Sub"))))</f>
        <v/>
      </c>
      <c r="L25" s="60">
        <f>IF(N($W25)=0,"",IF(AND($S25=MesCiclo,4&gt;SemanaActual),"",MIN(1,SUMIFS(OFFSET($A$1,ROW(),32,1000-ROW(),1),OFFSET($A$1,ROW(),20,1000-ROW(),1),ROW(),OFFSET($A$1,ROW(),21,1000-ROW(),1),"Sub"))))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IF($V25&lt;&gt;"Sub","",N($X25)*IF(AND(ISNUMBER($G25),$G25&lt;=IF($S25=MesCiclo,InicioCiclo,$S25+MOD(2-WEEKDAY($S25),7))+6),1,MIN(1,MAX(0,IF(ISNUMBER(OFFSET($A$1,ROW()-1,8)),OFFSET($A$1,ROW()-1,8),0)))))</f>
        <v/>
      </c>
      <c r="AE25" s="62">
        <f>IF($V25&lt;&gt;"Sub","",N($X25)*IF(AND(ISNUMBER($G25),$G25&lt;=IF($S25=MesCiclo,InicioCiclo,$S25+MOD(2-WEEKDAY($S25),7))+13),1,MIN(1,MAX(0,IF(ISNUMBER(OFFSET($A$1,ROW()-1,9)),OFFSET($A$1,ROW()-1,9),IF(ISNUMBER(OFFSET($A$1,ROW()-1,8)),OFFSET($A$1,ROW()-1,8),0))))))</f>
        <v/>
      </c>
      <c r="AF25" s="62">
        <f>IF($V25&lt;&gt;"Sub","",N($X25)*IF(AND(ISNUMBER($G25),$G25&lt;=IF($S25=MesCiclo,InicioCiclo,$S25+MOD(2-WEEKDAY($S25),7))+20),1,MIN(1,MAX(0,IF(ISNUMBER(OFFSET($A$1,ROW()-1,10)),OFFSET($A$1,ROW()-1,10),IF(ISNUMBER(OFFSET($A$1,ROW()-1,9)),OFFSET($A$1,ROW()-1,9),IF(ISNUMBER(OFFSET($A$1,ROW()-1,8)),OFFSET($A$1,ROW()-1,8),0)))))))</f>
        <v/>
      </c>
      <c r="AG25" s="62">
        <f>IF($V25&lt;&gt;"Sub","",N($X25)*IF(AND(ISNUMBER($G25),$G25&lt;=IF($S25=MesCiclo,InicioCiclo,$S25+MOD(2-WEEKDAY($S25),7))+27),1,MIN(1,MAX(0,IF(ISNUMBER(OFFSET($A$1,ROW()-1,11)),OFFSET($A$1,ROW()-1,11),IF(ISNUMBER(OFFSET($A$1,ROW()-1,10)),OFFSET($A$1,ROW()-1,10),IF(ISNUMBER(OFFSET($A$1,ROW()-1,9)),OFFSET($A$1,ROW()-1,9),IF(ISNUMBER(OFFSET($A$1,ROW()-1,8)),OFFSET($A$1,ROW()-1,8),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",IFERROR(MATCH("Riesgo Operacional|"&amp;MID($C25,12,500),rDname_ADM,0),0),"")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IF(N($W26)=0,"",IF(AND($S26=MesCiclo,1&gt;SemanaActual),"",MIN(1,SUMIFS(OFFSET($A$1,ROW(),29,1000-ROW(),1),OFFSET($A$1,ROW(),20,1000-ROW(),1),ROW(),OFFSET($A$1,ROW(),21,1000-ROW(),1),"Sub"))))</f>
        <v/>
      </c>
      <c r="J26" s="60">
        <f>IF(N($W26)=0,"",IF(AND($S26=MesCiclo,2&gt;SemanaActual),"",MIN(1,SUMIFS(OFFSET($A$1,ROW(),30,1000-ROW(),1),OFFSET($A$1,ROW(),20,1000-ROW(),1),ROW(),OFFSET($A$1,ROW(),21,1000-ROW(),1),"Sub"))))</f>
        <v/>
      </c>
      <c r="K26" s="60">
        <f>IF(N($W26)=0,"",IF(AND($S26=MesCiclo,3&gt;SemanaActual),"",MIN(1,SUMIFS(OFFSET($A$1,ROW(),31,1000-ROW(),1),OFFSET($A$1,ROW(),20,1000-ROW(),1),ROW(),OFFSET($A$1,ROW(),21,1000-ROW(),1),"Sub"))))</f>
        <v/>
      </c>
      <c r="L26" s="60">
        <f>IF(N($W26)=0,"",IF(AND($S26=MesCiclo,4&gt;SemanaActual),"",MIN(1,SUMIFS(OFFSET($A$1,ROW(),32,1000-ROW(),1),OFFSET($A$1,ROW(),20,1000-ROW(),1),ROW(),OFFSET($A$1,ROW(),21,1000-ROW(),1),"Sub"))))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IF($V26&lt;&gt;"Sub","",N($X26)*IF(AND(ISNUMBER($G26),$G26&lt;=IF($S26=MesCiclo,InicioCiclo,$S26+MOD(2-WEEKDAY($S26),7))+6),1,MIN(1,MAX(0,IF(ISNUMBER(OFFSET($A$1,ROW()-1,8)),OFFSET($A$1,ROW()-1,8),0)))))</f>
        <v/>
      </c>
      <c r="AE26" s="62">
        <f>IF($V26&lt;&gt;"Sub","",N($X26)*IF(AND(ISNUMBER($G26),$G26&lt;=IF($S26=MesCiclo,InicioCiclo,$S26+MOD(2-WEEKDAY($S26),7))+13),1,MIN(1,MAX(0,IF(ISNUMBER(OFFSET($A$1,ROW()-1,9)),OFFSET($A$1,ROW()-1,9),IF(ISNUMBER(OFFSET($A$1,ROW()-1,8)),OFFSET($A$1,ROW()-1,8),0))))))</f>
        <v/>
      </c>
      <c r="AF26" s="62">
        <f>IF($V26&lt;&gt;"Sub","",N($X26)*IF(AND(ISNUMBER($G26),$G26&lt;=IF($S26=MesCiclo,InicioCiclo,$S26+MOD(2-WEEKDAY($S26),7))+20),1,MIN(1,MAX(0,IF(ISNUMBER(OFFSET($A$1,ROW()-1,10)),OFFSET($A$1,ROW()-1,10),IF(ISNUMBER(OFFSET($A$1,ROW()-1,9)),OFFSET($A$1,ROW()-1,9),IF(ISNUMBER(OFFSET($A$1,ROW()-1,8)),OFFSET($A$1,ROW()-1,8),0)))))))</f>
        <v/>
      </c>
      <c r="AG26" s="62">
        <f>IF($V26&lt;&gt;"Sub","",N($X26)*IF(AND(ISNUMBER($G26),$G26&lt;=IF($S26=MesCiclo,InicioCiclo,$S26+MOD(2-WEEKDAY($S26),7))+27),1,MIN(1,MAX(0,IF(ISNUMBER(OFFSET($A$1,ROW()-1,11)),OFFSET($A$1,ROW()-1,11),IF(ISNUMBER(OFFSET($A$1,ROW()-1,10)),OFFSET($A$1,ROW()-1,10),IF(ISNUMBER(OFFSET($A$1,ROW()-1,9)),OFFSET($A$1,ROW()-1,9),IF(ISNUMBER(OFFSET($A$1,ROW()-1,8)),OFFSET($A$1,ROW()-1,8),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",IFERROR(MATCH("Riesgo Operacional|"&amp;MID($C26,12,500),rDname_ADM,0),0),"")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IF(N($W27)=0,"",IF(AND($S27=MesCiclo,1&gt;SemanaActual),"",MIN(1,SUMIFS(OFFSET($A$1,ROW(),29,1000-ROW(),1),OFFSET($A$1,ROW(),20,1000-ROW(),1),ROW(),OFFSET($A$1,ROW(),21,1000-ROW(),1),"Sub"))))</f>
        <v/>
      </c>
      <c r="J27" s="60">
        <f>IF(N($W27)=0,"",IF(AND($S27=MesCiclo,2&gt;SemanaActual),"",MIN(1,SUMIFS(OFFSET($A$1,ROW(),30,1000-ROW(),1),OFFSET($A$1,ROW(),20,1000-ROW(),1),ROW(),OFFSET($A$1,ROW(),21,1000-ROW(),1),"Sub"))))</f>
        <v/>
      </c>
      <c r="K27" s="60">
        <f>IF(N($W27)=0,"",IF(AND($S27=MesCiclo,3&gt;SemanaActual),"",MIN(1,SUMIFS(OFFSET($A$1,ROW(),31,1000-ROW(),1),OFFSET($A$1,ROW(),20,1000-ROW(),1),ROW(),OFFSET($A$1,ROW(),21,1000-ROW(),1),"Sub"))))</f>
        <v/>
      </c>
      <c r="L27" s="60">
        <f>IF(N($W27)=0,"",IF(AND($S27=MesCiclo,4&gt;SemanaActual),"",MIN(1,SUMIFS(OFFSET($A$1,ROW(),32,1000-ROW(),1),OFFSET($A$1,ROW(),20,1000-ROW(),1),ROW(),OFFSET($A$1,ROW(),21,1000-ROW(),1),"Sub"))))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IF($V27&lt;&gt;"Sub","",N($X27)*IF(AND(ISNUMBER($G27),$G27&lt;=IF($S27=MesCiclo,InicioCiclo,$S27+MOD(2-WEEKDAY($S27),7))+6),1,MIN(1,MAX(0,IF(ISNUMBER(OFFSET($A$1,ROW()-1,8)),OFFSET($A$1,ROW()-1,8),0)))))</f>
        <v/>
      </c>
      <c r="AE27" s="62">
        <f>IF($V27&lt;&gt;"Sub","",N($X27)*IF(AND(ISNUMBER($G27),$G27&lt;=IF($S27=MesCiclo,InicioCiclo,$S27+MOD(2-WEEKDAY($S27),7))+13),1,MIN(1,MAX(0,IF(ISNUMBER(OFFSET($A$1,ROW()-1,9)),OFFSET($A$1,ROW()-1,9),IF(ISNUMBER(OFFSET($A$1,ROW()-1,8)),OFFSET($A$1,ROW()-1,8),0))))))</f>
        <v/>
      </c>
      <c r="AF27" s="62">
        <f>IF($V27&lt;&gt;"Sub","",N($X27)*IF(AND(ISNUMBER($G27),$G27&lt;=IF($S27=MesCiclo,InicioCiclo,$S27+MOD(2-WEEKDAY($S27),7))+20),1,MIN(1,MAX(0,IF(ISNUMBER(OFFSET($A$1,ROW()-1,10)),OFFSET($A$1,ROW()-1,10),IF(ISNUMBER(OFFSET($A$1,ROW()-1,9)),OFFSET($A$1,ROW()-1,9),IF(ISNUMBER(OFFSET($A$1,ROW()-1,8)),OFFSET($A$1,ROW()-1,8),0)))))))</f>
        <v/>
      </c>
      <c r="AG27" s="62">
        <f>IF($V27&lt;&gt;"Sub","",N($X27)*IF(AND(ISNUMBER($G27),$G27&lt;=IF($S27=MesCiclo,InicioCiclo,$S27+MOD(2-WEEKDAY($S27),7))+27),1,MIN(1,MAX(0,IF(ISNUMBER(OFFSET($A$1,ROW()-1,11)),OFFSET($A$1,ROW()-1,11),IF(ISNUMBER(OFFSET($A$1,ROW()-1,10)),OFFSET($A$1,ROW()-1,10),IF(ISNUMBER(OFFSET($A$1,ROW()-1,9)),OFFSET($A$1,ROW()-1,9),IF(ISNUMBER(OFFSET($A$1,ROW()-1,8)),OFFSET($A$1,ROW()-1,8),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",IFERROR(MATCH("Riesgo Operacional|"&amp;MID($C27,12,500),rDname_ADM,0),0),"")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IF(N($W28)=0,"",IF(AND($S28=MesCiclo,1&gt;SemanaActual),"",MIN(1,SUMIFS(OFFSET($A$1,ROW(),29,1000-ROW(),1),OFFSET($A$1,ROW(),20,1000-ROW(),1),ROW(),OFFSET($A$1,ROW(),21,1000-ROW(),1),"Sub"))))</f>
        <v/>
      </c>
      <c r="J28" s="60">
        <f>IF(N($W28)=0,"",IF(AND($S28=MesCiclo,2&gt;SemanaActual),"",MIN(1,SUMIFS(OFFSET($A$1,ROW(),30,1000-ROW(),1),OFFSET($A$1,ROW(),20,1000-ROW(),1),ROW(),OFFSET($A$1,ROW(),21,1000-ROW(),1),"Sub"))))</f>
        <v/>
      </c>
      <c r="K28" s="60">
        <f>IF(N($W28)=0,"",IF(AND($S28=MesCiclo,3&gt;SemanaActual),"",MIN(1,SUMIFS(OFFSET($A$1,ROW(),31,1000-ROW(),1),OFFSET($A$1,ROW(),20,1000-ROW(),1),ROW(),OFFSET($A$1,ROW(),21,1000-ROW(),1),"Sub"))))</f>
        <v/>
      </c>
      <c r="L28" s="60">
        <f>IF(N($W28)=0,"",IF(AND($S28=MesCiclo,4&gt;SemanaActual),"",MIN(1,SUMIFS(OFFSET($A$1,ROW(),32,1000-ROW(),1),OFFSET($A$1,ROW(),20,1000-ROW(),1),ROW(),OFFSET($A$1,ROW(),21,1000-ROW(),1),"Sub"))))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IF($V28&lt;&gt;"Sub","",N($X28)*IF(AND(ISNUMBER($G28),$G28&lt;=IF($S28=MesCiclo,InicioCiclo,$S28+MOD(2-WEEKDAY($S28),7))+6),1,MIN(1,MAX(0,IF(ISNUMBER(OFFSET($A$1,ROW()-1,8)),OFFSET($A$1,ROW()-1,8),0)))))</f>
        <v/>
      </c>
      <c r="AE28" s="62">
        <f>IF($V28&lt;&gt;"Sub","",N($X28)*IF(AND(ISNUMBER($G28),$G28&lt;=IF($S28=MesCiclo,InicioCiclo,$S28+MOD(2-WEEKDAY($S28),7))+13),1,MIN(1,MAX(0,IF(ISNUMBER(OFFSET($A$1,ROW()-1,9)),OFFSET($A$1,ROW()-1,9),IF(ISNUMBER(OFFSET($A$1,ROW()-1,8)),OFFSET($A$1,ROW()-1,8),0))))))</f>
        <v/>
      </c>
      <c r="AF28" s="62">
        <f>IF($V28&lt;&gt;"Sub","",N($X28)*IF(AND(ISNUMBER($G28),$G28&lt;=IF($S28=MesCiclo,InicioCiclo,$S28+MOD(2-WEEKDAY($S28),7))+20),1,MIN(1,MAX(0,IF(ISNUMBER(OFFSET($A$1,ROW()-1,10)),OFFSET($A$1,ROW()-1,10),IF(ISNUMBER(OFFSET($A$1,ROW()-1,9)),OFFSET($A$1,ROW()-1,9),IF(ISNUMBER(OFFSET($A$1,ROW()-1,8)),OFFSET($A$1,ROW()-1,8),0)))))))</f>
        <v/>
      </c>
      <c r="AG28" s="62">
        <f>IF($V28&lt;&gt;"Sub","",N($X28)*IF(AND(ISNUMBER($G28),$G28&lt;=IF($S28=MesCiclo,InicioCiclo,$S28+MOD(2-WEEKDAY($S28),7))+27),1,MIN(1,MAX(0,IF(ISNUMBER(OFFSET($A$1,ROW()-1,11)),OFFSET($A$1,ROW()-1,11),IF(ISNUMBER(OFFSET($A$1,ROW()-1,10)),OFFSET($A$1,ROW()-1,10),IF(ISNUMBER(OFFSET($A$1,ROW()-1,9)),OFFSET($A$1,ROW()-1,9),IF(ISNUMBER(OFFSET($A$1,ROW()-1,8)),OFFSET($A$1,ROW()-1,8),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",IFERROR(MATCH("Riesgo Operacional|"&amp;MID($C28,12,500),rDname_ADM,0),0),"")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IF(N($W29)=0,"",IF(AND($S29=MesCiclo,1&gt;SemanaActual),"",MIN(1,SUMIFS(OFFSET($A$1,ROW(),29,1000-ROW(),1),OFFSET($A$1,ROW(),20,1000-ROW(),1),ROW(),OFFSET($A$1,ROW(),21,1000-ROW(),1),"Sub"))))</f>
        <v/>
      </c>
      <c r="J29" s="60">
        <f>IF(N($W29)=0,"",IF(AND($S29=MesCiclo,2&gt;SemanaActual),"",MIN(1,SUMIFS(OFFSET($A$1,ROW(),30,1000-ROW(),1),OFFSET($A$1,ROW(),20,1000-ROW(),1),ROW(),OFFSET($A$1,ROW(),21,1000-ROW(),1),"Sub"))))</f>
        <v/>
      </c>
      <c r="K29" s="60">
        <f>IF(N($W29)=0,"",IF(AND($S29=MesCiclo,3&gt;SemanaActual),"",MIN(1,SUMIFS(OFFSET($A$1,ROW(),31,1000-ROW(),1),OFFSET($A$1,ROW(),20,1000-ROW(),1),ROW(),OFFSET($A$1,ROW(),21,1000-ROW(),1),"Sub"))))</f>
        <v/>
      </c>
      <c r="L29" s="60">
        <f>IF(N($W29)=0,"",IF(AND($S29=MesCiclo,4&gt;SemanaActual),"",MIN(1,SUMIFS(OFFSET($A$1,ROW(),32,1000-ROW(),1),OFFSET($A$1,ROW(),20,1000-ROW(),1),ROW(),OFFSET($A$1,ROW(),21,1000-ROW(),1),"Sub"))))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IF($V29&lt;&gt;"Sub","",N($X29)*IF(AND(ISNUMBER($G29),$G29&lt;=IF($S29=MesCiclo,InicioCiclo,$S29+MOD(2-WEEKDAY($S29),7))+6),1,MIN(1,MAX(0,IF(ISNUMBER(OFFSET($A$1,ROW()-1,8)),OFFSET($A$1,ROW()-1,8),0)))))</f>
        <v/>
      </c>
      <c r="AE29" s="62">
        <f>IF($V29&lt;&gt;"Sub","",N($X29)*IF(AND(ISNUMBER($G29),$G29&lt;=IF($S29=MesCiclo,InicioCiclo,$S29+MOD(2-WEEKDAY($S29),7))+13),1,MIN(1,MAX(0,IF(ISNUMBER(OFFSET($A$1,ROW()-1,9)),OFFSET($A$1,ROW()-1,9),IF(ISNUMBER(OFFSET($A$1,ROW()-1,8)),OFFSET($A$1,ROW()-1,8),0))))))</f>
        <v/>
      </c>
      <c r="AF29" s="62">
        <f>IF($V29&lt;&gt;"Sub","",N($X29)*IF(AND(ISNUMBER($G29),$G29&lt;=IF($S29=MesCiclo,InicioCiclo,$S29+MOD(2-WEEKDAY($S29),7))+20),1,MIN(1,MAX(0,IF(ISNUMBER(OFFSET($A$1,ROW()-1,10)),OFFSET($A$1,ROW()-1,10),IF(ISNUMBER(OFFSET($A$1,ROW()-1,9)),OFFSET($A$1,ROW()-1,9),IF(ISNUMBER(OFFSET($A$1,ROW()-1,8)),OFFSET($A$1,ROW()-1,8),0)))))))</f>
        <v/>
      </c>
      <c r="AG29" s="62">
        <f>IF($V29&lt;&gt;"Sub","",N($X29)*IF(AND(ISNUMBER($G29),$G29&lt;=IF($S29=MesCiclo,InicioCiclo,$S29+MOD(2-WEEKDAY($S29),7))+27),1,MIN(1,MAX(0,IF(ISNUMBER(OFFSET($A$1,ROW()-1,11)),OFFSET($A$1,ROW()-1,11),IF(ISNUMBER(OFFSET($A$1,ROW()-1,10)),OFFSET($A$1,ROW()-1,10),IF(ISNUMBER(OFFSET($A$1,ROW()-1,9)),OFFSET($A$1,ROW()-1,9),IF(ISNUMBER(OFFSET($A$1,ROW()-1,8)),OFFSET($A$1,ROW()-1,8),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",IFERROR(MATCH("Riesgo Operacional|"&amp;MID($C29,12,500),rDname_ADM,0),0),"")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IF(N($W30)=0,"",IF(AND($S30=MesCiclo,1&gt;SemanaActual),"",MIN(1,SUMIFS(OFFSET($A$1,ROW(),29,1000-ROW(),1),OFFSET($A$1,ROW(),20,1000-ROW(),1),ROW(),OFFSET($A$1,ROW(),21,1000-ROW(),1),"Sub"))))</f>
        <v/>
      </c>
      <c r="J30" s="60">
        <f>IF(N($W30)=0,"",IF(AND($S30=MesCiclo,2&gt;SemanaActual),"",MIN(1,SUMIFS(OFFSET($A$1,ROW(),30,1000-ROW(),1),OFFSET($A$1,ROW(),20,1000-ROW(),1),ROW(),OFFSET($A$1,ROW(),21,1000-ROW(),1),"Sub"))))</f>
        <v/>
      </c>
      <c r="K30" s="60">
        <f>IF(N($W30)=0,"",IF(AND($S30=MesCiclo,3&gt;SemanaActual),"",MIN(1,SUMIFS(OFFSET($A$1,ROW(),31,1000-ROW(),1),OFFSET($A$1,ROW(),20,1000-ROW(),1),ROW(),OFFSET($A$1,ROW(),21,1000-ROW(),1),"Sub"))))</f>
        <v/>
      </c>
      <c r="L30" s="60">
        <f>IF(N($W30)=0,"",IF(AND($S30=MesCiclo,4&gt;SemanaActual),"",MIN(1,SUMIFS(OFFSET($A$1,ROW(),32,1000-ROW(),1),OFFSET($A$1,ROW(),20,1000-ROW(),1),ROW(),OFFSET($A$1,ROW(),21,1000-ROW(),1),"Sub"))))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IF($V30&lt;&gt;"Sub","",N($X30)*IF(AND(ISNUMBER($G30),$G30&lt;=IF($S30=MesCiclo,InicioCiclo,$S30+MOD(2-WEEKDAY($S30),7))+6),1,MIN(1,MAX(0,IF(ISNUMBER(OFFSET($A$1,ROW()-1,8)),OFFSET($A$1,ROW()-1,8),0)))))</f>
        <v/>
      </c>
      <c r="AE30" s="62">
        <f>IF($V30&lt;&gt;"Sub","",N($X30)*IF(AND(ISNUMBER($G30),$G30&lt;=IF($S30=MesCiclo,InicioCiclo,$S30+MOD(2-WEEKDAY($S30),7))+13),1,MIN(1,MAX(0,IF(ISNUMBER(OFFSET($A$1,ROW()-1,9)),OFFSET($A$1,ROW()-1,9),IF(ISNUMBER(OFFSET($A$1,ROW()-1,8)),OFFSET($A$1,ROW()-1,8),0))))))</f>
        <v/>
      </c>
      <c r="AF30" s="62">
        <f>IF($V30&lt;&gt;"Sub","",N($X30)*IF(AND(ISNUMBER($G30),$G30&lt;=IF($S30=MesCiclo,InicioCiclo,$S30+MOD(2-WEEKDAY($S30),7))+20),1,MIN(1,MAX(0,IF(ISNUMBER(OFFSET($A$1,ROW()-1,10)),OFFSET($A$1,ROW()-1,10),IF(ISNUMBER(OFFSET($A$1,ROW()-1,9)),OFFSET($A$1,ROW()-1,9),IF(ISNUMBER(OFFSET($A$1,ROW()-1,8)),OFFSET($A$1,ROW()-1,8),0)))))))</f>
        <v/>
      </c>
      <c r="AG30" s="62">
        <f>IF($V30&lt;&gt;"Sub","",N($X30)*IF(AND(ISNUMBER($G30),$G30&lt;=IF($S30=MesCiclo,InicioCiclo,$S30+MOD(2-WEEKDAY($S30),7))+27),1,MIN(1,MAX(0,IF(ISNUMBER(OFFSET($A$1,ROW()-1,11)),OFFSET($A$1,ROW()-1,11),IF(ISNUMBER(OFFSET($A$1,ROW()-1,10)),OFFSET($A$1,ROW()-1,10),IF(ISNUMBER(OFFSET($A$1,ROW()-1,9)),OFFSET($A$1,ROW()-1,9),IF(ISNUMBER(OFFSET($A$1,ROW()-1,8)),OFFSET($A$1,ROW()-1,8),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",IFERROR(MATCH("Riesgo Operacional|"&amp;MID($C30,12,500),rDname_ADM,0),0),"")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IF(N($W31)=0,"",IF(AND($S31=MesCiclo,1&gt;SemanaActual),"",MIN(1,SUMIFS(OFFSET($A$1,ROW(),29,1000-ROW(),1),OFFSET($A$1,ROW(),20,1000-ROW(),1),ROW(),OFFSET($A$1,ROW(),21,1000-ROW(),1),"Sub"))))</f>
        <v/>
      </c>
      <c r="J31" s="60">
        <f>IF(N($W31)=0,"",IF(AND($S31=MesCiclo,2&gt;SemanaActual),"",MIN(1,SUMIFS(OFFSET($A$1,ROW(),30,1000-ROW(),1),OFFSET($A$1,ROW(),20,1000-ROW(),1),ROW(),OFFSET($A$1,ROW(),21,1000-ROW(),1),"Sub"))))</f>
        <v/>
      </c>
      <c r="K31" s="60">
        <f>IF(N($W31)=0,"",IF(AND($S31=MesCiclo,3&gt;SemanaActual),"",MIN(1,SUMIFS(OFFSET($A$1,ROW(),31,1000-ROW(),1),OFFSET($A$1,ROW(),20,1000-ROW(),1),ROW(),OFFSET($A$1,ROW(),21,1000-ROW(),1),"Sub"))))</f>
        <v/>
      </c>
      <c r="L31" s="60">
        <f>IF(N($W31)=0,"",IF(AND($S31=MesCiclo,4&gt;SemanaActual),"",MIN(1,SUMIFS(OFFSET($A$1,ROW(),32,1000-ROW(),1),OFFSET($A$1,ROW(),20,1000-ROW(),1),ROW(),OFFSET($A$1,ROW(),21,1000-ROW(),1),"Sub"))))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IF($V31&lt;&gt;"Sub","",N($X31)*IF(AND(ISNUMBER($G31),$G31&lt;=IF($S31=MesCiclo,InicioCiclo,$S31+MOD(2-WEEKDAY($S31),7))+6),1,MIN(1,MAX(0,IF(ISNUMBER(OFFSET($A$1,ROW()-1,8)),OFFSET($A$1,ROW()-1,8),0)))))</f>
        <v/>
      </c>
      <c r="AE31" s="62">
        <f>IF($V31&lt;&gt;"Sub","",N($X31)*IF(AND(ISNUMBER($G31),$G31&lt;=IF($S31=MesCiclo,InicioCiclo,$S31+MOD(2-WEEKDAY($S31),7))+13),1,MIN(1,MAX(0,IF(ISNUMBER(OFFSET($A$1,ROW()-1,9)),OFFSET($A$1,ROW()-1,9),IF(ISNUMBER(OFFSET($A$1,ROW()-1,8)),OFFSET($A$1,ROW()-1,8),0))))))</f>
        <v/>
      </c>
      <c r="AF31" s="62">
        <f>IF($V31&lt;&gt;"Sub","",N($X31)*IF(AND(ISNUMBER($G31),$G31&lt;=IF($S31=MesCiclo,InicioCiclo,$S31+MOD(2-WEEKDAY($S31),7))+20),1,MIN(1,MAX(0,IF(ISNUMBER(OFFSET($A$1,ROW()-1,10)),OFFSET($A$1,ROW()-1,10),IF(ISNUMBER(OFFSET($A$1,ROW()-1,9)),OFFSET($A$1,ROW()-1,9),IF(ISNUMBER(OFFSET($A$1,ROW()-1,8)),OFFSET($A$1,ROW()-1,8),0)))))))</f>
        <v/>
      </c>
      <c r="AG31" s="62">
        <f>IF($V31&lt;&gt;"Sub","",N($X31)*IF(AND(ISNUMBER($G31),$G31&lt;=IF($S31=MesCiclo,InicioCiclo,$S31+MOD(2-WEEKDAY($S31),7))+27),1,MIN(1,MAX(0,IF(ISNUMBER(OFFSET($A$1,ROW()-1,11)),OFFSET($A$1,ROW()-1,11),IF(ISNUMBER(OFFSET($A$1,ROW()-1,10)),OFFSET($A$1,ROW()-1,10),IF(ISNUMBER(OFFSET($A$1,ROW()-1,9)),OFFSET($A$1,ROW()-1,9),IF(ISNUMBER(OFFSET($A$1,ROW()-1,8)),OFFSET($A$1,ROW()-1,8),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",IFERROR(MATCH("Riesgo Operacional|"&amp;MID($C31,12,500),rDname_ADM,0),0),"")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IF(N($W32)=0,"",IF(AND($S32=MesCiclo,1&gt;SemanaActual),"",MIN(1,SUMIFS(OFFSET($A$1,ROW(),29,1000-ROW(),1),OFFSET($A$1,ROW(),20,1000-ROW(),1),ROW(),OFFSET($A$1,ROW(),21,1000-ROW(),1),"Sub"))))</f>
        <v/>
      </c>
      <c r="J32" s="60">
        <f>IF(N($W32)=0,"",IF(AND($S32=MesCiclo,2&gt;SemanaActual),"",MIN(1,SUMIFS(OFFSET($A$1,ROW(),30,1000-ROW(),1),OFFSET($A$1,ROW(),20,1000-ROW(),1),ROW(),OFFSET($A$1,ROW(),21,1000-ROW(),1),"Sub"))))</f>
        <v/>
      </c>
      <c r="K32" s="60">
        <f>IF(N($W32)=0,"",IF(AND($S32=MesCiclo,3&gt;SemanaActual),"",MIN(1,SUMIFS(OFFSET($A$1,ROW(),31,1000-ROW(),1),OFFSET($A$1,ROW(),20,1000-ROW(),1),ROW(),OFFSET($A$1,ROW(),21,1000-ROW(),1),"Sub"))))</f>
        <v/>
      </c>
      <c r="L32" s="60">
        <f>IF(N($W32)=0,"",IF(AND($S32=MesCiclo,4&gt;SemanaActual),"",MIN(1,SUMIFS(OFFSET($A$1,ROW(),32,1000-ROW(),1),OFFSET($A$1,ROW(),20,1000-ROW(),1),ROW(),OFFSET($A$1,ROW(),21,1000-ROW(),1),"Sub"))))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IF($V32&lt;&gt;"Sub","",N($X32)*IF(AND(ISNUMBER($G32),$G32&lt;=IF($S32=MesCiclo,InicioCiclo,$S32+MOD(2-WEEKDAY($S32),7))+6),1,MIN(1,MAX(0,IF(ISNUMBER(OFFSET($A$1,ROW()-1,8)),OFFSET($A$1,ROW()-1,8),0)))))</f>
        <v/>
      </c>
      <c r="AE32" s="62">
        <f>IF($V32&lt;&gt;"Sub","",N($X32)*IF(AND(ISNUMBER($G32),$G32&lt;=IF($S32=MesCiclo,InicioCiclo,$S32+MOD(2-WEEKDAY($S32),7))+13),1,MIN(1,MAX(0,IF(ISNUMBER(OFFSET($A$1,ROW()-1,9)),OFFSET($A$1,ROW()-1,9),IF(ISNUMBER(OFFSET($A$1,ROW()-1,8)),OFFSET($A$1,ROW()-1,8),0))))))</f>
        <v/>
      </c>
      <c r="AF32" s="62">
        <f>IF($V32&lt;&gt;"Sub","",N($X32)*IF(AND(ISNUMBER($G32),$G32&lt;=IF($S32=MesCiclo,InicioCiclo,$S32+MOD(2-WEEKDAY($S32),7))+20),1,MIN(1,MAX(0,IF(ISNUMBER(OFFSET($A$1,ROW()-1,10)),OFFSET($A$1,ROW()-1,10),IF(ISNUMBER(OFFSET($A$1,ROW()-1,9)),OFFSET($A$1,ROW()-1,9),IF(ISNUMBER(OFFSET($A$1,ROW()-1,8)),OFFSET($A$1,ROW()-1,8),0)))))))</f>
        <v/>
      </c>
      <c r="AG32" s="62">
        <f>IF($V32&lt;&gt;"Sub","",N($X32)*IF(AND(ISNUMBER($G32),$G32&lt;=IF($S32=MesCiclo,InicioCiclo,$S32+MOD(2-WEEKDAY($S32),7))+27),1,MIN(1,MAX(0,IF(ISNUMBER(OFFSET($A$1,ROW()-1,11)),OFFSET($A$1,ROW()-1,11),IF(ISNUMBER(OFFSET($A$1,ROW()-1,10)),OFFSET($A$1,ROW()-1,10),IF(ISNUMBER(OFFSET($A$1,ROW()-1,9)),OFFSET($A$1,ROW()-1,9),IF(ISNUMBER(OFFSET($A$1,ROW()-1,8)),OFFSET($A$1,ROW()-1,8),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",IFERROR(MATCH("Riesgo Operacional|"&amp;MID($C32,12,500),rDname_ADM,0),0),"")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IF(N($W33)=0,"",IF(AND($S33=MesCiclo,1&gt;SemanaActual),"",MIN(1,SUMIFS(OFFSET($A$1,ROW(),29,1000-ROW(),1),OFFSET($A$1,ROW(),20,1000-ROW(),1),ROW(),OFFSET($A$1,ROW(),21,1000-ROW(),1),"Sub"))))</f>
        <v/>
      </c>
      <c r="J33" s="60">
        <f>IF(N($W33)=0,"",IF(AND($S33=MesCiclo,2&gt;SemanaActual),"",MIN(1,SUMIFS(OFFSET($A$1,ROW(),30,1000-ROW(),1),OFFSET($A$1,ROW(),20,1000-ROW(),1),ROW(),OFFSET($A$1,ROW(),21,1000-ROW(),1),"Sub"))))</f>
        <v/>
      </c>
      <c r="K33" s="60">
        <f>IF(N($W33)=0,"",IF(AND($S33=MesCiclo,3&gt;SemanaActual),"",MIN(1,SUMIFS(OFFSET($A$1,ROW(),31,1000-ROW(),1),OFFSET($A$1,ROW(),20,1000-ROW(),1),ROW(),OFFSET($A$1,ROW(),21,1000-ROW(),1),"Sub"))))</f>
        <v/>
      </c>
      <c r="L33" s="60">
        <f>IF(N($W33)=0,"",IF(AND($S33=MesCiclo,4&gt;SemanaActual),"",MIN(1,SUMIFS(OFFSET($A$1,ROW(),32,1000-ROW(),1),OFFSET($A$1,ROW(),20,1000-ROW(),1),ROW(),OFFSET($A$1,ROW(),21,1000-ROW(),1),"Sub"))))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IF($V33&lt;&gt;"Sub","",N($X33)*IF(AND(ISNUMBER($G33),$G33&lt;=IF($S33=MesCiclo,InicioCiclo,$S33+MOD(2-WEEKDAY($S33),7))+6),1,MIN(1,MAX(0,IF(ISNUMBER(OFFSET($A$1,ROW()-1,8)),OFFSET($A$1,ROW()-1,8),0)))))</f>
        <v/>
      </c>
      <c r="AE33" s="62">
        <f>IF($V33&lt;&gt;"Sub","",N($X33)*IF(AND(ISNUMBER($G33),$G33&lt;=IF($S33=MesCiclo,InicioCiclo,$S33+MOD(2-WEEKDAY($S33),7))+13),1,MIN(1,MAX(0,IF(ISNUMBER(OFFSET($A$1,ROW()-1,9)),OFFSET($A$1,ROW()-1,9),IF(ISNUMBER(OFFSET($A$1,ROW()-1,8)),OFFSET($A$1,ROW()-1,8),0))))))</f>
        <v/>
      </c>
      <c r="AF33" s="62">
        <f>IF($V33&lt;&gt;"Sub","",N($X33)*IF(AND(ISNUMBER($G33),$G33&lt;=IF($S33=MesCiclo,InicioCiclo,$S33+MOD(2-WEEKDAY($S33),7))+20),1,MIN(1,MAX(0,IF(ISNUMBER(OFFSET($A$1,ROW()-1,10)),OFFSET($A$1,ROW()-1,10),IF(ISNUMBER(OFFSET($A$1,ROW()-1,9)),OFFSET($A$1,ROW()-1,9),IF(ISNUMBER(OFFSET($A$1,ROW()-1,8)),OFFSET($A$1,ROW()-1,8),0)))))))</f>
        <v/>
      </c>
      <c r="AG33" s="62">
        <f>IF($V33&lt;&gt;"Sub","",N($X33)*IF(AND(ISNUMBER($G33),$G33&lt;=IF($S33=MesCiclo,InicioCiclo,$S33+MOD(2-WEEKDAY($S33),7))+27),1,MIN(1,MAX(0,IF(ISNUMBER(OFFSET($A$1,ROW()-1,11)),OFFSET($A$1,ROW()-1,11),IF(ISNUMBER(OFFSET($A$1,ROW()-1,10)),OFFSET($A$1,ROW()-1,10),IF(ISNUMBER(OFFSET($A$1,ROW()-1,9)),OFFSET($A$1,ROW()-1,9),IF(ISNUMBER(OFFSET($A$1,ROW()-1,8)),OFFSET($A$1,ROW()-1,8),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",IFERROR(MATCH("Riesgo Operacional|"&amp;MID($C33,12,500),rDname_ADM,0),0),"")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IF(N($W34)=0,"",IF(AND($S34=MesCiclo,1&gt;SemanaActual),"",MIN(1,SUMIFS(OFFSET($A$1,ROW(),29,1000-ROW(),1),OFFSET($A$1,ROW(),20,1000-ROW(),1),ROW(),OFFSET($A$1,ROW(),21,1000-ROW(),1),"Sub"))))</f>
        <v/>
      </c>
      <c r="J34" s="60">
        <f>IF(N($W34)=0,"",IF(AND($S34=MesCiclo,2&gt;SemanaActual),"",MIN(1,SUMIFS(OFFSET($A$1,ROW(),30,1000-ROW(),1),OFFSET($A$1,ROW(),20,1000-ROW(),1),ROW(),OFFSET($A$1,ROW(),21,1000-ROW(),1),"Sub"))))</f>
        <v/>
      </c>
      <c r="K34" s="60">
        <f>IF(N($W34)=0,"",IF(AND($S34=MesCiclo,3&gt;SemanaActual),"",MIN(1,SUMIFS(OFFSET($A$1,ROW(),31,1000-ROW(),1),OFFSET($A$1,ROW(),20,1000-ROW(),1),ROW(),OFFSET($A$1,ROW(),21,1000-ROW(),1),"Sub"))))</f>
        <v/>
      </c>
      <c r="L34" s="60">
        <f>IF(N($W34)=0,"",IF(AND($S34=MesCiclo,4&gt;SemanaActual),"",MIN(1,SUMIFS(OFFSET($A$1,ROW(),32,1000-ROW(),1),OFFSET($A$1,ROW(),20,1000-ROW(),1),ROW(),OFFSET($A$1,ROW(),21,1000-ROW(),1),"Sub"))))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IF($V34&lt;&gt;"Sub","",N($X34)*IF(AND(ISNUMBER($G34),$G34&lt;=IF($S34=MesCiclo,InicioCiclo,$S34+MOD(2-WEEKDAY($S34),7))+6),1,MIN(1,MAX(0,IF(ISNUMBER(OFFSET($A$1,ROW()-1,8)),OFFSET($A$1,ROW()-1,8),0)))))</f>
        <v/>
      </c>
      <c r="AE34" s="62">
        <f>IF($V34&lt;&gt;"Sub","",N($X34)*IF(AND(ISNUMBER($G34),$G34&lt;=IF($S34=MesCiclo,InicioCiclo,$S34+MOD(2-WEEKDAY($S34),7))+13),1,MIN(1,MAX(0,IF(ISNUMBER(OFFSET($A$1,ROW()-1,9)),OFFSET($A$1,ROW()-1,9),IF(ISNUMBER(OFFSET($A$1,ROW()-1,8)),OFFSET($A$1,ROW()-1,8),0))))))</f>
        <v/>
      </c>
      <c r="AF34" s="62">
        <f>IF($V34&lt;&gt;"Sub","",N($X34)*IF(AND(ISNUMBER($G34),$G34&lt;=IF($S34=MesCiclo,InicioCiclo,$S34+MOD(2-WEEKDAY($S34),7))+20),1,MIN(1,MAX(0,IF(ISNUMBER(OFFSET($A$1,ROW()-1,10)),OFFSET($A$1,ROW()-1,10),IF(ISNUMBER(OFFSET($A$1,ROW()-1,9)),OFFSET($A$1,ROW()-1,9),IF(ISNUMBER(OFFSET($A$1,ROW()-1,8)),OFFSET($A$1,ROW()-1,8),0)))))))</f>
        <v/>
      </c>
      <c r="AG34" s="62">
        <f>IF($V34&lt;&gt;"Sub","",N($X34)*IF(AND(ISNUMBER($G34),$G34&lt;=IF($S34=MesCiclo,InicioCiclo,$S34+MOD(2-WEEKDAY($S34),7))+27),1,MIN(1,MAX(0,IF(ISNUMBER(OFFSET($A$1,ROW()-1,11)),OFFSET($A$1,ROW()-1,11),IF(ISNUMBER(OFFSET($A$1,ROW()-1,10)),OFFSET($A$1,ROW()-1,10),IF(ISNUMBER(OFFSET($A$1,ROW()-1,9)),OFFSET($A$1,ROW()-1,9),IF(ISNUMBER(OFFSET($A$1,ROW()-1,8)),OFFSET($A$1,ROW()-1,8),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",IFERROR(MATCH("Riesgo Operacional|"&amp;MID($C34,12,500),rDname_ADM,0),0),"")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IF(N($W35)=0,"",IF(AND($S35=MesCiclo,1&gt;SemanaActual),"",MIN(1,SUMIFS(OFFSET($A$1,ROW(),29,1000-ROW(),1),OFFSET($A$1,ROW(),20,1000-ROW(),1),ROW(),OFFSET($A$1,ROW(),21,1000-ROW(),1),"Sub"))))</f>
        <v/>
      </c>
      <c r="J35" s="60">
        <f>IF(N($W35)=0,"",IF(AND($S35=MesCiclo,2&gt;SemanaActual),"",MIN(1,SUMIFS(OFFSET($A$1,ROW(),30,1000-ROW(),1),OFFSET($A$1,ROW(),20,1000-ROW(),1),ROW(),OFFSET($A$1,ROW(),21,1000-ROW(),1),"Sub"))))</f>
        <v/>
      </c>
      <c r="K35" s="60">
        <f>IF(N($W35)=0,"",IF(AND($S35=MesCiclo,3&gt;SemanaActual),"",MIN(1,SUMIFS(OFFSET($A$1,ROW(),31,1000-ROW(),1),OFFSET($A$1,ROW(),20,1000-ROW(),1),ROW(),OFFSET($A$1,ROW(),21,1000-ROW(),1),"Sub"))))</f>
        <v/>
      </c>
      <c r="L35" s="60">
        <f>IF(N($W35)=0,"",IF(AND($S35=MesCiclo,4&gt;SemanaActual),"",MIN(1,SUMIFS(OFFSET($A$1,ROW(),32,1000-ROW(),1),OFFSET($A$1,ROW(),20,1000-ROW(),1),ROW(),OFFSET($A$1,ROW(),21,1000-ROW(),1),"Sub"))))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IF($V35&lt;&gt;"Sub","",N($X35)*IF(AND(ISNUMBER($G35),$G35&lt;=IF($S35=MesCiclo,InicioCiclo,$S35+MOD(2-WEEKDAY($S35),7))+6),1,MIN(1,MAX(0,IF(ISNUMBER(OFFSET($A$1,ROW()-1,8)),OFFSET($A$1,ROW()-1,8),0)))))</f>
        <v/>
      </c>
      <c r="AE35" s="62">
        <f>IF($V35&lt;&gt;"Sub","",N($X35)*IF(AND(ISNUMBER($G35),$G35&lt;=IF($S35=MesCiclo,InicioCiclo,$S35+MOD(2-WEEKDAY($S35),7))+13),1,MIN(1,MAX(0,IF(ISNUMBER(OFFSET($A$1,ROW()-1,9)),OFFSET($A$1,ROW()-1,9),IF(ISNUMBER(OFFSET($A$1,ROW()-1,8)),OFFSET($A$1,ROW()-1,8),0))))))</f>
        <v/>
      </c>
      <c r="AF35" s="62">
        <f>IF($V35&lt;&gt;"Sub","",N($X35)*IF(AND(ISNUMBER($G35),$G35&lt;=IF($S35=MesCiclo,InicioCiclo,$S35+MOD(2-WEEKDAY($S35),7))+20),1,MIN(1,MAX(0,IF(ISNUMBER(OFFSET($A$1,ROW()-1,10)),OFFSET($A$1,ROW()-1,10),IF(ISNUMBER(OFFSET($A$1,ROW()-1,9)),OFFSET($A$1,ROW()-1,9),IF(ISNUMBER(OFFSET($A$1,ROW()-1,8)),OFFSET($A$1,ROW()-1,8),0)))))))</f>
        <v/>
      </c>
      <c r="AG35" s="62">
        <f>IF($V35&lt;&gt;"Sub","",N($X35)*IF(AND(ISNUMBER($G35),$G35&lt;=IF($S35=MesCiclo,InicioCiclo,$S35+MOD(2-WEEKDAY($S35),7))+27),1,MIN(1,MAX(0,IF(ISNUMBER(OFFSET($A$1,ROW()-1,11)),OFFSET($A$1,ROW()-1,11),IF(ISNUMBER(OFFSET($A$1,ROW()-1,10)),OFFSET($A$1,ROW()-1,10),IF(ISNUMBER(OFFSET($A$1,ROW()-1,9)),OFFSET($A$1,ROW()-1,9),IF(ISNUMBER(OFFSET($A$1,ROW()-1,8)),OFFSET($A$1,ROW()-1,8),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",IFERROR(MATCH("Riesgo Operacional|"&amp;MID($C35,12,500),rDname_ADM,0),0),"")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IF(N($W36)=0,"",IF(AND($S36=MesCiclo,1&gt;SemanaActual),"",MIN(1,SUMIFS(OFFSET($A$1,ROW(),29,1000-ROW(),1),OFFSET($A$1,ROW(),20,1000-ROW(),1),ROW(),OFFSET($A$1,ROW(),21,1000-ROW(),1),"Sub"))))</f>
        <v/>
      </c>
      <c r="J36" s="60">
        <f>IF(N($W36)=0,"",IF(AND($S36=MesCiclo,2&gt;SemanaActual),"",MIN(1,SUMIFS(OFFSET($A$1,ROW(),30,1000-ROW(),1),OFFSET($A$1,ROW(),20,1000-ROW(),1),ROW(),OFFSET($A$1,ROW(),21,1000-ROW(),1),"Sub"))))</f>
        <v/>
      </c>
      <c r="K36" s="60">
        <f>IF(N($W36)=0,"",IF(AND($S36=MesCiclo,3&gt;SemanaActual),"",MIN(1,SUMIFS(OFFSET($A$1,ROW(),31,1000-ROW(),1),OFFSET($A$1,ROW(),20,1000-ROW(),1),ROW(),OFFSET($A$1,ROW(),21,1000-ROW(),1),"Sub"))))</f>
        <v/>
      </c>
      <c r="L36" s="60">
        <f>IF(N($W36)=0,"",IF(AND($S36=MesCiclo,4&gt;SemanaActual),"",MIN(1,SUMIFS(OFFSET($A$1,ROW(),32,1000-ROW(),1),OFFSET($A$1,ROW(),20,1000-ROW(),1),ROW(),OFFSET($A$1,ROW(),21,1000-ROW(),1),"Sub"))))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IF($V36&lt;&gt;"Sub","",N($X36)*IF(AND(ISNUMBER($G36),$G36&lt;=IF($S36=MesCiclo,InicioCiclo,$S36+MOD(2-WEEKDAY($S36),7))+6),1,MIN(1,MAX(0,IF(ISNUMBER(OFFSET($A$1,ROW()-1,8)),OFFSET($A$1,ROW()-1,8),0)))))</f>
        <v/>
      </c>
      <c r="AE36" s="62">
        <f>IF($V36&lt;&gt;"Sub","",N($X36)*IF(AND(ISNUMBER($G36),$G36&lt;=IF($S36=MesCiclo,InicioCiclo,$S36+MOD(2-WEEKDAY($S36),7))+13),1,MIN(1,MAX(0,IF(ISNUMBER(OFFSET($A$1,ROW()-1,9)),OFFSET($A$1,ROW()-1,9),IF(ISNUMBER(OFFSET($A$1,ROW()-1,8)),OFFSET($A$1,ROW()-1,8),0))))))</f>
        <v/>
      </c>
      <c r="AF36" s="62">
        <f>IF($V36&lt;&gt;"Sub","",N($X36)*IF(AND(ISNUMBER($G36),$G36&lt;=IF($S36=MesCiclo,InicioCiclo,$S36+MOD(2-WEEKDAY($S36),7))+20),1,MIN(1,MAX(0,IF(ISNUMBER(OFFSET($A$1,ROW()-1,10)),OFFSET($A$1,ROW()-1,10),IF(ISNUMBER(OFFSET($A$1,ROW()-1,9)),OFFSET($A$1,ROW()-1,9),IF(ISNUMBER(OFFSET($A$1,ROW()-1,8)),OFFSET($A$1,ROW()-1,8),0)))))))</f>
        <v/>
      </c>
      <c r="AG36" s="62">
        <f>IF($V36&lt;&gt;"Sub","",N($X36)*IF(AND(ISNUMBER($G36),$G36&lt;=IF($S36=MesCiclo,InicioCiclo,$S36+MOD(2-WEEKDAY($S36),7))+27),1,MIN(1,MAX(0,IF(ISNUMBER(OFFSET($A$1,ROW()-1,11)),OFFSET($A$1,ROW()-1,11),IF(ISNUMBER(OFFSET($A$1,ROW()-1,10)),OFFSET($A$1,ROW()-1,10),IF(ISNUMBER(OFFSET($A$1,ROW()-1,9)),OFFSET($A$1,ROW()-1,9),IF(ISNUMBER(OFFSET($A$1,ROW()-1,8)),OFFSET($A$1,ROW()-1,8),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",IFERROR(MATCH("Riesgo Operacional|"&amp;MID($C36,12,500),rDname_ADM,0),0),"")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IF(N($W37)=0,"",IF(AND($S37=MesCiclo,1&gt;SemanaActual),"",MIN(1,SUMIFS(OFFSET($A$1,ROW(),29,1000-ROW(),1),OFFSET($A$1,ROW(),20,1000-ROW(),1),ROW(),OFFSET($A$1,ROW(),21,1000-ROW(),1),"Sub"))))</f>
        <v/>
      </c>
      <c r="J37" s="60">
        <f>IF(N($W37)=0,"",IF(AND($S37=MesCiclo,2&gt;SemanaActual),"",MIN(1,SUMIFS(OFFSET($A$1,ROW(),30,1000-ROW(),1),OFFSET($A$1,ROW(),20,1000-ROW(),1),ROW(),OFFSET($A$1,ROW(),21,1000-ROW(),1),"Sub"))))</f>
        <v/>
      </c>
      <c r="K37" s="60">
        <f>IF(N($W37)=0,"",IF(AND($S37=MesCiclo,3&gt;SemanaActual),"",MIN(1,SUMIFS(OFFSET($A$1,ROW(),31,1000-ROW(),1),OFFSET($A$1,ROW(),20,1000-ROW(),1),ROW(),OFFSET($A$1,ROW(),21,1000-ROW(),1),"Sub"))))</f>
        <v/>
      </c>
      <c r="L37" s="60">
        <f>IF(N($W37)=0,"",IF(AND($S37=MesCiclo,4&gt;SemanaActual),"",MIN(1,SUMIFS(OFFSET($A$1,ROW(),32,1000-ROW(),1),OFFSET($A$1,ROW(),20,1000-ROW(),1),ROW(),OFFSET($A$1,ROW(),21,1000-ROW(),1),"Sub"))))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IF($V37&lt;&gt;"Sub","",N($X37)*IF(AND(ISNUMBER($G37),$G37&lt;=IF($S37=MesCiclo,InicioCiclo,$S37+MOD(2-WEEKDAY($S37),7))+6),1,MIN(1,MAX(0,IF(ISNUMBER(OFFSET($A$1,ROW()-1,8)),OFFSET($A$1,ROW()-1,8),0)))))</f>
        <v/>
      </c>
      <c r="AE37" s="62">
        <f>IF($V37&lt;&gt;"Sub","",N($X37)*IF(AND(ISNUMBER($G37),$G37&lt;=IF($S37=MesCiclo,InicioCiclo,$S37+MOD(2-WEEKDAY($S37),7))+13),1,MIN(1,MAX(0,IF(ISNUMBER(OFFSET($A$1,ROW()-1,9)),OFFSET($A$1,ROW()-1,9),IF(ISNUMBER(OFFSET($A$1,ROW()-1,8)),OFFSET($A$1,ROW()-1,8),0))))))</f>
        <v/>
      </c>
      <c r="AF37" s="62">
        <f>IF($V37&lt;&gt;"Sub","",N($X37)*IF(AND(ISNUMBER($G37),$G37&lt;=IF($S37=MesCiclo,InicioCiclo,$S37+MOD(2-WEEKDAY($S37),7))+20),1,MIN(1,MAX(0,IF(ISNUMBER(OFFSET($A$1,ROW()-1,10)),OFFSET($A$1,ROW()-1,10),IF(ISNUMBER(OFFSET($A$1,ROW()-1,9)),OFFSET($A$1,ROW()-1,9),IF(ISNUMBER(OFFSET($A$1,ROW()-1,8)),OFFSET($A$1,ROW()-1,8),0)))))))</f>
        <v/>
      </c>
      <c r="AG37" s="62">
        <f>IF($V37&lt;&gt;"Sub","",N($X37)*IF(AND(ISNUMBER($G37),$G37&lt;=IF($S37=MesCiclo,InicioCiclo,$S37+MOD(2-WEEKDAY($S37),7))+27),1,MIN(1,MAX(0,IF(ISNUMBER(OFFSET($A$1,ROW()-1,11)),OFFSET($A$1,ROW()-1,11),IF(ISNUMBER(OFFSET($A$1,ROW()-1,10)),OFFSET($A$1,ROW()-1,10),IF(ISNUMBER(OFFSET($A$1,ROW()-1,9)),OFFSET($A$1,ROW()-1,9),IF(ISNUMBER(OFFSET($A$1,ROW()-1,8)),OFFSET($A$1,ROW()-1,8),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",IFERROR(MATCH("Riesgo Operacional|"&amp;MID($C37,12,500),rDname_ADM,0),0),"")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IF(N($W38)=0,"",IF(AND($S38=MesCiclo,1&gt;SemanaActual),"",MIN(1,SUMIFS(OFFSET($A$1,ROW(),29,1000-ROW(),1),OFFSET($A$1,ROW(),20,1000-ROW(),1),ROW(),OFFSET($A$1,ROW(),21,1000-ROW(),1),"Sub"))))</f>
        <v/>
      </c>
      <c r="J38" s="60">
        <f>IF(N($W38)=0,"",IF(AND($S38=MesCiclo,2&gt;SemanaActual),"",MIN(1,SUMIFS(OFFSET($A$1,ROW(),30,1000-ROW(),1),OFFSET($A$1,ROW(),20,1000-ROW(),1),ROW(),OFFSET($A$1,ROW(),21,1000-ROW(),1),"Sub"))))</f>
        <v/>
      </c>
      <c r="K38" s="60">
        <f>IF(N($W38)=0,"",IF(AND($S38=MesCiclo,3&gt;SemanaActual),"",MIN(1,SUMIFS(OFFSET($A$1,ROW(),31,1000-ROW(),1),OFFSET($A$1,ROW(),20,1000-ROW(),1),ROW(),OFFSET($A$1,ROW(),21,1000-ROW(),1),"Sub"))))</f>
        <v/>
      </c>
      <c r="L38" s="60">
        <f>IF(N($W38)=0,"",IF(AND($S38=MesCiclo,4&gt;SemanaActual),"",MIN(1,SUMIFS(OFFSET($A$1,ROW(),32,1000-ROW(),1),OFFSET($A$1,ROW(),20,1000-ROW(),1),ROW(),OFFSET($A$1,ROW(),21,1000-ROW(),1),"Sub"))))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IF($V38&lt;&gt;"Sub","",N($X38)*IF(AND(ISNUMBER($G38),$G38&lt;=IF($S38=MesCiclo,InicioCiclo,$S38+MOD(2-WEEKDAY($S38),7))+6),1,MIN(1,MAX(0,IF(ISNUMBER(OFFSET($A$1,ROW()-1,8)),OFFSET($A$1,ROW()-1,8),0)))))</f>
        <v/>
      </c>
      <c r="AE38" s="62">
        <f>IF($V38&lt;&gt;"Sub","",N($X38)*IF(AND(ISNUMBER($G38),$G38&lt;=IF($S38=MesCiclo,InicioCiclo,$S38+MOD(2-WEEKDAY($S38),7))+13),1,MIN(1,MAX(0,IF(ISNUMBER(OFFSET($A$1,ROW()-1,9)),OFFSET($A$1,ROW()-1,9),IF(ISNUMBER(OFFSET($A$1,ROW()-1,8)),OFFSET($A$1,ROW()-1,8),0))))))</f>
        <v/>
      </c>
      <c r="AF38" s="62">
        <f>IF($V38&lt;&gt;"Sub","",N($X38)*IF(AND(ISNUMBER($G38),$G38&lt;=IF($S38=MesCiclo,InicioCiclo,$S38+MOD(2-WEEKDAY($S38),7))+20),1,MIN(1,MAX(0,IF(ISNUMBER(OFFSET($A$1,ROW()-1,10)),OFFSET($A$1,ROW()-1,10),IF(ISNUMBER(OFFSET($A$1,ROW()-1,9)),OFFSET($A$1,ROW()-1,9),IF(ISNUMBER(OFFSET($A$1,ROW()-1,8)),OFFSET($A$1,ROW()-1,8),0)))))))</f>
        <v/>
      </c>
      <c r="AG38" s="62">
        <f>IF($V38&lt;&gt;"Sub","",N($X38)*IF(AND(ISNUMBER($G38),$G38&lt;=IF($S38=MesCiclo,InicioCiclo,$S38+MOD(2-WEEKDAY($S38),7))+27),1,MIN(1,MAX(0,IF(ISNUMBER(OFFSET($A$1,ROW()-1,11)),OFFSET($A$1,ROW()-1,11),IF(ISNUMBER(OFFSET($A$1,ROW()-1,10)),OFFSET($A$1,ROW()-1,10),IF(ISNUMBER(OFFSET($A$1,ROW()-1,9)),OFFSET($A$1,ROW()-1,9),IF(ISNUMBER(OFFSET($A$1,ROW()-1,8)),OFFSET($A$1,ROW()-1,8),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",IFERROR(MATCH("Riesgo Operacional|"&amp;MID($C38,12,500),rDname_ADM,0),0),"")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IF(N($W39)=0,"",IF(AND($S39=MesCiclo,1&gt;SemanaActual),"",MIN(1,SUMIFS(OFFSET($A$1,ROW(),29,1000-ROW(),1),OFFSET($A$1,ROW(),20,1000-ROW(),1),ROW(),OFFSET($A$1,ROW(),21,1000-ROW(),1),"Sub"))))</f>
        <v/>
      </c>
      <c r="J39" s="60">
        <f>IF(N($W39)=0,"",IF(AND($S39=MesCiclo,2&gt;SemanaActual),"",MIN(1,SUMIFS(OFFSET($A$1,ROW(),30,1000-ROW(),1),OFFSET($A$1,ROW(),20,1000-ROW(),1),ROW(),OFFSET($A$1,ROW(),21,1000-ROW(),1),"Sub"))))</f>
        <v/>
      </c>
      <c r="K39" s="60">
        <f>IF(N($W39)=0,"",IF(AND($S39=MesCiclo,3&gt;SemanaActual),"",MIN(1,SUMIFS(OFFSET($A$1,ROW(),31,1000-ROW(),1),OFFSET($A$1,ROW(),20,1000-ROW(),1),ROW(),OFFSET($A$1,ROW(),21,1000-ROW(),1),"Sub"))))</f>
        <v/>
      </c>
      <c r="L39" s="60">
        <f>IF(N($W39)=0,"",IF(AND($S39=MesCiclo,4&gt;SemanaActual),"",MIN(1,SUMIFS(OFFSET($A$1,ROW(),32,1000-ROW(),1),OFFSET($A$1,ROW(),20,1000-ROW(),1),ROW(),OFFSET($A$1,ROW(),21,1000-ROW(),1),"Sub"))))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IF($V39&lt;&gt;"Sub","",N($X39)*IF(AND(ISNUMBER($G39),$G39&lt;=IF($S39=MesCiclo,InicioCiclo,$S39+MOD(2-WEEKDAY($S39),7))+6),1,MIN(1,MAX(0,IF(ISNUMBER(OFFSET($A$1,ROW()-1,8)),OFFSET($A$1,ROW()-1,8),0)))))</f>
        <v/>
      </c>
      <c r="AE39" s="62">
        <f>IF($V39&lt;&gt;"Sub","",N($X39)*IF(AND(ISNUMBER($G39),$G39&lt;=IF($S39=MesCiclo,InicioCiclo,$S39+MOD(2-WEEKDAY($S39),7))+13),1,MIN(1,MAX(0,IF(ISNUMBER(OFFSET($A$1,ROW()-1,9)),OFFSET($A$1,ROW()-1,9),IF(ISNUMBER(OFFSET($A$1,ROW()-1,8)),OFFSET($A$1,ROW()-1,8),0))))))</f>
        <v/>
      </c>
      <c r="AF39" s="62">
        <f>IF($V39&lt;&gt;"Sub","",N($X39)*IF(AND(ISNUMBER($G39),$G39&lt;=IF($S39=MesCiclo,InicioCiclo,$S39+MOD(2-WEEKDAY($S39),7))+20),1,MIN(1,MAX(0,IF(ISNUMBER(OFFSET($A$1,ROW()-1,10)),OFFSET($A$1,ROW()-1,10),IF(ISNUMBER(OFFSET($A$1,ROW()-1,9)),OFFSET($A$1,ROW()-1,9),IF(ISNUMBER(OFFSET($A$1,ROW()-1,8)),OFFSET($A$1,ROW()-1,8),0)))))))</f>
        <v/>
      </c>
      <c r="AG39" s="62">
        <f>IF($V39&lt;&gt;"Sub","",N($X39)*IF(AND(ISNUMBER($G39),$G39&lt;=IF($S39=MesCiclo,InicioCiclo,$S39+MOD(2-WEEKDAY($S39),7))+27),1,MIN(1,MAX(0,IF(ISNUMBER(OFFSET($A$1,ROW()-1,11)),OFFSET($A$1,ROW()-1,11),IF(ISNUMBER(OFFSET($A$1,ROW()-1,10)),OFFSET($A$1,ROW()-1,10),IF(ISNUMBER(OFFSET($A$1,ROW()-1,9)),OFFSET($A$1,ROW()-1,9),IF(ISNUMBER(OFFSET($A$1,ROW()-1,8)),OFFSET($A$1,ROW()-1,8),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",IFERROR(MATCH("Riesgo Operacional|"&amp;MID($C39,12,500),rDname_ADM,0),0),"")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IF(N($W40)=0,"",IF(AND($S40=MesCiclo,1&gt;SemanaActual),"",MIN(1,SUMIFS(OFFSET($A$1,ROW(),29,1000-ROW(),1),OFFSET($A$1,ROW(),20,1000-ROW(),1),ROW(),OFFSET($A$1,ROW(),21,1000-ROW(),1),"Sub"))))</f>
        <v/>
      </c>
      <c r="J40" s="60">
        <f>IF(N($W40)=0,"",IF(AND($S40=MesCiclo,2&gt;SemanaActual),"",MIN(1,SUMIFS(OFFSET($A$1,ROW(),30,1000-ROW(),1),OFFSET($A$1,ROW(),20,1000-ROW(),1),ROW(),OFFSET($A$1,ROW(),21,1000-ROW(),1),"Sub"))))</f>
        <v/>
      </c>
      <c r="K40" s="60">
        <f>IF(N($W40)=0,"",IF(AND($S40=MesCiclo,3&gt;SemanaActual),"",MIN(1,SUMIFS(OFFSET($A$1,ROW(),31,1000-ROW(),1),OFFSET($A$1,ROW(),20,1000-ROW(),1),ROW(),OFFSET($A$1,ROW(),21,1000-ROW(),1),"Sub"))))</f>
        <v/>
      </c>
      <c r="L40" s="60">
        <f>IF(N($W40)=0,"",IF(AND($S40=MesCiclo,4&gt;SemanaActual),"",MIN(1,SUMIFS(OFFSET($A$1,ROW(),32,1000-ROW(),1),OFFSET($A$1,ROW(),20,1000-ROW(),1),ROW(),OFFSET($A$1,ROW(),21,1000-ROW(),1),"Sub"))))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IF($V40&lt;&gt;"Sub","",N($X40)*IF(AND(ISNUMBER($G40),$G40&lt;=IF($S40=MesCiclo,InicioCiclo,$S40+MOD(2-WEEKDAY($S40),7))+6),1,MIN(1,MAX(0,IF(ISNUMBER(OFFSET($A$1,ROW()-1,8)),OFFSET($A$1,ROW()-1,8),0)))))</f>
        <v/>
      </c>
      <c r="AE40" s="62">
        <f>IF($V40&lt;&gt;"Sub","",N($X40)*IF(AND(ISNUMBER($G40),$G40&lt;=IF($S40=MesCiclo,InicioCiclo,$S40+MOD(2-WEEKDAY($S40),7))+13),1,MIN(1,MAX(0,IF(ISNUMBER(OFFSET($A$1,ROW()-1,9)),OFFSET($A$1,ROW()-1,9),IF(ISNUMBER(OFFSET($A$1,ROW()-1,8)),OFFSET($A$1,ROW()-1,8),0))))))</f>
        <v/>
      </c>
      <c r="AF40" s="62">
        <f>IF($V40&lt;&gt;"Sub","",N($X40)*IF(AND(ISNUMBER($G40),$G40&lt;=IF($S40=MesCiclo,InicioCiclo,$S40+MOD(2-WEEKDAY($S40),7))+20),1,MIN(1,MAX(0,IF(ISNUMBER(OFFSET($A$1,ROW()-1,10)),OFFSET($A$1,ROW()-1,10),IF(ISNUMBER(OFFSET($A$1,ROW()-1,9)),OFFSET($A$1,ROW()-1,9),IF(ISNUMBER(OFFSET($A$1,ROW()-1,8)),OFFSET($A$1,ROW()-1,8),0)))))))</f>
        <v/>
      </c>
      <c r="AG40" s="62">
        <f>IF($V40&lt;&gt;"Sub","",N($X40)*IF(AND(ISNUMBER($G40),$G40&lt;=IF($S40=MesCiclo,InicioCiclo,$S40+MOD(2-WEEKDAY($S40),7))+27),1,MIN(1,MAX(0,IF(ISNUMBER(OFFSET($A$1,ROW()-1,11)),OFFSET($A$1,ROW()-1,11),IF(ISNUMBER(OFFSET($A$1,ROW()-1,10)),OFFSET($A$1,ROW()-1,10),IF(ISNUMBER(OFFSET($A$1,ROW()-1,9)),OFFSET($A$1,ROW()-1,9),IF(ISNUMBER(OFFSET($A$1,ROW()-1,8)),OFFSET($A$1,ROW()-1,8),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",IFERROR(MATCH("Riesgo Operacional|"&amp;MID($C40,12,500),rDname_ADM,0),0),"")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IF(N($W41)=0,"",IF(AND($S41=MesCiclo,1&gt;SemanaActual),"",MIN(1,SUMIFS(OFFSET($A$1,ROW(),29,1000-ROW(),1),OFFSET($A$1,ROW(),20,1000-ROW(),1),ROW(),OFFSET($A$1,ROW(),21,1000-ROW(),1),"Sub"))))</f>
        <v/>
      </c>
      <c r="J41" s="60">
        <f>IF(N($W41)=0,"",IF(AND($S41=MesCiclo,2&gt;SemanaActual),"",MIN(1,SUMIFS(OFFSET($A$1,ROW(),30,1000-ROW(),1),OFFSET($A$1,ROW(),20,1000-ROW(),1),ROW(),OFFSET($A$1,ROW(),21,1000-ROW(),1),"Sub"))))</f>
        <v/>
      </c>
      <c r="K41" s="60">
        <f>IF(N($W41)=0,"",IF(AND($S41=MesCiclo,3&gt;SemanaActual),"",MIN(1,SUMIFS(OFFSET($A$1,ROW(),31,1000-ROW(),1),OFFSET($A$1,ROW(),20,1000-ROW(),1),ROW(),OFFSET($A$1,ROW(),21,1000-ROW(),1),"Sub"))))</f>
        <v/>
      </c>
      <c r="L41" s="60">
        <f>IF(N($W41)=0,"",IF(AND($S41=MesCiclo,4&gt;SemanaActual),"",MIN(1,SUMIFS(OFFSET($A$1,ROW(),32,1000-ROW(),1),OFFSET($A$1,ROW(),20,1000-ROW(),1),ROW(),OFFSET($A$1,ROW(),21,1000-ROW(),1),"Sub"))))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IF($V41&lt;&gt;"Sub","",N($X41)*IF(AND(ISNUMBER($G41),$G41&lt;=IF($S41=MesCiclo,InicioCiclo,$S41+MOD(2-WEEKDAY($S41),7))+6),1,MIN(1,MAX(0,IF(ISNUMBER(OFFSET($A$1,ROW()-1,8)),OFFSET($A$1,ROW()-1,8),0)))))</f>
        <v/>
      </c>
      <c r="AE41" s="62">
        <f>IF($V41&lt;&gt;"Sub","",N($X41)*IF(AND(ISNUMBER($G41),$G41&lt;=IF($S41=MesCiclo,InicioCiclo,$S41+MOD(2-WEEKDAY($S41),7))+13),1,MIN(1,MAX(0,IF(ISNUMBER(OFFSET($A$1,ROW()-1,9)),OFFSET($A$1,ROW()-1,9),IF(ISNUMBER(OFFSET($A$1,ROW()-1,8)),OFFSET($A$1,ROW()-1,8),0))))))</f>
        <v/>
      </c>
      <c r="AF41" s="62">
        <f>IF($V41&lt;&gt;"Sub","",N($X41)*IF(AND(ISNUMBER($G41),$G41&lt;=IF($S41=MesCiclo,InicioCiclo,$S41+MOD(2-WEEKDAY($S41),7))+20),1,MIN(1,MAX(0,IF(ISNUMBER(OFFSET($A$1,ROW()-1,10)),OFFSET($A$1,ROW()-1,10),IF(ISNUMBER(OFFSET($A$1,ROW()-1,9)),OFFSET($A$1,ROW()-1,9),IF(ISNUMBER(OFFSET($A$1,ROW()-1,8)),OFFSET($A$1,ROW()-1,8),0)))))))</f>
        <v/>
      </c>
      <c r="AG41" s="62">
        <f>IF($V41&lt;&gt;"Sub","",N($X41)*IF(AND(ISNUMBER($G41),$G41&lt;=IF($S41=MesCiclo,InicioCiclo,$S41+MOD(2-WEEKDAY($S41),7))+27),1,MIN(1,MAX(0,IF(ISNUMBER(OFFSET($A$1,ROW()-1,11)),OFFSET($A$1,ROW()-1,11),IF(ISNUMBER(OFFSET($A$1,ROW()-1,10)),OFFSET($A$1,ROW()-1,10),IF(ISNUMBER(OFFSET($A$1,ROW()-1,9)),OFFSET($A$1,ROW()-1,9),IF(ISNUMBER(OFFSET($A$1,ROW()-1,8)),OFFSET($A$1,ROW()-1,8),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",IFERROR(MATCH("Riesgo Operacional|"&amp;MID($C41,12,500),rDname_ADM,0),0),"")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IF(N($W42)=0,"",IF(AND($S42=MesCiclo,1&gt;SemanaActual),"",MIN(1,SUMIFS(OFFSET($A$1,ROW(),29,1000-ROW(),1),OFFSET($A$1,ROW(),20,1000-ROW(),1),ROW(),OFFSET($A$1,ROW(),21,1000-ROW(),1),"Sub"))))</f>
        <v/>
      </c>
      <c r="J42" s="60">
        <f>IF(N($W42)=0,"",IF(AND($S42=MesCiclo,2&gt;SemanaActual),"",MIN(1,SUMIFS(OFFSET($A$1,ROW(),30,1000-ROW(),1),OFFSET($A$1,ROW(),20,1000-ROW(),1),ROW(),OFFSET($A$1,ROW(),21,1000-ROW(),1),"Sub"))))</f>
        <v/>
      </c>
      <c r="K42" s="60">
        <f>IF(N($W42)=0,"",IF(AND($S42=MesCiclo,3&gt;SemanaActual),"",MIN(1,SUMIFS(OFFSET($A$1,ROW(),31,1000-ROW(),1),OFFSET($A$1,ROW(),20,1000-ROW(),1),ROW(),OFFSET($A$1,ROW(),21,1000-ROW(),1),"Sub"))))</f>
        <v/>
      </c>
      <c r="L42" s="60">
        <f>IF(N($W42)=0,"",IF(AND($S42=MesCiclo,4&gt;SemanaActual),"",MIN(1,SUMIFS(OFFSET($A$1,ROW(),32,1000-ROW(),1),OFFSET($A$1,ROW(),20,1000-ROW(),1),ROW(),OFFSET($A$1,ROW(),21,1000-ROW(),1),"Sub"))))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IF($V42&lt;&gt;"Sub","",N($X42)*IF(AND(ISNUMBER($G42),$G42&lt;=IF($S42=MesCiclo,InicioCiclo,$S42+MOD(2-WEEKDAY($S42),7))+6),1,MIN(1,MAX(0,IF(ISNUMBER(OFFSET($A$1,ROW()-1,8)),OFFSET($A$1,ROW()-1,8),0)))))</f>
        <v/>
      </c>
      <c r="AE42" s="62">
        <f>IF($V42&lt;&gt;"Sub","",N($X42)*IF(AND(ISNUMBER($G42),$G42&lt;=IF($S42=MesCiclo,InicioCiclo,$S42+MOD(2-WEEKDAY($S42),7))+13),1,MIN(1,MAX(0,IF(ISNUMBER(OFFSET($A$1,ROW()-1,9)),OFFSET($A$1,ROW()-1,9),IF(ISNUMBER(OFFSET($A$1,ROW()-1,8)),OFFSET($A$1,ROW()-1,8),0))))))</f>
        <v/>
      </c>
      <c r="AF42" s="62">
        <f>IF($V42&lt;&gt;"Sub","",N($X42)*IF(AND(ISNUMBER($G42),$G42&lt;=IF($S42=MesCiclo,InicioCiclo,$S42+MOD(2-WEEKDAY($S42),7))+20),1,MIN(1,MAX(0,IF(ISNUMBER(OFFSET($A$1,ROW()-1,10)),OFFSET($A$1,ROW()-1,10),IF(ISNUMBER(OFFSET($A$1,ROW()-1,9)),OFFSET($A$1,ROW()-1,9),IF(ISNUMBER(OFFSET($A$1,ROW()-1,8)),OFFSET($A$1,ROW()-1,8),0)))))))</f>
        <v/>
      </c>
      <c r="AG42" s="62">
        <f>IF($V42&lt;&gt;"Sub","",N($X42)*IF(AND(ISNUMBER($G42),$G42&lt;=IF($S42=MesCiclo,InicioCiclo,$S42+MOD(2-WEEKDAY($S42),7))+27),1,MIN(1,MAX(0,IF(ISNUMBER(OFFSET($A$1,ROW()-1,11)),OFFSET($A$1,ROW()-1,11),IF(ISNUMBER(OFFSET($A$1,ROW()-1,10)),OFFSET($A$1,ROW()-1,10),IF(ISNUMBER(OFFSET($A$1,ROW()-1,9)),OFFSET($A$1,ROW()-1,9),IF(ISNUMBER(OFFSET($A$1,ROW()-1,8)),OFFSET($A$1,ROW()-1,8),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",IFERROR(MATCH("Riesgo Operacional|"&amp;MID($C42,12,500),rDname_ADM,0),0),"")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IF(N($W43)=0,"",IF(AND($S43=MesCiclo,1&gt;SemanaActual),"",MIN(1,SUMIFS(OFFSET($A$1,ROW(),29,1000-ROW(),1),OFFSET($A$1,ROW(),20,1000-ROW(),1),ROW(),OFFSET($A$1,ROW(),21,1000-ROW(),1),"Sub"))))</f>
        <v/>
      </c>
      <c r="J43" s="60">
        <f>IF(N($W43)=0,"",IF(AND($S43=MesCiclo,2&gt;SemanaActual),"",MIN(1,SUMIFS(OFFSET($A$1,ROW(),30,1000-ROW(),1),OFFSET($A$1,ROW(),20,1000-ROW(),1),ROW(),OFFSET($A$1,ROW(),21,1000-ROW(),1),"Sub"))))</f>
        <v/>
      </c>
      <c r="K43" s="60">
        <f>IF(N($W43)=0,"",IF(AND($S43=MesCiclo,3&gt;SemanaActual),"",MIN(1,SUMIFS(OFFSET($A$1,ROW(),31,1000-ROW(),1),OFFSET($A$1,ROW(),20,1000-ROW(),1),ROW(),OFFSET($A$1,ROW(),21,1000-ROW(),1),"Sub"))))</f>
        <v/>
      </c>
      <c r="L43" s="60">
        <f>IF(N($W43)=0,"",IF(AND($S43=MesCiclo,4&gt;SemanaActual),"",MIN(1,SUMIFS(OFFSET($A$1,ROW(),32,1000-ROW(),1),OFFSET($A$1,ROW(),20,1000-ROW(),1),ROW(),OFFSET($A$1,ROW(),21,1000-ROW(),1),"Sub"))))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IF($V43&lt;&gt;"Sub","",N($X43)*IF(AND(ISNUMBER($G43),$G43&lt;=IF($S43=MesCiclo,InicioCiclo,$S43+MOD(2-WEEKDAY($S43),7))+6),1,MIN(1,MAX(0,IF(ISNUMBER(OFFSET($A$1,ROW()-1,8)),OFFSET($A$1,ROW()-1,8),0)))))</f>
        <v/>
      </c>
      <c r="AE43" s="62">
        <f>IF($V43&lt;&gt;"Sub","",N($X43)*IF(AND(ISNUMBER($G43),$G43&lt;=IF($S43=MesCiclo,InicioCiclo,$S43+MOD(2-WEEKDAY($S43),7))+13),1,MIN(1,MAX(0,IF(ISNUMBER(OFFSET($A$1,ROW()-1,9)),OFFSET($A$1,ROW()-1,9),IF(ISNUMBER(OFFSET($A$1,ROW()-1,8)),OFFSET($A$1,ROW()-1,8),0))))))</f>
        <v/>
      </c>
      <c r="AF43" s="62">
        <f>IF($V43&lt;&gt;"Sub","",N($X43)*IF(AND(ISNUMBER($G43),$G43&lt;=IF($S43=MesCiclo,InicioCiclo,$S43+MOD(2-WEEKDAY($S43),7))+20),1,MIN(1,MAX(0,IF(ISNUMBER(OFFSET($A$1,ROW()-1,10)),OFFSET($A$1,ROW()-1,10),IF(ISNUMBER(OFFSET($A$1,ROW()-1,9)),OFFSET($A$1,ROW()-1,9),IF(ISNUMBER(OFFSET($A$1,ROW()-1,8)),OFFSET($A$1,ROW()-1,8),0)))))))</f>
        <v/>
      </c>
      <c r="AG43" s="62">
        <f>IF($V43&lt;&gt;"Sub","",N($X43)*IF(AND(ISNUMBER($G43),$G43&lt;=IF($S43=MesCiclo,InicioCiclo,$S43+MOD(2-WEEKDAY($S43),7))+27),1,MIN(1,MAX(0,IF(ISNUMBER(OFFSET($A$1,ROW()-1,11)),OFFSET($A$1,ROW()-1,11),IF(ISNUMBER(OFFSET($A$1,ROW()-1,10)),OFFSET($A$1,ROW()-1,10),IF(ISNUMBER(OFFSET($A$1,ROW()-1,9)),OFFSET($A$1,ROW()-1,9),IF(ISNUMBER(OFFSET($A$1,ROW()-1,8)),OFFSET($A$1,ROW()-1,8),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",IFERROR(MATCH("Riesgo Operacional|"&amp;MID($C43,12,500),rDname_ADM,0),0),"")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IF(N($W44)=0,"",IF(AND($S44=MesCiclo,1&gt;SemanaActual),"",MIN(1,SUMIFS(OFFSET($A$1,ROW(),29,1000-ROW(),1),OFFSET($A$1,ROW(),20,1000-ROW(),1),ROW(),OFFSET($A$1,ROW(),21,1000-ROW(),1),"Sub"))))</f>
        <v/>
      </c>
      <c r="J44" s="60">
        <f>IF(N($W44)=0,"",IF(AND($S44=MesCiclo,2&gt;SemanaActual),"",MIN(1,SUMIFS(OFFSET($A$1,ROW(),30,1000-ROW(),1),OFFSET($A$1,ROW(),20,1000-ROW(),1),ROW(),OFFSET($A$1,ROW(),21,1000-ROW(),1),"Sub"))))</f>
        <v/>
      </c>
      <c r="K44" s="60">
        <f>IF(N($W44)=0,"",IF(AND($S44=MesCiclo,3&gt;SemanaActual),"",MIN(1,SUMIFS(OFFSET($A$1,ROW(),31,1000-ROW(),1),OFFSET($A$1,ROW(),20,1000-ROW(),1),ROW(),OFFSET($A$1,ROW(),21,1000-ROW(),1),"Sub"))))</f>
        <v/>
      </c>
      <c r="L44" s="60">
        <f>IF(N($W44)=0,"",IF(AND($S44=MesCiclo,4&gt;SemanaActual),"",MIN(1,SUMIFS(OFFSET($A$1,ROW(),32,1000-ROW(),1),OFFSET($A$1,ROW(),20,1000-ROW(),1),ROW(),OFFSET($A$1,ROW(),21,1000-ROW(),1),"Sub"))))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IF($V44&lt;&gt;"Sub","",N($X44)*IF(AND(ISNUMBER($G44),$G44&lt;=IF($S44=MesCiclo,InicioCiclo,$S44+MOD(2-WEEKDAY($S44),7))+6),1,MIN(1,MAX(0,IF(ISNUMBER(OFFSET($A$1,ROW()-1,8)),OFFSET($A$1,ROW()-1,8),0)))))</f>
        <v/>
      </c>
      <c r="AE44" s="62">
        <f>IF($V44&lt;&gt;"Sub","",N($X44)*IF(AND(ISNUMBER($G44),$G44&lt;=IF($S44=MesCiclo,InicioCiclo,$S44+MOD(2-WEEKDAY($S44),7))+13),1,MIN(1,MAX(0,IF(ISNUMBER(OFFSET($A$1,ROW()-1,9)),OFFSET($A$1,ROW()-1,9),IF(ISNUMBER(OFFSET($A$1,ROW()-1,8)),OFFSET($A$1,ROW()-1,8),0))))))</f>
        <v/>
      </c>
      <c r="AF44" s="62">
        <f>IF($V44&lt;&gt;"Sub","",N($X44)*IF(AND(ISNUMBER($G44),$G44&lt;=IF($S44=MesCiclo,InicioCiclo,$S44+MOD(2-WEEKDAY($S44),7))+20),1,MIN(1,MAX(0,IF(ISNUMBER(OFFSET($A$1,ROW()-1,10)),OFFSET($A$1,ROW()-1,10),IF(ISNUMBER(OFFSET($A$1,ROW()-1,9)),OFFSET($A$1,ROW()-1,9),IF(ISNUMBER(OFFSET($A$1,ROW()-1,8)),OFFSET($A$1,ROW()-1,8),0)))))))</f>
        <v/>
      </c>
      <c r="AG44" s="62">
        <f>IF($V44&lt;&gt;"Sub","",N($X44)*IF(AND(ISNUMBER($G44),$G44&lt;=IF($S44=MesCiclo,InicioCiclo,$S44+MOD(2-WEEKDAY($S44),7))+27),1,MIN(1,MAX(0,IF(ISNUMBER(OFFSET($A$1,ROW()-1,11)),OFFSET($A$1,ROW()-1,11),IF(ISNUMBER(OFFSET($A$1,ROW()-1,10)),OFFSET($A$1,ROW()-1,10),IF(ISNUMBER(OFFSET($A$1,ROW()-1,9)),OFFSET($A$1,ROW()-1,9),IF(ISNUMBER(OFFSET($A$1,ROW()-1,8)),OFFSET($A$1,ROW()-1,8),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",IFERROR(MATCH("Riesgo Operacional|"&amp;MID($C44,12,500),rDname_ADM,0),0),"")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IF(N($W45)=0,"",IF(AND($S45=MesCiclo,1&gt;SemanaActual),"",MIN(1,SUMIFS(OFFSET($A$1,ROW(),29,1000-ROW(),1),OFFSET($A$1,ROW(),20,1000-ROW(),1),ROW(),OFFSET($A$1,ROW(),21,1000-ROW(),1),"Sub"))))</f>
        <v/>
      </c>
      <c r="J45" s="60">
        <f>IF(N($W45)=0,"",IF(AND($S45=MesCiclo,2&gt;SemanaActual),"",MIN(1,SUMIFS(OFFSET($A$1,ROW(),30,1000-ROW(),1),OFFSET($A$1,ROW(),20,1000-ROW(),1),ROW(),OFFSET($A$1,ROW(),21,1000-ROW(),1),"Sub"))))</f>
        <v/>
      </c>
      <c r="K45" s="60">
        <f>IF(N($W45)=0,"",IF(AND($S45=MesCiclo,3&gt;SemanaActual),"",MIN(1,SUMIFS(OFFSET($A$1,ROW(),31,1000-ROW(),1),OFFSET($A$1,ROW(),20,1000-ROW(),1),ROW(),OFFSET($A$1,ROW(),21,1000-ROW(),1),"Sub"))))</f>
        <v/>
      </c>
      <c r="L45" s="60">
        <f>IF(N($W45)=0,"",IF(AND($S45=MesCiclo,4&gt;SemanaActual),"",MIN(1,SUMIFS(OFFSET($A$1,ROW(),32,1000-ROW(),1),OFFSET($A$1,ROW(),20,1000-ROW(),1),ROW(),OFFSET($A$1,ROW(),21,1000-ROW(),1),"Sub"))))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IF($V45&lt;&gt;"Sub","",N($X45)*IF(AND(ISNUMBER($G45),$G45&lt;=IF($S45=MesCiclo,InicioCiclo,$S45+MOD(2-WEEKDAY($S45),7))+6),1,MIN(1,MAX(0,IF(ISNUMBER(OFFSET($A$1,ROW()-1,8)),OFFSET($A$1,ROW()-1,8),0)))))</f>
        <v/>
      </c>
      <c r="AE45" s="62">
        <f>IF($V45&lt;&gt;"Sub","",N($X45)*IF(AND(ISNUMBER($G45),$G45&lt;=IF($S45=MesCiclo,InicioCiclo,$S45+MOD(2-WEEKDAY($S45),7))+13),1,MIN(1,MAX(0,IF(ISNUMBER(OFFSET($A$1,ROW()-1,9)),OFFSET($A$1,ROW()-1,9),IF(ISNUMBER(OFFSET($A$1,ROW()-1,8)),OFFSET($A$1,ROW()-1,8),0))))))</f>
        <v/>
      </c>
      <c r="AF45" s="62">
        <f>IF($V45&lt;&gt;"Sub","",N($X45)*IF(AND(ISNUMBER($G45),$G45&lt;=IF($S45=MesCiclo,InicioCiclo,$S45+MOD(2-WEEKDAY($S45),7))+20),1,MIN(1,MAX(0,IF(ISNUMBER(OFFSET($A$1,ROW()-1,10)),OFFSET($A$1,ROW()-1,10),IF(ISNUMBER(OFFSET($A$1,ROW()-1,9)),OFFSET($A$1,ROW()-1,9),IF(ISNUMBER(OFFSET($A$1,ROW()-1,8)),OFFSET($A$1,ROW()-1,8),0)))))))</f>
        <v/>
      </c>
      <c r="AG45" s="62">
        <f>IF($V45&lt;&gt;"Sub","",N($X45)*IF(AND(ISNUMBER($G45),$G45&lt;=IF($S45=MesCiclo,InicioCiclo,$S45+MOD(2-WEEKDAY($S45),7))+27),1,MIN(1,MAX(0,IF(ISNUMBER(OFFSET($A$1,ROW()-1,11)),OFFSET($A$1,ROW()-1,11),IF(ISNUMBER(OFFSET($A$1,ROW()-1,10)),OFFSET($A$1,ROW()-1,10),IF(ISNUMBER(OFFSET($A$1,ROW()-1,9)),OFFSET($A$1,ROW()-1,9),IF(ISNUMBER(OFFSET($A$1,ROW()-1,8)),OFFSET($A$1,ROW()-1,8),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",IFERROR(MATCH("Riesgo Operacional|"&amp;MID($C45,12,500),rDname_ADM,0),0),"")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IF(N($W46)=0,"",IF(AND($S46=MesCiclo,1&gt;SemanaActual),"",MIN(1,SUMIFS(OFFSET($A$1,ROW(),29,1000-ROW(),1),OFFSET($A$1,ROW(),20,1000-ROW(),1),ROW(),OFFSET($A$1,ROW(),21,1000-ROW(),1),"Sub"))))</f>
        <v/>
      </c>
      <c r="J46" s="60">
        <f>IF(N($W46)=0,"",IF(AND($S46=MesCiclo,2&gt;SemanaActual),"",MIN(1,SUMIFS(OFFSET($A$1,ROW(),30,1000-ROW(),1),OFFSET($A$1,ROW(),20,1000-ROW(),1),ROW(),OFFSET($A$1,ROW(),21,1000-ROW(),1),"Sub"))))</f>
        <v/>
      </c>
      <c r="K46" s="60">
        <f>IF(N($W46)=0,"",IF(AND($S46=MesCiclo,3&gt;SemanaActual),"",MIN(1,SUMIFS(OFFSET($A$1,ROW(),31,1000-ROW(),1),OFFSET($A$1,ROW(),20,1000-ROW(),1),ROW(),OFFSET($A$1,ROW(),21,1000-ROW(),1),"Sub"))))</f>
        <v/>
      </c>
      <c r="L46" s="60">
        <f>IF(N($W46)=0,"",IF(AND($S46=MesCiclo,4&gt;SemanaActual),"",MIN(1,SUMIFS(OFFSET($A$1,ROW(),32,1000-ROW(),1),OFFSET($A$1,ROW(),20,1000-ROW(),1),ROW(),OFFSET($A$1,ROW(),21,1000-ROW(),1),"Sub"))))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IF($V46&lt;&gt;"Sub","",N($X46)*IF(AND(ISNUMBER($G46),$G46&lt;=IF($S46=MesCiclo,InicioCiclo,$S46+MOD(2-WEEKDAY($S46),7))+6),1,MIN(1,MAX(0,IF(ISNUMBER(OFFSET($A$1,ROW()-1,8)),OFFSET($A$1,ROW()-1,8),0)))))</f>
        <v/>
      </c>
      <c r="AE46" s="62">
        <f>IF($V46&lt;&gt;"Sub","",N($X46)*IF(AND(ISNUMBER($G46),$G46&lt;=IF($S46=MesCiclo,InicioCiclo,$S46+MOD(2-WEEKDAY($S46),7))+13),1,MIN(1,MAX(0,IF(ISNUMBER(OFFSET($A$1,ROW()-1,9)),OFFSET($A$1,ROW()-1,9),IF(ISNUMBER(OFFSET($A$1,ROW()-1,8)),OFFSET($A$1,ROW()-1,8),0))))))</f>
        <v/>
      </c>
      <c r="AF46" s="62">
        <f>IF($V46&lt;&gt;"Sub","",N($X46)*IF(AND(ISNUMBER($G46),$G46&lt;=IF($S46=MesCiclo,InicioCiclo,$S46+MOD(2-WEEKDAY($S46),7))+20),1,MIN(1,MAX(0,IF(ISNUMBER(OFFSET($A$1,ROW()-1,10)),OFFSET($A$1,ROW()-1,10),IF(ISNUMBER(OFFSET($A$1,ROW()-1,9)),OFFSET($A$1,ROW()-1,9),IF(ISNUMBER(OFFSET($A$1,ROW()-1,8)),OFFSET($A$1,ROW()-1,8),0)))))))</f>
        <v/>
      </c>
      <c r="AG46" s="62">
        <f>IF($V46&lt;&gt;"Sub","",N($X46)*IF(AND(ISNUMBER($G46),$G46&lt;=IF($S46=MesCiclo,InicioCiclo,$S46+MOD(2-WEEKDAY($S46),7))+27),1,MIN(1,MAX(0,IF(ISNUMBER(OFFSET($A$1,ROW()-1,11)),OFFSET($A$1,ROW()-1,11),IF(ISNUMBER(OFFSET($A$1,ROW()-1,10)),OFFSET($A$1,ROW()-1,10),IF(ISNUMBER(OFFSET($A$1,ROW()-1,9)),OFFSET($A$1,ROW()-1,9),IF(ISNUMBER(OFFSET($A$1,ROW()-1,8)),OFFSET($A$1,ROW()-1,8),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",IFERROR(MATCH("Riesgo Operacional|"&amp;MID($C46,12,500),rDname_ADM,0),0),"")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IF(N($W47)=0,"",IF(AND($S47=MesCiclo,1&gt;SemanaActual),"",MIN(1,SUMIFS(OFFSET($A$1,ROW(),29,1000-ROW(),1),OFFSET($A$1,ROW(),20,1000-ROW(),1),ROW(),OFFSET($A$1,ROW(),21,1000-ROW(),1),"Sub"))))</f>
        <v/>
      </c>
      <c r="J47" s="60">
        <f>IF(N($W47)=0,"",IF(AND($S47=MesCiclo,2&gt;SemanaActual),"",MIN(1,SUMIFS(OFFSET($A$1,ROW(),30,1000-ROW(),1),OFFSET($A$1,ROW(),20,1000-ROW(),1),ROW(),OFFSET($A$1,ROW(),21,1000-ROW(),1),"Sub"))))</f>
        <v/>
      </c>
      <c r="K47" s="60">
        <f>IF(N($W47)=0,"",IF(AND($S47=MesCiclo,3&gt;SemanaActual),"",MIN(1,SUMIFS(OFFSET($A$1,ROW(),31,1000-ROW(),1),OFFSET($A$1,ROW(),20,1000-ROW(),1),ROW(),OFFSET($A$1,ROW(),21,1000-ROW(),1),"Sub"))))</f>
        <v/>
      </c>
      <c r="L47" s="60">
        <f>IF(N($W47)=0,"",IF(AND($S47=MesCiclo,4&gt;SemanaActual),"",MIN(1,SUMIFS(OFFSET($A$1,ROW(),32,1000-ROW(),1),OFFSET($A$1,ROW(),20,1000-ROW(),1),ROW(),OFFSET($A$1,ROW(),21,1000-ROW(),1),"Sub"))))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IF($V47&lt;&gt;"Sub","",N($X47)*IF(AND(ISNUMBER($G47),$G47&lt;=IF($S47=MesCiclo,InicioCiclo,$S47+MOD(2-WEEKDAY($S47),7))+6),1,MIN(1,MAX(0,IF(ISNUMBER(OFFSET($A$1,ROW()-1,8)),OFFSET($A$1,ROW()-1,8),0)))))</f>
        <v/>
      </c>
      <c r="AE47" s="62">
        <f>IF($V47&lt;&gt;"Sub","",N($X47)*IF(AND(ISNUMBER($G47),$G47&lt;=IF($S47=MesCiclo,InicioCiclo,$S47+MOD(2-WEEKDAY($S47),7))+13),1,MIN(1,MAX(0,IF(ISNUMBER(OFFSET($A$1,ROW()-1,9)),OFFSET($A$1,ROW()-1,9),IF(ISNUMBER(OFFSET($A$1,ROW()-1,8)),OFFSET($A$1,ROW()-1,8),0))))))</f>
        <v/>
      </c>
      <c r="AF47" s="62">
        <f>IF($V47&lt;&gt;"Sub","",N($X47)*IF(AND(ISNUMBER($G47),$G47&lt;=IF($S47=MesCiclo,InicioCiclo,$S47+MOD(2-WEEKDAY($S47),7))+20),1,MIN(1,MAX(0,IF(ISNUMBER(OFFSET($A$1,ROW()-1,10)),OFFSET($A$1,ROW()-1,10),IF(ISNUMBER(OFFSET($A$1,ROW()-1,9)),OFFSET($A$1,ROW()-1,9),IF(ISNUMBER(OFFSET($A$1,ROW()-1,8)),OFFSET($A$1,ROW()-1,8),0)))))))</f>
        <v/>
      </c>
      <c r="AG47" s="62">
        <f>IF($V47&lt;&gt;"Sub","",N($X47)*IF(AND(ISNUMBER($G47),$G47&lt;=IF($S47=MesCiclo,InicioCiclo,$S47+MOD(2-WEEKDAY($S47),7))+27),1,MIN(1,MAX(0,IF(ISNUMBER(OFFSET($A$1,ROW()-1,11)),OFFSET($A$1,ROW()-1,11),IF(ISNUMBER(OFFSET($A$1,ROW()-1,10)),OFFSET($A$1,ROW()-1,10),IF(ISNUMBER(OFFSET($A$1,ROW()-1,9)),OFFSET($A$1,ROW()-1,9),IF(ISNUMBER(OFFSET($A$1,ROW()-1,8)),OFFSET($A$1,ROW()-1,8),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",IFERROR(MATCH("Riesgo Operacional|"&amp;MID($C47,12,500),rDname_ADM,0),0),"")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IF(N($W48)=0,"",IF(AND($S48=MesCiclo,1&gt;SemanaActual),"",MIN(1,SUMIFS(OFFSET($A$1,ROW(),29,1000-ROW(),1),OFFSET($A$1,ROW(),20,1000-ROW(),1),ROW(),OFFSET($A$1,ROW(),21,1000-ROW(),1),"Sub"))))</f>
        <v/>
      </c>
      <c r="J48" s="60">
        <f>IF(N($W48)=0,"",IF(AND($S48=MesCiclo,2&gt;SemanaActual),"",MIN(1,SUMIFS(OFFSET($A$1,ROW(),30,1000-ROW(),1),OFFSET($A$1,ROW(),20,1000-ROW(),1),ROW(),OFFSET($A$1,ROW(),21,1000-ROW(),1),"Sub"))))</f>
        <v/>
      </c>
      <c r="K48" s="60">
        <f>IF(N($W48)=0,"",IF(AND($S48=MesCiclo,3&gt;SemanaActual),"",MIN(1,SUMIFS(OFFSET($A$1,ROW(),31,1000-ROW(),1),OFFSET($A$1,ROW(),20,1000-ROW(),1),ROW(),OFFSET($A$1,ROW(),21,1000-ROW(),1),"Sub"))))</f>
        <v/>
      </c>
      <c r="L48" s="60">
        <f>IF(N($W48)=0,"",IF(AND($S48=MesCiclo,4&gt;SemanaActual),"",MIN(1,SUMIFS(OFFSET($A$1,ROW(),32,1000-ROW(),1),OFFSET($A$1,ROW(),20,1000-ROW(),1),ROW(),OFFSET($A$1,ROW(),21,1000-ROW(),1),"Sub"))))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IF($V48&lt;&gt;"Sub","",N($X48)*IF(AND(ISNUMBER($G48),$G48&lt;=IF($S48=MesCiclo,InicioCiclo,$S48+MOD(2-WEEKDAY($S48),7))+6),1,MIN(1,MAX(0,IF(ISNUMBER(OFFSET($A$1,ROW()-1,8)),OFFSET($A$1,ROW()-1,8),0)))))</f>
        <v/>
      </c>
      <c r="AE48" s="62">
        <f>IF($V48&lt;&gt;"Sub","",N($X48)*IF(AND(ISNUMBER($G48),$G48&lt;=IF($S48=MesCiclo,InicioCiclo,$S48+MOD(2-WEEKDAY($S48),7))+13),1,MIN(1,MAX(0,IF(ISNUMBER(OFFSET($A$1,ROW()-1,9)),OFFSET($A$1,ROW()-1,9),IF(ISNUMBER(OFFSET($A$1,ROW()-1,8)),OFFSET($A$1,ROW()-1,8),0))))))</f>
        <v/>
      </c>
      <c r="AF48" s="62">
        <f>IF($V48&lt;&gt;"Sub","",N($X48)*IF(AND(ISNUMBER($G48),$G48&lt;=IF($S48=MesCiclo,InicioCiclo,$S48+MOD(2-WEEKDAY($S48),7))+20),1,MIN(1,MAX(0,IF(ISNUMBER(OFFSET($A$1,ROW()-1,10)),OFFSET($A$1,ROW()-1,10),IF(ISNUMBER(OFFSET($A$1,ROW()-1,9)),OFFSET($A$1,ROW()-1,9),IF(ISNUMBER(OFFSET($A$1,ROW()-1,8)),OFFSET($A$1,ROW()-1,8),0)))))))</f>
        <v/>
      </c>
      <c r="AG48" s="62">
        <f>IF($V48&lt;&gt;"Sub","",N($X48)*IF(AND(ISNUMBER($G48),$G48&lt;=IF($S48=MesCiclo,InicioCiclo,$S48+MOD(2-WEEKDAY($S48),7))+27),1,MIN(1,MAX(0,IF(ISNUMBER(OFFSET($A$1,ROW()-1,11)),OFFSET($A$1,ROW()-1,11),IF(ISNUMBER(OFFSET($A$1,ROW()-1,10)),OFFSET($A$1,ROW()-1,10),IF(ISNUMBER(OFFSET($A$1,ROW()-1,9)),OFFSET($A$1,ROW()-1,9),IF(ISNUMBER(OFFSET($A$1,ROW()-1,8)),OFFSET($A$1,ROW()-1,8),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",IFERROR(MATCH("Riesgo Operacional|"&amp;MID($C48,12,500),rDname_ADM,0),0),"")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IF(N($W49)=0,"",IF(AND($S49=MesCiclo,1&gt;SemanaActual),"",MIN(1,SUMIFS(OFFSET($A$1,ROW(),29,1000-ROW(),1),OFFSET($A$1,ROW(),20,1000-ROW(),1),ROW(),OFFSET($A$1,ROW(),21,1000-ROW(),1),"Sub"))))</f>
        <v/>
      </c>
      <c r="J49" s="60">
        <f>IF(N($W49)=0,"",IF(AND($S49=MesCiclo,2&gt;SemanaActual),"",MIN(1,SUMIFS(OFFSET($A$1,ROW(),30,1000-ROW(),1),OFFSET($A$1,ROW(),20,1000-ROW(),1),ROW(),OFFSET($A$1,ROW(),21,1000-ROW(),1),"Sub"))))</f>
        <v/>
      </c>
      <c r="K49" s="60">
        <f>IF(N($W49)=0,"",IF(AND($S49=MesCiclo,3&gt;SemanaActual),"",MIN(1,SUMIFS(OFFSET($A$1,ROW(),31,1000-ROW(),1),OFFSET($A$1,ROW(),20,1000-ROW(),1),ROW(),OFFSET($A$1,ROW(),21,1000-ROW(),1),"Sub"))))</f>
        <v/>
      </c>
      <c r="L49" s="60">
        <f>IF(N($W49)=0,"",IF(AND($S49=MesCiclo,4&gt;SemanaActual),"",MIN(1,SUMIFS(OFFSET($A$1,ROW(),32,1000-ROW(),1),OFFSET($A$1,ROW(),20,1000-ROW(),1),ROW(),OFFSET($A$1,ROW(),21,1000-ROW(),1),"Sub"))))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IF($V49&lt;&gt;"Sub","",N($X49)*IF(AND(ISNUMBER($G49),$G49&lt;=IF($S49=MesCiclo,InicioCiclo,$S49+MOD(2-WEEKDAY($S49),7))+6),1,MIN(1,MAX(0,IF(ISNUMBER(OFFSET($A$1,ROW()-1,8)),OFFSET($A$1,ROW()-1,8),0)))))</f>
        <v/>
      </c>
      <c r="AE49" s="62">
        <f>IF($V49&lt;&gt;"Sub","",N($X49)*IF(AND(ISNUMBER($G49),$G49&lt;=IF($S49=MesCiclo,InicioCiclo,$S49+MOD(2-WEEKDAY($S49),7))+13),1,MIN(1,MAX(0,IF(ISNUMBER(OFFSET($A$1,ROW()-1,9)),OFFSET($A$1,ROW()-1,9),IF(ISNUMBER(OFFSET($A$1,ROW()-1,8)),OFFSET($A$1,ROW()-1,8),0))))))</f>
        <v/>
      </c>
      <c r="AF49" s="62">
        <f>IF($V49&lt;&gt;"Sub","",N($X49)*IF(AND(ISNUMBER($G49),$G49&lt;=IF($S49=MesCiclo,InicioCiclo,$S49+MOD(2-WEEKDAY($S49),7))+20),1,MIN(1,MAX(0,IF(ISNUMBER(OFFSET($A$1,ROW()-1,10)),OFFSET($A$1,ROW()-1,10),IF(ISNUMBER(OFFSET($A$1,ROW()-1,9)),OFFSET($A$1,ROW()-1,9),IF(ISNUMBER(OFFSET($A$1,ROW()-1,8)),OFFSET($A$1,ROW()-1,8),0)))))))</f>
        <v/>
      </c>
      <c r="AG49" s="62">
        <f>IF($V49&lt;&gt;"Sub","",N($X49)*IF(AND(ISNUMBER($G49),$G49&lt;=IF($S49=MesCiclo,InicioCiclo,$S49+MOD(2-WEEKDAY($S49),7))+27),1,MIN(1,MAX(0,IF(ISNUMBER(OFFSET($A$1,ROW()-1,11)),OFFSET($A$1,ROW()-1,11),IF(ISNUMBER(OFFSET($A$1,ROW()-1,10)),OFFSET($A$1,ROW()-1,10),IF(ISNUMBER(OFFSET($A$1,ROW()-1,9)),OFFSET($A$1,ROW()-1,9),IF(ISNUMBER(OFFSET($A$1,ROW()-1,8)),OFFSET($A$1,ROW()-1,8),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",IFERROR(MATCH("Riesgo Operacional|"&amp;MID($C49,12,500),rDname_ADM,0),0),"")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IF(N($W50)=0,"",IF(AND($S50=MesCiclo,1&gt;SemanaActual),"",MIN(1,SUMIFS(OFFSET($A$1,ROW(),29,1000-ROW(),1),OFFSET($A$1,ROW(),20,1000-ROW(),1),ROW(),OFFSET($A$1,ROW(),21,1000-ROW(),1),"Sub"))))</f>
        <v/>
      </c>
      <c r="J50" s="60">
        <f>IF(N($W50)=0,"",IF(AND($S50=MesCiclo,2&gt;SemanaActual),"",MIN(1,SUMIFS(OFFSET($A$1,ROW(),30,1000-ROW(),1),OFFSET($A$1,ROW(),20,1000-ROW(),1),ROW(),OFFSET($A$1,ROW(),21,1000-ROW(),1),"Sub"))))</f>
        <v/>
      </c>
      <c r="K50" s="60">
        <f>IF(N($W50)=0,"",IF(AND($S50=MesCiclo,3&gt;SemanaActual),"",MIN(1,SUMIFS(OFFSET($A$1,ROW(),31,1000-ROW(),1),OFFSET($A$1,ROW(),20,1000-ROW(),1),ROW(),OFFSET($A$1,ROW(),21,1000-ROW(),1),"Sub"))))</f>
        <v/>
      </c>
      <c r="L50" s="60">
        <f>IF(N($W50)=0,"",IF(AND($S50=MesCiclo,4&gt;SemanaActual),"",MIN(1,SUMIFS(OFFSET($A$1,ROW(),32,1000-ROW(),1),OFFSET($A$1,ROW(),20,1000-ROW(),1),ROW(),OFFSET($A$1,ROW(),21,1000-ROW(),1),"Sub"))))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IF($V50&lt;&gt;"Sub","",N($X50)*IF(AND(ISNUMBER($G50),$G50&lt;=IF($S50=MesCiclo,InicioCiclo,$S50+MOD(2-WEEKDAY($S50),7))+6),1,MIN(1,MAX(0,IF(ISNUMBER(OFFSET($A$1,ROW()-1,8)),OFFSET($A$1,ROW()-1,8),0)))))</f>
        <v/>
      </c>
      <c r="AE50" s="62">
        <f>IF($V50&lt;&gt;"Sub","",N($X50)*IF(AND(ISNUMBER($G50),$G50&lt;=IF($S50=MesCiclo,InicioCiclo,$S50+MOD(2-WEEKDAY($S50),7))+13),1,MIN(1,MAX(0,IF(ISNUMBER(OFFSET($A$1,ROW()-1,9)),OFFSET($A$1,ROW()-1,9),IF(ISNUMBER(OFFSET($A$1,ROW()-1,8)),OFFSET($A$1,ROW()-1,8),0))))))</f>
        <v/>
      </c>
      <c r="AF50" s="62">
        <f>IF($V50&lt;&gt;"Sub","",N($X50)*IF(AND(ISNUMBER($G50),$G50&lt;=IF($S50=MesCiclo,InicioCiclo,$S50+MOD(2-WEEKDAY($S50),7))+20),1,MIN(1,MAX(0,IF(ISNUMBER(OFFSET($A$1,ROW()-1,10)),OFFSET($A$1,ROW()-1,10),IF(ISNUMBER(OFFSET($A$1,ROW()-1,9)),OFFSET($A$1,ROW()-1,9),IF(ISNUMBER(OFFSET($A$1,ROW()-1,8)),OFFSET($A$1,ROW()-1,8),0)))))))</f>
        <v/>
      </c>
      <c r="AG50" s="62">
        <f>IF($V50&lt;&gt;"Sub","",N($X50)*IF(AND(ISNUMBER($G50),$G50&lt;=IF($S50=MesCiclo,InicioCiclo,$S50+MOD(2-WEEKDAY($S50),7))+27),1,MIN(1,MAX(0,IF(ISNUMBER(OFFSET($A$1,ROW()-1,11)),OFFSET($A$1,ROW()-1,11),IF(ISNUMBER(OFFSET($A$1,ROW()-1,10)),OFFSET($A$1,ROW()-1,10),IF(ISNUMBER(OFFSET($A$1,ROW()-1,9)),OFFSET($A$1,ROW()-1,9),IF(ISNUMBER(OFFSET($A$1,ROW()-1,8)),OFFSET($A$1,ROW()-1,8),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",IFERROR(MATCH("Riesgo Operacional|"&amp;MID($C50,12,500),rDname_ADM,0),0),"")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IF(N($W51)=0,"",IF(AND($S51=MesCiclo,1&gt;SemanaActual),"",MIN(1,SUMIFS(OFFSET($A$1,ROW(),29,1000-ROW(),1),OFFSET($A$1,ROW(),20,1000-ROW(),1),ROW(),OFFSET($A$1,ROW(),21,1000-ROW(),1),"Sub"))))</f>
        <v/>
      </c>
      <c r="J51" s="60">
        <f>IF(N($W51)=0,"",IF(AND($S51=MesCiclo,2&gt;SemanaActual),"",MIN(1,SUMIFS(OFFSET($A$1,ROW(),30,1000-ROW(),1),OFFSET($A$1,ROW(),20,1000-ROW(),1),ROW(),OFFSET($A$1,ROW(),21,1000-ROW(),1),"Sub"))))</f>
        <v/>
      </c>
      <c r="K51" s="60">
        <f>IF(N($W51)=0,"",IF(AND($S51=MesCiclo,3&gt;SemanaActual),"",MIN(1,SUMIFS(OFFSET($A$1,ROW(),31,1000-ROW(),1),OFFSET($A$1,ROW(),20,1000-ROW(),1),ROW(),OFFSET($A$1,ROW(),21,1000-ROW(),1),"Sub"))))</f>
        <v/>
      </c>
      <c r="L51" s="60">
        <f>IF(N($W51)=0,"",IF(AND($S51=MesCiclo,4&gt;SemanaActual),"",MIN(1,SUMIFS(OFFSET($A$1,ROW(),32,1000-ROW(),1),OFFSET($A$1,ROW(),20,1000-ROW(),1),ROW(),OFFSET($A$1,ROW(),21,1000-ROW(),1),"Sub"))))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IF($V51&lt;&gt;"Sub","",N($X51)*IF(AND(ISNUMBER($G51),$G51&lt;=IF($S51=MesCiclo,InicioCiclo,$S51+MOD(2-WEEKDAY($S51),7))+6),1,MIN(1,MAX(0,IF(ISNUMBER(OFFSET($A$1,ROW()-1,8)),OFFSET($A$1,ROW()-1,8),0)))))</f>
        <v/>
      </c>
      <c r="AE51" s="62">
        <f>IF($V51&lt;&gt;"Sub","",N($X51)*IF(AND(ISNUMBER($G51),$G51&lt;=IF($S51=MesCiclo,InicioCiclo,$S51+MOD(2-WEEKDAY($S51),7))+13),1,MIN(1,MAX(0,IF(ISNUMBER(OFFSET($A$1,ROW()-1,9)),OFFSET($A$1,ROW()-1,9),IF(ISNUMBER(OFFSET($A$1,ROW()-1,8)),OFFSET($A$1,ROW()-1,8),0))))))</f>
        <v/>
      </c>
      <c r="AF51" s="62">
        <f>IF($V51&lt;&gt;"Sub","",N($X51)*IF(AND(ISNUMBER($G51),$G51&lt;=IF($S51=MesCiclo,InicioCiclo,$S51+MOD(2-WEEKDAY($S51),7))+20),1,MIN(1,MAX(0,IF(ISNUMBER(OFFSET($A$1,ROW()-1,10)),OFFSET($A$1,ROW()-1,10),IF(ISNUMBER(OFFSET($A$1,ROW()-1,9)),OFFSET($A$1,ROW()-1,9),IF(ISNUMBER(OFFSET($A$1,ROW()-1,8)),OFFSET($A$1,ROW()-1,8),0)))))))</f>
        <v/>
      </c>
      <c r="AG51" s="62">
        <f>IF($V51&lt;&gt;"Sub","",N($X51)*IF(AND(ISNUMBER($G51),$G51&lt;=IF($S51=MesCiclo,InicioCiclo,$S51+MOD(2-WEEKDAY($S51),7))+27),1,MIN(1,MAX(0,IF(ISNUMBER(OFFSET($A$1,ROW()-1,11)),OFFSET($A$1,ROW()-1,11),IF(ISNUMBER(OFFSET($A$1,ROW()-1,10)),OFFSET($A$1,ROW()-1,10),IF(ISNUMBER(OFFSET($A$1,ROW()-1,9)),OFFSET($A$1,ROW()-1,9),IF(ISNUMBER(OFFSET($A$1,ROW()-1,8)),OFFSET($A$1,ROW()-1,8),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",IFERROR(MATCH("Riesgo Operacional|"&amp;MID($C51,12,500),rDname_ADM,0),0),"")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IF(N($W52)=0,"",IF(AND($S52=MesCiclo,1&gt;SemanaActual),"",MIN(1,SUMIFS(OFFSET($A$1,ROW(),29,1000-ROW(),1),OFFSET($A$1,ROW(),20,1000-ROW(),1),ROW(),OFFSET($A$1,ROW(),21,1000-ROW(),1),"Sub"))))</f>
        <v/>
      </c>
      <c r="J52" s="60">
        <f>IF(N($W52)=0,"",IF(AND($S52=MesCiclo,2&gt;SemanaActual),"",MIN(1,SUMIFS(OFFSET($A$1,ROW(),30,1000-ROW(),1),OFFSET($A$1,ROW(),20,1000-ROW(),1),ROW(),OFFSET($A$1,ROW(),21,1000-ROW(),1),"Sub"))))</f>
        <v/>
      </c>
      <c r="K52" s="60">
        <f>IF(N($W52)=0,"",IF(AND($S52=MesCiclo,3&gt;SemanaActual),"",MIN(1,SUMIFS(OFFSET($A$1,ROW(),31,1000-ROW(),1),OFFSET($A$1,ROW(),20,1000-ROW(),1),ROW(),OFFSET($A$1,ROW(),21,1000-ROW(),1),"Sub"))))</f>
        <v/>
      </c>
      <c r="L52" s="60">
        <f>IF(N($W52)=0,"",IF(AND($S52=MesCiclo,4&gt;SemanaActual),"",MIN(1,SUMIFS(OFFSET($A$1,ROW(),32,1000-ROW(),1),OFFSET($A$1,ROW(),20,1000-ROW(),1),ROW(),OFFSET($A$1,ROW(),21,1000-ROW(),1),"Sub"))))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IF($V52&lt;&gt;"Sub","",N($X52)*IF(AND(ISNUMBER($G52),$G52&lt;=IF($S52=MesCiclo,InicioCiclo,$S52+MOD(2-WEEKDAY($S52),7))+6),1,MIN(1,MAX(0,IF(ISNUMBER(OFFSET($A$1,ROW()-1,8)),OFFSET($A$1,ROW()-1,8),0)))))</f>
        <v/>
      </c>
      <c r="AE52" s="62">
        <f>IF($V52&lt;&gt;"Sub","",N($X52)*IF(AND(ISNUMBER($G52),$G52&lt;=IF($S52=MesCiclo,InicioCiclo,$S52+MOD(2-WEEKDAY($S52),7))+13),1,MIN(1,MAX(0,IF(ISNUMBER(OFFSET($A$1,ROW()-1,9)),OFFSET($A$1,ROW()-1,9),IF(ISNUMBER(OFFSET($A$1,ROW()-1,8)),OFFSET($A$1,ROW()-1,8),0))))))</f>
        <v/>
      </c>
      <c r="AF52" s="62">
        <f>IF($V52&lt;&gt;"Sub","",N($X52)*IF(AND(ISNUMBER($G52),$G52&lt;=IF($S52=MesCiclo,InicioCiclo,$S52+MOD(2-WEEKDAY($S52),7))+20),1,MIN(1,MAX(0,IF(ISNUMBER(OFFSET($A$1,ROW()-1,10)),OFFSET($A$1,ROW()-1,10),IF(ISNUMBER(OFFSET($A$1,ROW()-1,9)),OFFSET($A$1,ROW()-1,9),IF(ISNUMBER(OFFSET($A$1,ROW()-1,8)),OFFSET($A$1,ROW()-1,8),0)))))))</f>
        <v/>
      </c>
      <c r="AG52" s="62">
        <f>IF($V52&lt;&gt;"Sub","",N($X52)*IF(AND(ISNUMBER($G52),$G52&lt;=IF($S52=MesCiclo,InicioCiclo,$S52+MOD(2-WEEKDAY($S52),7))+27),1,MIN(1,MAX(0,IF(ISNUMBER(OFFSET($A$1,ROW()-1,11)),OFFSET($A$1,ROW()-1,11),IF(ISNUMBER(OFFSET($A$1,ROW()-1,10)),OFFSET($A$1,ROW()-1,10),IF(ISNUMBER(OFFSET($A$1,ROW()-1,9)),OFFSET($A$1,ROW()-1,9),IF(ISNUMBER(OFFSET($A$1,ROW()-1,8)),OFFSET($A$1,ROW()-1,8),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",IFERROR(MATCH("Riesgo Operacional|"&amp;MID($C52,12,500),rDname_ADM,0),0),"")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IF(N($W53)=0,"",IF(AND($S53=MesCiclo,1&gt;SemanaActual),"",MIN(1,SUMIFS(OFFSET($A$1,ROW(),29,1000-ROW(),1),OFFSET($A$1,ROW(),20,1000-ROW(),1),ROW(),OFFSET($A$1,ROW(),21,1000-ROW(),1),"Sub"))))</f>
        <v/>
      </c>
      <c r="J53" s="60">
        <f>IF(N($W53)=0,"",IF(AND($S53=MesCiclo,2&gt;SemanaActual),"",MIN(1,SUMIFS(OFFSET($A$1,ROW(),30,1000-ROW(),1),OFFSET($A$1,ROW(),20,1000-ROW(),1),ROW(),OFFSET($A$1,ROW(),21,1000-ROW(),1),"Sub"))))</f>
        <v/>
      </c>
      <c r="K53" s="60">
        <f>IF(N($W53)=0,"",IF(AND($S53=MesCiclo,3&gt;SemanaActual),"",MIN(1,SUMIFS(OFFSET($A$1,ROW(),31,1000-ROW(),1),OFFSET($A$1,ROW(),20,1000-ROW(),1),ROW(),OFFSET($A$1,ROW(),21,1000-ROW(),1),"Sub"))))</f>
        <v/>
      </c>
      <c r="L53" s="60">
        <f>IF(N($W53)=0,"",IF(AND($S53=MesCiclo,4&gt;SemanaActual),"",MIN(1,SUMIFS(OFFSET($A$1,ROW(),32,1000-ROW(),1),OFFSET($A$1,ROW(),20,1000-ROW(),1),ROW(),OFFSET($A$1,ROW(),21,1000-ROW(),1),"Sub"))))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IF($V53&lt;&gt;"Sub","",N($X53)*IF(AND(ISNUMBER($G53),$G53&lt;=IF($S53=MesCiclo,InicioCiclo,$S53+MOD(2-WEEKDAY($S53),7))+6),1,MIN(1,MAX(0,IF(ISNUMBER(OFFSET($A$1,ROW()-1,8)),OFFSET($A$1,ROW()-1,8),0)))))</f>
        <v/>
      </c>
      <c r="AE53" s="62">
        <f>IF($V53&lt;&gt;"Sub","",N($X53)*IF(AND(ISNUMBER($G53),$G53&lt;=IF($S53=MesCiclo,InicioCiclo,$S53+MOD(2-WEEKDAY($S53),7))+13),1,MIN(1,MAX(0,IF(ISNUMBER(OFFSET($A$1,ROW()-1,9)),OFFSET($A$1,ROW()-1,9),IF(ISNUMBER(OFFSET($A$1,ROW()-1,8)),OFFSET($A$1,ROW()-1,8),0))))))</f>
        <v/>
      </c>
      <c r="AF53" s="62">
        <f>IF($V53&lt;&gt;"Sub","",N($X53)*IF(AND(ISNUMBER($G53),$G53&lt;=IF($S53=MesCiclo,InicioCiclo,$S53+MOD(2-WEEKDAY($S53),7))+20),1,MIN(1,MAX(0,IF(ISNUMBER(OFFSET($A$1,ROW()-1,10)),OFFSET($A$1,ROW()-1,10),IF(ISNUMBER(OFFSET($A$1,ROW()-1,9)),OFFSET($A$1,ROW()-1,9),IF(ISNUMBER(OFFSET($A$1,ROW()-1,8)),OFFSET($A$1,ROW()-1,8),0)))))))</f>
        <v/>
      </c>
      <c r="AG53" s="62">
        <f>IF($V53&lt;&gt;"Sub","",N($X53)*IF(AND(ISNUMBER($G53),$G53&lt;=IF($S53=MesCiclo,InicioCiclo,$S53+MOD(2-WEEKDAY($S53),7))+27),1,MIN(1,MAX(0,IF(ISNUMBER(OFFSET($A$1,ROW()-1,11)),OFFSET($A$1,ROW()-1,11),IF(ISNUMBER(OFFSET($A$1,ROW()-1,10)),OFFSET($A$1,ROW()-1,10),IF(ISNUMBER(OFFSET($A$1,ROW()-1,9)),OFFSET($A$1,ROW()-1,9),IF(ISNUMBER(OFFSET($A$1,ROW()-1,8)),OFFSET($A$1,ROW()-1,8),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",IFERROR(MATCH("Riesgo Operacional|"&amp;MID($C53,12,500),rDname_ADM,0),0),"")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IF(N($W54)=0,"",IF(AND($S54=MesCiclo,1&gt;SemanaActual),"",MIN(1,SUMIFS(OFFSET($A$1,ROW(),29,1000-ROW(),1),OFFSET($A$1,ROW(),20,1000-ROW(),1),ROW(),OFFSET($A$1,ROW(),21,1000-ROW(),1),"Sub"))))</f>
        <v/>
      </c>
      <c r="J54" s="60">
        <f>IF(N($W54)=0,"",IF(AND($S54=MesCiclo,2&gt;SemanaActual),"",MIN(1,SUMIFS(OFFSET($A$1,ROW(),30,1000-ROW(),1),OFFSET($A$1,ROW(),20,1000-ROW(),1),ROW(),OFFSET($A$1,ROW(),21,1000-ROW(),1),"Sub"))))</f>
        <v/>
      </c>
      <c r="K54" s="60">
        <f>IF(N($W54)=0,"",IF(AND($S54=MesCiclo,3&gt;SemanaActual),"",MIN(1,SUMIFS(OFFSET($A$1,ROW(),31,1000-ROW(),1),OFFSET($A$1,ROW(),20,1000-ROW(),1),ROW(),OFFSET($A$1,ROW(),21,1000-ROW(),1),"Sub"))))</f>
        <v/>
      </c>
      <c r="L54" s="60">
        <f>IF(N($W54)=0,"",IF(AND($S54=MesCiclo,4&gt;SemanaActual),"",MIN(1,SUMIFS(OFFSET($A$1,ROW(),32,1000-ROW(),1),OFFSET($A$1,ROW(),20,1000-ROW(),1),ROW(),OFFSET($A$1,ROW(),21,1000-ROW(),1),"Sub"))))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IF($V54&lt;&gt;"Sub","",N($X54)*IF(AND(ISNUMBER($G54),$G54&lt;=IF($S54=MesCiclo,InicioCiclo,$S54+MOD(2-WEEKDAY($S54),7))+6),1,MIN(1,MAX(0,IF(ISNUMBER(OFFSET($A$1,ROW()-1,8)),OFFSET($A$1,ROW()-1,8),0)))))</f>
        <v/>
      </c>
      <c r="AE54" s="62">
        <f>IF($V54&lt;&gt;"Sub","",N($X54)*IF(AND(ISNUMBER($G54),$G54&lt;=IF($S54=MesCiclo,InicioCiclo,$S54+MOD(2-WEEKDAY($S54),7))+13),1,MIN(1,MAX(0,IF(ISNUMBER(OFFSET($A$1,ROW()-1,9)),OFFSET($A$1,ROW()-1,9),IF(ISNUMBER(OFFSET($A$1,ROW()-1,8)),OFFSET($A$1,ROW()-1,8),0))))))</f>
        <v/>
      </c>
      <c r="AF54" s="62">
        <f>IF($V54&lt;&gt;"Sub","",N($X54)*IF(AND(ISNUMBER($G54),$G54&lt;=IF($S54=MesCiclo,InicioCiclo,$S54+MOD(2-WEEKDAY($S54),7))+20),1,MIN(1,MAX(0,IF(ISNUMBER(OFFSET($A$1,ROW()-1,10)),OFFSET($A$1,ROW()-1,10),IF(ISNUMBER(OFFSET($A$1,ROW()-1,9)),OFFSET($A$1,ROW()-1,9),IF(ISNUMBER(OFFSET($A$1,ROW()-1,8)),OFFSET($A$1,ROW()-1,8),0)))))))</f>
        <v/>
      </c>
      <c r="AG54" s="62">
        <f>IF($V54&lt;&gt;"Sub","",N($X54)*IF(AND(ISNUMBER($G54),$G54&lt;=IF($S54=MesCiclo,InicioCiclo,$S54+MOD(2-WEEKDAY($S54),7))+27),1,MIN(1,MAX(0,IF(ISNUMBER(OFFSET($A$1,ROW()-1,11)),OFFSET($A$1,ROW()-1,11),IF(ISNUMBER(OFFSET($A$1,ROW()-1,10)),OFFSET($A$1,ROW()-1,10),IF(ISNUMBER(OFFSET($A$1,ROW()-1,9)),OFFSET($A$1,ROW()-1,9),IF(ISNUMBER(OFFSET($A$1,ROW()-1,8)),OFFSET($A$1,ROW()-1,8),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",IFERROR(MATCH("Riesgo Operacional|"&amp;MID($C54,12,500),rDname_ADM,0),0),"")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IF(N($W55)=0,"",IF(AND($S55=MesCiclo,1&gt;SemanaActual),"",MIN(1,SUMIFS(OFFSET($A$1,ROW(),29,1000-ROW(),1),OFFSET($A$1,ROW(),20,1000-ROW(),1),ROW(),OFFSET($A$1,ROW(),21,1000-ROW(),1),"Sub"))))</f>
        <v/>
      </c>
      <c r="J55" s="60">
        <f>IF(N($W55)=0,"",IF(AND($S55=MesCiclo,2&gt;SemanaActual),"",MIN(1,SUMIFS(OFFSET($A$1,ROW(),30,1000-ROW(),1),OFFSET($A$1,ROW(),20,1000-ROW(),1),ROW(),OFFSET($A$1,ROW(),21,1000-ROW(),1),"Sub"))))</f>
        <v/>
      </c>
      <c r="K55" s="60">
        <f>IF(N($W55)=0,"",IF(AND($S55=MesCiclo,3&gt;SemanaActual),"",MIN(1,SUMIFS(OFFSET($A$1,ROW(),31,1000-ROW(),1),OFFSET($A$1,ROW(),20,1000-ROW(),1),ROW(),OFFSET($A$1,ROW(),21,1000-ROW(),1),"Sub"))))</f>
        <v/>
      </c>
      <c r="L55" s="60">
        <f>IF(N($W55)=0,"",IF(AND($S55=MesCiclo,4&gt;SemanaActual),"",MIN(1,SUMIFS(OFFSET($A$1,ROW(),32,1000-ROW(),1),OFFSET($A$1,ROW(),20,1000-ROW(),1),ROW(),OFFSET($A$1,ROW(),21,1000-ROW(),1),"Sub"))))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IF($V55&lt;&gt;"Sub","",N($X55)*IF(AND(ISNUMBER($G55),$G55&lt;=IF($S55=MesCiclo,InicioCiclo,$S55+MOD(2-WEEKDAY($S55),7))+6),1,MIN(1,MAX(0,IF(ISNUMBER(OFFSET($A$1,ROW()-1,8)),OFFSET($A$1,ROW()-1,8),0)))))</f>
        <v/>
      </c>
      <c r="AE55" s="62">
        <f>IF($V55&lt;&gt;"Sub","",N($X55)*IF(AND(ISNUMBER($G55),$G55&lt;=IF($S55=MesCiclo,InicioCiclo,$S55+MOD(2-WEEKDAY($S55),7))+13),1,MIN(1,MAX(0,IF(ISNUMBER(OFFSET($A$1,ROW()-1,9)),OFFSET($A$1,ROW()-1,9),IF(ISNUMBER(OFFSET($A$1,ROW()-1,8)),OFFSET($A$1,ROW()-1,8),0))))))</f>
        <v/>
      </c>
      <c r="AF55" s="62">
        <f>IF($V55&lt;&gt;"Sub","",N($X55)*IF(AND(ISNUMBER($G55),$G55&lt;=IF($S55=MesCiclo,InicioCiclo,$S55+MOD(2-WEEKDAY($S55),7))+20),1,MIN(1,MAX(0,IF(ISNUMBER(OFFSET($A$1,ROW()-1,10)),OFFSET($A$1,ROW()-1,10),IF(ISNUMBER(OFFSET($A$1,ROW()-1,9)),OFFSET($A$1,ROW()-1,9),IF(ISNUMBER(OFFSET($A$1,ROW()-1,8)),OFFSET($A$1,ROW()-1,8),0)))))))</f>
        <v/>
      </c>
      <c r="AG55" s="62">
        <f>IF($V55&lt;&gt;"Sub","",N($X55)*IF(AND(ISNUMBER($G55),$G55&lt;=IF($S55=MesCiclo,InicioCiclo,$S55+MOD(2-WEEKDAY($S55),7))+27),1,MIN(1,MAX(0,IF(ISNUMBER(OFFSET($A$1,ROW()-1,11)),OFFSET($A$1,ROW()-1,11),IF(ISNUMBER(OFFSET($A$1,ROW()-1,10)),OFFSET($A$1,ROW()-1,10),IF(ISNUMBER(OFFSET($A$1,ROW()-1,9)),OFFSET($A$1,ROW()-1,9),IF(ISNUMBER(OFFSET($A$1,ROW()-1,8)),OFFSET($A$1,ROW()-1,8),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",IFERROR(MATCH("Riesgo Operacional|"&amp;MID($C55,12,500),rDname_ADM,0),0),"")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IF(N($W56)=0,"",IF(AND($S56=MesCiclo,1&gt;SemanaActual),"",MIN(1,SUMIFS(OFFSET($A$1,ROW(),29,1000-ROW(),1),OFFSET($A$1,ROW(),20,1000-ROW(),1),ROW(),OFFSET($A$1,ROW(),21,1000-ROW(),1),"Sub"))))</f>
        <v/>
      </c>
      <c r="J56" s="60">
        <f>IF(N($W56)=0,"",IF(AND($S56=MesCiclo,2&gt;SemanaActual),"",MIN(1,SUMIFS(OFFSET($A$1,ROW(),30,1000-ROW(),1),OFFSET($A$1,ROW(),20,1000-ROW(),1),ROW(),OFFSET($A$1,ROW(),21,1000-ROW(),1),"Sub"))))</f>
        <v/>
      </c>
      <c r="K56" s="60">
        <f>IF(N($W56)=0,"",IF(AND($S56=MesCiclo,3&gt;SemanaActual),"",MIN(1,SUMIFS(OFFSET($A$1,ROW(),31,1000-ROW(),1),OFFSET($A$1,ROW(),20,1000-ROW(),1),ROW(),OFFSET($A$1,ROW(),21,1000-ROW(),1),"Sub"))))</f>
        <v/>
      </c>
      <c r="L56" s="60">
        <f>IF(N($W56)=0,"",IF(AND($S56=MesCiclo,4&gt;SemanaActual),"",MIN(1,SUMIFS(OFFSET($A$1,ROW(),32,1000-ROW(),1),OFFSET($A$1,ROW(),20,1000-ROW(),1),ROW(),OFFSET($A$1,ROW(),21,1000-ROW(),1),"Sub"))))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IF($V56&lt;&gt;"Sub","",N($X56)*IF(AND(ISNUMBER($G56),$G56&lt;=IF($S56=MesCiclo,InicioCiclo,$S56+MOD(2-WEEKDAY($S56),7))+6),1,MIN(1,MAX(0,IF(ISNUMBER(OFFSET($A$1,ROW()-1,8)),OFFSET($A$1,ROW()-1,8),0)))))</f>
        <v/>
      </c>
      <c r="AE56" s="62">
        <f>IF($V56&lt;&gt;"Sub","",N($X56)*IF(AND(ISNUMBER($G56),$G56&lt;=IF($S56=MesCiclo,InicioCiclo,$S56+MOD(2-WEEKDAY($S56),7))+13),1,MIN(1,MAX(0,IF(ISNUMBER(OFFSET($A$1,ROW()-1,9)),OFFSET($A$1,ROW()-1,9),IF(ISNUMBER(OFFSET($A$1,ROW()-1,8)),OFFSET($A$1,ROW()-1,8),0))))))</f>
        <v/>
      </c>
      <c r="AF56" s="62">
        <f>IF($V56&lt;&gt;"Sub","",N($X56)*IF(AND(ISNUMBER($G56),$G56&lt;=IF($S56=MesCiclo,InicioCiclo,$S56+MOD(2-WEEKDAY($S56),7))+20),1,MIN(1,MAX(0,IF(ISNUMBER(OFFSET($A$1,ROW()-1,10)),OFFSET($A$1,ROW()-1,10),IF(ISNUMBER(OFFSET($A$1,ROW()-1,9)),OFFSET($A$1,ROW()-1,9),IF(ISNUMBER(OFFSET($A$1,ROW()-1,8)),OFFSET($A$1,ROW()-1,8),0)))))))</f>
        <v/>
      </c>
      <c r="AG56" s="62">
        <f>IF($V56&lt;&gt;"Sub","",N($X56)*IF(AND(ISNUMBER($G56),$G56&lt;=IF($S56=MesCiclo,InicioCiclo,$S56+MOD(2-WEEKDAY($S56),7))+27),1,MIN(1,MAX(0,IF(ISNUMBER(OFFSET($A$1,ROW()-1,11)),OFFSET($A$1,ROW()-1,11),IF(ISNUMBER(OFFSET($A$1,ROW()-1,10)),OFFSET($A$1,ROW()-1,10),IF(ISNUMBER(OFFSET($A$1,ROW()-1,9)),OFFSET($A$1,ROW()-1,9),IF(ISNUMBER(OFFSET($A$1,ROW()-1,8)),OFFSET($A$1,ROW()-1,8),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",IFERROR(MATCH("Riesgo Operacional|"&amp;MID($C56,12,500),rDname_ADM,0),0),"")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IF(N($W57)=0,"",IF(AND($S57=MesCiclo,1&gt;SemanaActual),"",MIN(1,SUMIFS(OFFSET($A$1,ROW(),29,1000-ROW(),1),OFFSET($A$1,ROW(),20,1000-ROW(),1),ROW(),OFFSET($A$1,ROW(),21,1000-ROW(),1),"Sub"))))</f>
        <v/>
      </c>
      <c r="J57" s="60">
        <f>IF(N($W57)=0,"",IF(AND($S57=MesCiclo,2&gt;SemanaActual),"",MIN(1,SUMIFS(OFFSET($A$1,ROW(),30,1000-ROW(),1),OFFSET($A$1,ROW(),20,1000-ROW(),1),ROW(),OFFSET($A$1,ROW(),21,1000-ROW(),1),"Sub"))))</f>
        <v/>
      </c>
      <c r="K57" s="60">
        <f>IF(N($W57)=0,"",IF(AND($S57=MesCiclo,3&gt;SemanaActual),"",MIN(1,SUMIFS(OFFSET($A$1,ROW(),31,1000-ROW(),1),OFFSET($A$1,ROW(),20,1000-ROW(),1),ROW(),OFFSET($A$1,ROW(),21,1000-ROW(),1),"Sub"))))</f>
        <v/>
      </c>
      <c r="L57" s="60">
        <f>IF(N($W57)=0,"",IF(AND($S57=MesCiclo,4&gt;SemanaActual),"",MIN(1,SUMIFS(OFFSET($A$1,ROW(),32,1000-ROW(),1),OFFSET($A$1,ROW(),20,1000-ROW(),1),ROW(),OFFSET($A$1,ROW(),21,1000-ROW(),1),"Sub"))))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IF($V57&lt;&gt;"Sub","",N($X57)*IF(AND(ISNUMBER($G57),$G57&lt;=IF($S57=MesCiclo,InicioCiclo,$S57+MOD(2-WEEKDAY($S57),7))+6),1,MIN(1,MAX(0,IF(ISNUMBER(OFFSET($A$1,ROW()-1,8)),OFFSET($A$1,ROW()-1,8),0)))))</f>
        <v/>
      </c>
      <c r="AE57" s="62">
        <f>IF($V57&lt;&gt;"Sub","",N($X57)*IF(AND(ISNUMBER($G57),$G57&lt;=IF($S57=MesCiclo,InicioCiclo,$S57+MOD(2-WEEKDAY($S57),7))+13),1,MIN(1,MAX(0,IF(ISNUMBER(OFFSET($A$1,ROW()-1,9)),OFFSET($A$1,ROW()-1,9),IF(ISNUMBER(OFFSET($A$1,ROW()-1,8)),OFFSET($A$1,ROW()-1,8),0))))))</f>
        <v/>
      </c>
      <c r="AF57" s="62">
        <f>IF($V57&lt;&gt;"Sub","",N($X57)*IF(AND(ISNUMBER($G57),$G57&lt;=IF($S57=MesCiclo,InicioCiclo,$S57+MOD(2-WEEKDAY($S57),7))+20),1,MIN(1,MAX(0,IF(ISNUMBER(OFFSET($A$1,ROW()-1,10)),OFFSET($A$1,ROW()-1,10),IF(ISNUMBER(OFFSET($A$1,ROW()-1,9)),OFFSET($A$1,ROW()-1,9),IF(ISNUMBER(OFFSET($A$1,ROW()-1,8)),OFFSET($A$1,ROW()-1,8),0)))))))</f>
        <v/>
      </c>
      <c r="AG57" s="62">
        <f>IF($V57&lt;&gt;"Sub","",N($X57)*IF(AND(ISNUMBER($G57),$G57&lt;=IF($S57=MesCiclo,InicioCiclo,$S57+MOD(2-WEEKDAY($S57),7))+27),1,MIN(1,MAX(0,IF(ISNUMBER(OFFSET($A$1,ROW()-1,11)),OFFSET($A$1,ROW()-1,11),IF(ISNUMBER(OFFSET($A$1,ROW()-1,10)),OFFSET($A$1,ROW()-1,10),IF(ISNUMBER(OFFSET($A$1,ROW()-1,9)),OFFSET($A$1,ROW()-1,9),IF(ISNUMBER(OFFSET($A$1,ROW()-1,8)),OFFSET($A$1,ROW()-1,8),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",IFERROR(MATCH("Riesgo Operacional|"&amp;MID($C57,12,500),rDname_ADM,0),0),"")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IF(N($W58)=0,"",IF(AND($S58=MesCiclo,1&gt;SemanaActual),"",MIN(1,SUMIFS(OFFSET($A$1,ROW(),29,1000-ROW(),1),OFFSET($A$1,ROW(),20,1000-ROW(),1),ROW(),OFFSET($A$1,ROW(),21,1000-ROW(),1),"Sub"))))</f>
        <v/>
      </c>
      <c r="J58" s="60">
        <f>IF(N($W58)=0,"",IF(AND($S58=MesCiclo,2&gt;SemanaActual),"",MIN(1,SUMIFS(OFFSET($A$1,ROW(),30,1000-ROW(),1),OFFSET($A$1,ROW(),20,1000-ROW(),1),ROW(),OFFSET($A$1,ROW(),21,1000-ROW(),1),"Sub"))))</f>
        <v/>
      </c>
      <c r="K58" s="60">
        <f>IF(N($W58)=0,"",IF(AND($S58=MesCiclo,3&gt;SemanaActual),"",MIN(1,SUMIFS(OFFSET($A$1,ROW(),31,1000-ROW(),1),OFFSET($A$1,ROW(),20,1000-ROW(),1),ROW(),OFFSET($A$1,ROW(),21,1000-ROW(),1),"Sub"))))</f>
        <v/>
      </c>
      <c r="L58" s="60">
        <f>IF(N($W58)=0,"",IF(AND($S58=MesCiclo,4&gt;SemanaActual),"",MIN(1,SUMIFS(OFFSET($A$1,ROW(),32,1000-ROW(),1),OFFSET($A$1,ROW(),20,1000-ROW(),1),ROW(),OFFSET($A$1,ROW(),21,1000-ROW(),1),"Sub"))))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IF($V58&lt;&gt;"Sub","",N($X58)*IF(AND(ISNUMBER($G58),$G58&lt;=IF($S58=MesCiclo,InicioCiclo,$S58+MOD(2-WEEKDAY($S58),7))+6),1,MIN(1,MAX(0,IF(ISNUMBER(OFFSET($A$1,ROW()-1,8)),OFFSET($A$1,ROW()-1,8),0)))))</f>
        <v/>
      </c>
      <c r="AE58" s="62">
        <f>IF($V58&lt;&gt;"Sub","",N($X58)*IF(AND(ISNUMBER($G58),$G58&lt;=IF($S58=MesCiclo,InicioCiclo,$S58+MOD(2-WEEKDAY($S58),7))+13),1,MIN(1,MAX(0,IF(ISNUMBER(OFFSET($A$1,ROW()-1,9)),OFFSET($A$1,ROW()-1,9),IF(ISNUMBER(OFFSET($A$1,ROW()-1,8)),OFFSET($A$1,ROW()-1,8),0))))))</f>
        <v/>
      </c>
      <c r="AF58" s="62">
        <f>IF($V58&lt;&gt;"Sub","",N($X58)*IF(AND(ISNUMBER($G58),$G58&lt;=IF($S58=MesCiclo,InicioCiclo,$S58+MOD(2-WEEKDAY($S58),7))+20),1,MIN(1,MAX(0,IF(ISNUMBER(OFFSET($A$1,ROW()-1,10)),OFFSET($A$1,ROW()-1,10),IF(ISNUMBER(OFFSET($A$1,ROW()-1,9)),OFFSET($A$1,ROW()-1,9),IF(ISNUMBER(OFFSET($A$1,ROW()-1,8)),OFFSET($A$1,ROW()-1,8),0)))))))</f>
        <v/>
      </c>
      <c r="AG58" s="62">
        <f>IF($V58&lt;&gt;"Sub","",N($X58)*IF(AND(ISNUMBER($G58),$G58&lt;=IF($S58=MesCiclo,InicioCiclo,$S58+MOD(2-WEEKDAY($S58),7))+27),1,MIN(1,MAX(0,IF(ISNUMBER(OFFSET($A$1,ROW()-1,11)),OFFSET($A$1,ROW()-1,11),IF(ISNUMBER(OFFSET($A$1,ROW()-1,10)),OFFSET($A$1,ROW()-1,10),IF(ISNUMBER(OFFSET($A$1,ROW()-1,9)),OFFSET($A$1,ROW()-1,9),IF(ISNUMBER(OFFSET($A$1,ROW()-1,8)),OFFSET($A$1,ROW()-1,8),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",IFERROR(MATCH("Riesgo Operacional|"&amp;MID($C58,12,500),rDname_ADM,0),0),"")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IF(N($W59)=0,"",IF(AND($S59=MesCiclo,1&gt;SemanaActual),"",MIN(1,SUMIFS(OFFSET($A$1,ROW(),29,1000-ROW(),1),OFFSET($A$1,ROW(),20,1000-ROW(),1),ROW(),OFFSET($A$1,ROW(),21,1000-ROW(),1),"Sub"))))</f>
        <v/>
      </c>
      <c r="J59" s="60">
        <f>IF(N($W59)=0,"",IF(AND($S59=MesCiclo,2&gt;SemanaActual),"",MIN(1,SUMIFS(OFFSET($A$1,ROW(),30,1000-ROW(),1),OFFSET($A$1,ROW(),20,1000-ROW(),1),ROW(),OFFSET($A$1,ROW(),21,1000-ROW(),1),"Sub"))))</f>
        <v/>
      </c>
      <c r="K59" s="60">
        <f>IF(N($W59)=0,"",IF(AND($S59=MesCiclo,3&gt;SemanaActual),"",MIN(1,SUMIFS(OFFSET($A$1,ROW(),31,1000-ROW(),1),OFFSET($A$1,ROW(),20,1000-ROW(),1),ROW(),OFFSET($A$1,ROW(),21,1000-ROW(),1),"Sub"))))</f>
        <v/>
      </c>
      <c r="L59" s="60">
        <f>IF(N($W59)=0,"",IF(AND($S59=MesCiclo,4&gt;SemanaActual),"",MIN(1,SUMIFS(OFFSET($A$1,ROW(),32,1000-ROW(),1),OFFSET($A$1,ROW(),20,1000-ROW(),1),ROW(),OFFSET($A$1,ROW(),21,1000-ROW(),1),"Sub"))))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IF($V59&lt;&gt;"Sub","",N($X59)*IF(AND(ISNUMBER($G59),$G59&lt;=IF($S59=MesCiclo,InicioCiclo,$S59+MOD(2-WEEKDAY($S59),7))+6),1,MIN(1,MAX(0,IF(ISNUMBER(OFFSET($A$1,ROW()-1,8)),OFFSET($A$1,ROW()-1,8),0)))))</f>
        <v/>
      </c>
      <c r="AE59" s="62">
        <f>IF($V59&lt;&gt;"Sub","",N($X59)*IF(AND(ISNUMBER($G59),$G59&lt;=IF($S59=MesCiclo,InicioCiclo,$S59+MOD(2-WEEKDAY($S59),7))+13),1,MIN(1,MAX(0,IF(ISNUMBER(OFFSET($A$1,ROW()-1,9)),OFFSET($A$1,ROW()-1,9),IF(ISNUMBER(OFFSET($A$1,ROW()-1,8)),OFFSET($A$1,ROW()-1,8),0))))))</f>
        <v/>
      </c>
      <c r="AF59" s="62">
        <f>IF($V59&lt;&gt;"Sub","",N($X59)*IF(AND(ISNUMBER($G59),$G59&lt;=IF($S59=MesCiclo,InicioCiclo,$S59+MOD(2-WEEKDAY($S59),7))+20),1,MIN(1,MAX(0,IF(ISNUMBER(OFFSET($A$1,ROW()-1,10)),OFFSET($A$1,ROW()-1,10),IF(ISNUMBER(OFFSET($A$1,ROW()-1,9)),OFFSET($A$1,ROW()-1,9),IF(ISNUMBER(OFFSET($A$1,ROW()-1,8)),OFFSET($A$1,ROW()-1,8),0)))))))</f>
        <v/>
      </c>
      <c r="AG59" s="62">
        <f>IF($V59&lt;&gt;"Sub","",N($X59)*IF(AND(ISNUMBER($G59),$G59&lt;=IF($S59=MesCiclo,InicioCiclo,$S59+MOD(2-WEEKDAY($S59),7))+27),1,MIN(1,MAX(0,IF(ISNUMBER(OFFSET($A$1,ROW()-1,11)),OFFSET($A$1,ROW()-1,11),IF(ISNUMBER(OFFSET($A$1,ROW()-1,10)),OFFSET($A$1,ROW()-1,10),IF(ISNUMBER(OFFSET($A$1,ROW()-1,9)),OFFSET($A$1,ROW()-1,9),IF(ISNUMBER(OFFSET($A$1,ROW()-1,8)),OFFSET($A$1,ROW()-1,8),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",IFERROR(MATCH("Riesgo Operacional|"&amp;MID($C59,12,500),rDname_ADM,0),0),"")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IF(N($W60)=0,"",IF(AND($S60=MesCiclo,1&gt;SemanaActual),"",MIN(1,SUMIFS(OFFSET($A$1,ROW(),29,1000-ROW(),1),OFFSET($A$1,ROW(),20,1000-ROW(),1),ROW(),OFFSET($A$1,ROW(),21,1000-ROW(),1),"Sub"))))</f>
        <v/>
      </c>
      <c r="J60" s="60">
        <f>IF(N($W60)=0,"",IF(AND($S60=MesCiclo,2&gt;SemanaActual),"",MIN(1,SUMIFS(OFFSET($A$1,ROW(),30,1000-ROW(),1),OFFSET($A$1,ROW(),20,1000-ROW(),1),ROW(),OFFSET($A$1,ROW(),21,1000-ROW(),1),"Sub"))))</f>
        <v/>
      </c>
      <c r="K60" s="60">
        <f>IF(N($W60)=0,"",IF(AND($S60=MesCiclo,3&gt;SemanaActual),"",MIN(1,SUMIFS(OFFSET($A$1,ROW(),31,1000-ROW(),1),OFFSET($A$1,ROW(),20,1000-ROW(),1),ROW(),OFFSET($A$1,ROW(),21,1000-ROW(),1),"Sub"))))</f>
        <v/>
      </c>
      <c r="L60" s="60">
        <f>IF(N($W60)=0,"",IF(AND($S60=MesCiclo,4&gt;SemanaActual),"",MIN(1,SUMIFS(OFFSET($A$1,ROW(),32,1000-ROW(),1),OFFSET($A$1,ROW(),20,1000-ROW(),1),ROW(),OFFSET($A$1,ROW(),21,1000-ROW(),1),"Sub"))))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IF($V60&lt;&gt;"Sub","",N($X60)*IF(AND(ISNUMBER($G60),$G60&lt;=IF($S60=MesCiclo,InicioCiclo,$S60+MOD(2-WEEKDAY($S60),7))+6),1,MIN(1,MAX(0,IF(ISNUMBER(OFFSET($A$1,ROW()-1,8)),OFFSET($A$1,ROW()-1,8),0)))))</f>
        <v/>
      </c>
      <c r="AE60" s="62">
        <f>IF($V60&lt;&gt;"Sub","",N($X60)*IF(AND(ISNUMBER($G60),$G60&lt;=IF($S60=MesCiclo,InicioCiclo,$S60+MOD(2-WEEKDAY($S60),7))+13),1,MIN(1,MAX(0,IF(ISNUMBER(OFFSET($A$1,ROW()-1,9)),OFFSET($A$1,ROW()-1,9),IF(ISNUMBER(OFFSET($A$1,ROW()-1,8)),OFFSET($A$1,ROW()-1,8),0))))))</f>
        <v/>
      </c>
      <c r="AF60" s="62">
        <f>IF($V60&lt;&gt;"Sub","",N($X60)*IF(AND(ISNUMBER($G60),$G60&lt;=IF($S60=MesCiclo,InicioCiclo,$S60+MOD(2-WEEKDAY($S60),7))+20),1,MIN(1,MAX(0,IF(ISNUMBER(OFFSET($A$1,ROW()-1,10)),OFFSET($A$1,ROW()-1,10),IF(ISNUMBER(OFFSET($A$1,ROW()-1,9)),OFFSET($A$1,ROW()-1,9),IF(ISNUMBER(OFFSET($A$1,ROW()-1,8)),OFFSET($A$1,ROW()-1,8),0)))))))</f>
        <v/>
      </c>
      <c r="AG60" s="62">
        <f>IF($V60&lt;&gt;"Sub","",N($X60)*IF(AND(ISNUMBER($G60),$G60&lt;=IF($S60=MesCiclo,InicioCiclo,$S60+MOD(2-WEEKDAY($S60),7))+27),1,MIN(1,MAX(0,IF(ISNUMBER(OFFSET($A$1,ROW()-1,11)),OFFSET($A$1,ROW()-1,11),IF(ISNUMBER(OFFSET($A$1,ROW()-1,10)),OFFSET($A$1,ROW()-1,10),IF(ISNUMBER(OFFSET($A$1,ROW()-1,9)),OFFSET($A$1,ROW()-1,9),IF(ISNUMBER(OFFSET($A$1,ROW()-1,8)),OFFSET($A$1,ROW()-1,8),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",IFERROR(MATCH("Riesgo Operacional|"&amp;MID($C60,12,500),rDname_ADM,0),0),"")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IF(N($W61)=0,"",IF(AND($S61=MesCiclo,1&gt;SemanaActual),"",MIN(1,SUMIFS(OFFSET($A$1,ROW(),29,1000-ROW(),1),OFFSET($A$1,ROW(),20,1000-ROW(),1),ROW(),OFFSET($A$1,ROW(),21,1000-ROW(),1),"Sub"))))</f>
        <v/>
      </c>
      <c r="J61" s="60">
        <f>IF(N($W61)=0,"",IF(AND($S61=MesCiclo,2&gt;SemanaActual),"",MIN(1,SUMIFS(OFFSET($A$1,ROW(),30,1000-ROW(),1),OFFSET($A$1,ROW(),20,1000-ROW(),1),ROW(),OFFSET($A$1,ROW(),21,1000-ROW(),1),"Sub"))))</f>
        <v/>
      </c>
      <c r="K61" s="60">
        <f>IF(N($W61)=0,"",IF(AND($S61=MesCiclo,3&gt;SemanaActual),"",MIN(1,SUMIFS(OFFSET($A$1,ROW(),31,1000-ROW(),1),OFFSET($A$1,ROW(),20,1000-ROW(),1),ROW(),OFFSET($A$1,ROW(),21,1000-ROW(),1),"Sub"))))</f>
        <v/>
      </c>
      <c r="L61" s="60">
        <f>IF(N($W61)=0,"",IF(AND($S61=MesCiclo,4&gt;SemanaActual),"",MIN(1,SUMIFS(OFFSET($A$1,ROW(),32,1000-ROW(),1),OFFSET($A$1,ROW(),20,1000-ROW(),1),ROW(),OFFSET($A$1,ROW(),21,1000-ROW(),1),"Sub"))))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IF($V61&lt;&gt;"Sub","",N($X61)*IF(AND(ISNUMBER($G61),$G61&lt;=IF($S61=MesCiclo,InicioCiclo,$S61+MOD(2-WEEKDAY($S61),7))+6),1,MIN(1,MAX(0,IF(ISNUMBER(OFFSET($A$1,ROW()-1,8)),OFFSET($A$1,ROW()-1,8),0)))))</f>
        <v/>
      </c>
      <c r="AE61" s="62">
        <f>IF($V61&lt;&gt;"Sub","",N($X61)*IF(AND(ISNUMBER($G61),$G61&lt;=IF($S61=MesCiclo,InicioCiclo,$S61+MOD(2-WEEKDAY($S61),7))+13),1,MIN(1,MAX(0,IF(ISNUMBER(OFFSET($A$1,ROW()-1,9)),OFFSET($A$1,ROW()-1,9),IF(ISNUMBER(OFFSET($A$1,ROW()-1,8)),OFFSET($A$1,ROW()-1,8),0))))))</f>
        <v/>
      </c>
      <c r="AF61" s="62">
        <f>IF($V61&lt;&gt;"Sub","",N($X61)*IF(AND(ISNUMBER($G61),$G61&lt;=IF($S61=MesCiclo,InicioCiclo,$S61+MOD(2-WEEKDAY($S61),7))+20),1,MIN(1,MAX(0,IF(ISNUMBER(OFFSET($A$1,ROW()-1,10)),OFFSET($A$1,ROW()-1,10),IF(ISNUMBER(OFFSET($A$1,ROW()-1,9)),OFFSET($A$1,ROW()-1,9),IF(ISNUMBER(OFFSET($A$1,ROW()-1,8)),OFFSET($A$1,ROW()-1,8),0)))))))</f>
        <v/>
      </c>
      <c r="AG61" s="62">
        <f>IF($V61&lt;&gt;"Sub","",N($X61)*IF(AND(ISNUMBER($G61),$G61&lt;=IF($S61=MesCiclo,InicioCiclo,$S61+MOD(2-WEEKDAY($S61),7))+27),1,MIN(1,MAX(0,IF(ISNUMBER(OFFSET($A$1,ROW()-1,11)),OFFSET($A$1,ROW()-1,11),IF(ISNUMBER(OFFSET($A$1,ROW()-1,10)),OFFSET($A$1,ROW()-1,10),IF(ISNUMBER(OFFSET($A$1,ROW()-1,9)),OFFSET($A$1,ROW()-1,9),IF(ISNUMBER(OFFSET($A$1,ROW()-1,8)),OFFSET($A$1,ROW()-1,8),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",IFERROR(MATCH("Riesgo Operacional|"&amp;MID($C61,12,500),rDname_ADM,0),0),"")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IF(N($W62)=0,"",IF(AND($S62=MesCiclo,1&gt;SemanaActual),"",MIN(1,SUMIFS(OFFSET($A$1,ROW(),29,1000-ROW(),1),OFFSET($A$1,ROW(),20,1000-ROW(),1),ROW(),OFFSET($A$1,ROW(),21,1000-ROW(),1),"Sub"))))</f>
        <v/>
      </c>
      <c r="J62" s="60">
        <f>IF(N($W62)=0,"",IF(AND($S62=MesCiclo,2&gt;SemanaActual),"",MIN(1,SUMIFS(OFFSET($A$1,ROW(),30,1000-ROW(),1),OFFSET($A$1,ROW(),20,1000-ROW(),1),ROW(),OFFSET($A$1,ROW(),21,1000-ROW(),1),"Sub"))))</f>
        <v/>
      </c>
      <c r="K62" s="60">
        <f>IF(N($W62)=0,"",IF(AND($S62=MesCiclo,3&gt;SemanaActual),"",MIN(1,SUMIFS(OFFSET($A$1,ROW(),31,1000-ROW(),1),OFFSET($A$1,ROW(),20,1000-ROW(),1),ROW(),OFFSET($A$1,ROW(),21,1000-ROW(),1),"Sub"))))</f>
        <v/>
      </c>
      <c r="L62" s="60">
        <f>IF(N($W62)=0,"",IF(AND($S62=MesCiclo,4&gt;SemanaActual),"",MIN(1,SUMIFS(OFFSET($A$1,ROW(),32,1000-ROW(),1),OFFSET($A$1,ROW(),20,1000-ROW(),1),ROW(),OFFSET($A$1,ROW(),21,1000-ROW(),1),"Sub"))))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IF($V62&lt;&gt;"Sub","",N($X62)*IF(AND(ISNUMBER($G62),$G62&lt;=IF($S62=MesCiclo,InicioCiclo,$S62+MOD(2-WEEKDAY($S62),7))+6),1,MIN(1,MAX(0,IF(ISNUMBER(OFFSET($A$1,ROW()-1,8)),OFFSET($A$1,ROW()-1,8),0)))))</f>
        <v/>
      </c>
      <c r="AE62" s="62">
        <f>IF($V62&lt;&gt;"Sub","",N($X62)*IF(AND(ISNUMBER($G62),$G62&lt;=IF($S62=MesCiclo,InicioCiclo,$S62+MOD(2-WEEKDAY($S62),7))+13),1,MIN(1,MAX(0,IF(ISNUMBER(OFFSET($A$1,ROW()-1,9)),OFFSET($A$1,ROW()-1,9),IF(ISNUMBER(OFFSET($A$1,ROW()-1,8)),OFFSET($A$1,ROW()-1,8),0))))))</f>
        <v/>
      </c>
      <c r="AF62" s="62">
        <f>IF($V62&lt;&gt;"Sub","",N($X62)*IF(AND(ISNUMBER($G62),$G62&lt;=IF($S62=MesCiclo,InicioCiclo,$S62+MOD(2-WEEKDAY($S62),7))+20),1,MIN(1,MAX(0,IF(ISNUMBER(OFFSET($A$1,ROW()-1,10)),OFFSET($A$1,ROW()-1,10),IF(ISNUMBER(OFFSET($A$1,ROW()-1,9)),OFFSET($A$1,ROW()-1,9),IF(ISNUMBER(OFFSET($A$1,ROW()-1,8)),OFFSET($A$1,ROW()-1,8),0)))))))</f>
        <v/>
      </c>
      <c r="AG62" s="62">
        <f>IF($V62&lt;&gt;"Sub","",N($X62)*IF(AND(ISNUMBER($G62),$G62&lt;=IF($S62=MesCiclo,InicioCiclo,$S62+MOD(2-WEEKDAY($S62),7))+27),1,MIN(1,MAX(0,IF(ISNUMBER(OFFSET($A$1,ROW()-1,11)),OFFSET($A$1,ROW()-1,11),IF(ISNUMBER(OFFSET($A$1,ROW()-1,10)),OFFSET($A$1,ROW()-1,10),IF(ISNUMBER(OFFSET($A$1,ROW()-1,9)),OFFSET($A$1,ROW()-1,9),IF(ISNUMBER(OFFSET($A$1,ROW()-1,8)),OFFSET($A$1,ROW()-1,8),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",IFERROR(MATCH("Riesgo Operacional|"&amp;MID($C62,12,500),rDname_ADM,0),0),"")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IF(N($W63)=0,"",IF(AND($S63=MesCiclo,1&gt;SemanaActual),"",MIN(1,SUMIFS(OFFSET($A$1,ROW(),29,1000-ROW(),1),OFFSET($A$1,ROW(),20,1000-ROW(),1),ROW(),OFFSET($A$1,ROW(),21,1000-ROW(),1),"Sub"))))</f>
        <v/>
      </c>
      <c r="J63" s="60">
        <f>IF(N($W63)=0,"",IF(AND($S63=MesCiclo,2&gt;SemanaActual),"",MIN(1,SUMIFS(OFFSET($A$1,ROW(),30,1000-ROW(),1),OFFSET($A$1,ROW(),20,1000-ROW(),1),ROW(),OFFSET($A$1,ROW(),21,1000-ROW(),1),"Sub"))))</f>
        <v/>
      </c>
      <c r="K63" s="60">
        <f>IF(N($W63)=0,"",IF(AND($S63=MesCiclo,3&gt;SemanaActual),"",MIN(1,SUMIFS(OFFSET($A$1,ROW(),31,1000-ROW(),1),OFFSET($A$1,ROW(),20,1000-ROW(),1),ROW(),OFFSET($A$1,ROW(),21,1000-ROW(),1),"Sub"))))</f>
        <v/>
      </c>
      <c r="L63" s="60">
        <f>IF(N($W63)=0,"",IF(AND($S63=MesCiclo,4&gt;SemanaActual),"",MIN(1,SUMIFS(OFFSET($A$1,ROW(),32,1000-ROW(),1),OFFSET($A$1,ROW(),20,1000-ROW(),1),ROW(),OFFSET($A$1,ROW(),21,1000-ROW(),1),"Sub"))))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IF($V63&lt;&gt;"Sub","",N($X63)*IF(AND(ISNUMBER($G63),$G63&lt;=IF($S63=MesCiclo,InicioCiclo,$S63+MOD(2-WEEKDAY($S63),7))+6),1,MIN(1,MAX(0,IF(ISNUMBER(OFFSET($A$1,ROW()-1,8)),OFFSET($A$1,ROW()-1,8),0)))))</f>
        <v/>
      </c>
      <c r="AE63" s="62">
        <f>IF($V63&lt;&gt;"Sub","",N($X63)*IF(AND(ISNUMBER($G63),$G63&lt;=IF($S63=MesCiclo,InicioCiclo,$S63+MOD(2-WEEKDAY($S63),7))+13),1,MIN(1,MAX(0,IF(ISNUMBER(OFFSET($A$1,ROW()-1,9)),OFFSET($A$1,ROW()-1,9),IF(ISNUMBER(OFFSET($A$1,ROW()-1,8)),OFFSET($A$1,ROW()-1,8),0))))))</f>
        <v/>
      </c>
      <c r="AF63" s="62">
        <f>IF($V63&lt;&gt;"Sub","",N($X63)*IF(AND(ISNUMBER($G63),$G63&lt;=IF($S63=MesCiclo,InicioCiclo,$S63+MOD(2-WEEKDAY($S63),7))+20),1,MIN(1,MAX(0,IF(ISNUMBER(OFFSET($A$1,ROW()-1,10)),OFFSET($A$1,ROW()-1,10),IF(ISNUMBER(OFFSET($A$1,ROW()-1,9)),OFFSET($A$1,ROW()-1,9),IF(ISNUMBER(OFFSET($A$1,ROW()-1,8)),OFFSET($A$1,ROW()-1,8),0)))))))</f>
        <v/>
      </c>
      <c r="AG63" s="62">
        <f>IF($V63&lt;&gt;"Sub","",N($X63)*IF(AND(ISNUMBER($G63),$G63&lt;=IF($S63=MesCiclo,InicioCiclo,$S63+MOD(2-WEEKDAY($S63),7))+27),1,MIN(1,MAX(0,IF(ISNUMBER(OFFSET($A$1,ROW()-1,11)),OFFSET($A$1,ROW()-1,11),IF(ISNUMBER(OFFSET($A$1,ROW()-1,10)),OFFSET($A$1,ROW()-1,10),IF(ISNUMBER(OFFSET($A$1,ROW()-1,9)),OFFSET($A$1,ROW()-1,9),IF(ISNUMBER(OFFSET($A$1,ROW()-1,8)),OFFSET($A$1,ROW()-1,8),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",IFERROR(MATCH("Riesgo Operacional|"&amp;MID($C63,12,500),rDname_ADM,0),0),"")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IF(N($W64)=0,"",IF(AND($S64=MesCiclo,1&gt;SemanaActual),"",MIN(1,SUMIFS(OFFSET($A$1,ROW(),29,1000-ROW(),1),OFFSET($A$1,ROW(),20,1000-ROW(),1),ROW(),OFFSET($A$1,ROW(),21,1000-ROW(),1),"Sub"))))</f>
        <v/>
      </c>
      <c r="J64" s="60">
        <f>IF(N($W64)=0,"",IF(AND($S64=MesCiclo,2&gt;SemanaActual),"",MIN(1,SUMIFS(OFFSET($A$1,ROW(),30,1000-ROW(),1),OFFSET($A$1,ROW(),20,1000-ROW(),1),ROW(),OFFSET($A$1,ROW(),21,1000-ROW(),1),"Sub"))))</f>
        <v/>
      </c>
      <c r="K64" s="60">
        <f>IF(N($W64)=0,"",IF(AND($S64=MesCiclo,3&gt;SemanaActual),"",MIN(1,SUMIFS(OFFSET($A$1,ROW(),31,1000-ROW(),1),OFFSET($A$1,ROW(),20,1000-ROW(),1),ROW(),OFFSET($A$1,ROW(),21,1000-ROW(),1),"Sub"))))</f>
        <v/>
      </c>
      <c r="L64" s="60">
        <f>IF(N($W64)=0,"",IF(AND($S64=MesCiclo,4&gt;SemanaActual),"",MIN(1,SUMIFS(OFFSET($A$1,ROW(),32,1000-ROW(),1),OFFSET($A$1,ROW(),20,1000-ROW(),1),ROW(),OFFSET($A$1,ROW(),21,1000-ROW(),1),"Sub"))))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IF($V64&lt;&gt;"Sub","",N($X64)*IF(AND(ISNUMBER($G64),$G64&lt;=IF($S64=MesCiclo,InicioCiclo,$S64+MOD(2-WEEKDAY($S64),7))+6),1,MIN(1,MAX(0,IF(ISNUMBER(OFFSET($A$1,ROW()-1,8)),OFFSET($A$1,ROW()-1,8),0)))))</f>
        <v/>
      </c>
      <c r="AE64" s="62">
        <f>IF($V64&lt;&gt;"Sub","",N($X64)*IF(AND(ISNUMBER($G64),$G64&lt;=IF($S64=MesCiclo,InicioCiclo,$S64+MOD(2-WEEKDAY($S64),7))+13),1,MIN(1,MAX(0,IF(ISNUMBER(OFFSET($A$1,ROW()-1,9)),OFFSET($A$1,ROW()-1,9),IF(ISNUMBER(OFFSET($A$1,ROW()-1,8)),OFFSET($A$1,ROW()-1,8),0))))))</f>
        <v/>
      </c>
      <c r="AF64" s="62">
        <f>IF($V64&lt;&gt;"Sub","",N($X64)*IF(AND(ISNUMBER($G64),$G64&lt;=IF($S64=MesCiclo,InicioCiclo,$S64+MOD(2-WEEKDAY($S64),7))+20),1,MIN(1,MAX(0,IF(ISNUMBER(OFFSET($A$1,ROW()-1,10)),OFFSET($A$1,ROW()-1,10),IF(ISNUMBER(OFFSET($A$1,ROW()-1,9)),OFFSET($A$1,ROW()-1,9),IF(ISNUMBER(OFFSET($A$1,ROW()-1,8)),OFFSET($A$1,ROW()-1,8),0)))))))</f>
        <v/>
      </c>
      <c r="AG64" s="62">
        <f>IF($V64&lt;&gt;"Sub","",N($X64)*IF(AND(ISNUMBER($G64),$G64&lt;=IF($S64=MesCiclo,InicioCiclo,$S64+MOD(2-WEEKDAY($S64),7))+27),1,MIN(1,MAX(0,IF(ISNUMBER(OFFSET($A$1,ROW()-1,11)),OFFSET($A$1,ROW()-1,11),IF(ISNUMBER(OFFSET($A$1,ROW()-1,10)),OFFSET($A$1,ROW()-1,10),IF(ISNUMBER(OFFSET($A$1,ROW()-1,9)),OFFSET($A$1,ROW()-1,9),IF(ISNUMBER(OFFSET($A$1,ROW()-1,8)),OFFSET($A$1,ROW()-1,8),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",IFERROR(MATCH("Riesgo Operacional|"&amp;MID($C64,12,500),rDname_ADM,0),0),"")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IF(N($W65)=0,"",IF(AND($S65=MesCiclo,1&gt;SemanaActual),"",MIN(1,SUMIFS(OFFSET($A$1,ROW(),29,1000-ROW(),1),OFFSET($A$1,ROW(),20,1000-ROW(),1),ROW(),OFFSET($A$1,ROW(),21,1000-ROW(),1),"Sub"))))</f>
        <v/>
      </c>
      <c r="J65" s="60">
        <f>IF(N($W65)=0,"",IF(AND($S65=MesCiclo,2&gt;SemanaActual),"",MIN(1,SUMIFS(OFFSET($A$1,ROW(),30,1000-ROW(),1),OFFSET($A$1,ROW(),20,1000-ROW(),1),ROW(),OFFSET($A$1,ROW(),21,1000-ROW(),1),"Sub"))))</f>
        <v/>
      </c>
      <c r="K65" s="60">
        <f>IF(N($W65)=0,"",IF(AND($S65=MesCiclo,3&gt;SemanaActual),"",MIN(1,SUMIFS(OFFSET($A$1,ROW(),31,1000-ROW(),1),OFFSET($A$1,ROW(),20,1000-ROW(),1),ROW(),OFFSET($A$1,ROW(),21,1000-ROW(),1),"Sub"))))</f>
        <v/>
      </c>
      <c r="L65" s="60">
        <f>IF(N($W65)=0,"",IF(AND($S65=MesCiclo,4&gt;SemanaActual),"",MIN(1,SUMIFS(OFFSET($A$1,ROW(),32,1000-ROW(),1),OFFSET($A$1,ROW(),20,1000-ROW(),1),ROW(),OFFSET($A$1,ROW(),21,1000-ROW(),1),"Sub"))))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IF($V65&lt;&gt;"Sub","",N($X65)*IF(AND(ISNUMBER($G65),$G65&lt;=IF($S65=MesCiclo,InicioCiclo,$S65+MOD(2-WEEKDAY($S65),7))+6),1,MIN(1,MAX(0,IF(ISNUMBER(OFFSET($A$1,ROW()-1,8)),OFFSET($A$1,ROW()-1,8),0)))))</f>
        <v/>
      </c>
      <c r="AE65" s="62">
        <f>IF($V65&lt;&gt;"Sub","",N($X65)*IF(AND(ISNUMBER($G65),$G65&lt;=IF($S65=MesCiclo,InicioCiclo,$S65+MOD(2-WEEKDAY($S65),7))+13),1,MIN(1,MAX(0,IF(ISNUMBER(OFFSET($A$1,ROW()-1,9)),OFFSET($A$1,ROW()-1,9),IF(ISNUMBER(OFFSET($A$1,ROW()-1,8)),OFFSET($A$1,ROW()-1,8),0))))))</f>
        <v/>
      </c>
      <c r="AF65" s="62">
        <f>IF($V65&lt;&gt;"Sub","",N($X65)*IF(AND(ISNUMBER($G65),$G65&lt;=IF($S65=MesCiclo,InicioCiclo,$S65+MOD(2-WEEKDAY($S65),7))+20),1,MIN(1,MAX(0,IF(ISNUMBER(OFFSET($A$1,ROW()-1,10)),OFFSET($A$1,ROW()-1,10),IF(ISNUMBER(OFFSET($A$1,ROW()-1,9)),OFFSET($A$1,ROW()-1,9),IF(ISNUMBER(OFFSET($A$1,ROW()-1,8)),OFFSET($A$1,ROW()-1,8),0)))))))</f>
        <v/>
      </c>
      <c r="AG65" s="62">
        <f>IF($V65&lt;&gt;"Sub","",N($X65)*IF(AND(ISNUMBER($G65),$G65&lt;=IF($S65=MesCiclo,InicioCiclo,$S65+MOD(2-WEEKDAY($S65),7))+27),1,MIN(1,MAX(0,IF(ISNUMBER(OFFSET($A$1,ROW()-1,11)),OFFSET($A$1,ROW()-1,11),IF(ISNUMBER(OFFSET($A$1,ROW()-1,10)),OFFSET($A$1,ROW()-1,10),IF(ISNUMBER(OFFSET($A$1,ROW()-1,9)),OFFSET($A$1,ROW()-1,9),IF(ISNUMBER(OFFSET($A$1,ROW()-1,8)),OFFSET($A$1,ROW()-1,8),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",IFERROR(MATCH("Riesgo Operacional|"&amp;MID($C65,12,500),rDname_ADM,0),0),"")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IF(N($W66)=0,"",IF(AND($S66=MesCiclo,1&gt;SemanaActual),"",MIN(1,SUMIFS(OFFSET($A$1,ROW(),29,1000-ROW(),1),OFFSET($A$1,ROW(),20,1000-ROW(),1),ROW(),OFFSET($A$1,ROW(),21,1000-ROW(),1),"Sub"))))</f>
        <v/>
      </c>
      <c r="J66" s="60">
        <f>IF(N($W66)=0,"",IF(AND($S66=MesCiclo,2&gt;SemanaActual),"",MIN(1,SUMIFS(OFFSET($A$1,ROW(),30,1000-ROW(),1),OFFSET($A$1,ROW(),20,1000-ROW(),1),ROW(),OFFSET($A$1,ROW(),21,1000-ROW(),1),"Sub"))))</f>
        <v/>
      </c>
      <c r="K66" s="60">
        <f>IF(N($W66)=0,"",IF(AND($S66=MesCiclo,3&gt;SemanaActual),"",MIN(1,SUMIFS(OFFSET($A$1,ROW(),31,1000-ROW(),1),OFFSET($A$1,ROW(),20,1000-ROW(),1),ROW(),OFFSET($A$1,ROW(),21,1000-ROW(),1),"Sub"))))</f>
        <v/>
      </c>
      <c r="L66" s="60">
        <f>IF(N($W66)=0,"",IF(AND($S66=MesCiclo,4&gt;SemanaActual),"",MIN(1,SUMIFS(OFFSET($A$1,ROW(),32,1000-ROW(),1),OFFSET($A$1,ROW(),20,1000-ROW(),1),ROW(),OFFSET($A$1,ROW(),21,1000-ROW(),1),"Sub"))))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IF($V66&lt;&gt;"Sub","",N($X66)*IF(AND(ISNUMBER($G66),$G66&lt;=IF($S66=MesCiclo,InicioCiclo,$S66+MOD(2-WEEKDAY($S66),7))+6),1,MIN(1,MAX(0,IF(ISNUMBER(OFFSET($A$1,ROW()-1,8)),OFFSET($A$1,ROW()-1,8),0)))))</f>
        <v/>
      </c>
      <c r="AE66" s="62">
        <f>IF($V66&lt;&gt;"Sub","",N($X66)*IF(AND(ISNUMBER($G66),$G66&lt;=IF($S66=MesCiclo,InicioCiclo,$S66+MOD(2-WEEKDAY($S66),7))+13),1,MIN(1,MAX(0,IF(ISNUMBER(OFFSET($A$1,ROW()-1,9)),OFFSET($A$1,ROW()-1,9),IF(ISNUMBER(OFFSET($A$1,ROW()-1,8)),OFFSET($A$1,ROW()-1,8),0))))))</f>
        <v/>
      </c>
      <c r="AF66" s="62">
        <f>IF($V66&lt;&gt;"Sub","",N($X66)*IF(AND(ISNUMBER($G66),$G66&lt;=IF($S66=MesCiclo,InicioCiclo,$S66+MOD(2-WEEKDAY($S66),7))+20),1,MIN(1,MAX(0,IF(ISNUMBER(OFFSET($A$1,ROW()-1,10)),OFFSET($A$1,ROW()-1,10),IF(ISNUMBER(OFFSET($A$1,ROW()-1,9)),OFFSET($A$1,ROW()-1,9),IF(ISNUMBER(OFFSET($A$1,ROW()-1,8)),OFFSET($A$1,ROW()-1,8),0)))))))</f>
        <v/>
      </c>
      <c r="AG66" s="62">
        <f>IF($V66&lt;&gt;"Sub","",N($X66)*IF(AND(ISNUMBER($G66),$G66&lt;=IF($S66=MesCiclo,InicioCiclo,$S66+MOD(2-WEEKDAY($S66),7))+27),1,MIN(1,MAX(0,IF(ISNUMBER(OFFSET($A$1,ROW()-1,11)),OFFSET($A$1,ROW()-1,11),IF(ISNUMBER(OFFSET($A$1,ROW()-1,10)),OFFSET($A$1,ROW()-1,10),IF(ISNUMBER(OFFSET($A$1,ROW()-1,9)),OFFSET($A$1,ROW()-1,9),IF(ISNUMBER(OFFSET($A$1,ROW()-1,8)),OFFSET($A$1,ROW()-1,8),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",IFERROR(MATCH("Riesgo Operacional|"&amp;MID($C66,12,500),rDname_ADM,0),0),"")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IF(N($W67)=0,"",IF(AND($S67=MesCiclo,1&gt;SemanaActual),"",MIN(1,SUMIFS(OFFSET($A$1,ROW(),29,1000-ROW(),1),OFFSET($A$1,ROW(),20,1000-ROW(),1),ROW(),OFFSET($A$1,ROW(),21,1000-ROW(),1),"Sub"))))</f>
        <v/>
      </c>
      <c r="J67" s="60">
        <f>IF(N($W67)=0,"",IF(AND($S67=MesCiclo,2&gt;SemanaActual),"",MIN(1,SUMIFS(OFFSET($A$1,ROW(),30,1000-ROW(),1),OFFSET($A$1,ROW(),20,1000-ROW(),1),ROW(),OFFSET($A$1,ROW(),21,1000-ROW(),1),"Sub"))))</f>
        <v/>
      </c>
      <c r="K67" s="60">
        <f>IF(N($W67)=0,"",IF(AND($S67=MesCiclo,3&gt;SemanaActual),"",MIN(1,SUMIFS(OFFSET($A$1,ROW(),31,1000-ROW(),1),OFFSET($A$1,ROW(),20,1000-ROW(),1),ROW(),OFFSET($A$1,ROW(),21,1000-ROW(),1),"Sub"))))</f>
        <v/>
      </c>
      <c r="L67" s="60">
        <f>IF(N($W67)=0,"",IF(AND($S67=MesCiclo,4&gt;SemanaActual),"",MIN(1,SUMIFS(OFFSET($A$1,ROW(),32,1000-ROW(),1),OFFSET($A$1,ROW(),20,1000-ROW(),1),ROW(),OFFSET($A$1,ROW(),21,1000-ROW(),1),"Sub"))))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IF($V67&lt;&gt;"Sub","",N($X67)*IF(AND(ISNUMBER($G67),$G67&lt;=IF($S67=MesCiclo,InicioCiclo,$S67+MOD(2-WEEKDAY($S67),7))+6),1,MIN(1,MAX(0,IF(ISNUMBER(OFFSET($A$1,ROW()-1,8)),OFFSET($A$1,ROW()-1,8),0)))))</f>
        <v/>
      </c>
      <c r="AE67" s="62">
        <f>IF($V67&lt;&gt;"Sub","",N($X67)*IF(AND(ISNUMBER($G67),$G67&lt;=IF($S67=MesCiclo,InicioCiclo,$S67+MOD(2-WEEKDAY($S67),7))+13),1,MIN(1,MAX(0,IF(ISNUMBER(OFFSET($A$1,ROW()-1,9)),OFFSET($A$1,ROW()-1,9),IF(ISNUMBER(OFFSET($A$1,ROW()-1,8)),OFFSET($A$1,ROW()-1,8),0))))))</f>
        <v/>
      </c>
      <c r="AF67" s="62">
        <f>IF($V67&lt;&gt;"Sub","",N($X67)*IF(AND(ISNUMBER($G67),$G67&lt;=IF($S67=MesCiclo,InicioCiclo,$S67+MOD(2-WEEKDAY($S67),7))+20),1,MIN(1,MAX(0,IF(ISNUMBER(OFFSET($A$1,ROW()-1,10)),OFFSET($A$1,ROW()-1,10),IF(ISNUMBER(OFFSET($A$1,ROW()-1,9)),OFFSET($A$1,ROW()-1,9),IF(ISNUMBER(OFFSET($A$1,ROW()-1,8)),OFFSET($A$1,ROW()-1,8),0)))))))</f>
        <v/>
      </c>
      <c r="AG67" s="62">
        <f>IF($V67&lt;&gt;"Sub","",N($X67)*IF(AND(ISNUMBER($G67),$G67&lt;=IF($S67=MesCiclo,InicioCiclo,$S67+MOD(2-WEEKDAY($S67),7))+27),1,MIN(1,MAX(0,IF(ISNUMBER(OFFSET($A$1,ROW()-1,11)),OFFSET($A$1,ROW()-1,11),IF(ISNUMBER(OFFSET($A$1,ROW()-1,10)),OFFSET($A$1,ROW()-1,10),IF(ISNUMBER(OFFSET($A$1,ROW()-1,9)),OFFSET($A$1,ROW()-1,9),IF(ISNUMBER(OFFSET($A$1,ROW()-1,8)),OFFSET($A$1,ROW()-1,8),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",IFERROR(MATCH("Riesgo Operacional|"&amp;MID($C67,12,500),rDname_ADM,0),0),"")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IF(N($W68)=0,"",IF(AND($S68=MesCiclo,1&gt;SemanaActual),"",MIN(1,SUMIFS(OFFSET($A$1,ROW(),29,1000-ROW(),1),OFFSET($A$1,ROW(),20,1000-ROW(),1),ROW(),OFFSET($A$1,ROW(),21,1000-ROW(),1),"Sub"))))</f>
        <v/>
      </c>
      <c r="J68" s="60">
        <f>IF(N($W68)=0,"",IF(AND($S68=MesCiclo,2&gt;SemanaActual),"",MIN(1,SUMIFS(OFFSET($A$1,ROW(),30,1000-ROW(),1),OFFSET($A$1,ROW(),20,1000-ROW(),1),ROW(),OFFSET($A$1,ROW(),21,1000-ROW(),1),"Sub"))))</f>
        <v/>
      </c>
      <c r="K68" s="60">
        <f>IF(N($W68)=0,"",IF(AND($S68=MesCiclo,3&gt;SemanaActual),"",MIN(1,SUMIFS(OFFSET($A$1,ROW(),31,1000-ROW(),1),OFFSET($A$1,ROW(),20,1000-ROW(),1),ROW(),OFFSET($A$1,ROW(),21,1000-ROW(),1),"Sub"))))</f>
        <v/>
      </c>
      <c r="L68" s="60">
        <f>IF(N($W68)=0,"",IF(AND($S68=MesCiclo,4&gt;SemanaActual),"",MIN(1,SUMIFS(OFFSET($A$1,ROW(),32,1000-ROW(),1),OFFSET($A$1,ROW(),20,1000-ROW(),1),ROW(),OFFSET($A$1,ROW(),21,1000-ROW(),1),"Sub"))))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IF($V68&lt;&gt;"Sub","",N($X68)*IF(AND(ISNUMBER($G68),$G68&lt;=IF($S68=MesCiclo,InicioCiclo,$S68+MOD(2-WEEKDAY($S68),7))+6),1,MIN(1,MAX(0,IF(ISNUMBER(OFFSET($A$1,ROW()-1,8)),OFFSET($A$1,ROW()-1,8),0)))))</f>
        <v/>
      </c>
      <c r="AE68" s="62">
        <f>IF($V68&lt;&gt;"Sub","",N($X68)*IF(AND(ISNUMBER($G68),$G68&lt;=IF($S68=MesCiclo,InicioCiclo,$S68+MOD(2-WEEKDAY($S68),7))+13),1,MIN(1,MAX(0,IF(ISNUMBER(OFFSET($A$1,ROW()-1,9)),OFFSET($A$1,ROW()-1,9),IF(ISNUMBER(OFFSET($A$1,ROW()-1,8)),OFFSET($A$1,ROW()-1,8),0))))))</f>
        <v/>
      </c>
      <c r="AF68" s="62">
        <f>IF($V68&lt;&gt;"Sub","",N($X68)*IF(AND(ISNUMBER($G68),$G68&lt;=IF($S68=MesCiclo,InicioCiclo,$S68+MOD(2-WEEKDAY($S68),7))+20),1,MIN(1,MAX(0,IF(ISNUMBER(OFFSET($A$1,ROW()-1,10)),OFFSET($A$1,ROW()-1,10),IF(ISNUMBER(OFFSET($A$1,ROW()-1,9)),OFFSET($A$1,ROW()-1,9),IF(ISNUMBER(OFFSET($A$1,ROW()-1,8)),OFFSET($A$1,ROW()-1,8),0)))))))</f>
        <v/>
      </c>
      <c r="AG68" s="62">
        <f>IF($V68&lt;&gt;"Sub","",N($X68)*IF(AND(ISNUMBER($G68),$G68&lt;=IF($S68=MesCiclo,InicioCiclo,$S68+MOD(2-WEEKDAY($S68),7))+27),1,MIN(1,MAX(0,IF(ISNUMBER(OFFSET($A$1,ROW()-1,11)),OFFSET($A$1,ROW()-1,11),IF(ISNUMBER(OFFSET($A$1,ROW()-1,10)),OFFSET($A$1,ROW()-1,10),IF(ISNUMBER(OFFSET($A$1,ROW()-1,9)),OFFSET($A$1,ROW()-1,9),IF(ISNUMBER(OFFSET($A$1,ROW()-1,8)),OFFSET($A$1,ROW()-1,8),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",IFERROR(MATCH("Riesgo Operacional|"&amp;MID($C68,12,500),rDname_ADM,0),0),"")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IF(N($W69)=0,"",IF(AND($S69=MesCiclo,1&gt;SemanaActual),"",MIN(1,SUMIFS(OFFSET($A$1,ROW(),29,1000-ROW(),1),OFFSET($A$1,ROW(),20,1000-ROW(),1),ROW(),OFFSET($A$1,ROW(),21,1000-ROW(),1),"Sub"))))</f>
        <v/>
      </c>
      <c r="J69" s="60">
        <f>IF(N($W69)=0,"",IF(AND($S69=MesCiclo,2&gt;SemanaActual),"",MIN(1,SUMIFS(OFFSET($A$1,ROW(),30,1000-ROW(),1),OFFSET($A$1,ROW(),20,1000-ROW(),1),ROW(),OFFSET($A$1,ROW(),21,1000-ROW(),1),"Sub"))))</f>
        <v/>
      </c>
      <c r="K69" s="60">
        <f>IF(N($W69)=0,"",IF(AND($S69=MesCiclo,3&gt;SemanaActual),"",MIN(1,SUMIFS(OFFSET($A$1,ROW(),31,1000-ROW(),1),OFFSET($A$1,ROW(),20,1000-ROW(),1),ROW(),OFFSET($A$1,ROW(),21,1000-ROW(),1),"Sub"))))</f>
        <v/>
      </c>
      <c r="L69" s="60">
        <f>IF(N($W69)=0,"",IF(AND($S69=MesCiclo,4&gt;SemanaActual),"",MIN(1,SUMIFS(OFFSET($A$1,ROW(),32,1000-ROW(),1),OFFSET($A$1,ROW(),20,1000-ROW(),1),ROW(),OFFSET($A$1,ROW(),21,1000-ROW(),1),"Sub"))))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IF($V69&lt;&gt;"Sub","",N($X69)*IF(AND(ISNUMBER($G69),$G69&lt;=IF($S69=MesCiclo,InicioCiclo,$S69+MOD(2-WEEKDAY($S69),7))+6),1,MIN(1,MAX(0,IF(ISNUMBER(OFFSET($A$1,ROW()-1,8)),OFFSET($A$1,ROW()-1,8),0)))))</f>
        <v/>
      </c>
      <c r="AE69" s="62">
        <f>IF($V69&lt;&gt;"Sub","",N($X69)*IF(AND(ISNUMBER($G69),$G69&lt;=IF($S69=MesCiclo,InicioCiclo,$S69+MOD(2-WEEKDAY($S69),7))+13),1,MIN(1,MAX(0,IF(ISNUMBER(OFFSET($A$1,ROW()-1,9)),OFFSET($A$1,ROW()-1,9),IF(ISNUMBER(OFFSET($A$1,ROW()-1,8)),OFFSET($A$1,ROW()-1,8),0))))))</f>
        <v/>
      </c>
      <c r="AF69" s="62">
        <f>IF($V69&lt;&gt;"Sub","",N($X69)*IF(AND(ISNUMBER($G69),$G69&lt;=IF($S69=MesCiclo,InicioCiclo,$S69+MOD(2-WEEKDAY($S69),7))+20),1,MIN(1,MAX(0,IF(ISNUMBER(OFFSET($A$1,ROW()-1,10)),OFFSET($A$1,ROW()-1,10),IF(ISNUMBER(OFFSET($A$1,ROW()-1,9)),OFFSET($A$1,ROW()-1,9),IF(ISNUMBER(OFFSET($A$1,ROW()-1,8)),OFFSET($A$1,ROW()-1,8),0)))))))</f>
        <v/>
      </c>
      <c r="AG69" s="62">
        <f>IF($V69&lt;&gt;"Sub","",N($X69)*IF(AND(ISNUMBER($G69),$G69&lt;=IF($S69=MesCiclo,InicioCiclo,$S69+MOD(2-WEEKDAY($S69),7))+27),1,MIN(1,MAX(0,IF(ISNUMBER(OFFSET($A$1,ROW()-1,11)),OFFSET($A$1,ROW()-1,11),IF(ISNUMBER(OFFSET($A$1,ROW()-1,10)),OFFSET($A$1,ROW()-1,10),IF(ISNUMBER(OFFSET($A$1,ROW()-1,9)),OFFSET($A$1,ROW()-1,9),IF(ISNUMBER(OFFSET($A$1,ROW()-1,8)),OFFSET($A$1,ROW()-1,8),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",IFERROR(MATCH("Riesgo Operacional|"&amp;MID($C69,12,500),rDname_ADM,0),0),"")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IF(N($W70)=0,"",IF(AND($S70=MesCiclo,1&gt;SemanaActual),"",MIN(1,SUMIFS(OFFSET($A$1,ROW(),29,1000-ROW(),1),OFFSET($A$1,ROW(),20,1000-ROW(),1),ROW(),OFFSET($A$1,ROW(),21,1000-ROW(),1),"Sub"))))</f>
        <v/>
      </c>
      <c r="J70" s="60">
        <f>IF(N($W70)=0,"",IF(AND($S70=MesCiclo,2&gt;SemanaActual),"",MIN(1,SUMIFS(OFFSET($A$1,ROW(),30,1000-ROW(),1),OFFSET($A$1,ROW(),20,1000-ROW(),1),ROW(),OFFSET($A$1,ROW(),21,1000-ROW(),1),"Sub"))))</f>
        <v/>
      </c>
      <c r="K70" s="60">
        <f>IF(N($W70)=0,"",IF(AND($S70=MesCiclo,3&gt;SemanaActual),"",MIN(1,SUMIFS(OFFSET($A$1,ROW(),31,1000-ROW(),1),OFFSET($A$1,ROW(),20,1000-ROW(),1),ROW(),OFFSET($A$1,ROW(),21,1000-ROW(),1),"Sub"))))</f>
        <v/>
      </c>
      <c r="L70" s="60">
        <f>IF(N($W70)=0,"",IF(AND($S70=MesCiclo,4&gt;SemanaActual),"",MIN(1,SUMIFS(OFFSET($A$1,ROW(),32,1000-ROW(),1),OFFSET($A$1,ROW(),20,1000-ROW(),1),ROW(),OFFSET($A$1,ROW(),21,1000-ROW(),1),"Sub"))))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IF($V70&lt;&gt;"Sub","",N($X70)*IF(AND(ISNUMBER($G70),$G70&lt;=IF($S70=MesCiclo,InicioCiclo,$S70+MOD(2-WEEKDAY($S70),7))+6),1,MIN(1,MAX(0,IF(ISNUMBER(OFFSET($A$1,ROW()-1,8)),OFFSET($A$1,ROW()-1,8),0)))))</f>
        <v/>
      </c>
      <c r="AE70" s="62">
        <f>IF($V70&lt;&gt;"Sub","",N($X70)*IF(AND(ISNUMBER($G70),$G70&lt;=IF($S70=MesCiclo,InicioCiclo,$S70+MOD(2-WEEKDAY($S70),7))+13),1,MIN(1,MAX(0,IF(ISNUMBER(OFFSET($A$1,ROW()-1,9)),OFFSET($A$1,ROW()-1,9),IF(ISNUMBER(OFFSET($A$1,ROW()-1,8)),OFFSET($A$1,ROW()-1,8),0))))))</f>
        <v/>
      </c>
      <c r="AF70" s="62">
        <f>IF($V70&lt;&gt;"Sub","",N($X70)*IF(AND(ISNUMBER($G70),$G70&lt;=IF($S70=MesCiclo,InicioCiclo,$S70+MOD(2-WEEKDAY($S70),7))+20),1,MIN(1,MAX(0,IF(ISNUMBER(OFFSET($A$1,ROW()-1,10)),OFFSET($A$1,ROW()-1,10),IF(ISNUMBER(OFFSET($A$1,ROW()-1,9)),OFFSET($A$1,ROW()-1,9),IF(ISNUMBER(OFFSET($A$1,ROW()-1,8)),OFFSET($A$1,ROW()-1,8),0)))))))</f>
        <v/>
      </c>
      <c r="AG70" s="62">
        <f>IF($V70&lt;&gt;"Sub","",N($X70)*IF(AND(ISNUMBER($G70),$G70&lt;=IF($S70=MesCiclo,InicioCiclo,$S70+MOD(2-WEEKDAY($S70),7))+27),1,MIN(1,MAX(0,IF(ISNUMBER(OFFSET($A$1,ROW()-1,11)),OFFSET($A$1,ROW()-1,11),IF(ISNUMBER(OFFSET($A$1,ROW()-1,10)),OFFSET($A$1,ROW()-1,10),IF(ISNUMBER(OFFSET($A$1,ROW()-1,9)),OFFSET($A$1,ROW()-1,9),IF(ISNUMBER(OFFSET($A$1,ROW()-1,8)),OFFSET($A$1,ROW()-1,8),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",IFERROR(MATCH("Riesgo Operacional|"&amp;MID($C70,12,500),rDname_ADM,0),0),"")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IF(N($W71)=0,"",IF(AND($S71=MesCiclo,1&gt;SemanaActual),"",MIN(1,SUMIFS(OFFSET($A$1,ROW(),29,1000-ROW(),1),OFFSET($A$1,ROW(),20,1000-ROW(),1),ROW(),OFFSET($A$1,ROW(),21,1000-ROW(),1),"Sub"))))</f>
        <v/>
      </c>
      <c r="J71" s="60">
        <f>IF(N($W71)=0,"",IF(AND($S71=MesCiclo,2&gt;SemanaActual),"",MIN(1,SUMIFS(OFFSET($A$1,ROW(),30,1000-ROW(),1),OFFSET($A$1,ROW(),20,1000-ROW(),1),ROW(),OFFSET($A$1,ROW(),21,1000-ROW(),1),"Sub"))))</f>
        <v/>
      </c>
      <c r="K71" s="60">
        <f>IF(N($W71)=0,"",IF(AND($S71=MesCiclo,3&gt;SemanaActual),"",MIN(1,SUMIFS(OFFSET($A$1,ROW(),31,1000-ROW(),1),OFFSET($A$1,ROW(),20,1000-ROW(),1),ROW(),OFFSET($A$1,ROW(),21,1000-ROW(),1),"Sub"))))</f>
        <v/>
      </c>
      <c r="L71" s="60">
        <f>IF(N($W71)=0,"",IF(AND($S71=MesCiclo,4&gt;SemanaActual),"",MIN(1,SUMIFS(OFFSET($A$1,ROW(),32,1000-ROW(),1),OFFSET($A$1,ROW(),20,1000-ROW(),1),ROW(),OFFSET($A$1,ROW(),21,1000-ROW(),1),"Sub"))))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IF($V71&lt;&gt;"Sub","",N($X71)*IF(AND(ISNUMBER($G71),$G71&lt;=IF($S71=MesCiclo,InicioCiclo,$S71+MOD(2-WEEKDAY($S71),7))+6),1,MIN(1,MAX(0,IF(ISNUMBER(OFFSET($A$1,ROW()-1,8)),OFFSET($A$1,ROW()-1,8),0)))))</f>
        <v/>
      </c>
      <c r="AE71" s="62">
        <f>IF($V71&lt;&gt;"Sub","",N($X71)*IF(AND(ISNUMBER($G71),$G71&lt;=IF($S71=MesCiclo,InicioCiclo,$S71+MOD(2-WEEKDAY($S71),7))+13),1,MIN(1,MAX(0,IF(ISNUMBER(OFFSET($A$1,ROW()-1,9)),OFFSET($A$1,ROW()-1,9),IF(ISNUMBER(OFFSET($A$1,ROW()-1,8)),OFFSET($A$1,ROW()-1,8),0))))))</f>
        <v/>
      </c>
      <c r="AF71" s="62">
        <f>IF($V71&lt;&gt;"Sub","",N($X71)*IF(AND(ISNUMBER($G71),$G71&lt;=IF($S71=MesCiclo,InicioCiclo,$S71+MOD(2-WEEKDAY($S71),7))+20),1,MIN(1,MAX(0,IF(ISNUMBER(OFFSET($A$1,ROW()-1,10)),OFFSET($A$1,ROW()-1,10),IF(ISNUMBER(OFFSET($A$1,ROW()-1,9)),OFFSET($A$1,ROW()-1,9),IF(ISNUMBER(OFFSET($A$1,ROW()-1,8)),OFFSET($A$1,ROW()-1,8),0)))))))</f>
        <v/>
      </c>
      <c r="AG71" s="62">
        <f>IF($V71&lt;&gt;"Sub","",N($X71)*IF(AND(ISNUMBER($G71),$G71&lt;=IF($S71=MesCiclo,InicioCiclo,$S71+MOD(2-WEEKDAY($S71),7))+27),1,MIN(1,MAX(0,IF(ISNUMBER(OFFSET($A$1,ROW()-1,11)),OFFSET($A$1,ROW()-1,11),IF(ISNUMBER(OFFSET($A$1,ROW()-1,10)),OFFSET($A$1,ROW()-1,10),IF(ISNUMBER(OFFSET($A$1,ROW()-1,9)),OFFSET($A$1,ROW()-1,9),IF(ISNUMBER(OFFSET($A$1,ROW()-1,8)),OFFSET($A$1,ROW()-1,8),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",IFERROR(MATCH("Riesgo Operacional|"&amp;MID($C71,12,500),rDname_ADM,0),0),"")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IF(N($W72)=0,"",IF(AND($S72=MesCiclo,1&gt;SemanaActual),"",MIN(1,SUMIFS(OFFSET($A$1,ROW(),29,1000-ROW(),1),OFFSET($A$1,ROW(),20,1000-ROW(),1),ROW(),OFFSET($A$1,ROW(),21,1000-ROW(),1),"Sub"))))</f>
        <v/>
      </c>
      <c r="J72" s="60">
        <f>IF(N($W72)=0,"",IF(AND($S72=MesCiclo,2&gt;SemanaActual),"",MIN(1,SUMIFS(OFFSET($A$1,ROW(),30,1000-ROW(),1),OFFSET($A$1,ROW(),20,1000-ROW(),1),ROW(),OFFSET($A$1,ROW(),21,1000-ROW(),1),"Sub"))))</f>
        <v/>
      </c>
      <c r="K72" s="60">
        <f>IF(N($W72)=0,"",IF(AND($S72=MesCiclo,3&gt;SemanaActual),"",MIN(1,SUMIFS(OFFSET($A$1,ROW(),31,1000-ROW(),1),OFFSET($A$1,ROW(),20,1000-ROW(),1),ROW(),OFFSET($A$1,ROW(),21,1000-ROW(),1),"Sub"))))</f>
        <v/>
      </c>
      <c r="L72" s="60">
        <f>IF(N($W72)=0,"",IF(AND($S72=MesCiclo,4&gt;SemanaActual),"",MIN(1,SUMIFS(OFFSET($A$1,ROW(),32,1000-ROW(),1),OFFSET($A$1,ROW(),20,1000-ROW(),1),ROW(),OFFSET($A$1,ROW(),21,1000-ROW(),1),"Sub"))))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IF($V72&lt;&gt;"Sub","",N($X72)*IF(AND(ISNUMBER($G72),$G72&lt;=IF($S72=MesCiclo,InicioCiclo,$S72+MOD(2-WEEKDAY($S72),7))+6),1,MIN(1,MAX(0,IF(ISNUMBER(OFFSET($A$1,ROW()-1,8)),OFFSET($A$1,ROW()-1,8),0)))))</f>
        <v/>
      </c>
      <c r="AE72" s="62">
        <f>IF($V72&lt;&gt;"Sub","",N($X72)*IF(AND(ISNUMBER($G72),$G72&lt;=IF($S72=MesCiclo,InicioCiclo,$S72+MOD(2-WEEKDAY($S72),7))+13),1,MIN(1,MAX(0,IF(ISNUMBER(OFFSET($A$1,ROW()-1,9)),OFFSET($A$1,ROW()-1,9),IF(ISNUMBER(OFFSET($A$1,ROW()-1,8)),OFFSET($A$1,ROW()-1,8),0))))))</f>
        <v/>
      </c>
      <c r="AF72" s="62">
        <f>IF($V72&lt;&gt;"Sub","",N($X72)*IF(AND(ISNUMBER($G72),$G72&lt;=IF($S72=MesCiclo,InicioCiclo,$S72+MOD(2-WEEKDAY($S72),7))+20),1,MIN(1,MAX(0,IF(ISNUMBER(OFFSET($A$1,ROW()-1,10)),OFFSET($A$1,ROW()-1,10),IF(ISNUMBER(OFFSET($A$1,ROW()-1,9)),OFFSET($A$1,ROW()-1,9),IF(ISNUMBER(OFFSET($A$1,ROW()-1,8)),OFFSET($A$1,ROW()-1,8),0)))))))</f>
        <v/>
      </c>
      <c r="AG72" s="62">
        <f>IF($V72&lt;&gt;"Sub","",N($X72)*IF(AND(ISNUMBER($G72),$G72&lt;=IF($S72=MesCiclo,InicioCiclo,$S72+MOD(2-WEEKDAY($S72),7))+27),1,MIN(1,MAX(0,IF(ISNUMBER(OFFSET($A$1,ROW()-1,11)),OFFSET($A$1,ROW()-1,11),IF(ISNUMBER(OFFSET($A$1,ROW()-1,10)),OFFSET($A$1,ROW()-1,10),IF(ISNUMBER(OFFSET($A$1,ROW()-1,9)),OFFSET($A$1,ROW()-1,9),IF(ISNUMBER(OFFSET($A$1,ROW()-1,8)),OFFSET($A$1,ROW()-1,8),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",IFERROR(MATCH("Riesgo Operacional|"&amp;MID($C72,12,500),rDname_ADM,0),0),"")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IF(N($W73)=0,"",IF(AND($S73=MesCiclo,1&gt;SemanaActual),"",MIN(1,SUMIFS(OFFSET($A$1,ROW(),29,1000-ROW(),1),OFFSET($A$1,ROW(),20,1000-ROW(),1),ROW(),OFFSET($A$1,ROW(),21,1000-ROW(),1),"Sub"))))</f>
        <v/>
      </c>
      <c r="J73" s="60">
        <f>IF(N($W73)=0,"",IF(AND($S73=MesCiclo,2&gt;SemanaActual),"",MIN(1,SUMIFS(OFFSET($A$1,ROW(),30,1000-ROW(),1),OFFSET($A$1,ROW(),20,1000-ROW(),1),ROW(),OFFSET($A$1,ROW(),21,1000-ROW(),1),"Sub"))))</f>
        <v/>
      </c>
      <c r="K73" s="60">
        <f>IF(N($W73)=0,"",IF(AND($S73=MesCiclo,3&gt;SemanaActual),"",MIN(1,SUMIFS(OFFSET($A$1,ROW(),31,1000-ROW(),1),OFFSET($A$1,ROW(),20,1000-ROW(),1),ROW(),OFFSET($A$1,ROW(),21,1000-ROW(),1),"Sub"))))</f>
        <v/>
      </c>
      <c r="L73" s="60">
        <f>IF(N($W73)=0,"",IF(AND($S73=MesCiclo,4&gt;SemanaActual),"",MIN(1,SUMIFS(OFFSET($A$1,ROW(),32,1000-ROW(),1),OFFSET($A$1,ROW(),20,1000-ROW(),1),ROW(),OFFSET($A$1,ROW(),21,1000-ROW(),1),"Sub"))))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IF($V73&lt;&gt;"Sub","",N($X73)*IF(AND(ISNUMBER($G73),$G73&lt;=IF($S73=MesCiclo,InicioCiclo,$S73+MOD(2-WEEKDAY($S73),7))+6),1,MIN(1,MAX(0,IF(ISNUMBER(OFFSET($A$1,ROW()-1,8)),OFFSET($A$1,ROW()-1,8),0)))))</f>
        <v/>
      </c>
      <c r="AE73" s="62">
        <f>IF($V73&lt;&gt;"Sub","",N($X73)*IF(AND(ISNUMBER($G73),$G73&lt;=IF($S73=MesCiclo,InicioCiclo,$S73+MOD(2-WEEKDAY($S73),7))+13),1,MIN(1,MAX(0,IF(ISNUMBER(OFFSET($A$1,ROW()-1,9)),OFFSET($A$1,ROW()-1,9),IF(ISNUMBER(OFFSET($A$1,ROW()-1,8)),OFFSET($A$1,ROW()-1,8),0))))))</f>
        <v/>
      </c>
      <c r="AF73" s="62">
        <f>IF($V73&lt;&gt;"Sub","",N($X73)*IF(AND(ISNUMBER($G73),$G73&lt;=IF($S73=MesCiclo,InicioCiclo,$S73+MOD(2-WEEKDAY($S73),7))+20),1,MIN(1,MAX(0,IF(ISNUMBER(OFFSET($A$1,ROW()-1,10)),OFFSET($A$1,ROW()-1,10),IF(ISNUMBER(OFFSET($A$1,ROW()-1,9)),OFFSET($A$1,ROW()-1,9),IF(ISNUMBER(OFFSET($A$1,ROW()-1,8)),OFFSET($A$1,ROW()-1,8),0)))))))</f>
        <v/>
      </c>
      <c r="AG73" s="62">
        <f>IF($V73&lt;&gt;"Sub","",N($X73)*IF(AND(ISNUMBER($G73),$G73&lt;=IF($S73=MesCiclo,InicioCiclo,$S73+MOD(2-WEEKDAY($S73),7))+27),1,MIN(1,MAX(0,IF(ISNUMBER(OFFSET($A$1,ROW()-1,11)),OFFSET($A$1,ROW()-1,11),IF(ISNUMBER(OFFSET($A$1,ROW()-1,10)),OFFSET($A$1,ROW()-1,10),IF(ISNUMBER(OFFSET($A$1,ROW()-1,9)),OFFSET($A$1,ROW()-1,9),IF(ISNUMBER(OFFSET($A$1,ROW()-1,8)),OFFSET($A$1,ROW()-1,8),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",IFERROR(MATCH("Riesgo Operacional|"&amp;MID($C73,12,500),rDname_ADM,0),0),"")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IF(N($W74)=0,"",IF(AND($S74=MesCiclo,1&gt;SemanaActual),"",MIN(1,SUMIFS(OFFSET($A$1,ROW(),29,1000-ROW(),1),OFFSET($A$1,ROW(),20,1000-ROW(),1),ROW(),OFFSET($A$1,ROW(),21,1000-ROW(),1),"Sub"))))</f>
        <v/>
      </c>
      <c r="J74" s="60">
        <f>IF(N($W74)=0,"",IF(AND($S74=MesCiclo,2&gt;SemanaActual),"",MIN(1,SUMIFS(OFFSET($A$1,ROW(),30,1000-ROW(),1),OFFSET($A$1,ROW(),20,1000-ROW(),1),ROW(),OFFSET($A$1,ROW(),21,1000-ROW(),1),"Sub"))))</f>
        <v/>
      </c>
      <c r="K74" s="60">
        <f>IF(N($W74)=0,"",IF(AND($S74=MesCiclo,3&gt;SemanaActual),"",MIN(1,SUMIFS(OFFSET($A$1,ROW(),31,1000-ROW(),1),OFFSET($A$1,ROW(),20,1000-ROW(),1),ROW(),OFFSET($A$1,ROW(),21,1000-ROW(),1),"Sub"))))</f>
        <v/>
      </c>
      <c r="L74" s="60">
        <f>IF(N($W74)=0,"",IF(AND($S74=MesCiclo,4&gt;SemanaActual),"",MIN(1,SUMIFS(OFFSET($A$1,ROW(),32,1000-ROW(),1),OFFSET($A$1,ROW(),20,1000-ROW(),1),ROW(),OFFSET($A$1,ROW(),21,1000-ROW(),1),"Sub"))))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IF($V74&lt;&gt;"Sub","",N($X74)*IF(AND(ISNUMBER($G74),$G74&lt;=IF($S74=MesCiclo,InicioCiclo,$S74+MOD(2-WEEKDAY($S74),7))+6),1,MIN(1,MAX(0,IF(ISNUMBER(OFFSET($A$1,ROW()-1,8)),OFFSET($A$1,ROW()-1,8),0)))))</f>
        <v/>
      </c>
      <c r="AE74" s="62">
        <f>IF($V74&lt;&gt;"Sub","",N($X74)*IF(AND(ISNUMBER($G74),$G74&lt;=IF($S74=MesCiclo,InicioCiclo,$S74+MOD(2-WEEKDAY($S74),7))+13),1,MIN(1,MAX(0,IF(ISNUMBER(OFFSET($A$1,ROW()-1,9)),OFFSET($A$1,ROW()-1,9),IF(ISNUMBER(OFFSET($A$1,ROW()-1,8)),OFFSET($A$1,ROW()-1,8),0))))))</f>
        <v/>
      </c>
      <c r="AF74" s="62">
        <f>IF($V74&lt;&gt;"Sub","",N($X74)*IF(AND(ISNUMBER($G74),$G74&lt;=IF($S74=MesCiclo,InicioCiclo,$S74+MOD(2-WEEKDAY($S74),7))+20),1,MIN(1,MAX(0,IF(ISNUMBER(OFFSET($A$1,ROW()-1,10)),OFFSET($A$1,ROW()-1,10),IF(ISNUMBER(OFFSET($A$1,ROW()-1,9)),OFFSET($A$1,ROW()-1,9),IF(ISNUMBER(OFFSET($A$1,ROW()-1,8)),OFFSET($A$1,ROW()-1,8),0)))))))</f>
        <v/>
      </c>
      <c r="AG74" s="62">
        <f>IF($V74&lt;&gt;"Sub","",N($X74)*IF(AND(ISNUMBER($G74),$G74&lt;=IF($S74=MesCiclo,InicioCiclo,$S74+MOD(2-WEEKDAY($S74),7))+27),1,MIN(1,MAX(0,IF(ISNUMBER(OFFSET($A$1,ROW()-1,11)),OFFSET($A$1,ROW()-1,11),IF(ISNUMBER(OFFSET($A$1,ROW()-1,10)),OFFSET($A$1,ROW()-1,10),IF(ISNUMBER(OFFSET($A$1,ROW()-1,9)),OFFSET($A$1,ROW()-1,9),IF(ISNUMBER(OFFSET($A$1,ROW()-1,8)),OFFSET($A$1,ROW()-1,8),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",IFERROR(MATCH("Riesgo Operacional|"&amp;MID($C74,12,500),rDname_ADM,0),0),"")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IF(N($W75)=0,"",IF(AND($S75=MesCiclo,1&gt;SemanaActual),"",MIN(1,SUMIFS(OFFSET($A$1,ROW(),29,1000-ROW(),1),OFFSET($A$1,ROW(),20,1000-ROW(),1),ROW(),OFFSET($A$1,ROW(),21,1000-ROW(),1),"Sub"))))</f>
        <v/>
      </c>
      <c r="J75" s="60">
        <f>IF(N($W75)=0,"",IF(AND($S75=MesCiclo,2&gt;SemanaActual),"",MIN(1,SUMIFS(OFFSET($A$1,ROW(),30,1000-ROW(),1),OFFSET($A$1,ROW(),20,1000-ROW(),1),ROW(),OFFSET($A$1,ROW(),21,1000-ROW(),1),"Sub"))))</f>
        <v/>
      </c>
      <c r="K75" s="60">
        <f>IF(N($W75)=0,"",IF(AND($S75=MesCiclo,3&gt;SemanaActual),"",MIN(1,SUMIFS(OFFSET($A$1,ROW(),31,1000-ROW(),1),OFFSET($A$1,ROW(),20,1000-ROW(),1),ROW(),OFFSET($A$1,ROW(),21,1000-ROW(),1),"Sub"))))</f>
        <v/>
      </c>
      <c r="L75" s="60">
        <f>IF(N($W75)=0,"",IF(AND($S75=MesCiclo,4&gt;SemanaActual),"",MIN(1,SUMIFS(OFFSET($A$1,ROW(),32,1000-ROW(),1),OFFSET($A$1,ROW(),20,1000-ROW(),1),ROW(),OFFSET($A$1,ROW(),21,1000-ROW(),1),"Sub"))))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IF($V75&lt;&gt;"Sub","",N($X75)*IF(AND(ISNUMBER($G75),$G75&lt;=IF($S75=MesCiclo,InicioCiclo,$S75+MOD(2-WEEKDAY($S75),7))+6),1,MIN(1,MAX(0,IF(ISNUMBER(OFFSET($A$1,ROW()-1,8)),OFFSET($A$1,ROW()-1,8),0)))))</f>
        <v/>
      </c>
      <c r="AE75" s="62">
        <f>IF($V75&lt;&gt;"Sub","",N($X75)*IF(AND(ISNUMBER($G75),$G75&lt;=IF($S75=MesCiclo,InicioCiclo,$S75+MOD(2-WEEKDAY($S75),7))+13),1,MIN(1,MAX(0,IF(ISNUMBER(OFFSET($A$1,ROW()-1,9)),OFFSET($A$1,ROW()-1,9),IF(ISNUMBER(OFFSET($A$1,ROW()-1,8)),OFFSET($A$1,ROW()-1,8),0))))))</f>
        <v/>
      </c>
      <c r="AF75" s="62">
        <f>IF($V75&lt;&gt;"Sub","",N($X75)*IF(AND(ISNUMBER($G75),$G75&lt;=IF($S75=MesCiclo,InicioCiclo,$S75+MOD(2-WEEKDAY($S75),7))+20),1,MIN(1,MAX(0,IF(ISNUMBER(OFFSET($A$1,ROW()-1,10)),OFFSET($A$1,ROW()-1,10),IF(ISNUMBER(OFFSET($A$1,ROW()-1,9)),OFFSET($A$1,ROW()-1,9),IF(ISNUMBER(OFFSET($A$1,ROW()-1,8)),OFFSET($A$1,ROW()-1,8),0)))))))</f>
        <v/>
      </c>
      <c r="AG75" s="62">
        <f>IF($V75&lt;&gt;"Sub","",N($X75)*IF(AND(ISNUMBER($G75),$G75&lt;=IF($S75=MesCiclo,InicioCiclo,$S75+MOD(2-WEEKDAY($S75),7))+27),1,MIN(1,MAX(0,IF(ISNUMBER(OFFSET($A$1,ROW()-1,11)),OFFSET($A$1,ROW()-1,11),IF(ISNUMBER(OFFSET($A$1,ROW()-1,10)),OFFSET($A$1,ROW()-1,10),IF(ISNUMBER(OFFSET($A$1,ROW()-1,9)),OFFSET($A$1,ROW()-1,9),IF(ISNUMBER(OFFSET($A$1,ROW()-1,8)),OFFSET($A$1,ROW()-1,8),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",IFERROR(MATCH("Riesgo Operacional|"&amp;MID($C75,12,500),rDname_ADM,0),0),"")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IF(N($W76)=0,"",IF(AND($S76=MesCiclo,1&gt;SemanaActual),"",MIN(1,SUMIFS(OFFSET($A$1,ROW(),29,1000-ROW(),1),OFFSET($A$1,ROW(),20,1000-ROW(),1),ROW(),OFFSET($A$1,ROW(),21,1000-ROW(),1),"Sub"))))</f>
        <v/>
      </c>
      <c r="J76" s="60">
        <f>IF(N($W76)=0,"",IF(AND($S76=MesCiclo,2&gt;SemanaActual),"",MIN(1,SUMIFS(OFFSET($A$1,ROW(),30,1000-ROW(),1),OFFSET($A$1,ROW(),20,1000-ROW(),1),ROW(),OFFSET($A$1,ROW(),21,1000-ROW(),1),"Sub"))))</f>
        <v/>
      </c>
      <c r="K76" s="60">
        <f>IF(N($W76)=0,"",IF(AND($S76=MesCiclo,3&gt;SemanaActual),"",MIN(1,SUMIFS(OFFSET($A$1,ROW(),31,1000-ROW(),1),OFFSET($A$1,ROW(),20,1000-ROW(),1),ROW(),OFFSET($A$1,ROW(),21,1000-ROW(),1),"Sub"))))</f>
        <v/>
      </c>
      <c r="L76" s="60">
        <f>IF(N($W76)=0,"",IF(AND($S76=MesCiclo,4&gt;SemanaActual),"",MIN(1,SUMIFS(OFFSET($A$1,ROW(),32,1000-ROW(),1),OFFSET($A$1,ROW(),20,1000-ROW(),1),ROW(),OFFSET($A$1,ROW(),21,1000-ROW(),1),"Sub"))))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IF($V76&lt;&gt;"Sub","",N($X76)*IF(AND(ISNUMBER($G76),$G76&lt;=IF($S76=MesCiclo,InicioCiclo,$S76+MOD(2-WEEKDAY($S76),7))+6),1,MIN(1,MAX(0,IF(ISNUMBER(OFFSET($A$1,ROW()-1,8)),OFFSET($A$1,ROW()-1,8),0)))))</f>
        <v/>
      </c>
      <c r="AE76" s="62">
        <f>IF($V76&lt;&gt;"Sub","",N($X76)*IF(AND(ISNUMBER($G76),$G76&lt;=IF($S76=MesCiclo,InicioCiclo,$S76+MOD(2-WEEKDAY($S76),7))+13),1,MIN(1,MAX(0,IF(ISNUMBER(OFFSET($A$1,ROW()-1,9)),OFFSET($A$1,ROW()-1,9),IF(ISNUMBER(OFFSET($A$1,ROW()-1,8)),OFFSET($A$1,ROW()-1,8),0))))))</f>
        <v/>
      </c>
      <c r="AF76" s="62">
        <f>IF($V76&lt;&gt;"Sub","",N($X76)*IF(AND(ISNUMBER($G76),$G76&lt;=IF($S76=MesCiclo,InicioCiclo,$S76+MOD(2-WEEKDAY($S76),7))+20),1,MIN(1,MAX(0,IF(ISNUMBER(OFFSET($A$1,ROW()-1,10)),OFFSET($A$1,ROW()-1,10),IF(ISNUMBER(OFFSET($A$1,ROW()-1,9)),OFFSET($A$1,ROW()-1,9),IF(ISNUMBER(OFFSET($A$1,ROW()-1,8)),OFFSET($A$1,ROW()-1,8),0)))))))</f>
        <v/>
      </c>
      <c r="AG76" s="62">
        <f>IF($V76&lt;&gt;"Sub","",N($X76)*IF(AND(ISNUMBER($G76),$G76&lt;=IF($S76=MesCiclo,InicioCiclo,$S76+MOD(2-WEEKDAY($S76),7))+27),1,MIN(1,MAX(0,IF(ISNUMBER(OFFSET($A$1,ROW()-1,11)),OFFSET($A$1,ROW()-1,11),IF(ISNUMBER(OFFSET($A$1,ROW()-1,10)),OFFSET($A$1,ROW()-1,10),IF(ISNUMBER(OFFSET($A$1,ROW()-1,9)),OFFSET($A$1,ROW()-1,9),IF(ISNUMBER(OFFSET($A$1,ROW()-1,8)),OFFSET($A$1,ROW()-1,8),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",IFERROR(MATCH("Riesgo Operacional|"&amp;MID($C76,12,500),rDname_ADM,0),0),"")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IF(N($W77)=0,"",IF(AND($S77=MesCiclo,1&gt;SemanaActual),"",MIN(1,SUMIFS(OFFSET($A$1,ROW(),29,1000-ROW(),1),OFFSET($A$1,ROW(),20,1000-ROW(),1),ROW(),OFFSET($A$1,ROW(),21,1000-ROW(),1),"Sub"))))</f>
        <v/>
      </c>
      <c r="J77" s="60">
        <f>IF(N($W77)=0,"",IF(AND($S77=MesCiclo,2&gt;SemanaActual),"",MIN(1,SUMIFS(OFFSET($A$1,ROW(),30,1000-ROW(),1),OFFSET($A$1,ROW(),20,1000-ROW(),1),ROW(),OFFSET($A$1,ROW(),21,1000-ROW(),1),"Sub"))))</f>
        <v/>
      </c>
      <c r="K77" s="60">
        <f>IF(N($W77)=0,"",IF(AND($S77=MesCiclo,3&gt;SemanaActual),"",MIN(1,SUMIFS(OFFSET($A$1,ROW(),31,1000-ROW(),1),OFFSET($A$1,ROW(),20,1000-ROW(),1),ROW(),OFFSET($A$1,ROW(),21,1000-ROW(),1),"Sub"))))</f>
        <v/>
      </c>
      <c r="L77" s="60">
        <f>IF(N($W77)=0,"",IF(AND($S77=MesCiclo,4&gt;SemanaActual),"",MIN(1,SUMIFS(OFFSET($A$1,ROW(),32,1000-ROW(),1),OFFSET($A$1,ROW(),20,1000-ROW(),1),ROW(),OFFSET($A$1,ROW(),21,1000-ROW(),1),"Sub"))))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IF($V77&lt;&gt;"Sub","",N($X77)*IF(AND(ISNUMBER($G77),$G77&lt;=IF($S77=MesCiclo,InicioCiclo,$S77+MOD(2-WEEKDAY($S77),7))+6),1,MIN(1,MAX(0,IF(ISNUMBER(OFFSET($A$1,ROW()-1,8)),OFFSET($A$1,ROW()-1,8),0)))))</f>
        <v/>
      </c>
      <c r="AE77" s="62">
        <f>IF($V77&lt;&gt;"Sub","",N($X77)*IF(AND(ISNUMBER($G77),$G77&lt;=IF($S77=MesCiclo,InicioCiclo,$S77+MOD(2-WEEKDAY($S77),7))+13),1,MIN(1,MAX(0,IF(ISNUMBER(OFFSET($A$1,ROW()-1,9)),OFFSET($A$1,ROW()-1,9),IF(ISNUMBER(OFFSET($A$1,ROW()-1,8)),OFFSET($A$1,ROW()-1,8),0))))))</f>
        <v/>
      </c>
      <c r="AF77" s="62">
        <f>IF($V77&lt;&gt;"Sub","",N($X77)*IF(AND(ISNUMBER($G77),$G77&lt;=IF($S77=MesCiclo,InicioCiclo,$S77+MOD(2-WEEKDAY($S77),7))+20),1,MIN(1,MAX(0,IF(ISNUMBER(OFFSET($A$1,ROW()-1,10)),OFFSET($A$1,ROW()-1,10),IF(ISNUMBER(OFFSET($A$1,ROW()-1,9)),OFFSET($A$1,ROW()-1,9),IF(ISNUMBER(OFFSET($A$1,ROW()-1,8)),OFFSET($A$1,ROW()-1,8),0)))))))</f>
        <v/>
      </c>
      <c r="AG77" s="62">
        <f>IF($V77&lt;&gt;"Sub","",N($X77)*IF(AND(ISNUMBER($G77),$G77&lt;=IF($S77=MesCiclo,InicioCiclo,$S77+MOD(2-WEEKDAY($S77),7))+27),1,MIN(1,MAX(0,IF(ISNUMBER(OFFSET($A$1,ROW()-1,11)),OFFSET($A$1,ROW()-1,11),IF(ISNUMBER(OFFSET($A$1,ROW()-1,10)),OFFSET($A$1,ROW()-1,10),IF(ISNUMBER(OFFSET($A$1,ROW()-1,9)),OFFSET($A$1,ROW()-1,9),IF(ISNUMBER(OFFSET($A$1,ROW()-1,8)),OFFSET($A$1,ROW()-1,8),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",IFERROR(MATCH("Riesgo Operacional|"&amp;MID($C77,12,500),rDname_ADM,0),0),"")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IF(N($W78)=0,"",IF(AND($S78=MesCiclo,1&gt;SemanaActual),"",MIN(1,SUMIFS(OFFSET($A$1,ROW(),29,1000-ROW(),1),OFFSET($A$1,ROW(),20,1000-ROW(),1),ROW(),OFFSET($A$1,ROW(),21,1000-ROW(),1),"Sub"))))</f>
        <v/>
      </c>
      <c r="J78" s="60">
        <f>IF(N($W78)=0,"",IF(AND($S78=MesCiclo,2&gt;SemanaActual),"",MIN(1,SUMIFS(OFFSET($A$1,ROW(),30,1000-ROW(),1),OFFSET($A$1,ROW(),20,1000-ROW(),1),ROW(),OFFSET($A$1,ROW(),21,1000-ROW(),1),"Sub"))))</f>
        <v/>
      </c>
      <c r="K78" s="60">
        <f>IF(N($W78)=0,"",IF(AND($S78=MesCiclo,3&gt;SemanaActual),"",MIN(1,SUMIFS(OFFSET($A$1,ROW(),31,1000-ROW(),1),OFFSET($A$1,ROW(),20,1000-ROW(),1),ROW(),OFFSET($A$1,ROW(),21,1000-ROW(),1),"Sub"))))</f>
        <v/>
      </c>
      <c r="L78" s="60">
        <f>IF(N($W78)=0,"",IF(AND($S78=MesCiclo,4&gt;SemanaActual),"",MIN(1,SUMIFS(OFFSET($A$1,ROW(),32,1000-ROW(),1),OFFSET($A$1,ROW(),20,1000-ROW(),1),ROW(),OFFSET($A$1,ROW(),21,1000-ROW(),1),"Sub"))))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IF($V78&lt;&gt;"Sub","",N($X78)*IF(AND(ISNUMBER($G78),$G78&lt;=IF($S78=MesCiclo,InicioCiclo,$S78+MOD(2-WEEKDAY($S78),7))+6),1,MIN(1,MAX(0,IF(ISNUMBER(OFFSET($A$1,ROW()-1,8)),OFFSET($A$1,ROW()-1,8),0)))))</f>
        <v/>
      </c>
      <c r="AE78" s="62">
        <f>IF($V78&lt;&gt;"Sub","",N($X78)*IF(AND(ISNUMBER($G78),$G78&lt;=IF($S78=MesCiclo,InicioCiclo,$S78+MOD(2-WEEKDAY($S78),7))+13),1,MIN(1,MAX(0,IF(ISNUMBER(OFFSET($A$1,ROW()-1,9)),OFFSET($A$1,ROW()-1,9),IF(ISNUMBER(OFFSET($A$1,ROW()-1,8)),OFFSET($A$1,ROW()-1,8),0))))))</f>
        <v/>
      </c>
      <c r="AF78" s="62">
        <f>IF($V78&lt;&gt;"Sub","",N($X78)*IF(AND(ISNUMBER($G78),$G78&lt;=IF($S78=MesCiclo,InicioCiclo,$S78+MOD(2-WEEKDAY($S78),7))+20),1,MIN(1,MAX(0,IF(ISNUMBER(OFFSET($A$1,ROW()-1,10)),OFFSET($A$1,ROW()-1,10),IF(ISNUMBER(OFFSET($A$1,ROW()-1,9)),OFFSET($A$1,ROW()-1,9),IF(ISNUMBER(OFFSET($A$1,ROW()-1,8)),OFFSET($A$1,ROW()-1,8),0)))))))</f>
        <v/>
      </c>
      <c r="AG78" s="62">
        <f>IF($V78&lt;&gt;"Sub","",N($X78)*IF(AND(ISNUMBER($G78),$G78&lt;=IF($S78=MesCiclo,InicioCiclo,$S78+MOD(2-WEEKDAY($S78),7))+27),1,MIN(1,MAX(0,IF(ISNUMBER(OFFSET($A$1,ROW()-1,11)),OFFSET($A$1,ROW()-1,11),IF(ISNUMBER(OFFSET($A$1,ROW()-1,10)),OFFSET($A$1,ROW()-1,10),IF(ISNUMBER(OFFSET($A$1,ROW()-1,9)),OFFSET($A$1,ROW()-1,9),IF(ISNUMBER(OFFSET($A$1,ROW()-1,8)),OFFSET($A$1,ROW()-1,8),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",IFERROR(MATCH("Riesgo Operacional|"&amp;MID($C78,12,500),rDname_ADM,0),0),"")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IF(N($W79)=0,"",IF(AND($S79=MesCiclo,1&gt;SemanaActual),"",MIN(1,SUMIFS(OFFSET($A$1,ROW(),29,1000-ROW(),1),OFFSET($A$1,ROW(),20,1000-ROW(),1),ROW(),OFFSET($A$1,ROW(),21,1000-ROW(),1),"Sub"))))</f>
        <v/>
      </c>
      <c r="J79" s="60">
        <f>IF(N($W79)=0,"",IF(AND($S79=MesCiclo,2&gt;SemanaActual),"",MIN(1,SUMIFS(OFFSET($A$1,ROW(),30,1000-ROW(),1),OFFSET($A$1,ROW(),20,1000-ROW(),1),ROW(),OFFSET($A$1,ROW(),21,1000-ROW(),1),"Sub"))))</f>
        <v/>
      </c>
      <c r="K79" s="60">
        <f>IF(N($W79)=0,"",IF(AND($S79=MesCiclo,3&gt;SemanaActual),"",MIN(1,SUMIFS(OFFSET($A$1,ROW(),31,1000-ROW(),1),OFFSET($A$1,ROW(),20,1000-ROW(),1),ROW(),OFFSET($A$1,ROW(),21,1000-ROW(),1),"Sub"))))</f>
        <v/>
      </c>
      <c r="L79" s="60">
        <f>IF(N($W79)=0,"",IF(AND($S79=MesCiclo,4&gt;SemanaActual),"",MIN(1,SUMIFS(OFFSET($A$1,ROW(),32,1000-ROW(),1),OFFSET($A$1,ROW(),20,1000-ROW(),1),ROW(),OFFSET($A$1,ROW(),21,1000-ROW(),1),"Sub"))))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IF($V79&lt;&gt;"Sub","",N($X79)*IF(AND(ISNUMBER($G79),$G79&lt;=IF($S79=MesCiclo,InicioCiclo,$S79+MOD(2-WEEKDAY($S79),7))+6),1,MIN(1,MAX(0,IF(ISNUMBER(OFFSET($A$1,ROW()-1,8)),OFFSET($A$1,ROW()-1,8),0)))))</f>
        <v/>
      </c>
      <c r="AE79" s="62">
        <f>IF($V79&lt;&gt;"Sub","",N($X79)*IF(AND(ISNUMBER($G79),$G79&lt;=IF($S79=MesCiclo,InicioCiclo,$S79+MOD(2-WEEKDAY($S79),7))+13),1,MIN(1,MAX(0,IF(ISNUMBER(OFFSET($A$1,ROW()-1,9)),OFFSET($A$1,ROW()-1,9),IF(ISNUMBER(OFFSET($A$1,ROW()-1,8)),OFFSET($A$1,ROW()-1,8),0))))))</f>
        <v/>
      </c>
      <c r="AF79" s="62">
        <f>IF($V79&lt;&gt;"Sub","",N($X79)*IF(AND(ISNUMBER($G79),$G79&lt;=IF($S79=MesCiclo,InicioCiclo,$S79+MOD(2-WEEKDAY($S79),7))+20),1,MIN(1,MAX(0,IF(ISNUMBER(OFFSET($A$1,ROW()-1,10)),OFFSET($A$1,ROW()-1,10),IF(ISNUMBER(OFFSET($A$1,ROW()-1,9)),OFFSET($A$1,ROW()-1,9),IF(ISNUMBER(OFFSET($A$1,ROW()-1,8)),OFFSET($A$1,ROW()-1,8),0)))))))</f>
        <v/>
      </c>
      <c r="AG79" s="62">
        <f>IF($V79&lt;&gt;"Sub","",N($X79)*IF(AND(ISNUMBER($G79),$G79&lt;=IF($S79=MesCiclo,InicioCiclo,$S79+MOD(2-WEEKDAY($S79),7))+27),1,MIN(1,MAX(0,IF(ISNUMBER(OFFSET($A$1,ROW()-1,11)),OFFSET($A$1,ROW()-1,11),IF(ISNUMBER(OFFSET($A$1,ROW()-1,10)),OFFSET($A$1,ROW()-1,10),IF(ISNUMBER(OFFSET($A$1,ROW()-1,9)),OFFSET($A$1,ROW()-1,9),IF(ISNUMBER(OFFSET($A$1,ROW()-1,8)),OFFSET($A$1,ROW()-1,8),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",IFERROR(MATCH("Riesgo Operacional|"&amp;MID($C79,12,500),rDname_ADM,0),0),"")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IF(N($W80)=0,"",IF(AND($S80=MesCiclo,1&gt;SemanaActual),"",MIN(1,SUMIFS(OFFSET($A$1,ROW(),29,1000-ROW(),1),OFFSET($A$1,ROW(),20,1000-ROW(),1),ROW(),OFFSET($A$1,ROW(),21,1000-ROW(),1),"Sub"))))</f>
        <v/>
      </c>
      <c r="J80" s="60">
        <f>IF(N($W80)=0,"",IF(AND($S80=MesCiclo,2&gt;SemanaActual),"",MIN(1,SUMIFS(OFFSET($A$1,ROW(),30,1000-ROW(),1),OFFSET($A$1,ROW(),20,1000-ROW(),1),ROW(),OFFSET($A$1,ROW(),21,1000-ROW(),1),"Sub"))))</f>
        <v/>
      </c>
      <c r="K80" s="60">
        <f>IF(N($W80)=0,"",IF(AND($S80=MesCiclo,3&gt;SemanaActual),"",MIN(1,SUMIFS(OFFSET($A$1,ROW(),31,1000-ROW(),1),OFFSET($A$1,ROW(),20,1000-ROW(),1),ROW(),OFFSET($A$1,ROW(),21,1000-ROW(),1),"Sub"))))</f>
        <v/>
      </c>
      <c r="L80" s="60">
        <f>IF(N($W80)=0,"",IF(AND($S80=MesCiclo,4&gt;SemanaActual),"",MIN(1,SUMIFS(OFFSET($A$1,ROW(),32,1000-ROW(),1),OFFSET($A$1,ROW(),20,1000-ROW(),1),ROW(),OFFSET($A$1,ROW(),21,1000-ROW(),1),"Sub"))))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IF($V80&lt;&gt;"Sub","",N($X80)*IF(AND(ISNUMBER($G80),$G80&lt;=IF($S80=MesCiclo,InicioCiclo,$S80+MOD(2-WEEKDAY($S80),7))+6),1,MIN(1,MAX(0,IF(ISNUMBER(OFFSET($A$1,ROW()-1,8)),OFFSET($A$1,ROW()-1,8),0)))))</f>
        <v/>
      </c>
      <c r="AE80" s="62">
        <f>IF($V80&lt;&gt;"Sub","",N($X80)*IF(AND(ISNUMBER($G80),$G80&lt;=IF($S80=MesCiclo,InicioCiclo,$S80+MOD(2-WEEKDAY($S80),7))+13),1,MIN(1,MAX(0,IF(ISNUMBER(OFFSET($A$1,ROW()-1,9)),OFFSET($A$1,ROW()-1,9),IF(ISNUMBER(OFFSET($A$1,ROW()-1,8)),OFFSET($A$1,ROW()-1,8),0))))))</f>
        <v/>
      </c>
      <c r="AF80" s="62">
        <f>IF($V80&lt;&gt;"Sub","",N($X80)*IF(AND(ISNUMBER($G80),$G80&lt;=IF($S80=MesCiclo,InicioCiclo,$S80+MOD(2-WEEKDAY($S80),7))+20),1,MIN(1,MAX(0,IF(ISNUMBER(OFFSET($A$1,ROW()-1,10)),OFFSET($A$1,ROW()-1,10),IF(ISNUMBER(OFFSET($A$1,ROW()-1,9)),OFFSET($A$1,ROW()-1,9),IF(ISNUMBER(OFFSET($A$1,ROW()-1,8)),OFFSET($A$1,ROW()-1,8),0)))))))</f>
        <v/>
      </c>
      <c r="AG80" s="62">
        <f>IF($V80&lt;&gt;"Sub","",N($X80)*IF(AND(ISNUMBER($G80),$G80&lt;=IF($S80=MesCiclo,InicioCiclo,$S80+MOD(2-WEEKDAY($S80),7))+27),1,MIN(1,MAX(0,IF(ISNUMBER(OFFSET($A$1,ROW()-1,11)),OFFSET($A$1,ROW()-1,11),IF(ISNUMBER(OFFSET($A$1,ROW()-1,10)),OFFSET($A$1,ROW()-1,10),IF(ISNUMBER(OFFSET($A$1,ROW()-1,9)),OFFSET($A$1,ROW()-1,9),IF(ISNUMBER(OFFSET($A$1,ROW()-1,8)),OFFSET($A$1,ROW()-1,8),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",IFERROR(MATCH("Riesgo Operacional|"&amp;MID($C80,12,500),rDname_ADM,0),0),"")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IF(N($W81)=0,"",IF(AND($S81=MesCiclo,1&gt;SemanaActual),"",MIN(1,SUMIFS(OFFSET($A$1,ROW(),29,1000-ROW(),1),OFFSET($A$1,ROW(),20,1000-ROW(),1),ROW(),OFFSET($A$1,ROW(),21,1000-ROW(),1),"Sub"))))</f>
        <v/>
      </c>
      <c r="J81" s="60">
        <f>IF(N($W81)=0,"",IF(AND($S81=MesCiclo,2&gt;SemanaActual),"",MIN(1,SUMIFS(OFFSET($A$1,ROW(),30,1000-ROW(),1),OFFSET($A$1,ROW(),20,1000-ROW(),1),ROW(),OFFSET($A$1,ROW(),21,1000-ROW(),1),"Sub"))))</f>
        <v/>
      </c>
      <c r="K81" s="60">
        <f>IF(N($W81)=0,"",IF(AND($S81=MesCiclo,3&gt;SemanaActual),"",MIN(1,SUMIFS(OFFSET($A$1,ROW(),31,1000-ROW(),1),OFFSET($A$1,ROW(),20,1000-ROW(),1),ROW(),OFFSET($A$1,ROW(),21,1000-ROW(),1),"Sub"))))</f>
        <v/>
      </c>
      <c r="L81" s="60">
        <f>IF(N($W81)=0,"",IF(AND($S81=MesCiclo,4&gt;SemanaActual),"",MIN(1,SUMIFS(OFFSET($A$1,ROW(),32,1000-ROW(),1),OFFSET($A$1,ROW(),20,1000-ROW(),1),ROW(),OFFSET($A$1,ROW(),21,1000-ROW(),1),"Sub"))))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IF($V81&lt;&gt;"Sub","",N($X81)*IF(AND(ISNUMBER($G81),$G81&lt;=IF($S81=MesCiclo,InicioCiclo,$S81+MOD(2-WEEKDAY($S81),7))+6),1,MIN(1,MAX(0,IF(ISNUMBER(OFFSET($A$1,ROW()-1,8)),OFFSET($A$1,ROW()-1,8),0)))))</f>
        <v/>
      </c>
      <c r="AE81" s="62">
        <f>IF($V81&lt;&gt;"Sub","",N($X81)*IF(AND(ISNUMBER($G81),$G81&lt;=IF($S81=MesCiclo,InicioCiclo,$S81+MOD(2-WEEKDAY($S81),7))+13),1,MIN(1,MAX(0,IF(ISNUMBER(OFFSET($A$1,ROW()-1,9)),OFFSET($A$1,ROW()-1,9),IF(ISNUMBER(OFFSET($A$1,ROW()-1,8)),OFFSET($A$1,ROW()-1,8),0))))))</f>
        <v/>
      </c>
      <c r="AF81" s="62">
        <f>IF($V81&lt;&gt;"Sub","",N($X81)*IF(AND(ISNUMBER($G81),$G81&lt;=IF($S81=MesCiclo,InicioCiclo,$S81+MOD(2-WEEKDAY($S81),7))+20),1,MIN(1,MAX(0,IF(ISNUMBER(OFFSET($A$1,ROW()-1,10)),OFFSET($A$1,ROW()-1,10),IF(ISNUMBER(OFFSET($A$1,ROW()-1,9)),OFFSET($A$1,ROW()-1,9),IF(ISNUMBER(OFFSET($A$1,ROW()-1,8)),OFFSET($A$1,ROW()-1,8),0)))))))</f>
        <v/>
      </c>
      <c r="AG81" s="62">
        <f>IF($V81&lt;&gt;"Sub","",N($X81)*IF(AND(ISNUMBER($G81),$G81&lt;=IF($S81=MesCiclo,InicioCiclo,$S81+MOD(2-WEEKDAY($S81),7))+27),1,MIN(1,MAX(0,IF(ISNUMBER(OFFSET($A$1,ROW()-1,11)),OFFSET($A$1,ROW()-1,11),IF(ISNUMBER(OFFSET($A$1,ROW()-1,10)),OFFSET($A$1,ROW()-1,10),IF(ISNUMBER(OFFSET($A$1,ROW()-1,9)),OFFSET($A$1,ROW()-1,9),IF(ISNUMBER(OFFSET($A$1,ROW()-1,8)),OFFSET($A$1,ROW()-1,8),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",IFERROR(MATCH("Riesgo Operacional|"&amp;MID($C81,12,500),rDname_ADM,0),0),"")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IF(N($W82)=0,"",IF(AND($S82=MesCiclo,1&gt;SemanaActual),"",MIN(1,SUMIFS(OFFSET($A$1,ROW(),29,1000-ROW(),1),OFFSET($A$1,ROW(),20,1000-ROW(),1),ROW(),OFFSET($A$1,ROW(),21,1000-ROW(),1),"Sub"))))</f>
        <v/>
      </c>
      <c r="J82" s="60">
        <f>IF(N($W82)=0,"",IF(AND($S82=MesCiclo,2&gt;SemanaActual),"",MIN(1,SUMIFS(OFFSET($A$1,ROW(),30,1000-ROW(),1),OFFSET($A$1,ROW(),20,1000-ROW(),1),ROW(),OFFSET($A$1,ROW(),21,1000-ROW(),1),"Sub"))))</f>
        <v/>
      </c>
      <c r="K82" s="60">
        <f>IF(N($W82)=0,"",IF(AND($S82=MesCiclo,3&gt;SemanaActual),"",MIN(1,SUMIFS(OFFSET($A$1,ROW(),31,1000-ROW(),1),OFFSET($A$1,ROW(),20,1000-ROW(),1),ROW(),OFFSET($A$1,ROW(),21,1000-ROW(),1),"Sub"))))</f>
        <v/>
      </c>
      <c r="L82" s="60">
        <f>IF(N($W82)=0,"",IF(AND($S82=MesCiclo,4&gt;SemanaActual),"",MIN(1,SUMIFS(OFFSET($A$1,ROW(),32,1000-ROW(),1),OFFSET($A$1,ROW(),20,1000-ROW(),1),ROW(),OFFSET($A$1,ROW(),21,1000-ROW(),1),"Sub"))))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IF($V82&lt;&gt;"Sub","",N($X82)*IF(AND(ISNUMBER($G82),$G82&lt;=IF($S82=MesCiclo,InicioCiclo,$S82+MOD(2-WEEKDAY($S82),7))+6),1,MIN(1,MAX(0,IF(ISNUMBER(OFFSET($A$1,ROW()-1,8)),OFFSET($A$1,ROW()-1,8),0)))))</f>
        <v/>
      </c>
      <c r="AE82" s="62">
        <f>IF($V82&lt;&gt;"Sub","",N($X82)*IF(AND(ISNUMBER($G82),$G82&lt;=IF($S82=MesCiclo,InicioCiclo,$S82+MOD(2-WEEKDAY($S82),7))+13),1,MIN(1,MAX(0,IF(ISNUMBER(OFFSET($A$1,ROW()-1,9)),OFFSET($A$1,ROW()-1,9),IF(ISNUMBER(OFFSET($A$1,ROW()-1,8)),OFFSET($A$1,ROW()-1,8),0))))))</f>
        <v/>
      </c>
      <c r="AF82" s="62">
        <f>IF($V82&lt;&gt;"Sub","",N($X82)*IF(AND(ISNUMBER($G82),$G82&lt;=IF($S82=MesCiclo,InicioCiclo,$S82+MOD(2-WEEKDAY($S82),7))+20),1,MIN(1,MAX(0,IF(ISNUMBER(OFFSET($A$1,ROW()-1,10)),OFFSET($A$1,ROW()-1,10),IF(ISNUMBER(OFFSET($A$1,ROW()-1,9)),OFFSET($A$1,ROW()-1,9),IF(ISNUMBER(OFFSET($A$1,ROW()-1,8)),OFFSET($A$1,ROW()-1,8),0)))))))</f>
        <v/>
      </c>
      <c r="AG82" s="62">
        <f>IF($V82&lt;&gt;"Sub","",N($X82)*IF(AND(ISNUMBER($G82),$G82&lt;=IF($S82=MesCiclo,InicioCiclo,$S82+MOD(2-WEEKDAY($S82),7))+27),1,MIN(1,MAX(0,IF(ISNUMBER(OFFSET($A$1,ROW()-1,11)),OFFSET($A$1,ROW()-1,11),IF(ISNUMBER(OFFSET($A$1,ROW()-1,10)),OFFSET($A$1,ROW()-1,10),IF(ISNUMBER(OFFSET($A$1,ROW()-1,9)),OFFSET($A$1,ROW()-1,9),IF(ISNUMBER(OFFSET($A$1,ROW()-1,8)),OFFSET($A$1,ROW()-1,8),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",IFERROR(MATCH("Riesgo Operacional|"&amp;MID($C82,12,500),rDname_ADM,0),0),"")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IF(N($W83)=0,"",IF(AND($S83=MesCiclo,1&gt;SemanaActual),"",MIN(1,SUMIFS(OFFSET($A$1,ROW(),29,1000-ROW(),1),OFFSET($A$1,ROW(),20,1000-ROW(),1),ROW(),OFFSET($A$1,ROW(),21,1000-ROW(),1),"Sub"))))</f>
        <v/>
      </c>
      <c r="J83" s="60">
        <f>IF(N($W83)=0,"",IF(AND($S83=MesCiclo,2&gt;SemanaActual),"",MIN(1,SUMIFS(OFFSET($A$1,ROW(),30,1000-ROW(),1),OFFSET($A$1,ROW(),20,1000-ROW(),1),ROW(),OFFSET($A$1,ROW(),21,1000-ROW(),1),"Sub"))))</f>
        <v/>
      </c>
      <c r="K83" s="60">
        <f>IF(N($W83)=0,"",IF(AND($S83=MesCiclo,3&gt;SemanaActual),"",MIN(1,SUMIFS(OFFSET($A$1,ROW(),31,1000-ROW(),1),OFFSET($A$1,ROW(),20,1000-ROW(),1),ROW(),OFFSET($A$1,ROW(),21,1000-ROW(),1),"Sub"))))</f>
        <v/>
      </c>
      <c r="L83" s="60">
        <f>IF(N($W83)=0,"",IF(AND($S83=MesCiclo,4&gt;SemanaActual),"",MIN(1,SUMIFS(OFFSET($A$1,ROW(),32,1000-ROW(),1),OFFSET($A$1,ROW(),20,1000-ROW(),1),ROW(),OFFSET($A$1,ROW(),21,1000-ROW(),1),"Sub"))))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IF($V83&lt;&gt;"Sub","",N($X83)*IF(AND(ISNUMBER($G83),$G83&lt;=IF($S83=MesCiclo,InicioCiclo,$S83+MOD(2-WEEKDAY($S83),7))+6),1,MIN(1,MAX(0,IF(ISNUMBER(OFFSET($A$1,ROW()-1,8)),OFFSET($A$1,ROW()-1,8),0)))))</f>
        <v/>
      </c>
      <c r="AE83" s="62">
        <f>IF($V83&lt;&gt;"Sub","",N($X83)*IF(AND(ISNUMBER($G83),$G83&lt;=IF($S83=MesCiclo,InicioCiclo,$S83+MOD(2-WEEKDAY($S83),7))+13),1,MIN(1,MAX(0,IF(ISNUMBER(OFFSET($A$1,ROW()-1,9)),OFFSET($A$1,ROW()-1,9),IF(ISNUMBER(OFFSET($A$1,ROW()-1,8)),OFFSET($A$1,ROW()-1,8),0))))))</f>
        <v/>
      </c>
      <c r="AF83" s="62">
        <f>IF($V83&lt;&gt;"Sub","",N($X83)*IF(AND(ISNUMBER($G83),$G83&lt;=IF($S83=MesCiclo,InicioCiclo,$S83+MOD(2-WEEKDAY($S83),7))+20),1,MIN(1,MAX(0,IF(ISNUMBER(OFFSET($A$1,ROW()-1,10)),OFFSET($A$1,ROW()-1,10),IF(ISNUMBER(OFFSET($A$1,ROW()-1,9)),OFFSET($A$1,ROW()-1,9),IF(ISNUMBER(OFFSET($A$1,ROW()-1,8)),OFFSET($A$1,ROW()-1,8),0)))))))</f>
        <v/>
      </c>
      <c r="AG83" s="62">
        <f>IF($V83&lt;&gt;"Sub","",N($X83)*IF(AND(ISNUMBER($G83),$G83&lt;=IF($S83=MesCiclo,InicioCiclo,$S83+MOD(2-WEEKDAY($S83),7))+27),1,MIN(1,MAX(0,IF(ISNUMBER(OFFSET($A$1,ROW()-1,11)),OFFSET($A$1,ROW()-1,11),IF(ISNUMBER(OFFSET($A$1,ROW()-1,10)),OFFSET($A$1,ROW()-1,10),IF(ISNUMBER(OFFSET($A$1,ROW()-1,9)),OFFSET($A$1,ROW()-1,9),IF(ISNUMBER(OFFSET($A$1,ROW()-1,8)),OFFSET($A$1,ROW()-1,8),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",IFERROR(MATCH("Riesgo Operacional|"&amp;MID($C83,12,500),rDname_ADM,0),0),"")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IF(N($W84)=0,"",IF(AND($S84=MesCiclo,1&gt;SemanaActual),"",MIN(1,SUMIFS(OFFSET($A$1,ROW(),29,1000-ROW(),1),OFFSET($A$1,ROW(),20,1000-ROW(),1),ROW(),OFFSET($A$1,ROW(),21,1000-ROW(),1),"Sub"))))</f>
        <v/>
      </c>
      <c r="J84" s="60">
        <f>IF(N($W84)=0,"",IF(AND($S84=MesCiclo,2&gt;SemanaActual),"",MIN(1,SUMIFS(OFFSET($A$1,ROW(),30,1000-ROW(),1),OFFSET($A$1,ROW(),20,1000-ROW(),1),ROW(),OFFSET($A$1,ROW(),21,1000-ROW(),1),"Sub"))))</f>
        <v/>
      </c>
      <c r="K84" s="60">
        <f>IF(N($W84)=0,"",IF(AND($S84=MesCiclo,3&gt;SemanaActual),"",MIN(1,SUMIFS(OFFSET($A$1,ROW(),31,1000-ROW(),1),OFFSET($A$1,ROW(),20,1000-ROW(),1),ROW(),OFFSET($A$1,ROW(),21,1000-ROW(),1),"Sub"))))</f>
        <v/>
      </c>
      <c r="L84" s="60">
        <f>IF(N($W84)=0,"",IF(AND($S84=MesCiclo,4&gt;SemanaActual),"",MIN(1,SUMIFS(OFFSET($A$1,ROW(),32,1000-ROW(),1),OFFSET($A$1,ROW(),20,1000-ROW(),1),ROW(),OFFSET($A$1,ROW(),21,1000-ROW(),1),"Sub"))))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IF($V84&lt;&gt;"Sub","",N($X84)*IF(AND(ISNUMBER($G84),$G84&lt;=IF($S84=MesCiclo,InicioCiclo,$S84+MOD(2-WEEKDAY($S84),7))+6),1,MIN(1,MAX(0,IF(ISNUMBER(OFFSET($A$1,ROW()-1,8)),OFFSET($A$1,ROW()-1,8),0)))))</f>
        <v/>
      </c>
      <c r="AE84" s="62">
        <f>IF($V84&lt;&gt;"Sub","",N($X84)*IF(AND(ISNUMBER($G84),$G84&lt;=IF($S84=MesCiclo,InicioCiclo,$S84+MOD(2-WEEKDAY($S84),7))+13),1,MIN(1,MAX(0,IF(ISNUMBER(OFFSET($A$1,ROW()-1,9)),OFFSET($A$1,ROW()-1,9),IF(ISNUMBER(OFFSET($A$1,ROW()-1,8)),OFFSET($A$1,ROW()-1,8),0))))))</f>
        <v/>
      </c>
      <c r="AF84" s="62">
        <f>IF($V84&lt;&gt;"Sub","",N($X84)*IF(AND(ISNUMBER($G84),$G84&lt;=IF($S84=MesCiclo,InicioCiclo,$S84+MOD(2-WEEKDAY($S84),7))+20),1,MIN(1,MAX(0,IF(ISNUMBER(OFFSET($A$1,ROW()-1,10)),OFFSET($A$1,ROW()-1,10),IF(ISNUMBER(OFFSET($A$1,ROW()-1,9)),OFFSET($A$1,ROW()-1,9),IF(ISNUMBER(OFFSET($A$1,ROW()-1,8)),OFFSET($A$1,ROW()-1,8),0)))))))</f>
        <v/>
      </c>
      <c r="AG84" s="62">
        <f>IF($V84&lt;&gt;"Sub","",N($X84)*IF(AND(ISNUMBER($G84),$G84&lt;=IF($S84=MesCiclo,InicioCiclo,$S84+MOD(2-WEEKDAY($S84),7))+27),1,MIN(1,MAX(0,IF(ISNUMBER(OFFSET($A$1,ROW()-1,11)),OFFSET($A$1,ROW()-1,11),IF(ISNUMBER(OFFSET($A$1,ROW()-1,10)),OFFSET($A$1,ROW()-1,10),IF(ISNUMBER(OFFSET($A$1,ROW()-1,9)),OFFSET($A$1,ROW()-1,9),IF(ISNUMBER(OFFSET($A$1,ROW()-1,8)),OFFSET($A$1,ROW()-1,8),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",IFERROR(MATCH("Riesgo Operacional|"&amp;MID($C84,12,500),rDname_ADM,0),0),"")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IF(N($W85)=0,"",IF(AND($S85=MesCiclo,1&gt;SemanaActual),"",MIN(1,SUMIFS(OFFSET($A$1,ROW(),29,1000-ROW(),1),OFFSET($A$1,ROW(),20,1000-ROW(),1),ROW(),OFFSET($A$1,ROW(),21,1000-ROW(),1),"Sub"))))</f>
        <v/>
      </c>
      <c r="J85" s="60">
        <f>IF(N($W85)=0,"",IF(AND($S85=MesCiclo,2&gt;SemanaActual),"",MIN(1,SUMIFS(OFFSET($A$1,ROW(),30,1000-ROW(),1),OFFSET($A$1,ROW(),20,1000-ROW(),1),ROW(),OFFSET($A$1,ROW(),21,1000-ROW(),1),"Sub"))))</f>
        <v/>
      </c>
      <c r="K85" s="60">
        <f>IF(N($W85)=0,"",IF(AND($S85=MesCiclo,3&gt;SemanaActual),"",MIN(1,SUMIFS(OFFSET($A$1,ROW(),31,1000-ROW(),1),OFFSET($A$1,ROW(),20,1000-ROW(),1),ROW(),OFFSET($A$1,ROW(),21,1000-ROW(),1),"Sub"))))</f>
        <v/>
      </c>
      <c r="L85" s="60">
        <f>IF(N($W85)=0,"",IF(AND($S85=MesCiclo,4&gt;SemanaActual),"",MIN(1,SUMIFS(OFFSET($A$1,ROW(),32,1000-ROW(),1),OFFSET($A$1,ROW(),20,1000-ROW(),1),ROW(),OFFSET($A$1,ROW(),21,1000-ROW(),1),"Sub"))))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IF($V85&lt;&gt;"Sub","",N($X85)*IF(AND(ISNUMBER($G85),$G85&lt;=IF($S85=MesCiclo,InicioCiclo,$S85+MOD(2-WEEKDAY($S85),7))+6),1,MIN(1,MAX(0,IF(ISNUMBER(OFFSET($A$1,ROW()-1,8)),OFFSET($A$1,ROW()-1,8),0)))))</f>
        <v/>
      </c>
      <c r="AE85" s="62">
        <f>IF($V85&lt;&gt;"Sub","",N($X85)*IF(AND(ISNUMBER($G85),$G85&lt;=IF($S85=MesCiclo,InicioCiclo,$S85+MOD(2-WEEKDAY($S85),7))+13),1,MIN(1,MAX(0,IF(ISNUMBER(OFFSET($A$1,ROW()-1,9)),OFFSET($A$1,ROW()-1,9),IF(ISNUMBER(OFFSET($A$1,ROW()-1,8)),OFFSET($A$1,ROW()-1,8),0))))))</f>
        <v/>
      </c>
      <c r="AF85" s="62">
        <f>IF($V85&lt;&gt;"Sub","",N($X85)*IF(AND(ISNUMBER($G85),$G85&lt;=IF($S85=MesCiclo,InicioCiclo,$S85+MOD(2-WEEKDAY($S85),7))+20),1,MIN(1,MAX(0,IF(ISNUMBER(OFFSET($A$1,ROW()-1,10)),OFFSET($A$1,ROW()-1,10),IF(ISNUMBER(OFFSET($A$1,ROW()-1,9)),OFFSET($A$1,ROW()-1,9),IF(ISNUMBER(OFFSET($A$1,ROW()-1,8)),OFFSET($A$1,ROW()-1,8),0)))))))</f>
        <v/>
      </c>
      <c r="AG85" s="62">
        <f>IF($V85&lt;&gt;"Sub","",N($X85)*IF(AND(ISNUMBER($G85),$G85&lt;=IF($S85=MesCiclo,InicioCiclo,$S85+MOD(2-WEEKDAY($S85),7))+27),1,MIN(1,MAX(0,IF(ISNUMBER(OFFSET($A$1,ROW()-1,11)),OFFSET($A$1,ROW()-1,11),IF(ISNUMBER(OFFSET($A$1,ROW()-1,10)),OFFSET($A$1,ROW()-1,10),IF(ISNUMBER(OFFSET($A$1,ROW()-1,9)),OFFSET($A$1,ROW()-1,9),IF(ISNUMBER(OFFSET($A$1,ROW()-1,8)),OFFSET($A$1,ROW()-1,8),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",IFERROR(MATCH("Riesgo Operacional|"&amp;MID($C85,12,500),rDname_ADM,0),0),"")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IF(N($W86)=0,"",IF(AND($S86=MesCiclo,1&gt;SemanaActual),"",MIN(1,SUMIFS(OFFSET($A$1,ROW(),29,1000-ROW(),1),OFFSET($A$1,ROW(),20,1000-ROW(),1),ROW(),OFFSET($A$1,ROW(),21,1000-ROW(),1),"Sub"))))</f>
        <v/>
      </c>
      <c r="J86" s="60">
        <f>IF(N($W86)=0,"",IF(AND($S86=MesCiclo,2&gt;SemanaActual),"",MIN(1,SUMIFS(OFFSET($A$1,ROW(),30,1000-ROW(),1),OFFSET($A$1,ROW(),20,1000-ROW(),1),ROW(),OFFSET($A$1,ROW(),21,1000-ROW(),1),"Sub"))))</f>
        <v/>
      </c>
      <c r="K86" s="60">
        <f>IF(N($W86)=0,"",IF(AND($S86=MesCiclo,3&gt;SemanaActual),"",MIN(1,SUMIFS(OFFSET($A$1,ROW(),31,1000-ROW(),1),OFFSET($A$1,ROW(),20,1000-ROW(),1),ROW(),OFFSET($A$1,ROW(),21,1000-ROW(),1),"Sub"))))</f>
        <v/>
      </c>
      <c r="L86" s="60">
        <f>IF(N($W86)=0,"",IF(AND($S86=MesCiclo,4&gt;SemanaActual),"",MIN(1,SUMIFS(OFFSET($A$1,ROW(),32,1000-ROW(),1),OFFSET($A$1,ROW(),20,1000-ROW(),1),ROW(),OFFSET($A$1,ROW(),21,1000-ROW(),1),"Sub"))))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IF($V86&lt;&gt;"Sub","",N($X86)*IF(AND(ISNUMBER($G86),$G86&lt;=IF($S86=MesCiclo,InicioCiclo,$S86+MOD(2-WEEKDAY($S86),7))+6),1,MIN(1,MAX(0,IF(ISNUMBER(OFFSET($A$1,ROW()-1,8)),OFFSET($A$1,ROW()-1,8),0)))))</f>
        <v/>
      </c>
      <c r="AE86" s="62">
        <f>IF($V86&lt;&gt;"Sub","",N($X86)*IF(AND(ISNUMBER($G86),$G86&lt;=IF($S86=MesCiclo,InicioCiclo,$S86+MOD(2-WEEKDAY($S86),7))+13),1,MIN(1,MAX(0,IF(ISNUMBER(OFFSET($A$1,ROW()-1,9)),OFFSET($A$1,ROW()-1,9),IF(ISNUMBER(OFFSET($A$1,ROW()-1,8)),OFFSET($A$1,ROW()-1,8),0))))))</f>
        <v/>
      </c>
      <c r="AF86" s="62">
        <f>IF($V86&lt;&gt;"Sub","",N($X86)*IF(AND(ISNUMBER($G86),$G86&lt;=IF($S86=MesCiclo,InicioCiclo,$S86+MOD(2-WEEKDAY($S86),7))+20),1,MIN(1,MAX(0,IF(ISNUMBER(OFFSET($A$1,ROW()-1,10)),OFFSET($A$1,ROW()-1,10),IF(ISNUMBER(OFFSET($A$1,ROW()-1,9)),OFFSET($A$1,ROW()-1,9),IF(ISNUMBER(OFFSET($A$1,ROW()-1,8)),OFFSET($A$1,ROW()-1,8),0)))))))</f>
        <v/>
      </c>
      <c r="AG86" s="62">
        <f>IF($V86&lt;&gt;"Sub","",N($X86)*IF(AND(ISNUMBER($G86),$G86&lt;=IF($S86=MesCiclo,InicioCiclo,$S86+MOD(2-WEEKDAY($S86),7))+27),1,MIN(1,MAX(0,IF(ISNUMBER(OFFSET($A$1,ROW()-1,11)),OFFSET($A$1,ROW()-1,11),IF(ISNUMBER(OFFSET($A$1,ROW()-1,10)),OFFSET($A$1,ROW()-1,10),IF(ISNUMBER(OFFSET($A$1,ROW()-1,9)),OFFSET($A$1,ROW()-1,9),IF(ISNUMBER(OFFSET($A$1,ROW()-1,8)),OFFSET($A$1,ROW()-1,8),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",IFERROR(MATCH("Riesgo Operacional|"&amp;MID($C86,12,500),rDname_ADM,0),0),"")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IF(N($W87)=0,"",IF(AND($S87=MesCiclo,1&gt;SemanaActual),"",MIN(1,SUMIFS(OFFSET($A$1,ROW(),29,1000-ROW(),1),OFFSET($A$1,ROW(),20,1000-ROW(),1),ROW(),OFFSET($A$1,ROW(),21,1000-ROW(),1),"Sub"))))</f>
        <v/>
      </c>
      <c r="J87" s="60">
        <f>IF(N($W87)=0,"",IF(AND($S87=MesCiclo,2&gt;SemanaActual),"",MIN(1,SUMIFS(OFFSET($A$1,ROW(),30,1000-ROW(),1),OFFSET($A$1,ROW(),20,1000-ROW(),1),ROW(),OFFSET($A$1,ROW(),21,1000-ROW(),1),"Sub"))))</f>
        <v/>
      </c>
      <c r="K87" s="60">
        <f>IF(N($W87)=0,"",IF(AND($S87=MesCiclo,3&gt;SemanaActual),"",MIN(1,SUMIFS(OFFSET($A$1,ROW(),31,1000-ROW(),1),OFFSET($A$1,ROW(),20,1000-ROW(),1),ROW(),OFFSET($A$1,ROW(),21,1000-ROW(),1),"Sub"))))</f>
        <v/>
      </c>
      <c r="L87" s="60">
        <f>IF(N($W87)=0,"",IF(AND($S87=MesCiclo,4&gt;SemanaActual),"",MIN(1,SUMIFS(OFFSET($A$1,ROW(),32,1000-ROW(),1),OFFSET($A$1,ROW(),20,1000-ROW(),1),ROW(),OFFSET($A$1,ROW(),21,1000-ROW(),1),"Sub"))))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IF($V87&lt;&gt;"Sub","",N($X87)*IF(AND(ISNUMBER($G87),$G87&lt;=IF($S87=MesCiclo,InicioCiclo,$S87+MOD(2-WEEKDAY($S87),7))+6),1,MIN(1,MAX(0,IF(ISNUMBER(OFFSET($A$1,ROW()-1,8)),OFFSET($A$1,ROW()-1,8),0)))))</f>
        <v/>
      </c>
      <c r="AE87" s="62">
        <f>IF($V87&lt;&gt;"Sub","",N($X87)*IF(AND(ISNUMBER($G87),$G87&lt;=IF($S87=MesCiclo,InicioCiclo,$S87+MOD(2-WEEKDAY($S87),7))+13),1,MIN(1,MAX(0,IF(ISNUMBER(OFFSET($A$1,ROW()-1,9)),OFFSET($A$1,ROW()-1,9),IF(ISNUMBER(OFFSET($A$1,ROW()-1,8)),OFFSET($A$1,ROW()-1,8),0))))))</f>
        <v/>
      </c>
      <c r="AF87" s="62">
        <f>IF($V87&lt;&gt;"Sub","",N($X87)*IF(AND(ISNUMBER($G87),$G87&lt;=IF($S87=MesCiclo,InicioCiclo,$S87+MOD(2-WEEKDAY($S87),7))+20),1,MIN(1,MAX(0,IF(ISNUMBER(OFFSET($A$1,ROW()-1,10)),OFFSET($A$1,ROW()-1,10),IF(ISNUMBER(OFFSET($A$1,ROW()-1,9)),OFFSET($A$1,ROW()-1,9),IF(ISNUMBER(OFFSET($A$1,ROW()-1,8)),OFFSET($A$1,ROW()-1,8),0)))))))</f>
        <v/>
      </c>
      <c r="AG87" s="62">
        <f>IF($V87&lt;&gt;"Sub","",N($X87)*IF(AND(ISNUMBER($G87),$G87&lt;=IF($S87=MesCiclo,InicioCiclo,$S87+MOD(2-WEEKDAY($S87),7))+27),1,MIN(1,MAX(0,IF(ISNUMBER(OFFSET($A$1,ROW()-1,11)),OFFSET($A$1,ROW()-1,11),IF(ISNUMBER(OFFSET($A$1,ROW()-1,10)),OFFSET($A$1,ROW()-1,10),IF(ISNUMBER(OFFSET($A$1,ROW()-1,9)),OFFSET($A$1,ROW()-1,9),IF(ISNUMBER(OFFSET($A$1,ROW()-1,8)),OFFSET($A$1,ROW()-1,8),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",IFERROR(MATCH("Riesgo Operacional|"&amp;MID($C87,12,500),rDname_ADM,0),0),"")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IF(N($W88)=0,"",IF(AND($S88=MesCiclo,1&gt;SemanaActual),"",MIN(1,SUMIFS(OFFSET($A$1,ROW(),29,1000-ROW(),1),OFFSET($A$1,ROW(),20,1000-ROW(),1),ROW(),OFFSET($A$1,ROW(),21,1000-ROW(),1),"Sub"))))</f>
        <v/>
      </c>
      <c r="J88" s="60">
        <f>IF(N($W88)=0,"",IF(AND($S88=MesCiclo,2&gt;SemanaActual),"",MIN(1,SUMIFS(OFFSET($A$1,ROW(),30,1000-ROW(),1),OFFSET($A$1,ROW(),20,1000-ROW(),1),ROW(),OFFSET($A$1,ROW(),21,1000-ROW(),1),"Sub"))))</f>
        <v/>
      </c>
      <c r="K88" s="60">
        <f>IF(N($W88)=0,"",IF(AND($S88=MesCiclo,3&gt;SemanaActual),"",MIN(1,SUMIFS(OFFSET($A$1,ROW(),31,1000-ROW(),1),OFFSET($A$1,ROW(),20,1000-ROW(),1),ROW(),OFFSET($A$1,ROW(),21,1000-ROW(),1),"Sub"))))</f>
        <v/>
      </c>
      <c r="L88" s="60">
        <f>IF(N($W88)=0,"",IF(AND($S88=MesCiclo,4&gt;SemanaActual),"",MIN(1,SUMIFS(OFFSET($A$1,ROW(),32,1000-ROW(),1),OFFSET($A$1,ROW(),20,1000-ROW(),1),ROW(),OFFSET($A$1,ROW(),21,1000-ROW(),1),"Sub"))))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IF($V88&lt;&gt;"Sub","",N($X88)*IF(AND(ISNUMBER($G88),$G88&lt;=IF($S88=MesCiclo,InicioCiclo,$S88+MOD(2-WEEKDAY($S88),7))+6),1,MIN(1,MAX(0,IF(ISNUMBER(OFFSET($A$1,ROW()-1,8)),OFFSET($A$1,ROW()-1,8),0)))))</f>
        <v/>
      </c>
      <c r="AE88" s="62">
        <f>IF($V88&lt;&gt;"Sub","",N($X88)*IF(AND(ISNUMBER($G88),$G88&lt;=IF($S88=MesCiclo,InicioCiclo,$S88+MOD(2-WEEKDAY($S88),7))+13),1,MIN(1,MAX(0,IF(ISNUMBER(OFFSET($A$1,ROW()-1,9)),OFFSET($A$1,ROW()-1,9),IF(ISNUMBER(OFFSET($A$1,ROW()-1,8)),OFFSET($A$1,ROW()-1,8),0))))))</f>
        <v/>
      </c>
      <c r="AF88" s="62">
        <f>IF($V88&lt;&gt;"Sub","",N($X88)*IF(AND(ISNUMBER($G88),$G88&lt;=IF($S88=MesCiclo,InicioCiclo,$S88+MOD(2-WEEKDAY($S88),7))+20),1,MIN(1,MAX(0,IF(ISNUMBER(OFFSET($A$1,ROW()-1,10)),OFFSET($A$1,ROW()-1,10),IF(ISNUMBER(OFFSET($A$1,ROW()-1,9)),OFFSET($A$1,ROW()-1,9),IF(ISNUMBER(OFFSET($A$1,ROW()-1,8)),OFFSET($A$1,ROW()-1,8),0)))))))</f>
        <v/>
      </c>
      <c r="AG88" s="62">
        <f>IF($V88&lt;&gt;"Sub","",N($X88)*IF(AND(ISNUMBER($G88),$G88&lt;=IF($S88=MesCiclo,InicioCiclo,$S88+MOD(2-WEEKDAY($S88),7))+27),1,MIN(1,MAX(0,IF(ISNUMBER(OFFSET($A$1,ROW()-1,11)),OFFSET($A$1,ROW()-1,11),IF(ISNUMBER(OFFSET($A$1,ROW()-1,10)),OFFSET($A$1,ROW()-1,10),IF(ISNUMBER(OFFSET($A$1,ROW()-1,9)),OFFSET($A$1,ROW()-1,9),IF(ISNUMBER(OFFSET($A$1,ROW()-1,8)),OFFSET($A$1,ROW()-1,8),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",IFERROR(MATCH("Riesgo Operacional|"&amp;MID($C88,12,500),rDname_ADM,0),0),"")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IF(N($W89)=0,"",IF(AND($S89=MesCiclo,1&gt;SemanaActual),"",MIN(1,SUMIFS(OFFSET($A$1,ROW(),29,1000-ROW(),1),OFFSET($A$1,ROW(),20,1000-ROW(),1),ROW(),OFFSET($A$1,ROW(),21,1000-ROW(),1),"Sub"))))</f>
        <v/>
      </c>
      <c r="J89" s="60">
        <f>IF(N($W89)=0,"",IF(AND($S89=MesCiclo,2&gt;SemanaActual),"",MIN(1,SUMIFS(OFFSET($A$1,ROW(),30,1000-ROW(),1),OFFSET($A$1,ROW(),20,1000-ROW(),1),ROW(),OFFSET($A$1,ROW(),21,1000-ROW(),1),"Sub"))))</f>
        <v/>
      </c>
      <c r="K89" s="60">
        <f>IF(N($W89)=0,"",IF(AND($S89=MesCiclo,3&gt;SemanaActual),"",MIN(1,SUMIFS(OFFSET($A$1,ROW(),31,1000-ROW(),1),OFFSET($A$1,ROW(),20,1000-ROW(),1),ROW(),OFFSET($A$1,ROW(),21,1000-ROW(),1),"Sub"))))</f>
        <v/>
      </c>
      <c r="L89" s="60">
        <f>IF(N($W89)=0,"",IF(AND($S89=MesCiclo,4&gt;SemanaActual),"",MIN(1,SUMIFS(OFFSET($A$1,ROW(),32,1000-ROW(),1),OFFSET($A$1,ROW(),20,1000-ROW(),1),ROW(),OFFSET($A$1,ROW(),21,1000-ROW(),1),"Sub"))))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IF($V89&lt;&gt;"Sub","",N($X89)*IF(AND(ISNUMBER($G89),$G89&lt;=IF($S89=MesCiclo,InicioCiclo,$S89+MOD(2-WEEKDAY($S89),7))+6),1,MIN(1,MAX(0,IF(ISNUMBER(OFFSET($A$1,ROW()-1,8)),OFFSET($A$1,ROW()-1,8),0)))))</f>
        <v/>
      </c>
      <c r="AE89" s="62">
        <f>IF($V89&lt;&gt;"Sub","",N($X89)*IF(AND(ISNUMBER($G89),$G89&lt;=IF($S89=MesCiclo,InicioCiclo,$S89+MOD(2-WEEKDAY($S89),7))+13),1,MIN(1,MAX(0,IF(ISNUMBER(OFFSET($A$1,ROW()-1,9)),OFFSET($A$1,ROW()-1,9),IF(ISNUMBER(OFFSET($A$1,ROW()-1,8)),OFFSET($A$1,ROW()-1,8),0))))))</f>
        <v/>
      </c>
      <c r="AF89" s="62">
        <f>IF($V89&lt;&gt;"Sub","",N($X89)*IF(AND(ISNUMBER($G89),$G89&lt;=IF($S89=MesCiclo,InicioCiclo,$S89+MOD(2-WEEKDAY($S89),7))+20),1,MIN(1,MAX(0,IF(ISNUMBER(OFFSET($A$1,ROW()-1,10)),OFFSET($A$1,ROW()-1,10),IF(ISNUMBER(OFFSET($A$1,ROW()-1,9)),OFFSET($A$1,ROW()-1,9),IF(ISNUMBER(OFFSET($A$1,ROW()-1,8)),OFFSET($A$1,ROW()-1,8),0)))))))</f>
        <v/>
      </c>
      <c r="AG89" s="62">
        <f>IF($V89&lt;&gt;"Sub","",N($X89)*IF(AND(ISNUMBER($G89),$G89&lt;=IF($S89=MesCiclo,InicioCiclo,$S89+MOD(2-WEEKDAY($S89),7))+27),1,MIN(1,MAX(0,IF(ISNUMBER(OFFSET($A$1,ROW()-1,11)),OFFSET($A$1,ROW()-1,11),IF(ISNUMBER(OFFSET($A$1,ROW()-1,10)),OFFSET($A$1,ROW()-1,10),IF(ISNUMBER(OFFSET($A$1,ROW()-1,9)),OFFSET($A$1,ROW()-1,9),IF(ISNUMBER(OFFSET($A$1,ROW()-1,8)),OFFSET($A$1,ROW()-1,8),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",IFERROR(MATCH("Riesgo Operacional|"&amp;MID($C89,12,500),rDname_ADM,0),0),"")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IF(N($W90)=0,"",IF(AND($S90=MesCiclo,1&gt;SemanaActual),"",MIN(1,SUMIFS(OFFSET($A$1,ROW(),29,1000-ROW(),1),OFFSET($A$1,ROW(),20,1000-ROW(),1),ROW(),OFFSET($A$1,ROW(),21,1000-ROW(),1),"Sub"))))</f>
        <v/>
      </c>
      <c r="J90" s="60">
        <f>IF(N($W90)=0,"",IF(AND($S90=MesCiclo,2&gt;SemanaActual),"",MIN(1,SUMIFS(OFFSET($A$1,ROW(),30,1000-ROW(),1),OFFSET($A$1,ROW(),20,1000-ROW(),1),ROW(),OFFSET($A$1,ROW(),21,1000-ROW(),1),"Sub"))))</f>
        <v/>
      </c>
      <c r="K90" s="60">
        <f>IF(N($W90)=0,"",IF(AND($S90=MesCiclo,3&gt;SemanaActual),"",MIN(1,SUMIFS(OFFSET($A$1,ROW(),31,1000-ROW(),1),OFFSET($A$1,ROW(),20,1000-ROW(),1),ROW(),OFFSET($A$1,ROW(),21,1000-ROW(),1),"Sub"))))</f>
        <v/>
      </c>
      <c r="L90" s="60">
        <f>IF(N($W90)=0,"",IF(AND($S90=MesCiclo,4&gt;SemanaActual),"",MIN(1,SUMIFS(OFFSET($A$1,ROW(),32,1000-ROW(),1),OFFSET($A$1,ROW(),20,1000-ROW(),1),ROW(),OFFSET($A$1,ROW(),21,1000-ROW(),1),"Sub"))))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IF($V90&lt;&gt;"Sub","",N($X90)*IF(AND(ISNUMBER($G90),$G90&lt;=IF($S90=MesCiclo,InicioCiclo,$S90+MOD(2-WEEKDAY($S90),7))+6),1,MIN(1,MAX(0,IF(ISNUMBER(OFFSET($A$1,ROW()-1,8)),OFFSET($A$1,ROW()-1,8),0)))))</f>
        <v/>
      </c>
      <c r="AE90" s="62">
        <f>IF($V90&lt;&gt;"Sub","",N($X90)*IF(AND(ISNUMBER($G90),$G90&lt;=IF($S90=MesCiclo,InicioCiclo,$S90+MOD(2-WEEKDAY($S90),7))+13),1,MIN(1,MAX(0,IF(ISNUMBER(OFFSET($A$1,ROW()-1,9)),OFFSET($A$1,ROW()-1,9),IF(ISNUMBER(OFFSET($A$1,ROW()-1,8)),OFFSET($A$1,ROW()-1,8),0))))))</f>
        <v/>
      </c>
      <c r="AF90" s="62">
        <f>IF($V90&lt;&gt;"Sub","",N($X90)*IF(AND(ISNUMBER($G90),$G90&lt;=IF($S90=MesCiclo,InicioCiclo,$S90+MOD(2-WEEKDAY($S90),7))+20),1,MIN(1,MAX(0,IF(ISNUMBER(OFFSET($A$1,ROW()-1,10)),OFFSET($A$1,ROW()-1,10),IF(ISNUMBER(OFFSET($A$1,ROW()-1,9)),OFFSET($A$1,ROW()-1,9),IF(ISNUMBER(OFFSET($A$1,ROW()-1,8)),OFFSET($A$1,ROW()-1,8),0)))))))</f>
        <v/>
      </c>
      <c r="AG90" s="62">
        <f>IF($V90&lt;&gt;"Sub","",N($X90)*IF(AND(ISNUMBER($G90),$G90&lt;=IF($S90=MesCiclo,InicioCiclo,$S90+MOD(2-WEEKDAY($S90),7))+27),1,MIN(1,MAX(0,IF(ISNUMBER(OFFSET($A$1,ROW()-1,11)),OFFSET($A$1,ROW()-1,11),IF(ISNUMBER(OFFSET($A$1,ROW()-1,10)),OFFSET($A$1,ROW()-1,10),IF(ISNUMBER(OFFSET($A$1,ROW()-1,9)),OFFSET($A$1,ROW()-1,9),IF(ISNUMBER(OFFSET($A$1,ROW()-1,8)),OFFSET($A$1,ROW()-1,8),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",IFERROR(MATCH("Riesgo Operacional|"&amp;MID($C90,12,500),rDname_ADM,0),0),"")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IF(N($W91)=0,"",IF(AND($S91=MesCiclo,1&gt;SemanaActual),"",MIN(1,SUMIFS(OFFSET($A$1,ROW(),29,1000-ROW(),1),OFFSET($A$1,ROW(),20,1000-ROW(),1),ROW(),OFFSET($A$1,ROW(),21,1000-ROW(),1),"Sub"))))</f>
        <v/>
      </c>
      <c r="J91" s="60">
        <f>IF(N($W91)=0,"",IF(AND($S91=MesCiclo,2&gt;SemanaActual),"",MIN(1,SUMIFS(OFFSET($A$1,ROW(),30,1000-ROW(),1),OFFSET($A$1,ROW(),20,1000-ROW(),1),ROW(),OFFSET($A$1,ROW(),21,1000-ROW(),1),"Sub"))))</f>
        <v/>
      </c>
      <c r="K91" s="60">
        <f>IF(N($W91)=0,"",IF(AND($S91=MesCiclo,3&gt;SemanaActual),"",MIN(1,SUMIFS(OFFSET($A$1,ROW(),31,1000-ROW(),1),OFFSET($A$1,ROW(),20,1000-ROW(),1),ROW(),OFFSET($A$1,ROW(),21,1000-ROW(),1),"Sub"))))</f>
        <v/>
      </c>
      <c r="L91" s="60">
        <f>IF(N($W91)=0,"",IF(AND($S91=MesCiclo,4&gt;SemanaActual),"",MIN(1,SUMIFS(OFFSET($A$1,ROW(),32,1000-ROW(),1),OFFSET($A$1,ROW(),20,1000-ROW(),1),ROW(),OFFSET($A$1,ROW(),21,1000-ROW(),1),"Sub"))))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IF($V91&lt;&gt;"Sub","",N($X91)*IF(AND(ISNUMBER($G91),$G91&lt;=IF($S91=MesCiclo,InicioCiclo,$S91+MOD(2-WEEKDAY($S91),7))+6),1,MIN(1,MAX(0,IF(ISNUMBER(OFFSET($A$1,ROW()-1,8)),OFFSET($A$1,ROW()-1,8),0)))))</f>
        <v/>
      </c>
      <c r="AE91" s="62">
        <f>IF($V91&lt;&gt;"Sub","",N($X91)*IF(AND(ISNUMBER($G91),$G91&lt;=IF($S91=MesCiclo,InicioCiclo,$S91+MOD(2-WEEKDAY($S91),7))+13),1,MIN(1,MAX(0,IF(ISNUMBER(OFFSET($A$1,ROW()-1,9)),OFFSET($A$1,ROW()-1,9),IF(ISNUMBER(OFFSET($A$1,ROW()-1,8)),OFFSET($A$1,ROW()-1,8),0))))))</f>
        <v/>
      </c>
      <c r="AF91" s="62">
        <f>IF($V91&lt;&gt;"Sub","",N($X91)*IF(AND(ISNUMBER($G91),$G91&lt;=IF($S91=MesCiclo,InicioCiclo,$S91+MOD(2-WEEKDAY($S91),7))+20),1,MIN(1,MAX(0,IF(ISNUMBER(OFFSET($A$1,ROW()-1,10)),OFFSET($A$1,ROW()-1,10),IF(ISNUMBER(OFFSET($A$1,ROW()-1,9)),OFFSET($A$1,ROW()-1,9),IF(ISNUMBER(OFFSET($A$1,ROW()-1,8)),OFFSET($A$1,ROW()-1,8),0)))))))</f>
        <v/>
      </c>
      <c r="AG91" s="62">
        <f>IF($V91&lt;&gt;"Sub","",N($X91)*IF(AND(ISNUMBER($G91),$G91&lt;=IF($S91=MesCiclo,InicioCiclo,$S91+MOD(2-WEEKDAY($S91),7))+27),1,MIN(1,MAX(0,IF(ISNUMBER(OFFSET($A$1,ROW()-1,11)),OFFSET($A$1,ROW()-1,11),IF(ISNUMBER(OFFSET($A$1,ROW()-1,10)),OFFSET($A$1,ROW()-1,10),IF(ISNUMBER(OFFSET($A$1,ROW()-1,9)),OFFSET($A$1,ROW()-1,9),IF(ISNUMBER(OFFSET($A$1,ROW()-1,8)),OFFSET($A$1,ROW()-1,8),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",IFERROR(MATCH("Riesgo Operacional|"&amp;MID($C91,12,500),rDname_ADM,0),0),"")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IF(N($W92)=0,"",IF(AND($S92=MesCiclo,1&gt;SemanaActual),"",MIN(1,SUMIFS(OFFSET($A$1,ROW(),29,1000-ROW(),1),OFFSET($A$1,ROW(),20,1000-ROW(),1),ROW(),OFFSET($A$1,ROW(),21,1000-ROW(),1),"Sub"))))</f>
        <v/>
      </c>
      <c r="J92" s="60">
        <f>IF(N($W92)=0,"",IF(AND($S92=MesCiclo,2&gt;SemanaActual),"",MIN(1,SUMIFS(OFFSET($A$1,ROW(),30,1000-ROW(),1),OFFSET($A$1,ROW(),20,1000-ROW(),1),ROW(),OFFSET($A$1,ROW(),21,1000-ROW(),1),"Sub"))))</f>
        <v/>
      </c>
      <c r="K92" s="60">
        <f>IF(N($W92)=0,"",IF(AND($S92=MesCiclo,3&gt;SemanaActual),"",MIN(1,SUMIFS(OFFSET($A$1,ROW(),31,1000-ROW(),1),OFFSET($A$1,ROW(),20,1000-ROW(),1),ROW(),OFFSET($A$1,ROW(),21,1000-ROW(),1),"Sub"))))</f>
        <v/>
      </c>
      <c r="L92" s="60">
        <f>IF(N($W92)=0,"",IF(AND($S92=MesCiclo,4&gt;SemanaActual),"",MIN(1,SUMIFS(OFFSET($A$1,ROW(),32,1000-ROW(),1),OFFSET($A$1,ROW(),20,1000-ROW(),1),ROW(),OFFSET($A$1,ROW(),21,1000-ROW(),1),"Sub"))))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IF($V92&lt;&gt;"Sub","",N($X92)*IF(AND(ISNUMBER($G92),$G92&lt;=IF($S92=MesCiclo,InicioCiclo,$S92+MOD(2-WEEKDAY($S92),7))+6),1,MIN(1,MAX(0,IF(ISNUMBER(OFFSET($A$1,ROW()-1,8)),OFFSET($A$1,ROW()-1,8),0)))))</f>
        <v/>
      </c>
      <c r="AE92" s="62">
        <f>IF($V92&lt;&gt;"Sub","",N($X92)*IF(AND(ISNUMBER($G92),$G92&lt;=IF($S92=MesCiclo,InicioCiclo,$S92+MOD(2-WEEKDAY($S92),7))+13),1,MIN(1,MAX(0,IF(ISNUMBER(OFFSET($A$1,ROW()-1,9)),OFFSET($A$1,ROW()-1,9),IF(ISNUMBER(OFFSET($A$1,ROW()-1,8)),OFFSET($A$1,ROW()-1,8),0))))))</f>
        <v/>
      </c>
      <c r="AF92" s="62">
        <f>IF($V92&lt;&gt;"Sub","",N($X92)*IF(AND(ISNUMBER($G92),$G92&lt;=IF($S92=MesCiclo,InicioCiclo,$S92+MOD(2-WEEKDAY($S92),7))+20),1,MIN(1,MAX(0,IF(ISNUMBER(OFFSET($A$1,ROW()-1,10)),OFFSET($A$1,ROW()-1,10),IF(ISNUMBER(OFFSET($A$1,ROW()-1,9)),OFFSET($A$1,ROW()-1,9),IF(ISNUMBER(OFFSET($A$1,ROW()-1,8)),OFFSET($A$1,ROW()-1,8),0)))))))</f>
        <v/>
      </c>
      <c r="AG92" s="62">
        <f>IF($V92&lt;&gt;"Sub","",N($X92)*IF(AND(ISNUMBER($G92),$G92&lt;=IF($S92=MesCiclo,InicioCiclo,$S92+MOD(2-WEEKDAY($S92),7))+27),1,MIN(1,MAX(0,IF(ISNUMBER(OFFSET($A$1,ROW()-1,11)),OFFSET($A$1,ROW()-1,11),IF(ISNUMBER(OFFSET($A$1,ROW()-1,10)),OFFSET($A$1,ROW()-1,10),IF(ISNUMBER(OFFSET($A$1,ROW()-1,9)),OFFSET($A$1,ROW()-1,9),IF(ISNUMBER(OFFSET($A$1,ROW()-1,8)),OFFSET($A$1,ROW()-1,8),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",IFERROR(MATCH("Riesgo Operacional|"&amp;MID($C92,12,500),rDname_ADM,0),0),"")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IF(N($W93)=0,"",IF(AND($S93=MesCiclo,1&gt;SemanaActual),"",MIN(1,SUMIFS(OFFSET($A$1,ROW(),29,1000-ROW(),1),OFFSET($A$1,ROW(),20,1000-ROW(),1),ROW(),OFFSET($A$1,ROW(),21,1000-ROW(),1),"Sub"))))</f>
        <v/>
      </c>
      <c r="J93" s="60">
        <f>IF(N($W93)=0,"",IF(AND($S93=MesCiclo,2&gt;SemanaActual),"",MIN(1,SUMIFS(OFFSET($A$1,ROW(),30,1000-ROW(),1),OFFSET($A$1,ROW(),20,1000-ROW(),1),ROW(),OFFSET($A$1,ROW(),21,1000-ROW(),1),"Sub"))))</f>
        <v/>
      </c>
      <c r="K93" s="60">
        <f>IF(N($W93)=0,"",IF(AND($S93=MesCiclo,3&gt;SemanaActual),"",MIN(1,SUMIFS(OFFSET($A$1,ROW(),31,1000-ROW(),1),OFFSET($A$1,ROW(),20,1000-ROW(),1),ROW(),OFFSET($A$1,ROW(),21,1000-ROW(),1),"Sub"))))</f>
        <v/>
      </c>
      <c r="L93" s="60">
        <f>IF(N($W93)=0,"",IF(AND($S93=MesCiclo,4&gt;SemanaActual),"",MIN(1,SUMIFS(OFFSET($A$1,ROW(),32,1000-ROW(),1),OFFSET($A$1,ROW(),20,1000-ROW(),1),ROW(),OFFSET($A$1,ROW(),21,1000-ROW(),1),"Sub"))))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IF($V93&lt;&gt;"Sub","",N($X93)*IF(AND(ISNUMBER($G93),$G93&lt;=IF($S93=MesCiclo,InicioCiclo,$S93+MOD(2-WEEKDAY($S93),7))+6),1,MIN(1,MAX(0,IF(ISNUMBER(OFFSET($A$1,ROW()-1,8)),OFFSET($A$1,ROW()-1,8),0)))))</f>
        <v/>
      </c>
      <c r="AE93" s="62">
        <f>IF($V93&lt;&gt;"Sub","",N($X93)*IF(AND(ISNUMBER($G93),$G93&lt;=IF($S93=MesCiclo,InicioCiclo,$S93+MOD(2-WEEKDAY($S93),7))+13),1,MIN(1,MAX(0,IF(ISNUMBER(OFFSET($A$1,ROW()-1,9)),OFFSET($A$1,ROW()-1,9),IF(ISNUMBER(OFFSET($A$1,ROW()-1,8)),OFFSET($A$1,ROW()-1,8),0))))))</f>
        <v/>
      </c>
      <c r="AF93" s="62">
        <f>IF($V93&lt;&gt;"Sub","",N($X93)*IF(AND(ISNUMBER($G93),$G93&lt;=IF($S93=MesCiclo,InicioCiclo,$S93+MOD(2-WEEKDAY($S93),7))+20),1,MIN(1,MAX(0,IF(ISNUMBER(OFFSET($A$1,ROW()-1,10)),OFFSET($A$1,ROW()-1,10),IF(ISNUMBER(OFFSET($A$1,ROW()-1,9)),OFFSET($A$1,ROW()-1,9),IF(ISNUMBER(OFFSET($A$1,ROW()-1,8)),OFFSET($A$1,ROW()-1,8),0)))))))</f>
        <v/>
      </c>
      <c r="AG93" s="62">
        <f>IF($V93&lt;&gt;"Sub","",N($X93)*IF(AND(ISNUMBER($G93),$G93&lt;=IF($S93=MesCiclo,InicioCiclo,$S93+MOD(2-WEEKDAY($S93),7))+27),1,MIN(1,MAX(0,IF(ISNUMBER(OFFSET($A$1,ROW()-1,11)),OFFSET($A$1,ROW()-1,11),IF(ISNUMBER(OFFSET($A$1,ROW()-1,10)),OFFSET($A$1,ROW()-1,10),IF(ISNUMBER(OFFSET($A$1,ROW()-1,9)),OFFSET($A$1,ROW()-1,9),IF(ISNUMBER(OFFSET($A$1,ROW()-1,8)),OFFSET($A$1,ROW()-1,8),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",IFERROR(MATCH("Riesgo Operacional|"&amp;MID($C93,12,500),rDname_ADM,0),0),"")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IF(N($W94)=0,"",IF(AND($S94=MesCiclo,1&gt;SemanaActual),"",MIN(1,SUMIFS(OFFSET($A$1,ROW(),29,1000-ROW(),1),OFFSET($A$1,ROW(),20,1000-ROW(),1),ROW(),OFFSET($A$1,ROW(),21,1000-ROW(),1),"Sub"))))</f>
        <v/>
      </c>
      <c r="J94" s="60">
        <f>IF(N($W94)=0,"",IF(AND($S94=MesCiclo,2&gt;SemanaActual),"",MIN(1,SUMIFS(OFFSET($A$1,ROW(),30,1000-ROW(),1),OFFSET($A$1,ROW(),20,1000-ROW(),1),ROW(),OFFSET($A$1,ROW(),21,1000-ROW(),1),"Sub"))))</f>
        <v/>
      </c>
      <c r="K94" s="60">
        <f>IF(N($W94)=0,"",IF(AND($S94=MesCiclo,3&gt;SemanaActual),"",MIN(1,SUMIFS(OFFSET($A$1,ROW(),31,1000-ROW(),1),OFFSET($A$1,ROW(),20,1000-ROW(),1),ROW(),OFFSET($A$1,ROW(),21,1000-ROW(),1),"Sub"))))</f>
        <v/>
      </c>
      <c r="L94" s="60">
        <f>IF(N($W94)=0,"",IF(AND($S94=MesCiclo,4&gt;SemanaActual),"",MIN(1,SUMIFS(OFFSET($A$1,ROW(),32,1000-ROW(),1),OFFSET($A$1,ROW(),20,1000-ROW(),1),ROW(),OFFSET($A$1,ROW(),21,1000-ROW(),1),"Sub"))))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IF($V94&lt;&gt;"Sub","",N($X94)*IF(AND(ISNUMBER($G94),$G94&lt;=IF($S94=MesCiclo,InicioCiclo,$S94+MOD(2-WEEKDAY($S94),7))+6),1,MIN(1,MAX(0,IF(ISNUMBER(OFFSET($A$1,ROW()-1,8)),OFFSET($A$1,ROW()-1,8),0)))))</f>
        <v/>
      </c>
      <c r="AE94" s="62">
        <f>IF($V94&lt;&gt;"Sub","",N($X94)*IF(AND(ISNUMBER($G94),$G94&lt;=IF($S94=MesCiclo,InicioCiclo,$S94+MOD(2-WEEKDAY($S94),7))+13),1,MIN(1,MAX(0,IF(ISNUMBER(OFFSET($A$1,ROW()-1,9)),OFFSET($A$1,ROW()-1,9),IF(ISNUMBER(OFFSET($A$1,ROW()-1,8)),OFFSET($A$1,ROW()-1,8),0))))))</f>
        <v/>
      </c>
      <c r="AF94" s="62">
        <f>IF($V94&lt;&gt;"Sub","",N($X94)*IF(AND(ISNUMBER($G94),$G94&lt;=IF($S94=MesCiclo,InicioCiclo,$S94+MOD(2-WEEKDAY($S94),7))+20),1,MIN(1,MAX(0,IF(ISNUMBER(OFFSET($A$1,ROW()-1,10)),OFFSET($A$1,ROW()-1,10),IF(ISNUMBER(OFFSET($A$1,ROW()-1,9)),OFFSET($A$1,ROW()-1,9),IF(ISNUMBER(OFFSET($A$1,ROW()-1,8)),OFFSET($A$1,ROW()-1,8),0)))))))</f>
        <v/>
      </c>
      <c r="AG94" s="62">
        <f>IF($V94&lt;&gt;"Sub","",N($X94)*IF(AND(ISNUMBER($G94),$G94&lt;=IF($S94=MesCiclo,InicioCiclo,$S94+MOD(2-WEEKDAY($S94),7))+27),1,MIN(1,MAX(0,IF(ISNUMBER(OFFSET($A$1,ROW()-1,11)),OFFSET($A$1,ROW()-1,11),IF(ISNUMBER(OFFSET($A$1,ROW()-1,10)),OFFSET($A$1,ROW()-1,10),IF(ISNUMBER(OFFSET($A$1,ROW()-1,9)),OFFSET($A$1,ROW()-1,9),IF(ISNUMBER(OFFSET($A$1,ROW()-1,8)),OFFSET($A$1,ROW()-1,8),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",IFERROR(MATCH("Riesgo Operacional|"&amp;MID($C94,12,500),rDname_ADM,0),0),"")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IF(N($W95)=0,"",IF(AND($S95=MesCiclo,1&gt;SemanaActual),"",MIN(1,SUMIFS(OFFSET($A$1,ROW(),29,1000-ROW(),1),OFFSET($A$1,ROW(),20,1000-ROW(),1),ROW(),OFFSET($A$1,ROW(),21,1000-ROW(),1),"Sub"))))</f>
        <v/>
      </c>
      <c r="J95" s="60">
        <f>IF(N($W95)=0,"",IF(AND($S95=MesCiclo,2&gt;SemanaActual),"",MIN(1,SUMIFS(OFFSET($A$1,ROW(),30,1000-ROW(),1),OFFSET($A$1,ROW(),20,1000-ROW(),1),ROW(),OFFSET($A$1,ROW(),21,1000-ROW(),1),"Sub"))))</f>
        <v/>
      </c>
      <c r="K95" s="60">
        <f>IF(N($W95)=0,"",IF(AND($S95=MesCiclo,3&gt;SemanaActual),"",MIN(1,SUMIFS(OFFSET($A$1,ROW(),31,1000-ROW(),1),OFFSET($A$1,ROW(),20,1000-ROW(),1),ROW(),OFFSET($A$1,ROW(),21,1000-ROW(),1),"Sub"))))</f>
        <v/>
      </c>
      <c r="L95" s="60">
        <f>IF(N($W95)=0,"",IF(AND($S95=MesCiclo,4&gt;SemanaActual),"",MIN(1,SUMIFS(OFFSET($A$1,ROW(),32,1000-ROW(),1),OFFSET($A$1,ROW(),20,1000-ROW(),1),ROW(),OFFSET($A$1,ROW(),21,1000-ROW(),1),"Sub"))))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IF($V95&lt;&gt;"Sub","",N($X95)*IF(AND(ISNUMBER($G95),$G95&lt;=IF($S95=MesCiclo,InicioCiclo,$S95+MOD(2-WEEKDAY($S95),7))+6),1,MIN(1,MAX(0,IF(ISNUMBER(OFFSET($A$1,ROW()-1,8)),OFFSET($A$1,ROW()-1,8),0)))))</f>
        <v/>
      </c>
      <c r="AE95" s="62">
        <f>IF($V95&lt;&gt;"Sub","",N($X95)*IF(AND(ISNUMBER($G95),$G95&lt;=IF($S95=MesCiclo,InicioCiclo,$S95+MOD(2-WEEKDAY($S95),7))+13),1,MIN(1,MAX(0,IF(ISNUMBER(OFFSET($A$1,ROW()-1,9)),OFFSET($A$1,ROW()-1,9),IF(ISNUMBER(OFFSET($A$1,ROW()-1,8)),OFFSET($A$1,ROW()-1,8),0))))))</f>
        <v/>
      </c>
      <c r="AF95" s="62">
        <f>IF($V95&lt;&gt;"Sub","",N($X95)*IF(AND(ISNUMBER($G95),$G95&lt;=IF($S95=MesCiclo,InicioCiclo,$S95+MOD(2-WEEKDAY($S95),7))+20),1,MIN(1,MAX(0,IF(ISNUMBER(OFFSET($A$1,ROW()-1,10)),OFFSET($A$1,ROW()-1,10),IF(ISNUMBER(OFFSET($A$1,ROW()-1,9)),OFFSET($A$1,ROW()-1,9),IF(ISNUMBER(OFFSET($A$1,ROW()-1,8)),OFFSET($A$1,ROW()-1,8),0)))))))</f>
        <v/>
      </c>
      <c r="AG95" s="62">
        <f>IF($V95&lt;&gt;"Sub","",N($X95)*IF(AND(ISNUMBER($G95),$G95&lt;=IF($S95=MesCiclo,InicioCiclo,$S95+MOD(2-WEEKDAY($S95),7))+27),1,MIN(1,MAX(0,IF(ISNUMBER(OFFSET($A$1,ROW()-1,11)),OFFSET($A$1,ROW()-1,11),IF(ISNUMBER(OFFSET($A$1,ROW()-1,10)),OFFSET($A$1,ROW()-1,10),IF(ISNUMBER(OFFSET($A$1,ROW()-1,9)),OFFSET($A$1,ROW()-1,9),IF(ISNUMBER(OFFSET($A$1,ROW()-1,8)),OFFSET($A$1,ROW()-1,8),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",IFERROR(MATCH("Riesgo Operacional|"&amp;MID($C95,12,500),rDname_ADM,0),0),"")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IF(N($W96)=0,"",IF(AND($S96=MesCiclo,1&gt;SemanaActual),"",MIN(1,SUMIFS(OFFSET($A$1,ROW(),29,1000-ROW(),1),OFFSET($A$1,ROW(),20,1000-ROW(),1),ROW(),OFFSET($A$1,ROW(),21,1000-ROW(),1),"Sub"))))</f>
        <v/>
      </c>
      <c r="J96" s="60">
        <f>IF(N($W96)=0,"",IF(AND($S96=MesCiclo,2&gt;SemanaActual),"",MIN(1,SUMIFS(OFFSET($A$1,ROW(),30,1000-ROW(),1),OFFSET($A$1,ROW(),20,1000-ROW(),1),ROW(),OFFSET($A$1,ROW(),21,1000-ROW(),1),"Sub"))))</f>
        <v/>
      </c>
      <c r="K96" s="60">
        <f>IF(N($W96)=0,"",IF(AND($S96=MesCiclo,3&gt;SemanaActual),"",MIN(1,SUMIFS(OFFSET($A$1,ROW(),31,1000-ROW(),1),OFFSET($A$1,ROW(),20,1000-ROW(),1),ROW(),OFFSET($A$1,ROW(),21,1000-ROW(),1),"Sub"))))</f>
        <v/>
      </c>
      <c r="L96" s="60">
        <f>IF(N($W96)=0,"",IF(AND($S96=MesCiclo,4&gt;SemanaActual),"",MIN(1,SUMIFS(OFFSET($A$1,ROW(),32,1000-ROW(),1),OFFSET($A$1,ROW(),20,1000-ROW(),1),ROW(),OFFSET($A$1,ROW(),21,1000-ROW(),1),"Sub"))))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IF($V96&lt;&gt;"Sub","",N($X96)*IF(AND(ISNUMBER($G96),$G96&lt;=IF($S96=MesCiclo,InicioCiclo,$S96+MOD(2-WEEKDAY($S96),7))+6),1,MIN(1,MAX(0,IF(ISNUMBER(OFFSET($A$1,ROW()-1,8)),OFFSET($A$1,ROW()-1,8),0)))))</f>
        <v/>
      </c>
      <c r="AE96" s="62">
        <f>IF($V96&lt;&gt;"Sub","",N($X96)*IF(AND(ISNUMBER($G96),$G96&lt;=IF($S96=MesCiclo,InicioCiclo,$S96+MOD(2-WEEKDAY($S96),7))+13),1,MIN(1,MAX(0,IF(ISNUMBER(OFFSET($A$1,ROW()-1,9)),OFFSET($A$1,ROW()-1,9),IF(ISNUMBER(OFFSET($A$1,ROW()-1,8)),OFFSET($A$1,ROW()-1,8),0))))))</f>
        <v/>
      </c>
      <c r="AF96" s="62">
        <f>IF($V96&lt;&gt;"Sub","",N($X96)*IF(AND(ISNUMBER($G96),$G96&lt;=IF($S96=MesCiclo,InicioCiclo,$S96+MOD(2-WEEKDAY($S96),7))+20),1,MIN(1,MAX(0,IF(ISNUMBER(OFFSET($A$1,ROW()-1,10)),OFFSET($A$1,ROW()-1,10),IF(ISNUMBER(OFFSET($A$1,ROW()-1,9)),OFFSET($A$1,ROW()-1,9),IF(ISNUMBER(OFFSET($A$1,ROW()-1,8)),OFFSET($A$1,ROW()-1,8),0)))))))</f>
        <v/>
      </c>
      <c r="AG96" s="62">
        <f>IF($V96&lt;&gt;"Sub","",N($X96)*IF(AND(ISNUMBER($G96),$G96&lt;=IF($S96=MesCiclo,InicioCiclo,$S96+MOD(2-WEEKDAY($S96),7))+27),1,MIN(1,MAX(0,IF(ISNUMBER(OFFSET($A$1,ROW()-1,11)),OFFSET($A$1,ROW()-1,11),IF(ISNUMBER(OFFSET($A$1,ROW()-1,10)),OFFSET($A$1,ROW()-1,10),IF(ISNUMBER(OFFSET($A$1,ROW()-1,9)),OFFSET($A$1,ROW()-1,9),IF(ISNUMBER(OFFSET($A$1,ROW()-1,8)),OFFSET($A$1,ROW()-1,8),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",IFERROR(MATCH("Riesgo Operacional|"&amp;MID($C96,12,500),rDname_ADM,0),0),"")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IF(N($W97)=0,"",IF(AND($S97=MesCiclo,1&gt;SemanaActual),"",MIN(1,SUMIFS(OFFSET($A$1,ROW(),29,1000-ROW(),1),OFFSET($A$1,ROW(),20,1000-ROW(),1),ROW(),OFFSET($A$1,ROW(),21,1000-ROW(),1),"Sub"))))</f>
        <v/>
      </c>
      <c r="J97" s="60">
        <f>IF(N($W97)=0,"",IF(AND($S97=MesCiclo,2&gt;SemanaActual),"",MIN(1,SUMIFS(OFFSET($A$1,ROW(),30,1000-ROW(),1),OFFSET($A$1,ROW(),20,1000-ROW(),1),ROW(),OFFSET($A$1,ROW(),21,1000-ROW(),1),"Sub"))))</f>
        <v/>
      </c>
      <c r="K97" s="60">
        <f>IF(N($W97)=0,"",IF(AND($S97=MesCiclo,3&gt;SemanaActual),"",MIN(1,SUMIFS(OFFSET($A$1,ROW(),31,1000-ROW(),1),OFFSET($A$1,ROW(),20,1000-ROW(),1),ROW(),OFFSET($A$1,ROW(),21,1000-ROW(),1),"Sub"))))</f>
        <v/>
      </c>
      <c r="L97" s="60">
        <f>IF(N($W97)=0,"",IF(AND($S97=MesCiclo,4&gt;SemanaActual),"",MIN(1,SUMIFS(OFFSET($A$1,ROW(),32,1000-ROW(),1),OFFSET($A$1,ROW(),20,1000-ROW(),1),ROW(),OFFSET($A$1,ROW(),21,1000-ROW(),1),"Sub"))))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IF($V97&lt;&gt;"Sub","",N($X97)*IF(AND(ISNUMBER($G97),$G97&lt;=IF($S97=MesCiclo,InicioCiclo,$S97+MOD(2-WEEKDAY($S97),7))+6),1,MIN(1,MAX(0,IF(ISNUMBER(OFFSET($A$1,ROW()-1,8)),OFFSET($A$1,ROW()-1,8),0)))))</f>
        <v/>
      </c>
      <c r="AE97" s="62">
        <f>IF($V97&lt;&gt;"Sub","",N($X97)*IF(AND(ISNUMBER($G97),$G97&lt;=IF($S97=MesCiclo,InicioCiclo,$S97+MOD(2-WEEKDAY($S97),7))+13),1,MIN(1,MAX(0,IF(ISNUMBER(OFFSET($A$1,ROW()-1,9)),OFFSET($A$1,ROW()-1,9),IF(ISNUMBER(OFFSET($A$1,ROW()-1,8)),OFFSET($A$1,ROW()-1,8),0))))))</f>
        <v/>
      </c>
      <c r="AF97" s="62">
        <f>IF($V97&lt;&gt;"Sub","",N($X97)*IF(AND(ISNUMBER($G97),$G97&lt;=IF($S97=MesCiclo,InicioCiclo,$S97+MOD(2-WEEKDAY($S97),7))+20),1,MIN(1,MAX(0,IF(ISNUMBER(OFFSET($A$1,ROW()-1,10)),OFFSET($A$1,ROW()-1,10),IF(ISNUMBER(OFFSET($A$1,ROW()-1,9)),OFFSET($A$1,ROW()-1,9),IF(ISNUMBER(OFFSET($A$1,ROW()-1,8)),OFFSET($A$1,ROW()-1,8),0)))))))</f>
        <v/>
      </c>
      <c r="AG97" s="62">
        <f>IF($V97&lt;&gt;"Sub","",N($X97)*IF(AND(ISNUMBER($G97),$G97&lt;=IF($S97=MesCiclo,InicioCiclo,$S97+MOD(2-WEEKDAY($S97),7))+27),1,MIN(1,MAX(0,IF(ISNUMBER(OFFSET($A$1,ROW()-1,11)),OFFSET($A$1,ROW()-1,11),IF(ISNUMBER(OFFSET($A$1,ROW()-1,10)),OFFSET($A$1,ROW()-1,10),IF(ISNUMBER(OFFSET($A$1,ROW()-1,9)),OFFSET($A$1,ROW()-1,9),IF(ISNUMBER(OFFSET($A$1,ROW()-1,8)),OFFSET($A$1,ROW()-1,8),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",IFERROR(MATCH("Riesgo Operacional|"&amp;MID($C97,12,500),rDname_ADM,0),0),"")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IF(N($W98)=0,"",IF(AND($S98=MesCiclo,1&gt;SemanaActual),"",MIN(1,SUMIFS(OFFSET($A$1,ROW(),29,1000-ROW(),1),OFFSET($A$1,ROW(),20,1000-ROW(),1),ROW(),OFFSET($A$1,ROW(),21,1000-ROW(),1),"Sub"))))</f>
        <v/>
      </c>
      <c r="J98" s="60">
        <f>IF(N($W98)=0,"",IF(AND($S98=MesCiclo,2&gt;SemanaActual),"",MIN(1,SUMIFS(OFFSET($A$1,ROW(),30,1000-ROW(),1),OFFSET($A$1,ROW(),20,1000-ROW(),1),ROW(),OFFSET($A$1,ROW(),21,1000-ROW(),1),"Sub"))))</f>
        <v/>
      </c>
      <c r="K98" s="60">
        <f>IF(N($W98)=0,"",IF(AND($S98=MesCiclo,3&gt;SemanaActual),"",MIN(1,SUMIFS(OFFSET($A$1,ROW(),31,1000-ROW(),1),OFFSET($A$1,ROW(),20,1000-ROW(),1),ROW(),OFFSET($A$1,ROW(),21,1000-ROW(),1),"Sub"))))</f>
        <v/>
      </c>
      <c r="L98" s="60">
        <f>IF(N($W98)=0,"",IF(AND($S98=MesCiclo,4&gt;SemanaActual),"",MIN(1,SUMIFS(OFFSET($A$1,ROW(),32,1000-ROW(),1),OFFSET($A$1,ROW(),20,1000-ROW(),1),ROW(),OFFSET($A$1,ROW(),21,1000-ROW(),1),"Sub"))))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IF($V98&lt;&gt;"Sub","",N($X98)*IF(AND(ISNUMBER($G98),$G98&lt;=IF($S98=MesCiclo,InicioCiclo,$S98+MOD(2-WEEKDAY($S98),7))+6),1,MIN(1,MAX(0,IF(ISNUMBER(OFFSET($A$1,ROW()-1,8)),OFFSET($A$1,ROW()-1,8),0)))))</f>
        <v/>
      </c>
      <c r="AE98" s="62">
        <f>IF($V98&lt;&gt;"Sub","",N($X98)*IF(AND(ISNUMBER($G98),$G98&lt;=IF($S98=MesCiclo,InicioCiclo,$S98+MOD(2-WEEKDAY($S98),7))+13),1,MIN(1,MAX(0,IF(ISNUMBER(OFFSET($A$1,ROW()-1,9)),OFFSET($A$1,ROW()-1,9),IF(ISNUMBER(OFFSET($A$1,ROW()-1,8)),OFFSET($A$1,ROW()-1,8),0))))))</f>
        <v/>
      </c>
      <c r="AF98" s="62">
        <f>IF($V98&lt;&gt;"Sub","",N($X98)*IF(AND(ISNUMBER($G98),$G98&lt;=IF($S98=MesCiclo,InicioCiclo,$S98+MOD(2-WEEKDAY($S98),7))+20),1,MIN(1,MAX(0,IF(ISNUMBER(OFFSET($A$1,ROW()-1,10)),OFFSET($A$1,ROW()-1,10),IF(ISNUMBER(OFFSET($A$1,ROW()-1,9)),OFFSET($A$1,ROW()-1,9),IF(ISNUMBER(OFFSET($A$1,ROW()-1,8)),OFFSET($A$1,ROW()-1,8),0)))))))</f>
        <v/>
      </c>
      <c r="AG98" s="62">
        <f>IF($V98&lt;&gt;"Sub","",N($X98)*IF(AND(ISNUMBER($G98),$G98&lt;=IF($S98=MesCiclo,InicioCiclo,$S98+MOD(2-WEEKDAY($S98),7))+27),1,MIN(1,MAX(0,IF(ISNUMBER(OFFSET($A$1,ROW()-1,11)),OFFSET($A$1,ROW()-1,11),IF(ISNUMBER(OFFSET($A$1,ROW()-1,10)),OFFSET($A$1,ROW()-1,10),IF(ISNUMBER(OFFSET($A$1,ROW()-1,9)),OFFSET($A$1,ROW()-1,9),IF(ISNUMBER(OFFSET($A$1,ROW()-1,8)),OFFSET($A$1,ROW()-1,8),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",IFERROR(MATCH("Riesgo Operacional|"&amp;MID($C98,12,500),rDname_ADM,0),0),"")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IF(N($W99)=0,"",IF(AND($S99=MesCiclo,1&gt;SemanaActual),"",MIN(1,SUMIFS(OFFSET($A$1,ROW(),29,1000-ROW(),1),OFFSET($A$1,ROW(),20,1000-ROW(),1),ROW(),OFFSET($A$1,ROW(),21,1000-ROW(),1),"Sub"))))</f>
        <v/>
      </c>
      <c r="J99" s="60">
        <f>IF(N($W99)=0,"",IF(AND($S99=MesCiclo,2&gt;SemanaActual),"",MIN(1,SUMIFS(OFFSET($A$1,ROW(),30,1000-ROW(),1),OFFSET($A$1,ROW(),20,1000-ROW(),1),ROW(),OFFSET($A$1,ROW(),21,1000-ROW(),1),"Sub"))))</f>
        <v/>
      </c>
      <c r="K99" s="60">
        <f>IF(N($W99)=0,"",IF(AND($S99=MesCiclo,3&gt;SemanaActual),"",MIN(1,SUMIFS(OFFSET($A$1,ROW(),31,1000-ROW(),1),OFFSET($A$1,ROW(),20,1000-ROW(),1),ROW(),OFFSET($A$1,ROW(),21,1000-ROW(),1),"Sub"))))</f>
        <v/>
      </c>
      <c r="L99" s="60">
        <f>IF(N($W99)=0,"",IF(AND($S99=MesCiclo,4&gt;SemanaActual),"",MIN(1,SUMIFS(OFFSET($A$1,ROW(),32,1000-ROW(),1),OFFSET($A$1,ROW(),20,1000-ROW(),1),ROW(),OFFSET($A$1,ROW(),21,1000-ROW(),1),"Sub"))))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IF($V99&lt;&gt;"Sub","",N($X99)*IF(AND(ISNUMBER($G99),$G99&lt;=IF($S99=MesCiclo,InicioCiclo,$S99+MOD(2-WEEKDAY($S99),7))+6),1,MIN(1,MAX(0,IF(ISNUMBER(OFFSET($A$1,ROW()-1,8)),OFFSET($A$1,ROW()-1,8),0)))))</f>
        <v/>
      </c>
      <c r="AE99" s="62">
        <f>IF($V99&lt;&gt;"Sub","",N($X99)*IF(AND(ISNUMBER($G99),$G99&lt;=IF($S99=MesCiclo,InicioCiclo,$S99+MOD(2-WEEKDAY($S99),7))+13),1,MIN(1,MAX(0,IF(ISNUMBER(OFFSET($A$1,ROW()-1,9)),OFFSET($A$1,ROW()-1,9),IF(ISNUMBER(OFFSET($A$1,ROW()-1,8)),OFFSET($A$1,ROW()-1,8),0))))))</f>
        <v/>
      </c>
      <c r="AF99" s="62">
        <f>IF($V99&lt;&gt;"Sub","",N($X99)*IF(AND(ISNUMBER($G99),$G99&lt;=IF($S99=MesCiclo,InicioCiclo,$S99+MOD(2-WEEKDAY($S99),7))+20),1,MIN(1,MAX(0,IF(ISNUMBER(OFFSET($A$1,ROW()-1,10)),OFFSET($A$1,ROW()-1,10),IF(ISNUMBER(OFFSET($A$1,ROW()-1,9)),OFFSET($A$1,ROW()-1,9),IF(ISNUMBER(OFFSET($A$1,ROW()-1,8)),OFFSET($A$1,ROW()-1,8),0)))))))</f>
        <v/>
      </c>
      <c r="AG99" s="62">
        <f>IF($V99&lt;&gt;"Sub","",N($X99)*IF(AND(ISNUMBER($G99),$G99&lt;=IF($S99=MesCiclo,InicioCiclo,$S99+MOD(2-WEEKDAY($S99),7))+27),1,MIN(1,MAX(0,IF(ISNUMBER(OFFSET($A$1,ROW()-1,11)),OFFSET($A$1,ROW()-1,11),IF(ISNUMBER(OFFSET($A$1,ROW()-1,10)),OFFSET($A$1,ROW()-1,10),IF(ISNUMBER(OFFSET($A$1,ROW()-1,9)),OFFSET($A$1,ROW()-1,9),IF(ISNUMBER(OFFSET($A$1,ROW()-1,8)),OFFSET($A$1,ROW()-1,8),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",IFERROR(MATCH("Riesgo Operacional|"&amp;MID($C99,12,500),rDname_ADM,0),0),"")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IF(N($W100)=0,"",IF(AND($S100=MesCiclo,1&gt;SemanaActual),"",MIN(1,SUMIFS(OFFSET($A$1,ROW(),29,1000-ROW(),1),OFFSET($A$1,ROW(),20,1000-ROW(),1),ROW(),OFFSET($A$1,ROW(),21,1000-ROW(),1),"Sub"))))</f>
        <v/>
      </c>
      <c r="J100" s="60">
        <f>IF(N($W100)=0,"",IF(AND($S100=MesCiclo,2&gt;SemanaActual),"",MIN(1,SUMIFS(OFFSET($A$1,ROW(),30,1000-ROW(),1),OFFSET($A$1,ROW(),20,1000-ROW(),1),ROW(),OFFSET($A$1,ROW(),21,1000-ROW(),1),"Sub"))))</f>
        <v/>
      </c>
      <c r="K100" s="60">
        <f>IF(N($W100)=0,"",IF(AND($S100=MesCiclo,3&gt;SemanaActual),"",MIN(1,SUMIFS(OFFSET($A$1,ROW(),31,1000-ROW(),1),OFFSET($A$1,ROW(),20,1000-ROW(),1),ROW(),OFFSET($A$1,ROW(),21,1000-ROW(),1),"Sub"))))</f>
        <v/>
      </c>
      <c r="L100" s="60">
        <f>IF(N($W100)=0,"",IF(AND($S100=MesCiclo,4&gt;SemanaActual),"",MIN(1,SUMIFS(OFFSET($A$1,ROW(),32,1000-ROW(),1),OFFSET($A$1,ROW(),20,1000-ROW(),1),ROW(),OFFSET($A$1,ROW(),21,1000-ROW(),1),"Sub"))))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IF($V100&lt;&gt;"Sub","",N($X100)*IF(AND(ISNUMBER($G100),$G100&lt;=IF($S100=MesCiclo,InicioCiclo,$S100+MOD(2-WEEKDAY($S100),7))+6),1,MIN(1,MAX(0,IF(ISNUMBER(OFFSET($A$1,ROW()-1,8)),OFFSET($A$1,ROW()-1,8),0)))))</f>
        <v/>
      </c>
      <c r="AE100" s="62">
        <f>IF($V100&lt;&gt;"Sub","",N($X100)*IF(AND(ISNUMBER($G100),$G100&lt;=IF($S100=MesCiclo,InicioCiclo,$S100+MOD(2-WEEKDAY($S100),7))+13),1,MIN(1,MAX(0,IF(ISNUMBER(OFFSET($A$1,ROW()-1,9)),OFFSET($A$1,ROW()-1,9),IF(ISNUMBER(OFFSET($A$1,ROW()-1,8)),OFFSET($A$1,ROW()-1,8),0))))))</f>
        <v/>
      </c>
      <c r="AF100" s="62">
        <f>IF($V100&lt;&gt;"Sub","",N($X100)*IF(AND(ISNUMBER($G100),$G100&lt;=IF($S100=MesCiclo,InicioCiclo,$S100+MOD(2-WEEKDAY($S100),7))+20),1,MIN(1,MAX(0,IF(ISNUMBER(OFFSET($A$1,ROW()-1,10)),OFFSET($A$1,ROW()-1,10),IF(ISNUMBER(OFFSET($A$1,ROW()-1,9)),OFFSET($A$1,ROW()-1,9),IF(ISNUMBER(OFFSET($A$1,ROW()-1,8)),OFFSET($A$1,ROW()-1,8),0)))))))</f>
        <v/>
      </c>
      <c r="AG100" s="62">
        <f>IF($V100&lt;&gt;"Sub","",N($X100)*IF(AND(ISNUMBER($G100),$G100&lt;=IF($S100=MesCiclo,InicioCiclo,$S100+MOD(2-WEEKDAY($S100),7))+27),1,MIN(1,MAX(0,IF(ISNUMBER(OFFSET($A$1,ROW()-1,11)),OFFSET($A$1,ROW()-1,11),IF(ISNUMBER(OFFSET($A$1,ROW()-1,10)),OFFSET($A$1,ROW()-1,10),IF(ISNUMBER(OFFSET($A$1,ROW()-1,9)),OFFSET($A$1,ROW()-1,9),IF(ISNUMBER(OFFSET($A$1,ROW()-1,8)),OFFSET($A$1,ROW()-1,8),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",IFERROR(MATCH("Riesgo Operacional|"&amp;MID($C100,12,500),rDname_ADM,0),0),"")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IF(N($W101)=0,"",IF(AND($S101=MesCiclo,1&gt;SemanaActual),"",MIN(1,SUMIFS(OFFSET($A$1,ROW(),29,1000-ROW(),1),OFFSET($A$1,ROW(),20,1000-ROW(),1),ROW(),OFFSET($A$1,ROW(),21,1000-ROW(),1),"Sub"))))</f>
        <v/>
      </c>
      <c r="J101" s="60">
        <f>IF(N($W101)=0,"",IF(AND($S101=MesCiclo,2&gt;SemanaActual),"",MIN(1,SUMIFS(OFFSET($A$1,ROW(),30,1000-ROW(),1),OFFSET($A$1,ROW(),20,1000-ROW(),1),ROW(),OFFSET($A$1,ROW(),21,1000-ROW(),1),"Sub"))))</f>
        <v/>
      </c>
      <c r="K101" s="60">
        <f>IF(N($W101)=0,"",IF(AND($S101=MesCiclo,3&gt;SemanaActual),"",MIN(1,SUMIFS(OFFSET($A$1,ROW(),31,1000-ROW(),1),OFFSET($A$1,ROW(),20,1000-ROW(),1),ROW(),OFFSET($A$1,ROW(),21,1000-ROW(),1),"Sub"))))</f>
        <v/>
      </c>
      <c r="L101" s="60">
        <f>IF(N($W101)=0,"",IF(AND($S101=MesCiclo,4&gt;SemanaActual),"",MIN(1,SUMIFS(OFFSET($A$1,ROW(),32,1000-ROW(),1),OFFSET($A$1,ROW(),20,1000-ROW(),1),ROW(),OFFSET($A$1,ROW(),21,1000-ROW(),1),"Sub"))))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IF($V101&lt;&gt;"Sub","",N($X101)*IF(AND(ISNUMBER($G101),$G101&lt;=IF($S101=MesCiclo,InicioCiclo,$S101+MOD(2-WEEKDAY($S101),7))+6),1,MIN(1,MAX(0,IF(ISNUMBER(OFFSET($A$1,ROW()-1,8)),OFFSET($A$1,ROW()-1,8),0)))))</f>
        <v/>
      </c>
      <c r="AE101" s="62">
        <f>IF($V101&lt;&gt;"Sub","",N($X101)*IF(AND(ISNUMBER($G101),$G101&lt;=IF($S101=MesCiclo,InicioCiclo,$S101+MOD(2-WEEKDAY($S101),7))+13),1,MIN(1,MAX(0,IF(ISNUMBER(OFFSET($A$1,ROW()-1,9)),OFFSET($A$1,ROW()-1,9),IF(ISNUMBER(OFFSET($A$1,ROW()-1,8)),OFFSET($A$1,ROW()-1,8),0))))))</f>
        <v/>
      </c>
      <c r="AF101" s="62">
        <f>IF($V101&lt;&gt;"Sub","",N($X101)*IF(AND(ISNUMBER($G101),$G101&lt;=IF($S101=MesCiclo,InicioCiclo,$S101+MOD(2-WEEKDAY($S101),7))+20),1,MIN(1,MAX(0,IF(ISNUMBER(OFFSET($A$1,ROW()-1,10)),OFFSET($A$1,ROW()-1,10),IF(ISNUMBER(OFFSET($A$1,ROW()-1,9)),OFFSET($A$1,ROW()-1,9),IF(ISNUMBER(OFFSET($A$1,ROW()-1,8)),OFFSET($A$1,ROW()-1,8),0)))))))</f>
        <v/>
      </c>
      <c r="AG101" s="62">
        <f>IF($V101&lt;&gt;"Sub","",N($X101)*IF(AND(ISNUMBER($G101),$G101&lt;=IF($S101=MesCiclo,InicioCiclo,$S101+MOD(2-WEEKDAY($S101),7))+27),1,MIN(1,MAX(0,IF(ISNUMBER(OFFSET($A$1,ROW()-1,11)),OFFSET($A$1,ROW()-1,11),IF(ISNUMBER(OFFSET($A$1,ROW()-1,10)),OFFSET($A$1,ROW()-1,10),IF(ISNUMBER(OFFSET($A$1,ROW()-1,9)),OFFSET($A$1,ROW()-1,9),IF(ISNUMBER(OFFSET($A$1,ROW()-1,8)),OFFSET($A$1,ROW()-1,8),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",IFERROR(MATCH("Riesgo Operacional|"&amp;MID($C101,12,500),rDname_ADM,0),0),"")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IF(N($W102)=0,"",IF(AND($S102=MesCiclo,1&gt;SemanaActual),"",MIN(1,SUMIFS(OFFSET($A$1,ROW(),29,1000-ROW(),1),OFFSET($A$1,ROW(),20,1000-ROW(),1),ROW(),OFFSET($A$1,ROW(),21,1000-ROW(),1),"Sub"))))</f>
        <v/>
      </c>
      <c r="J102" s="60">
        <f>IF(N($W102)=0,"",IF(AND($S102=MesCiclo,2&gt;SemanaActual),"",MIN(1,SUMIFS(OFFSET($A$1,ROW(),30,1000-ROW(),1),OFFSET($A$1,ROW(),20,1000-ROW(),1),ROW(),OFFSET($A$1,ROW(),21,1000-ROW(),1),"Sub"))))</f>
        <v/>
      </c>
      <c r="K102" s="60">
        <f>IF(N($W102)=0,"",IF(AND($S102=MesCiclo,3&gt;SemanaActual),"",MIN(1,SUMIFS(OFFSET($A$1,ROW(),31,1000-ROW(),1),OFFSET($A$1,ROW(),20,1000-ROW(),1),ROW(),OFFSET($A$1,ROW(),21,1000-ROW(),1),"Sub"))))</f>
        <v/>
      </c>
      <c r="L102" s="60">
        <f>IF(N($W102)=0,"",IF(AND($S102=MesCiclo,4&gt;SemanaActual),"",MIN(1,SUMIFS(OFFSET($A$1,ROW(),32,1000-ROW(),1),OFFSET($A$1,ROW(),20,1000-ROW(),1),ROW(),OFFSET($A$1,ROW(),21,1000-ROW(),1),"Sub"))))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IF($V102&lt;&gt;"Sub","",N($X102)*IF(AND(ISNUMBER($G102),$G102&lt;=IF($S102=MesCiclo,InicioCiclo,$S102+MOD(2-WEEKDAY($S102),7))+6),1,MIN(1,MAX(0,IF(ISNUMBER(OFFSET($A$1,ROW()-1,8)),OFFSET($A$1,ROW()-1,8),0)))))</f>
        <v/>
      </c>
      <c r="AE102" s="62">
        <f>IF($V102&lt;&gt;"Sub","",N($X102)*IF(AND(ISNUMBER($G102),$G102&lt;=IF($S102=MesCiclo,InicioCiclo,$S102+MOD(2-WEEKDAY($S102),7))+13),1,MIN(1,MAX(0,IF(ISNUMBER(OFFSET($A$1,ROW()-1,9)),OFFSET($A$1,ROW()-1,9),IF(ISNUMBER(OFFSET($A$1,ROW()-1,8)),OFFSET($A$1,ROW()-1,8),0))))))</f>
        <v/>
      </c>
      <c r="AF102" s="62">
        <f>IF($V102&lt;&gt;"Sub","",N($X102)*IF(AND(ISNUMBER($G102),$G102&lt;=IF($S102=MesCiclo,InicioCiclo,$S102+MOD(2-WEEKDAY($S102),7))+20),1,MIN(1,MAX(0,IF(ISNUMBER(OFFSET($A$1,ROW()-1,10)),OFFSET($A$1,ROW()-1,10),IF(ISNUMBER(OFFSET($A$1,ROW()-1,9)),OFFSET($A$1,ROW()-1,9),IF(ISNUMBER(OFFSET($A$1,ROW()-1,8)),OFFSET($A$1,ROW()-1,8),0)))))))</f>
        <v/>
      </c>
      <c r="AG102" s="62">
        <f>IF($V102&lt;&gt;"Sub","",N($X102)*IF(AND(ISNUMBER($G102),$G102&lt;=IF($S102=MesCiclo,InicioCiclo,$S102+MOD(2-WEEKDAY($S102),7))+27),1,MIN(1,MAX(0,IF(ISNUMBER(OFFSET($A$1,ROW()-1,11)),OFFSET($A$1,ROW()-1,11),IF(ISNUMBER(OFFSET($A$1,ROW()-1,10)),OFFSET($A$1,ROW()-1,10),IF(ISNUMBER(OFFSET($A$1,ROW()-1,9)),OFFSET($A$1,ROW()-1,9),IF(ISNUMBER(OFFSET($A$1,ROW()-1,8)),OFFSET($A$1,ROW()-1,8),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",IFERROR(MATCH("Riesgo Operacional|"&amp;MID($C102,12,500),rDname_ADM,0),0),"")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IF(N($W103)=0,"",IF(AND($S103=MesCiclo,1&gt;SemanaActual),"",MIN(1,SUMIFS(OFFSET($A$1,ROW(),29,1000-ROW(),1),OFFSET($A$1,ROW(),20,1000-ROW(),1),ROW(),OFFSET($A$1,ROW(),21,1000-ROW(),1),"Sub"))))</f>
        <v/>
      </c>
      <c r="J103" s="60">
        <f>IF(N($W103)=0,"",IF(AND($S103=MesCiclo,2&gt;SemanaActual),"",MIN(1,SUMIFS(OFFSET($A$1,ROW(),30,1000-ROW(),1),OFFSET($A$1,ROW(),20,1000-ROW(),1),ROW(),OFFSET($A$1,ROW(),21,1000-ROW(),1),"Sub"))))</f>
        <v/>
      </c>
      <c r="K103" s="60">
        <f>IF(N($W103)=0,"",IF(AND($S103=MesCiclo,3&gt;SemanaActual),"",MIN(1,SUMIFS(OFFSET($A$1,ROW(),31,1000-ROW(),1),OFFSET($A$1,ROW(),20,1000-ROW(),1),ROW(),OFFSET($A$1,ROW(),21,1000-ROW(),1),"Sub"))))</f>
        <v/>
      </c>
      <c r="L103" s="60">
        <f>IF(N($W103)=0,"",IF(AND($S103=MesCiclo,4&gt;SemanaActual),"",MIN(1,SUMIFS(OFFSET($A$1,ROW(),32,1000-ROW(),1),OFFSET($A$1,ROW(),20,1000-ROW(),1),ROW(),OFFSET($A$1,ROW(),21,1000-ROW(),1),"Sub"))))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IF($V103&lt;&gt;"Sub","",N($X103)*IF(AND(ISNUMBER($G103),$G103&lt;=IF($S103=MesCiclo,InicioCiclo,$S103+MOD(2-WEEKDAY($S103),7))+6),1,MIN(1,MAX(0,IF(ISNUMBER(OFFSET($A$1,ROW()-1,8)),OFFSET($A$1,ROW()-1,8),0)))))</f>
        <v/>
      </c>
      <c r="AE103" s="62">
        <f>IF($V103&lt;&gt;"Sub","",N($X103)*IF(AND(ISNUMBER($G103),$G103&lt;=IF($S103=MesCiclo,InicioCiclo,$S103+MOD(2-WEEKDAY($S103),7))+13),1,MIN(1,MAX(0,IF(ISNUMBER(OFFSET($A$1,ROW()-1,9)),OFFSET($A$1,ROW()-1,9),IF(ISNUMBER(OFFSET($A$1,ROW()-1,8)),OFFSET($A$1,ROW()-1,8),0))))))</f>
        <v/>
      </c>
      <c r="AF103" s="62">
        <f>IF($V103&lt;&gt;"Sub","",N($X103)*IF(AND(ISNUMBER($G103),$G103&lt;=IF($S103=MesCiclo,InicioCiclo,$S103+MOD(2-WEEKDAY($S103),7))+20),1,MIN(1,MAX(0,IF(ISNUMBER(OFFSET($A$1,ROW()-1,10)),OFFSET($A$1,ROW()-1,10),IF(ISNUMBER(OFFSET($A$1,ROW()-1,9)),OFFSET($A$1,ROW()-1,9),IF(ISNUMBER(OFFSET($A$1,ROW()-1,8)),OFFSET($A$1,ROW()-1,8),0)))))))</f>
        <v/>
      </c>
      <c r="AG103" s="62">
        <f>IF($V103&lt;&gt;"Sub","",N($X103)*IF(AND(ISNUMBER($G103),$G103&lt;=IF($S103=MesCiclo,InicioCiclo,$S103+MOD(2-WEEKDAY($S103),7))+27),1,MIN(1,MAX(0,IF(ISNUMBER(OFFSET($A$1,ROW()-1,11)),OFFSET($A$1,ROW()-1,11),IF(ISNUMBER(OFFSET($A$1,ROW()-1,10)),OFFSET($A$1,ROW()-1,10),IF(ISNUMBER(OFFSET($A$1,ROW()-1,9)),OFFSET($A$1,ROW()-1,9),IF(ISNUMBER(OFFSET($A$1,ROW()-1,8)),OFFSET($A$1,ROW()-1,8),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",IFERROR(MATCH("Riesgo Operacional|"&amp;MID($C103,12,500),rDname_ADM,0),0),"")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IF(N($W104)=0,"",IF(AND($S104=MesCiclo,1&gt;SemanaActual),"",MIN(1,SUMIFS(OFFSET($A$1,ROW(),29,1000-ROW(),1),OFFSET($A$1,ROW(),20,1000-ROW(),1),ROW(),OFFSET($A$1,ROW(),21,1000-ROW(),1),"Sub"))))</f>
        <v/>
      </c>
      <c r="J104" s="60">
        <f>IF(N($W104)=0,"",IF(AND($S104=MesCiclo,2&gt;SemanaActual),"",MIN(1,SUMIFS(OFFSET($A$1,ROW(),30,1000-ROW(),1),OFFSET($A$1,ROW(),20,1000-ROW(),1),ROW(),OFFSET($A$1,ROW(),21,1000-ROW(),1),"Sub"))))</f>
        <v/>
      </c>
      <c r="K104" s="60">
        <f>IF(N($W104)=0,"",IF(AND($S104=MesCiclo,3&gt;SemanaActual),"",MIN(1,SUMIFS(OFFSET($A$1,ROW(),31,1000-ROW(),1),OFFSET($A$1,ROW(),20,1000-ROW(),1),ROW(),OFFSET($A$1,ROW(),21,1000-ROW(),1),"Sub"))))</f>
        <v/>
      </c>
      <c r="L104" s="60">
        <f>IF(N($W104)=0,"",IF(AND($S104=MesCiclo,4&gt;SemanaActual),"",MIN(1,SUMIFS(OFFSET($A$1,ROW(),32,1000-ROW(),1),OFFSET($A$1,ROW(),20,1000-ROW(),1),ROW(),OFFSET($A$1,ROW(),21,1000-ROW(),1),"Sub"))))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IF($V104&lt;&gt;"Sub","",N($X104)*IF(AND(ISNUMBER($G104),$G104&lt;=IF($S104=MesCiclo,InicioCiclo,$S104+MOD(2-WEEKDAY($S104),7))+6),1,MIN(1,MAX(0,IF(ISNUMBER(OFFSET($A$1,ROW()-1,8)),OFFSET($A$1,ROW()-1,8),0)))))</f>
        <v/>
      </c>
      <c r="AE104" s="62">
        <f>IF($V104&lt;&gt;"Sub","",N($X104)*IF(AND(ISNUMBER($G104),$G104&lt;=IF($S104=MesCiclo,InicioCiclo,$S104+MOD(2-WEEKDAY($S104),7))+13),1,MIN(1,MAX(0,IF(ISNUMBER(OFFSET($A$1,ROW()-1,9)),OFFSET($A$1,ROW()-1,9),IF(ISNUMBER(OFFSET($A$1,ROW()-1,8)),OFFSET($A$1,ROW()-1,8),0))))))</f>
        <v/>
      </c>
      <c r="AF104" s="62">
        <f>IF($V104&lt;&gt;"Sub","",N($X104)*IF(AND(ISNUMBER($G104),$G104&lt;=IF($S104=MesCiclo,InicioCiclo,$S104+MOD(2-WEEKDAY($S104),7))+20),1,MIN(1,MAX(0,IF(ISNUMBER(OFFSET($A$1,ROW()-1,10)),OFFSET($A$1,ROW()-1,10),IF(ISNUMBER(OFFSET($A$1,ROW()-1,9)),OFFSET($A$1,ROW()-1,9),IF(ISNUMBER(OFFSET($A$1,ROW()-1,8)),OFFSET($A$1,ROW()-1,8),0)))))))</f>
        <v/>
      </c>
      <c r="AG104" s="62">
        <f>IF($V104&lt;&gt;"Sub","",N($X104)*IF(AND(ISNUMBER($G104),$G104&lt;=IF($S104=MesCiclo,InicioCiclo,$S104+MOD(2-WEEKDAY($S104),7))+27),1,MIN(1,MAX(0,IF(ISNUMBER(OFFSET($A$1,ROW()-1,11)),OFFSET($A$1,ROW()-1,11),IF(ISNUMBER(OFFSET($A$1,ROW()-1,10)),OFFSET($A$1,ROW()-1,10),IF(ISNUMBER(OFFSET($A$1,ROW()-1,9)),OFFSET($A$1,ROW()-1,9),IF(ISNUMBER(OFFSET($A$1,ROW()-1,8)),OFFSET($A$1,ROW()-1,8),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",IFERROR(MATCH("Riesgo Operacional|"&amp;MID($C104,12,500),rDname_ADM,0),0),"")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IF(N($W105)=0,"",IF(AND($S105=MesCiclo,1&gt;SemanaActual),"",MIN(1,SUMIFS(OFFSET($A$1,ROW(),29,1000-ROW(),1),OFFSET($A$1,ROW(),20,1000-ROW(),1),ROW(),OFFSET($A$1,ROW(),21,1000-ROW(),1),"Sub"))))</f>
        <v/>
      </c>
      <c r="J105" s="60">
        <f>IF(N($W105)=0,"",IF(AND($S105=MesCiclo,2&gt;SemanaActual),"",MIN(1,SUMIFS(OFFSET($A$1,ROW(),30,1000-ROW(),1),OFFSET($A$1,ROW(),20,1000-ROW(),1),ROW(),OFFSET($A$1,ROW(),21,1000-ROW(),1),"Sub"))))</f>
        <v/>
      </c>
      <c r="K105" s="60">
        <f>IF(N($W105)=0,"",IF(AND($S105=MesCiclo,3&gt;SemanaActual),"",MIN(1,SUMIFS(OFFSET($A$1,ROW(),31,1000-ROW(),1),OFFSET($A$1,ROW(),20,1000-ROW(),1),ROW(),OFFSET($A$1,ROW(),21,1000-ROW(),1),"Sub"))))</f>
        <v/>
      </c>
      <c r="L105" s="60">
        <f>IF(N($W105)=0,"",IF(AND($S105=MesCiclo,4&gt;SemanaActual),"",MIN(1,SUMIFS(OFFSET($A$1,ROW(),32,1000-ROW(),1),OFFSET($A$1,ROW(),20,1000-ROW(),1),ROW(),OFFSET($A$1,ROW(),21,1000-ROW(),1),"Sub"))))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IF($V105&lt;&gt;"Sub","",N($X105)*IF(AND(ISNUMBER($G105),$G105&lt;=IF($S105=MesCiclo,InicioCiclo,$S105+MOD(2-WEEKDAY($S105),7))+6),1,MIN(1,MAX(0,IF(ISNUMBER(OFFSET($A$1,ROW()-1,8)),OFFSET($A$1,ROW()-1,8),0)))))</f>
        <v/>
      </c>
      <c r="AE105" s="62">
        <f>IF($V105&lt;&gt;"Sub","",N($X105)*IF(AND(ISNUMBER($G105),$G105&lt;=IF($S105=MesCiclo,InicioCiclo,$S105+MOD(2-WEEKDAY($S105),7))+13),1,MIN(1,MAX(0,IF(ISNUMBER(OFFSET($A$1,ROW()-1,9)),OFFSET($A$1,ROW()-1,9),IF(ISNUMBER(OFFSET($A$1,ROW()-1,8)),OFFSET($A$1,ROW()-1,8),0))))))</f>
        <v/>
      </c>
      <c r="AF105" s="62">
        <f>IF($V105&lt;&gt;"Sub","",N($X105)*IF(AND(ISNUMBER($G105),$G105&lt;=IF($S105=MesCiclo,InicioCiclo,$S105+MOD(2-WEEKDAY($S105),7))+20),1,MIN(1,MAX(0,IF(ISNUMBER(OFFSET($A$1,ROW()-1,10)),OFFSET($A$1,ROW()-1,10),IF(ISNUMBER(OFFSET($A$1,ROW()-1,9)),OFFSET($A$1,ROW()-1,9),IF(ISNUMBER(OFFSET($A$1,ROW()-1,8)),OFFSET($A$1,ROW()-1,8),0)))))))</f>
        <v/>
      </c>
      <c r="AG105" s="62">
        <f>IF($V105&lt;&gt;"Sub","",N($X105)*IF(AND(ISNUMBER($G105),$G105&lt;=IF($S105=MesCiclo,InicioCiclo,$S105+MOD(2-WEEKDAY($S105),7))+27),1,MIN(1,MAX(0,IF(ISNUMBER(OFFSET($A$1,ROW()-1,11)),OFFSET($A$1,ROW()-1,11),IF(ISNUMBER(OFFSET($A$1,ROW()-1,10)),OFFSET($A$1,ROW()-1,10),IF(ISNUMBER(OFFSET($A$1,ROW()-1,9)),OFFSET($A$1,ROW()-1,9),IF(ISNUMBER(OFFSET($A$1,ROW()-1,8)),OFFSET($A$1,ROW()-1,8),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",IFERROR(MATCH("Riesgo Operacional|"&amp;MID($C105,12,500),rDname_ADM,0),0),"")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IF(N($W106)=0,"",IF(AND($S106=MesCiclo,1&gt;SemanaActual),"",MIN(1,SUMIFS(OFFSET($A$1,ROW(),29,1000-ROW(),1),OFFSET($A$1,ROW(),20,1000-ROW(),1),ROW(),OFFSET($A$1,ROW(),21,1000-ROW(),1),"Sub"))))</f>
        <v/>
      </c>
      <c r="J106" s="60">
        <f>IF(N($W106)=0,"",IF(AND($S106=MesCiclo,2&gt;SemanaActual),"",MIN(1,SUMIFS(OFFSET($A$1,ROW(),30,1000-ROW(),1),OFFSET($A$1,ROW(),20,1000-ROW(),1),ROW(),OFFSET($A$1,ROW(),21,1000-ROW(),1),"Sub"))))</f>
        <v/>
      </c>
      <c r="K106" s="60">
        <f>IF(N($W106)=0,"",IF(AND($S106=MesCiclo,3&gt;SemanaActual),"",MIN(1,SUMIFS(OFFSET($A$1,ROW(),31,1000-ROW(),1),OFFSET($A$1,ROW(),20,1000-ROW(),1),ROW(),OFFSET($A$1,ROW(),21,1000-ROW(),1),"Sub"))))</f>
        <v/>
      </c>
      <c r="L106" s="60">
        <f>IF(N($W106)=0,"",IF(AND($S106=MesCiclo,4&gt;SemanaActual),"",MIN(1,SUMIFS(OFFSET($A$1,ROW(),32,1000-ROW(),1),OFFSET($A$1,ROW(),20,1000-ROW(),1),ROW(),OFFSET($A$1,ROW(),21,1000-ROW(),1),"Sub"))))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IF($V106&lt;&gt;"Sub","",N($X106)*IF(AND(ISNUMBER($G106),$G106&lt;=IF($S106=MesCiclo,InicioCiclo,$S106+MOD(2-WEEKDAY($S106),7))+6),1,MIN(1,MAX(0,IF(ISNUMBER(OFFSET($A$1,ROW()-1,8)),OFFSET($A$1,ROW()-1,8),0)))))</f>
        <v/>
      </c>
      <c r="AE106" s="62">
        <f>IF($V106&lt;&gt;"Sub","",N($X106)*IF(AND(ISNUMBER($G106),$G106&lt;=IF($S106=MesCiclo,InicioCiclo,$S106+MOD(2-WEEKDAY($S106),7))+13),1,MIN(1,MAX(0,IF(ISNUMBER(OFFSET($A$1,ROW()-1,9)),OFFSET($A$1,ROW()-1,9),IF(ISNUMBER(OFFSET($A$1,ROW()-1,8)),OFFSET($A$1,ROW()-1,8),0))))))</f>
        <v/>
      </c>
      <c r="AF106" s="62">
        <f>IF($V106&lt;&gt;"Sub","",N($X106)*IF(AND(ISNUMBER($G106),$G106&lt;=IF($S106=MesCiclo,InicioCiclo,$S106+MOD(2-WEEKDAY($S106),7))+20),1,MIN(1,MAX(0,IF(ISNUMBER(OFFSET($A$1,ROW()-1,10)),OFFSET($A$1,ROW()-1,10),IF(ISNUMBER(OFFSET($A$1,ROW()-1,9)),OFFSET($A$1,ROW()-1,9),IF(ISNUMBER(OFFSET($A$1,ROW()-1,8)),OFFSET($A$1,ROW()-1,8),0)))))))</f>
        <v/>
      </c>
      <c r="AG106" s="62">
        <f>IF($V106&lt;&gt;"Sub","",N($X106)*IF(AND(ISNUMBER($G106),$G106&lt;=IF($S106=MesCiclo,InicioCiclo,$S106+MOD(2-WEEKDAY($S106),7))+27),1,MIN(1,MAX(0,IF(ISNUMBER(OFFSET($A$1,ROW()-1,11)),OFFSET($A$1,ROW()-1,11),IF(ISNUMBER(OFFSET($A$1,ROW()-1,10)),OFFSET($A$1,ROW()-1,10),IF(ISNUMBER(OFFSET($A$1,ROW()-1,9)),OFFSET($A$1,ROW()-1,9),IF(ISNUMBER(OFFSET($A$1,ROW()-1,8)),OFFSET($A$1,ROW()-1,8),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",IFERROR(MATCH("Riesgo Operacional|"&amp;MID($C106,12,500),rDname_ADM,0),0),"")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IF(N($W107)=0,"",IF(AND($S107=MesCiclo,1&gt;SemanaActual),"",MIN(1,SUMIFS(OFFSET($A$1,ROW(),29,1000-ROW(),1),OFFSET($A$1,ROW(),20,1000-ROW(),1),ROW(),OFFSET($A$1,ROW(),21,1000-ROW(),1),"Sub"))))</f>
        <v/>
      </c>
      <c r="J107" s="60">
        <f>IF(N($W107)=0,"",IF(AND($S107=MesCiclo,2&gt;SemanaActual),"",MIN(1,SUMIFS(OFFSET($A$1,ROW(),30,1000-ROW(),1),OFFSET($A$1,ROW(),20,1000-ROW(),1),ROW(),OFFSET($A$1,ROW(),21,1000-ROW(),1),"Sub"))))</f>
        <v/>
      </c>
      <c r="K107" s="60">
        <f>IF(N($W107)=0,"",IF(AND($S107=MesCiclo,3&gt;SemanaActual),"",MIN(1,SUMIFS(OFFSET($A$1,ROW(),31,1000-ROW(),1),OFFSET($A$1,ROW(),20,1000-ROW(),1),ROW(),OFFSET($A$1,ROW(),21,1000-ROW(),1),"Sub"))))</f>
        <v/>
      </c>
      <c r="L107" s="60">
        <f>IF(N($W107)=0,"",IF(AND($S107=MesCiclo,4&gt;SemanaActual),"",MIN(1,SUMIFS(OFFSET($A$1,ROW(),32,1000-ROW(),1),OFFSET($A$1,ROW(),20,1000-ROW(),1),ROW(),OFFSET($A$1,ROW(),21,1000-ROW(),1),"Sub"))))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IF($V107&lt;&gt;"Sub","",N($X107)*IF(AND(ISNUMBER($G107),$G107&lt;=IF($S107=MesCiclo,InicioCiclo,$S107+MOD(2-WEEKDAY($S107),7))+6),1,MIN(1,MAX(0,IF(ISNUMBER(OFFSET($A$1,ROW()-1,8)),OFFSET($A$1,ROW()-1,8),0)))))</f>
        <v/>
      </c>
      <c r="AE107" s="62">
        <f>IF($V107&lt;&gt;"Sub","",N($X107)*IF(AND(ISNUMBER($G107),$G107&lt;=IF($S107=MesCiclo,InicioCiclo,$S107+MOD(2-WEEKDAY($S107),7))+13),1,MIN(1,MAX(0,IF(ISNUMBER(OFFSET($A$1,ROW()-1,9)),OFFSET($A$1,ROW()-1,9),IF(ISNUMBER(OFFSET($A$1,ROW()-1,8)),OFFSET($A$1,ROW()-1,8),0))))))</f>
        <v/>
      </c>
      <c r="AF107" s="62">
        <f>IF($V107&lt;&gt;"Sub","",N($X107)*IF(AND(ISNUMBER($G107),$G107&lt;=IF($S107=MesCiclo,InicioCiclo,$S107+MOD(2-WEEKDAY($S107),7))+20),1,MIN(1,MAX(0,IF(ISNUMBER(OFFSET($A$1,ROW()-1,10)),OFFSET($A$1,ROW()-1,10),IF(ISNUMBER(OFFSET($A$1,ROW()-1,9)),OFFSET($A$1,ROW()-1,9),IF(ISNUMBER(OFFSET($A$1,ROW()-1,8)),OFFSET($A$1,ROW()-1,8),0)))))))</f>
        <v/>
      </c>
      <c r="AG107" s="62">
        <f>IF($V107&lt;&gt;"Sub","",N($X107)*IF(AND(ISNUMBER($G107),$G107&lt;=IF($S107=MesCiclo,InicioCiclo,$S107+MOD(2-WEEKDAY($S107),7))+27),1,MIN(1,MAX(0,IF(ISNUMBER(OFFSET($A$1,ROW()-1,11)),OFFSET($A$1,ROW()-1,11),IF(ISNUMBER(OFFSET($A$1,ROW()-1,10)),OFFSET($A$1,ROW()-1,10),IF(ISNUMBER(OFFSET($A$1,ROW()-1,9)),OFFSET($A$1,ROW()-1,9),IF(ISNUMBER(OFFSET($A$1,ROW()-1,8)),OFFSET($A$1,ROW()-1,8),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",IFERROR(MATCH("Riesgo Operacional|"&amp;MID($C107,12,500),rDname_ADM,0),0),"")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IF(N($W108)=0,"",IF(AND($S108=MesCiclo,1&gt;SemanaActual),"",MIN(1,SUMIFS(OFFSET($A$1,ROW(),29,1000-ROW(),1),OFFSET($A$1,ROW(),20,1000-ROW(),1),ROW(),OFFSET($A$1,ROW(),21,1000-ROW(),1),"Sub"))))</f>
        <v/>
      </c>
      <c r="J108" s="60">
        <f>IF(N($W108)=0,"",IF(AND($S108=MesCiclo,2&gt;SemanaActual),"",MIN(1,SUMIFS(OFFSET($A$1,ROW(),30,1000-ROW(),1),OFFSET($A$1,ROW(),20,1000-ROW(),1),ROW(),OFFSET($A$1,ROW(),21,1000-ROW(),1),"Sub"))))</f>
        <v/>
      </c>
      <c r="K108" s="60">
        <f>IF(N($W108)=0,"",IF(AND($S108=MesCiclo,3&gt;SemanaActual),"",MIN(1,SUMIFS(OFFSET($A$1,ROW(),31,1000-ROW(),1),OFFSET($A$1,ROW(),20,1000-ROW(),1),ROW(),OFFSET($A$1,ROW(),21,1000-ROW(),1),"Sub"))))</f>
        <v/>
      </c>
      <c r="L108" s="60">
        <f>IF(N($W108)=0,"",IF(AND($S108=MesCiclo,4&gt;SemanaActual),"",MIN(1,SUMIFS(OFFSET($A$1,ROW(),32,1000-ROW(),1),OFFSET($A$1,ROW(),20,1000-ROW(),1),ROW(),OFFSET($A$1,ROW(),21,1000-ROW(),1),"Sub"))))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IF($V108&lt;&gt;"Sub","",N($X108)*IF(AND(ISNUMBER($G108),$G108&lt;=IF($S108=MesCiclo,InicioCiclo,$S108+MOD(2-WEEKDAY($S108),7))+6),1,MIN(1,MAX(0,IF(ISNUMBER(OFFSET($A$1,ROW()-1,8)),OFFSET($A$1,ROW()-1,8),0)))))</f>
        <v/>
      </c>
      <c r="AE108" s="62">
        <f>IF($V108&lt;&gt;"Sub","",N($X108)*IF(AND(ISNUMBER($G108),$G108&lt;=IF($S108=MesCiclo,InicioCiclo,$S108+MOD(2-WEEKDAY($S108),7))+13),1,MIN(1,MAX(0,IF(ISNUMBER(OFFSET($A$1,ROW()-1,9)),OFFSET($A$1,ROW()-1,9),IF(ISNUMBER(OFFSET($A$1,ROW()-1,8)),OFFSET($A$1,ROW()-1,8),0))))))</f>
        <v/>
      </c>
      <c r="AF108" s="62">
        <f>IF($V108&lt;&gt;"Sub","",N($X108)*IF(AND(ISNUMBER($G108),$G108&lt;=IF($S108=MesCiclo,InicioCiclo,$S108+MOD(2-WEEKDAY($S108),7))+20),1,MIN(1,MAX(0,IF(ISNUMBER(OFFSET($A$1,ROW()-1,10)),OFFSET($A$1,ROW()-1,10),IF(ISNUMBER(OFFSET($A$1,ROW()-1,9)),OFFSET($A$1,ROW()-1,9),IF(ISNUMBER(OFFSET($A$1,ROW()-1,8)),OFFSET($A$1,ROW()-1,8),0)))))))</f>
        <v/>
      </c>
      <c r="AG108" s="62">
        <f>IF($V108&lt;&gt;"Sub","",N($X108)*IF(AND(ISNUMBER($G108),$G108&lt;=IF($S108=MesCiclo,InicioCiclo,$S108+MOD(2-WEEKDAY($S108),7))+27),1,MIN(1,MAX(0,IF(ISNUMBER(OFFSET($A$1,ROW()-1,11)),OFFSET($A$1,ROW()-1,11),IF(ISNUMBER(OFFSET($A$1,ROW()-1,10)),OFFSET($A$1,ROW()-1,10),IF(ISNUMBER(OFFSET($A$1,ROW()-1,9)),OFFSET($A$1,ROW()-1,9),IF(ISNUMBER(OFFSET($A$1,ROW()-1,8)),OFFSET($A$1,ROW()-1,8),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",IFERROR(MATCH("Riesgo Operacional|"&amp;MID($C108,12,500),rDname_ADM,0),0),"")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IF(N($W109)=0,"",IF(AND($S109=MesCiclo,1&gt;SemanaActual),"",MIN(1,SUMIFS(OFFSET($A$1,ROW(),29,1000-ROW(),1),OFFSET($A$1,ROW(),20,1000-ROW(),1),ROW(),OFFSET($A$1,ROW(),21,1000-ROW(),1),"Sub"))))</f>
        <v/>
      </c>
      <c r="J109" s="60">
        <f>IF(N($W109)=0,"",IF(AND($S109=MesCiclo,2&gt;SemanaActual),"",MIN(1,SUMIFS(OFFSET($A$1,ROW(),30,1000-ROW(),1),OFFSET($A$1,ROW(),20,1000-ROW(),1),ROW(),OFFSET($A$1,ROW(),21,1000-ROW(),1),"Sub"))))</f>
        <v/>
      </c>
      <c r="K109" s="60">
        <f>IF(N($W109)=0,"",IF(AND($S109=MesCiclo,3&gt;SemanaActual),"",MIN(1,SUMIFS(OFFSET($A$1,ROW(),31,1000-ROW(),1),OFFSET($A$1,ROW(),20,1000-ROW(),1),ROW(),OFFSET($A$1,ROW(),21,1000-ROW(),1),"Sub"))))</f>
        <v/>
      </c>
      <c r="L109" s="60">
        <f>IF(N($W109)=0,"",IF(AND($S109=MesCiclo,4&gt;SemanaActual),"",MIN(1,SUMIFS(OFFSET($A$1,ROW(),32,1000-ROW(),1),OFFSET($A$1,ROW(),20,1000-ROW(),1),ROW(),OFFSET($A$1,ROW(),21,1000-ROW(),1),"Sub"))))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IF($V109&lt;&gt;"Sub","",N($X109)*IF(AND(ISNUMBER($G109),$G109&lt;=IF($S109=MesCiclo,InicioCiclo,$S109+MOD(2-WEEKDAY($S109),7))+6),1,MIN(1,MAX(0,IF(ISNUMBER(OFFSET($A$1,ROW()-1,8)),OFFSET($A$1,ROW()-1,8),0)))))</f>
        <v/>
      </c>
      <c r="AE109" s="62">
        <f>IF($V109&lt;&gt;"Sub","",N($X109)*IF(AND(ISNUMBER($G109),$G109&lt;=IF($S109=MesCiclo,InicioCiclo,$S109+MOD(2-WEEKDAY($S109),7))+13),1,MIN(1,MAX(0,IF(ISNUMBER(OFFSET($A$1,ROW()-1,9)),OFFSET($A$1,ROW()-1,9),IF(ISNUMBER(OFFSET($A$1,ROW()-1,8)),OFFSET($A$1,ROW()-1,8),0))))))</f>
        <v/>
      </c>
      <c r="AF109" s="62">
        <f>IF($V109&lt;&gt;"Sub","",N($X109)*IF(AND(ISNUMBER($G109),$G109&lt;=IF($S109=MesCiclo,InicioCiclo,$S109+MOD(2-WEEKDAY($S109),7))+20),1,MIN(1,MAX(0,IF(ISNUMBER(OFFSET($A$1,ROW()-1,10)),OFFSET($A$1,ROW()-1,10),IF(ISNUMBER(OFFSET($A$1,ROW()-1,9)),OFFSET($A$1,ROW()-1,9),IF(ISNUMBER(OFFSET($A$1,ROW()-1,8)),OFFSET($A$1,ROW()-1,8),0)))))))</f>
        <v/>
      </c>
      <c r="AG109" s="62">
        <f>IF($V109&lt;&gt;"Sub","",N($X109)*IF(AND(ISNUMBER($G109),$G109&lt;=IF($S109=MesCiclo,InicioCiclo,$S109+MOD(2-WEEKDAY($S109),7))+27),1,MIN(1,MAX(0,IF(ISNUMBER(OFFSET($A$1,ROW()-1,11)),OFFSET($A$1,ROW()-1,11),IF(ISNUMBER(OFFSET($A$1,ROW()-1,10)),OFFSET($A$1,ROW()-1,10),IF(ISNUMBER(OFFSET($A$1,ROW()-1,9)),OFFSET($A$1,ROW()-1,9),IF(ISNUMBER(OFFSET($A$1,ROW()-1,8)),OFFSET($A$1,ROW()-1,8),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",IFERROR(MATCH("Riesgo Operacional|"&amp;MID($C109,12,500),rDname_ADM,0),0),"")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IF(N($W110)=0,"",IF(AND($S110=MesCiclo,1&gt;SemanaActual),"",MIN(1,SUMIFS(OFFSET($A$1,ROW(),29,1000-ROW(),1),OFFSET($A$1,ROW(),20,1000-ROW(),1),ROW(),OFFSET($A$1,ROW(),21,1000-ROW(),1),"Sub"))))</f>
        <v/>
      </c>
      <c r="J110" s="60">
        <f>IF(N($W110)=0,"",IF(AND($S110=MesCiclo,2&gt;SemanaActual),"",MIN(1,SUMIFS(OFFSET($A$1,ROW(),30,1000-ROW(),1),OFFSET($A$1,ROW(),20,1000-ROW(),1),ROW(),OFFSET($A$1,ROW(),21,1000-ROW(),1),"Sub"))))</f>
        <v/>
      </c>
      <c r="K110" s="60">
        <f>IF(N($W110)=0,"",IF(AND($S110=MesCiclo,3&gt;SemanaActual),"",MIN(1,SUMIFS(OFFSET($A$1,ROW(),31,1000-ROW(),1),OFFSET($A$1,ROW(),20,1000-ROW(),1),ROW(),OFFSET($A$1,ROW(),21,1000-ROW(),1),"Sub"))))</f>
        <v/>
      </c>
      <c r="L110" s="60">
        <f>IF(N($W110)=0,"",IF(AND($S110=MesCiclo,4&gt;SemanaActual),"",MIN(1,SUMIFS(OFFSET($A$1,ROW(),32,1000-ROW(),1),OFFSET($A$1,ROW(),20,1000-ROW(),1),ROW(),OFFSET($A$1,ROW(),21,1000-ROW(),1),"Sub"))))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IF($V110&lt;&gt;"Sub","",N($X110)*IF(AND(ISNUMBER($G110),$G110&lt;=IF($S110=MesCiclo,InicioCiclo,$S110+MOD(2-WEEKDAY($S110),7))+6),1,MIN(1,MAX(0,IF(ISNUMBER(OFFSET($A$1,ROW()-1,8)),OFFSET($A$1,ROW()-1,8),0)))))</f>
        <v/>
      </c>
      <c r="AE110" s="62">
        <f>IF($V110&lt;&gt;"Sub","",N($X110)*IF(AND(ISNUMBER($G110),$G110&lt;=IF($S110=MesCiclo,InicioCiclo,$S110+MOD(2-WEEKDAY($S110),7))+13),1,MIN(1,MAX(0,IF(ISNUMBER(OFFSET($A$1,ROW()-1,9)),OFFSET($A$1,ROW()-1,9),IF(ISNUMBER(OFFSET($A$1,ROW()-1,8)),OFFSET($A$1,ROW()-1,8),0))))))</f>
        <v/>
      </c>
      <c r="AF110" s="62">
        <f>IF($V110&lt;&gt;"Sub","",N($X110)*IF(AND(ISNUMBER($G110),$G110&lt;=IF($S110=MesCiclo,InicioCiclo,$S110+MOD(2-WEEKDAY($S110),7))+20),1,MIN(1,MAX(0,IF(ISNUMBER(OFFSET($A$1,ROW()-1,10)),OFFSET($A$1,ROW()-1,10),IF(ISNUMBER(OFFSET($A$1,ROW()-1,9)),OFFSET($A$1,ROW()-1,9),IF(ISNUMBER(OFFSET($A$1,ROW()-1,8)),OFFSET($A$1,ROW()-1,8),0)))))))</f>
        <v/>
      </c>
      <c r="AG110" s="62">
        <f>IF($V110&lt;&gt;"Sub","",N($X110)*IF(AND(ISNUMBER($G110),$G110&lt;=IF($S110=MesCiclo,InicioCiclo,$S110+MOD(2-WEEKDAY($S110),7))+27),1,MIN(1,MAX(0,IF(ISNUMBER(OFFSET($A$1,ROW()-1,11)),OFFSET($A$1,ROW()-1,11),IF(ISNUMBER(OFFSET($A$1,ROW()-1,10)),OFFSET($A$1,ROW()-1,10),IF(ISNUMBER(OFFSET($A$1,ROW()-1,9)),OFFSET($A$1,ROW()-1,9),IF(ISNUMBER(OFFSET($A$1,ROW()-1,8)),OFFSET($A$1,ROW()-1,8),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",IFERROR(MATCH("Riesgo Operacional|"&amp;MID($C110,12,500),rDname_ADM,0),0),"")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IF(N($W111)=0,"",IF(AND($S111=MesCiclo,1&gt;SemanaActual),"",MIN(1,SUMIFS(OFFSET($A$1,ROW(),29,1000-ROW(),1),OFFSET($A$1,ROW(),20,1000-ROW(),1),ROW(),OFFSET($A$1,ROW(),21,1000-ROW(),1),"Sub"))))</f>
        <v/>
      </c>
      <c r="J111" s="60">
        <f>IF(N($W111)=0,"",IF(AND($S111=MesCiclo,2&gt;SemanaActual),"",MIN(1,SUMIFS(OFFSET($A$1,ROW(),30,1000-ROW(),1),OFFSET($A$1,ROW(),20,1000-ROW(),1),ROW(),OFFSET($A$1,ROW(),21,1000-ROW(),1),"Sub"))))</f>
        <v/>
      </c>
      <c r="K111" s="60">
        <f>IF(N($W111)=0,"",IF(AND($S111=MesCiclo,3&gt;SemanaActual),"",MIN(1,SUMIFS(OFFSET($A$1,ROW(),31,1000-ROW(),1),OFFSET($A$1,ROW(),20,1000-ROW(),1),ROW(),OFFSET($A$1,ROW(),21,1000-ROW(),1),"Sub"))))</f>
        <v/>
      </c>
      <c r="L111" s="60">
        <f>IF(N($W111)=0,"",IF(AND($S111=MesCiclo,4&gt;SemanaActual),"",MIN(1,SUMIFS(OFFSET($A$1,ROW(),32,1000-ROW(),1),OFFSET($A$1,ROW(),20,1000-ROW(),1),ROW(),OFFSET($A$1,ROW(),21,1000-ROW(),1),"Sub"))))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IF($V111&lt;&gt;"Sub","",N($X111)*IF(AND(ISNUMBER($G111),$G111&lt;=IF($S111=MesCiclo,InicioCiclo,$S111+MOD(2-WEEKDAY($S111),7))+6),1,MIN(1,MAX(0,IF(ISNUMBER(OFFSET($A$1,ROW()-1,8)),OFFSET($A$1,ROW()-1,8),0)))))</f>
        <v/>
      </c>
      <c r="AE111" s="62">
        <f>IF($V111&lt;&gt;"Sub","",N($X111)*IF(AND(ISNUMBER($G111),$G111&lt;=IF($S111=MesCiclo,InicioCiclo,$S111+MOD(2-WEEKDAY($S111),7))+13),1,MIN(1,MAX(0,IF(ISNUMBER(OFFSET($A$1,ROW()-1,9)),OFFSET($A$1,ROW()-1,9),IF(ISNUMBER(OFFSET($A$1,ROW()-1,8)),OFFSET($A$1,ROW()-1,8),0))))))</f>
        <v/>
      </c>
      <c r="AF111" s="62">
        <f>IF($V111&lt;&gt;"Sub","",N($X111)*IF(AND(ISNUMBER($G111),$G111&lt;=IF($S111=MesCiclo,InicioCiclo,$S111+MOD(2-WEEKDAY($S111),7))+20),1,MIN(1,MAX(0,IF(ISNUMBER(OFFSET($A$1,ROW()-1,10)),OFFSET($A$1,ROW()-1,10),IF(ISNUMBER(OFFSET($A$1,ROW()-1,9)),OFFSET($A$1,ROW()-1,9),IF(ISNUMBER(OFFSET($A$1,ROW()-1,8)),OFFSET($A$1,ROW()-1,8),0)))))))</f>
        <v/>
      </c>
      <c r="AG111" s="62">
        <f>IF($V111&lt;&gt;"Sub","",N($X111)*IF(AND(ISNUMBER($G111),$G111&lt;=IF($S111=MesCiclo,InicioCiclo,$S111+MOD(2-WEEKDAY($S111),7))+27),1,MIN(1,MAX(0,IF(ISNUMBER(OFFSET($A$1,ROW()-1,11)),OFFSET($A$1,ROW()-1,11),IF(ISNUMBER(OFFSET($A$1,ROW()-1,10)),OFFSET($A$1,ROW()-1,10),IF(ISNUMBER(OFFSET($A$1,ROW()-1,9)),OFFSET($A$1,ROW()-1,9),IF(ISNUMBER(OFFSET($A$1,ROW()-1,8)),OFFSET($A$1,ROW()-1,8),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",IFERROR(MATCH("Riesgo Operacional|"&amp;MID($C111,12,500),rDname_ADM,0),0),"")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IF(N($W112)=0,"",IF(AND($S112=MesCiclo,1&gt;SemanaActual),"",MIN(1,SUMIFS(OFFSET($A$1,ROW(),29,1000-ROW(),1),OFFSET($A$1,ROW(),20,1000-ROW(),1),ROW(),OFFSET($A$1,ROW(),21,1000-ROW(),1),"Sub"))))</f>
        <v/>
      </c>
      <c r="J112" s="60">
        <f>IF(N($W112)=0,"",IF(AND($S112=MesCiclo,2&gt;SemanaActual),"",MIN(1,SUMIFS(OFFSET($A$1,ROW(),30,1000-ROW(),1),OFFSET($A$1,ROW(),20,1000-ROW(),1),ROW(),OFFSET($A$1,ROW(),21,1000-ROW(),1),"Sub"))))</f>
        <v/>
      </c>
      <c r="K112" s="60">
        <f>IF(N($W112)=0,"",IF(AND($S112=MesCiclo,3&gt;SemanaActual),"",MIN(1,SUMIFS(OFFSET($A$1,ROW(),31,1000-ROW(),1),OFFSET($A$1,ROW(),20,1000-ROW(),1),ROW(),OFFSET($A$1,ROW(),21,1000-ROW(),1),"Sub"))))</f>
        <v/>
      </c>
      <c r="L112" s="60">
        <f>IF(N($W112)=0,"",IF(AND($S112=MesCiclo,4&gt;SemanaActual),"",MIN(1,SUMIFS(OFFSET($A$1,ROW(),32,1000-ROW(),1),OFFSET($A$1,ROW(),20,1000-ROW(),1),ROW(),OFFSET($A$1,ROW(),21,1000-ROW(),1),"Sub"))))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IF($V112&lt;&gt;"Sub","",N($X112)*IF(AND(ISNUMBER($G112),$G112&lt;=IF($S112=MesCiclo,InicioCiclo,$S112+MOD(2-WEEKDAY($S112),7))+6),1,MIN(1,MAX(0,IF(ISNUMBER(OFFSET($A$1,ROW()-1,8)),OFFSET($A$1,ROW()-1,8),0)))))</f>
        <v/>
      </c>
      <c r="AE112" s="62">
        <f>IF($V112&lt;&gt;"Sub","",N($X112)*IF(AND(ISNUMBER($G112),$G112&lt;=IF($S112=MesCiclo,InicioCiclo,$S112+MOD(2-WEEKDAY($S112),7))+13),1,MIN(1,MAX(0,IF(ISNUMBER(OFFSET($A$1,ROW()-1,9)),OFFSET($A$1,ROW()-1,9),IF(ISNUMBER(OFFSET($A$1,ROW()-1,8)),OFFSET($A$1,ROW()-1,8),0))))))</f>
        <v/>
      </c>
      <c r="AF112" s="62">
        <f>IF($V112&lt;&gt;"Sub","",N($X112)*IF(AND(ISNUMBER($G112),$G112&lt;=IF($S112=MesCiclo,InicioCiclo,$S112+MOD(2-WEEKDAY($S112),7))+20),1,MIN(1,MAX(0,IF(ISNUMBER(OFFSET($A$1,ROW()-1,10)),OFFSET($A$1,ROW()-1,10),IF(ISNUMBER(OFFSET($A$1,ROW()-1,9)),OFFSET($A$1,ROW()-1,9),IF(ISNUMBER(OFFSET($A$1,ROW()-1,8)),OFFSET($A$1,ROW()-1,8),0)))))))</f>
        <v/>
      </c>
      <c r="AG112" s="62">
        <f>IF($V112&lt;&gt;"Sub","",N($X112)*IF(AND(ISNUMBER($G112),$G112&lt;=IF($S112=MesCiclo,InicioCiclo,$S112+MOD(2-WEEKDAY($S112),7))+27),1,MIN(1,MAX(0,IF(ISNUMBER(OFFSET($A$1,ROW()-1,11)),OFFSET($A$1,ROW()-1,11),IF(ISNUMBER(OFFSET($A$1,ROW()-1,10)),OFFSET($A$1,ROW()-1,10),IF(ISNUMBER(OFFSET($A$1,ROW()-1,9)),OFFSET($A$1,ROW()-1,9),IF(ISNUMBER(OFFSET($A$1,ROW()-1,8)),OFFSET($A$1,ROW()-1,8),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",IFERROR(MATCH("Riesgo Operacional|"&amp;MID($C112,12,500),rDname_ADM,0),0),"")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IF(N($W113)=0,"",IF(AND($S113=MesCiclo,1&gt;SemanaActual),"",MIN(1,SUMIFS(OFFSET($A$1,ROW(),29,1000-ROW(),1),OFFSET($A$1,ROW(),20,1000-ROW(),1),ROW(),OFFSET($A$1,ROW(),21,1000-ROW(),1),"Sub"))))</f>
        <v/>
      </c>
      <c r="J113" s="60">
        <f>IF(N($W113)=0,"",IF(AND($S113=MesCiclo,2&gt;SemanaActual),"",MIN(1,SUMIFS(OFFSET($A$1,ROW(),30,1000-ROW(),1),OFFSET($A$1,ROW(),20,1000-ROW(),1),ROW(),OFFSET($A$1,ROW(),21,1000-ROW(),1),"Sub"))))</f>
        <v/>
      </c>
      <c r="K113" s="60">
        <f>IF(N($W113)=0,"",IF(AND($S113=MesCiclo,3&gt;SemanaActual),"",MIN(1,SUMIFS(OFFSET($A$1,ROW(),31,1000-ROW(),1),OFFSET($A$1,ROW(),20,1000-ROW(),1),ROW(),OFFSET($A$1,ROW(),21,1000-ROW(),1),"Sub"))))</f>
        <v/>
      </c>
      <c r="L113" s="60">
        <f>IF(N($W113)=0,"",IF(AND($S113=MesCiclo,4&gt;SemanaActual),"",MIN(1,SUMIFS(OFFSET($A$1,ROW(),32,1000-ROW(),1),OFFSET($A$1,ROW(),20,1000-ROW(),1),ROW(),OFFSET($A$1,ROW(),21,1000-ROW(),1),"Sub"))))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IF($V113&lt;&gt;"Sub","",N($X113)*IF(AND(ISNUMBER($G113),$G113&lt;=IF($S113=MesCiclo,InicioCiclo,$S113+MOD(2-WEEKDAY($S113),7))+6),1,MIN(1,MAX(0,IF(ISNUMBER(OFFSET($A$1,ROW()-1,8)),OFFSET($A$1,ROW()-1,8),0)))))</f>
        <v/>
      </c>
      <c r="AE113" s="62">
        <f>IF($V113&lt;&gt;"Sub","",N($X113)*IF(AND(ISNUMBER($G113),$G113&lt;=IF($S113=MesCiclo,InicioCiclo,$S113+MOD(2-WEEKDAY($S113),7))+13),1,MIN(1,MAX(0,IF(ISNUMBER(OFFSET($A$1,ROW()-1,9)),OFFSET($A$1,ROW()-1,9),IF(ISNUMBER(OFFSET($A$1,ROW()-1,8)),OFFSET($A$1,ROW()-1,8),0))))))</f>
        <v/>
      </c>
      <c r="AF113" s="62">
        <f>IF($V113&lt;&gt;"Sub","",N($X113)*IF(AND(ISNUMBER($G113),$G113&lt;=IF($S113=MesCiclo,InicioCiclo,$S113+MOD(2-WEEKDAY($S113),7))+20),1,MIN(1,MAX(0,IF(ISNUMBER(OFFSET($A$1,ROW()-1,10)),OFFSET($A$1,ROW()-1,10),IF(ISNUMBER(OFFSET($A$1,ROW()-1,9)),OFFSET($A$1,ROW()-1,9),IF(ISNUMBER(OFFSET($A$1,ROW()-1,8)),OFFSET($A$1,ROW()-1,8),0)))))))</f>
        <v/>
      </c>
      <c r="AG113" s="62">
        <f>IF($V113&lt;&gt;"Sub","",N($X113)*IF(AND(ISNUMBER($G113),$G113&lt;=IF($S113=MesCiclo,InicioCiclo,$S113+MOD(2-WEEKDAY($S113),7))+27),1,MIN(1,MAX(0,IF(ISNUMBER(OFFSET($A$1,ROW()-1,11)),OFFSET($A$1,ROW()-1,11),IF(ISNUMBER(OFFSET($A$1,ROW()-1,10)),OFFSET($A$1,ROW()-1,10),IF(ISNUMBER(OFFSET($A$1,ROW()-1,9)),OFFSET($A$1,ROW()-1,9),IF(ISNUMBER(OFFSET($A$1,ROW()-1,8)),OFFSET($A$1,ROW()-1,8),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",IFERROR(MATCH("Riesgo Operacional|"&amp;MID($C113,12,500),rDname_ADM,0),0),"")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IF(N($W114)=0,"",IF(AND($S114=MesCiclo,1&gt;SemanaActual),"",MIN(1,SUMIFS(OFFSET($A$1,ROW(),29,1000-ROW(),1),OFFSET($A$1,ROW(),20,1000-ROW(),1),ROW(),OFFSET($A$1,ROW(),21,1000-ROW(),1),"Sub"))))</f>
        <v/>
      </c>
      <c r="J114" s="60">
        <f>IF(N($W114)=0,"",IF(AND($S114=MesCiclo,2&gt;SemanaActual),"",MIN(1,SUMIFS(OFFSET($A$1,ROW(),30,1000-ROW(),1),OFFSET($A$1,ROW(),20,1000-ROW(),1),ROW(),OFFSET($A$1,ROW(),21,1000-ROW(),1),"Sub"))))</f>
        <v/>
      </c>
      <c r="K114" s="60">
        <f>IF(N($W114)=0,"",IF(AND($S114=MesCiclo,3&gt;SemanaActual),"",MIN(1,SUMIFS(OFFSET($A$1,ROW(),31,1000-ROW(),1),OFFSET($A$1,ROW(),20,1000-ROW(),1),ROW(),OFFSET($A$1,ROW(),21,1000-ROW(),1),"Sub"))))</f>
        <v/>
      </c>
      <c r="L114" s="60">
        <f>IF(N($W114)=0,"",IF(AND($S114=MesCiclo,4&gt;SemanaActual),"",MIN(1,SUMIFS(OFFSET($A$1,ROW(),32,1000-ROW(),1),OFFSET($A$1,ROW(),20,1000-ROW(),1),ROW(),OFFSET($A$1,ROW(),21,1000-ROW(),1),"Sub"))))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IF($V114&lt;&gt;"Sub","",N($X114)*IF(AND(ISNUMBER($G114),$G114&lt;=IF($S114=MesCiclo,InicioCiclo,$S114+MOD(2-WEEKDAY($S114),7))+6),1,MIN(1,MAX(0,IF(ISNUMBER(OFFSET($A$1,ROW()-1,8)),OFFSET($A$1,ROW()-1,8),0)))))</f>
        <v/>
      </c>
      <c r="AE114" s="62">
        <f>IF($V114&lt;&gt;"Sub","",N($X114)*IF(AND(ISNUMBER($G114),$G114&lt;=IF($S114=MesCiclo,InicioCiclo,$S114+MOD(2-WEEKDAY($S114),7))+13),1,MIN(1,MAX(0,IF(ISNUMBER(OFFSET($A$1,ROW()-1,9)),OFFSET($A$1,ROW()-1,9),IF(ISNUMBER(OFFSET($A$1,ROW()-1,8)),OFFSET($A$1,ROW()-1,8),0))))))</f>
        <v/>
      </c>
      <c r="AF114" s="62">
        <f>IF($V114&lt;&gt;"Sub","",N($X114)*IF(AND(ISNUMBER($G114),$G114&lt;=IF($S114=MesCiclo,InicioCiclo,$S114+MOD(2-WEEKDAY($S114),7))+20),1,MIN(1,MAX(0,IF(ISNUMBER(OFFSET($A$1,ROW()-1,10)),OFFSET($A$1,ROW()-1,10),IF(ISNUMBER(OFFSET($A$1,ROW()-1,9)),OFFSET($A$1,ROW()-1,9),IF(ISNUMBER(OFFSET($A$1,ROW()-1,8)),OFFSET($A$1,ROW()-1,8),0)))))))</f>
        <v/>
      </c>
      <c r="AG114" s="62">
        <f>IF($V114&lt;&gt;"Sub","",N($X114)*IF(AND(ISNUMBER($G114),$G114&lt;=IF($S114=MesCiclo,InicioCiclo,$S114+MOD(2-WEEKDAY($S114),7))+27),1,MIN(1,MAX(0,IF(ISNUMBER(OFFSET($A$1,ROW()-1,11)),OFFSET($A$1,ROW()-1,11),IF(ISNUMBER(OFFSET($A$1,ROW()-1,10)),OFFSET($A$1,ROW()-1,10),IF(ISNUMBER(OFFSET($A$1,ROW()-1,9)),OFFSET($A$1,ROW()-1,9),IF(ISNUMBER(OFFSET($A$1,ROW()-1,8)),OFFSET($A$1,ROW()-1,8),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",IFERROR(MATCH("Riesgo Operacional|"&amp;MID($C114,12,500),rDname_ADM,0),0),"")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IF(N($W115)=0,"",IF(AND($S115=MesCiclo,1&gt;SemanaActual),"",MIN(1,SUMIFS(OFFSET($A$1,ROW(),29,1000-ROW(),1),OFFSET($A$1,ROW(),20,1000-ROW(),1),ROW(),OFFSET($A$1,ROW(),21,1000-ROW(),1),"Sub"))))</f>
        <v/>
      </c>
      <c r="J115" s="60">
        <f>IF(N($W115)=0,"",IF(AND($S115=MesCiclo,2&gt;SemanaActual),"",MIN(1,SUMIFS(OFFSET($A$1,ROW(),30,1000-ROW(),1),OFFSET($A$1,ROW(),20,1000-ROW(),1),ROW(),OFFSET($A$1,ROW(),21,1000-ROW(),1),"Sub"))))</f>
        <v/>
      </c>
      <c r="K115" s="60">
        <f>IF(N($W115)=0,"",IF(AND($S115=MesCiclo,3&gt;SemanaActual),"",MIN(1,SUMIFS(OFFSET($A$1,ROW(),31,1000-ROW(),1),OFFSET($A$1,ROW(),20,1000-ROW(),1),ROW(),OFFSET($A$1,ROW(),21,1000-ROW(),1),"Sub"))))</f>
        <v/>
      </c>
      <c r="L115" s="60">
        <f>IF(N($W115)=0,"",IF(AND($S115=MesCiclo,4&gt;SemanaActual),"",MIN(1,SUMIFS(OFFSET($A$1,ROW(),32,1000-ROW(),1),OFFSET($A$1,ROW(),20,1000-ROW(),1),ROW(),OFFSET($A$1,ROW(),21,1000-ROW(),1),"Sub"))))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IF($V115&lt;&gt;"Sub","",N($X115)*IF(AND(ISNUMBER($G115),$G115&lt;=IF($S115=MesCiclo,InicioCiclo,$S115+MOD(2-WEEKDAY($S115),7))+6),1,MIN(1,MAX(0,IF(ISNUMBER(OFFSET($A$1,ROW()-1,8)),OFFSET($A$1,ROW()-1,8),0)))))</f>
        <v/>
      </c>
      <c r="AE115" s="62">
        <f>IF($V115&lt;&gt;"Sub","",N($X115)*IF(AND(ISNUMBER($G115),$G115&lt;=IF($S115=MesCiclo,InicioCiclo,$S115+MOD(2-WEEKDAY($S115),7))+13),1,MIN(1,MAX(0,IF(ISNUMBER(OFFSET($A$1,ROW()-1,9)),OFFSET($A$1,ROW()-1,9),IF(ISNUMBER(OFFSET($A$1,ROW()-1,8)),OFFSET($A$1,ROW()-1,8),0))))))</f>
        <v/>
      </c>
      <c r="AF115" s="62">
        <f>IF($V115&lt;&gt;"Sub","",N($X115)*IF(AND(ISNUMBER($G115),$G115&lt;=IF($S115=MesCiclo,InicioCiclo,$S115+MOD(2-WEEKDAY($S115),7))+20),1,MIN(1,MAX(0,IF(ISNUMBER(OFFSET($A$1,ROW()-1,10)),OFFSET($A$1,ROW()-1,10),IF(ISNUMBER(OFFSET($A$1,ROW()-1,9)),OFFSET($A$1,ROW()-1,9),IF(ISNUMBER(OFFSET($A$1,ROW()-1,8)),OFFSET($A$1,ROW()-1,8),0)))))))</f>
        <v/>
      </c>
      <c r="AG115" s="62">
        <f>IF($V115&lt;&gt;"Sub","",N($X115)*IF(AND(ISNUMBER($G115),$G115&lt;=IF($S115=MesCiclo,InicioCiclo,$S115+MOD(2-WEEKDAY($S115),7))+27),1,MIN(1,MAX(0,IF(ISNUMBER(OFFSET($A$1,ROW()-1,11)),OFFSET($A$1,ROW()-1,11),IF(ISNUMBER(OFFSET($A$1,ROW()-1,10)),OFFSET($A$1,ROW()-1,10),IF(ISNUMBER(OFFSET($A$1,ROW()-1,9)),OFFSET($A$1,ROW()-1,9),IF(ISNUMBER(OFFSET($A$1,ROW()-1,8)),OFFSET($A$1,ROW()-1,8),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",IFERROR(MATCH("Riesgo Operacional|"&amp;MID($C115,12,500),rDname_ADM,0),0),"")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IF(N($W116)=0,"",IF(AND($S116=MesCiclo,1&gt;SemanaActual),"",MIN(1,SUMIFS(OFFSET($A$1,ROW(),29,1000-ROW(),1),OFFSET($A$1,ROW(),20,1000-ROW(),1),ROW(),OFFSET($A$1,ROW(),21,1000-ROW(),1),"Sub"))))</f>
        <v/>
      </c>
      <c r="J116" s="60">
        <f>IF(N($W116)=0,"",IF(AND($S116=MesCiclo,2&gt;SemanaActual),"",MIN(1,SUMIFS(OFFSET($A$1,ROW(),30,1000-ROW(),1),OFFSET($A$1,ROW(),20,1000-ROW(),1),ROW(),OFFSET($A$1,ROW(),21,1000-ROW(),1),"Sub"))))</f>
        <v/>
      </c>
      <c r="K116" s="60">
        <f>IF(N($W116)=0,"",IF(AND($S116=MesCiclo,3&gt;SemanaActual),"",MIN(1,SUMIFS(OFFSET($A$1,ROW(),31,1000-ROW(),1),OFFSET($A$1,ROW(),20,1000-ROW(),1),ROW(),OFFSET($A$1,ROW(),21,1000-ROW(),1),"Sub"))))</f>
        <v/>
      </c>
      <c r="L116" s="60">
        <f>IF(N($W116)=0,"",IF(AND($S116=MesCiclo,4&gt;SemanaActual),"",MIN(1,SUMIFS(OFFSET($A$1,ROW(),32,1000-ROW(),1),OFFSET($A$1,ROW(),20,1000-ROW(),1),ROW(),OFFSET($A$1,ROW(),21,1000-ROW(),1),"Sub"))))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IF($V116&lt;&gt;"Sub","",N($X116)*IF(AND(ISNUMBER($G116),$G116&lt;=IF($S116=MesCiclo,InicioCiclo,$S116+MOD(2-WEEKDAY($S116),7))+6),1,MIN(1,MAX(0,IF(ISNUMBER(OFFSET($A$1,ROW()-1,8)),OFFSET($A$1,ROW()-1,8),0)))))</f>
        <v/>
      </c>
      <c r="AE116" s="62">
        <f>IF($V116&lt;&gt;"Sub","",N($X116)*IF(AND(ISNUMBER($G116),$G116&lt;=IF($S116=MesCiclo,InicioCiclo,$S116+MOD(2-WEEKDAY($S116),7))+13),1,MIN(1,MAX(0,IF(ISNUMBER(OFFSET($A$1,ROW()-1,9)),OFFSET($A$1,ROW()-1,9),IF(ISNUMBER(OFFSET($A$1,ROW()-1,8)),OFFSET($A$1,ROW()-1,8),0))))))</f>
        <v/>
      </c>
      <c r="AF116" s="62">
        <f>IF($V116&lt;&gt;"Sub","",N($X116)*IF(AND(ISNUMBER($G116),$G116&lt;=IF($S116=MesCiclo,InicioCiclo,$S116+MOD(2-WEEKDAY($S116),7))+20),1,MIN(1,MAX(0,IF(ISNUMBER(OFFSET($A$1,ROW()-1,10)),OFFSET($A$1,ROW()-1,10),IF(ISNUMBER(OFFSET($A$1,ROW()-1,9)),OFFSET($A$1,ROW()-1,9),IF(ISNUMBER(OFFSET($A$1,ROW()-1,8)),OFFSET($A$1,ROW()-1,8),0)))))))</f>
        <v/>
      </c>
      <c r="AG116" s="62">
        <f>IF($V116&lt;&gt;"Sub","",N($X116)*IF(AND(ISNUMBER($G116),$G116&lt;=IF($S116=MesCiclo,InicioCiclo,$S116+MOD(2-WEEKDAY($S116),7))+27),1,MIN(1,MAX(0,IF(ISNUMBER(OFFSET($A$1,ROW()-1,11)),OFFSET($A$1,ROW()-1,11),IF(ISNUMBER(OFFSET($A$1,ROW()-1,10)),OFFSET($A$1,ROW()-1,10),IF(ISNUMBER(OFFSET($A$1,ROW()-1,9)),OFFSET($A$1,ROW()-1,9),IF(ISNUMBER(OFFSET($A$1,ROW()-1,8)),OFFSET($A$1,ROW()-1,8),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",IFERROR(MATCH("Riesgo Operacional|"&amp;MID($C116,12,500),rDname_ADM,0),0),"")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IF(N($W117)=0,"",IF(AND($S117=MesCiclo,1&gt;SemanaActual),"",MIN(1,SUMIFS(OFFSET($A$1,ROW(),29,1000-ROW(),1),OFFSET($A$1,ROW(),20,1000-ROW(),1),ROW(),OFFSET($A$1,ROW(),21,1000-ROW(),1),"Sub"))))</f>
        <v/>
      </c>
      <c r="J117" s="60">
        <f>IF(N($W117)=0,"",IF(AND($S117=MesCiclo,2&gt;SemanaActual),"",MIN(1,SUMIFS(OFFSET($A$1,ROW(),30,1000-ROW(),1),OFFSET($A$1,ROW(),20,1000-ROW(),1),ROW(),OFFSET($A$1,ROW(),21,1000-ROW(),1),"Sub"))))</f>
        <v/>
      </c>
      <c r="K117" s="60">
        <f>IF(N($W117)=0,"",IF(AND($S117=MesCiclo,3&gt;SemanaActual),"",MIN(1,SUMIFS(OFFSET($A$1,ROW(),31,1000-ROW(),1),OFFSET($A$1,ROW(),20,1000-ROW(),1),ROW(),OFFSET($A$1,ROW(),21,1000-ROW(),1),"Sub"))))</f>
        <v/>
      </c>
      <c r="L117" s="60">
        <f>IF(N($W117)=0,"",IF(AND($S117=MesCiclo,4&gt;SemanaActual),"",MIN(1,SUMIFS(OFFSET($A$1,ROW(),32,1000-ROW(),1),OFFSET($A$1,ROW(),20,1000-ROW(),1),ROW(),OFFSET($A$1,ROW(),21,1000-ROW(),1),"Sub"))))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IF($V117&lt;&gt;"Sub","",N($X117)*IF(AND(ISNUMBER($G117),$G117&lt;=IF($S117=MesCiclo,InicioCiclo,$S117+MOD(2-WEEKDAY($S117),7))+6),1,MIN(1,MAX(0,IF(ISNUMBER(OFFSET($A$1,ROW()-1,8)),OFFSET($A$1,ROW()-1,8),0)))))</f>
        <v/>
      </c>
      <c r="AE117" s="62">
        <f>IF($V117&lt;&gt;"Sub","",N($X117)*IF(AND(ISNUMBER($G117),$G117&lt;=IF($S117=MesCiclo,InicioCiclo,$S117+MOD(2-WEEKDAY($S117),7))+13),1,MIN(1,MAX(0,IF(ISNUMBER(OFFSET($A$1,ROW()-1,9)),OFFSET($A$1,ROW()-1,9),IF(ISNUMBER(OFFSET($A$1,ROW()-1,8)),OFFSET($A$1,ROW()-1,8),0))))))</f>
        <v/>
      </c>
      <c r="AF117" s="62">
        <f>IF($V117&lt;&gt;"Sub","",N($X117)*IF(AND(ISNUMBER($G117),$G117&lt;=IF($S117=MesCiclo,InicioCiclo,$S117+MOD(2-WEEKDAY($S117),7))+20),1,MIN(1,MAX(0,IF(ISNUMBER(OFFSET($A$1,ROW()-1,10)),OFFSET($A$1,ROW()-1,10),IF(ISNUMBER(OFFSET($A$1,ROW()-1,9)),OFFSET($A$1,ROW()-1,9),IF(ISNUMBER(OFFSET($A$1,ROW()-1,8)),OFFSET($A$1,ROW()-1,8),0)))))))</f>
        <v/>
      </c>
      <c r="AG117" s="62">
        <f>IF($V117&lt;&gt;"Sub","",N($X117)*IF(AND(ISNUMBER($G117),$G117&lt;=IF($S117=MesCiclo,InicioCiclo,$S117+MOD(2-WEEKDAY($S117),7))+27),1,MIN(1,MAX(0,IF(ISNUMBER(OFFSET($A$1,ROW()-1,11)),OFFSET($A$1,ROW()-1,11),IF(ISNUMBER(OFFSET($A$1,ROW()-1,10)),OFFSET($A$1,ROW()-1,10),IF(ISNUMBER(OFFSET($A$1,ROW()-1,9)),OFFSET($A$1,ROW()-1,9),IF(ISNUMBER(OFFSET($A$1,ROW()-1,8)),OFFSET($A$1,ROW()-1,8),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",IFERROR(MATCH("Riesgo Operacional|"&amp;MID($C117,12,500),rDname_ADM,0),0),"")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IF(N($W118)=0,"",IF(AND($S118=MesCiclo,1&gt;SemanaActual),"",MIN(1,SUMIFS(OFFSET($A$1,ROW(),29,1000-ROW(),1),OFFSET($A$1,ROW(),20,1000-ROW(),1),ROW(),OFFSET($A$1,ROW(),21,1000-ROW(),1),"Sub"))))</f>
        <v/>
      </c>
      <c r="J118" s="60">
        <f>IF(N($W118)=0,"",IF(AND($S118=MesCiclo,2&gt;SemanaActual),"",MIN(1,SUMIFS(OFFSET($A$1,ROW(),30,1000-ROW(),1),OFFSET($A$1,ROW(),20,1000-ROW(),1),ROW(),OFFSET($A$1,ROW(),21,1000-ROW(),1),"Sub"))))</f>
        <v/>
      </c>
      <c r="K118" s="60">
        <f>IF(N($W118)=0,"",IF(AND($S118=MesCiclo,3&gt;SemanaActual),"",MIN(1,SUMIFS(OFFSET($A$1,ROW(),31,1000-ROW(),1),OFFSET($A$1,ROW(),20,1000-ROW(),1),ROW(),OFFSET($A$1,ROW(),21,1000-ROW(),1),"Sub"))))</f>
        <v/>
      </c>
      <c r="L118" s="60">
        <f>IF(N($W118)=0,"",IF(AND($S118=MesCiclo,4&gt;SemanaActual),"",MIN(1,SUMIFS(OFFSET($A$1,ROW(),32,1000-ROW(),1),OFFSET($A$1,ROW(),20,1000-ROW(),1),ROW(),OFFSET($A$1,ROW(),21,1000-ROW(),1),"Sub"))))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IF($V118&lt;&gt;"Sub","",N($X118)*IF(AND(ISNUMBER($G118),$G118&lt;=IF($S118=MesCiclo,InicioCiclo,$S118+MOD(2-WEEKDAY($S118),7))+6),1,MIN(1,MAX(0,IF(ISNUMBER(OFFSET($A$1,ROW()-1,8)),OFFSET($A$1,ROW()-1,8),0)))))</f>
        <v/>
      </c>
      <c r="AE118" s="62">
        <f>IF($V118&lt;&gt;"Sub","",N($X118)*IF(AND(ISNUMBER($G118),$G118&lt;=IF($S118=MesCiclo,InicioCiclo,$S118+MOD(2-WEEKDAY($S118),7))+13),1,MIN(1,MAX(0,IF(ISNUMBER(OFFSET($A$1,ROW()-1,9)),OFFSET($A$1,ROW()-1,9),IF(ISNUMBER(OFFSET($A$1,ROW()-1,8)),OFFSET($A$1,ROW()-1,8),0))))))</f>
        <v/>
      </c>
      <c r="AF118" s="62">
        <f>IF($V118&lt;&gt;"Sub","",N($X118)*IF(AND(ISNUMBER($G118),$G118&lt;=IF($S118=MesCiclo,InicioCiclo,$S118+MOD(2-WEEKDAY($S118),7))+20),1,MIN(1,MAX(0,IF(ISNUMBER(OFFSET($A$1,ROW()-1,10)),OFFSET($A$1,ROW()-1,10),IF(ISNUMBER(OFFSET($A$1,ROW()-1,9)),OFFSET($A$1,ROW()-1,9),IF(ISNUMBER(OFFSET($A$1,ROW()-1,8)),OFFSET($A$1,ROW()-1,8),0)))))))</f>
        <v/>
      </c>
      <c r="AG118" s="62">
        <f>IF($V118&lt;&gt;"Sub","",N($X118)*IF(AND(ISNUMBER($G118),$G118&lt;=IF($S118=MesCiclo,InicioCiclo,$S118+MOD(2-WEEKDAY($S118),7))+27),1,MIN(1,MAX(0,IF(ISNUMBER(OFFSET($A$1,ROW()-1,11)),OFFSET($A$1,ROW()-1,11),IF(ISNUMBER(OFFSET($A$1,ROW()-1,10)),OFFSET($A$1,ROW()-1,10),IF(ISNUMBER(OFFSET($A$1,ROW()-1,9)),OFFSET($A$1,ROW()-1,9),IF(ISNUMBER(OFFSET($A$1,ROW()-1,8)),OFFSET($A$1,ROW()-1,8),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",IFERROR(MATCH("Riesgo Operacional|"&amp;MID($C118,12,500),rDname_ADM,0),0),"")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IF(N($W119)=0,"",IF(AND($S119=MesCiclo,1&gt;SemanaActual),"",MIN(1,SUMIFS(OFFSET($A$1,ROW(),29,1000-ROW(),1),OFFSET($A$1,ROW(),20,1000-ROW(),1),ROW(),OFFSET($A$1,ROW(),21,1000-ROW(),1),"Sub"))))</f>
        <v/>
      </c>
      <c r="J119" s="60">
        <f>IF(N($W119)=0,"",IF(AND($S119=MesCiclo,2&gt;SemanaActual),"",MIN(1,SUMIFS(OFFSET($A$1,ROW(),30,1000-ROW(),1),OFFSET($A$1,ROW(),20,1000-ROW(),1),ROW(),OFFSET($A$1,ROW(),21,1000-ROW(),1),"Sub"))))</f>
        <v/>
      </c>
      <c r="K119" s="60">
        <f>IF(N($W119)=0,"",IF(AND($S119=MesCiclo,3&gt;SemanaActual),"",MIN(1,SUMIFS(OFFSET($A$1,ROW(),31,1000-ROW(),1),OFFSET($A$1,ROW(),20,1000-ROW(),1),ROW(),OFFSET($A$1,ROW(),21,1000-ROW(),1),"Sub"))))</f>
        <v/>
      </c>
      <c r="L119" s="60">
        <f>IF(N($W119)=0,"",IF(AND($S119=MesCiclo,4&gt;SemanaActual),"",MIN(1,SUMIFS(OFFSET($A$1,ROW(),32,1000-ROW(),1),OFFSET($A$1,ROW(),20,1000-ROW(),1),ROW(),OFFSET($A$1,ROW(),21,1000-ROW(),1),"Sub"))))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IF($V119&lt;&gt;"Sub","",N($X119)*IF(AND(ISNUMBER($G119),$G119&lt;=IF($S119=MesCiclo,InicioCiclo,$S119+MOD(2-WEEKDAY($S119),7))+6),1,MIN(1,MAX(0,IF(ISNUMBER(OFFSET($A$1,ROW()-1,8)),OFFSET($A$1,ROW()-1,8),0)))))</f>
        <v/>
      </c>
      <c r="AE119" s="62">
        <f>IF($V119&lt;&gt;"Sub","",N($X119)*IF(AND(ISNUMBER($G119),$G119&lt;=IF($S119=MesCiclo,InicioCiclo,$S119+MOD(2-WEEKDAY($S119),7))+13),1,MIN(1,MAX(0,IF(ISNUMBER(OFFSET($A$1,ROW()-1,9)),OFFSET($A$1,ROW()-1,9),IF(ISNUMBER(OFFSET($A$1,ROW()-1,8)),OFFSET($A$1,ROW()-1,8),0))))))</f>
        <v/>
      </c>
      <c r="AF119" s="62">
        <f>IF($V119&lt;&gt;"Sub","",N($X119)*IF(AND(ISNUMBER($G119),$G119&lt;=IF($S119=MesCiclo,InicioCiclo,$S119+MOD(2-WEEKDAY($S119),7))+20),1,MIN(1,MAX(0,IF(ISNUMBER(OFFSET($A$1,ROW()-1,10)),OFFSET($A$1,ROW()-1,10),IF(ISNUMBER(OFFSET($A$1,ROW()-1,9)),OFFSET($A$1,ROW()-1,9),IF(ISNUMBER(OFFSET($A$1,ROW()-1,8)),OFFSET($A$1,ROW()-1,8),0)))))))</f>
        <v/>
      </c>
      <c r="AG119" s="62">
        <f>IF($V119&lt;&gt;"Sub","",N($X119)*IF(AND(ISNUMBER($G119),$G119&lt;=IF($S119=MesCiclo,InicioCiclo,$S119+MOD(2-WEEKDAY($S119),7))+27),1,MIN(1,MAX(0,IF(ISNUMBER(OFFSET($A$1,ROW()-1,11)),OFFSET($A$1,ROW()-1,11),IF(ISNUMBER(OFFSET($A$1,ROW()-1,10)),OFFSET($A$1,ROW()-1,10),IF(ISNUMBER(OFFSET($A$1,ROW()-1,9)),OFFSET($A$1,ROW()-1,9),IF(ISNUMBER(OFFSET($A$1,ROW()-1,8)),OFFSET($A$1,ROW()-1,8),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",IFERROR(MATCH("Riesgo Operacional|"&amp;MID($C119,12,500),rDname_ADM,0),0),"")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IF(N($W120)=0,"",IF(AND($S120=MesCiclo,1&gt;SemanaActual),"",MIN(1,SUMIFS(OFFSET($A$1,ROW(),29,1000-ROW(),1),OFFSET($A$1,ROW(),20,1000-ROW(),1),ROW(),OFFSET($A$1,ROW(),21,1000-ROW(),1),"Sub"))))</f>
        <v/>
      </c>
      <c r="J120" s="60">
        <f>IF(N($W120)=0,"",IF(AND($S120=MesCiclo,2&gt;SemanaActual),"",MIN(1,SUMIFS(OFFSET($A$1,ROW(),30,1000-ROW(),1),OFFSET($A$1,ROW(),20,1000-ROW(),1),ROW(),OFFSET($A$1,ROW(),21,1000-ROW(),1),"Sub"))))</f>
        <v/>
      </c>
      <c r="K120" s="60">
        <f>IF(N($W120)=0,"",IF(AND($S120=MesCiclo,3&gt;SemanaActual),"",MIN(1,SUMIFS(OFFSET($A$1,ROW(),31,1000-ROW(),1),OFFSET($A$1,ROW(),20,1000-ROW(),1),ROW(),OFFSET($A$1,ROW(),21,1000-ROW(),1),"Sub"))))</f>
        <v/>
      </c>
      <c r="L120" s="60">
        <f>IF(N($W120)=0,"",IF(AND($S120=MesCiclo,4&gt;SemanaActual),"",MIN(1,SUMIFS(OFFSET($A$1,ROW(),32,1000-ROW(),1),OFFSET($A$1,ROW(),20,1000-ROW(),1),ROW(),OFFSET($A$1,ROW(),21,1000-ROW(),1),"Sub"))))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IF($V120&lt;&gt;"Sub","",N($X120)*IF(AND(ISNUMBER($G120),$G120&lt;=IF($S120=MesCiclo,InicioCiclo,$S120+MOD(2-WEEKDAY($S120),7))+6),1,MIN(1,MAX(0,IF(ISNUMBER(OFFSET($A$1,ROW()-1,8)),OFFSET($A$1,ROW()-1,8),0)))))</f>
        <v/>
      </c>
      <c r="AE120" s="62">
        <f>IF($V120&lt;&gt;"Sub","",N($X120)*IF(AND(ISNUMBER($G120),$G120&lt;=IF($S120=MesCiclo,InicioCiclo,$S120+MOD(2-WEEKDAY($S120),7))+13),1,MIN(1,MAX(0,IF(ISNUMBER(OFFSET($A$1,ROW()-1,9)),OFFSET($A$1,ROW()-1,9),IF(ISNUMBER(OFFSET($A$1,ROW()-1,8)),OFFSET($A$1,ROW()-1,8),0))))))</f>
        <v/>
      </c>
      <c r="AF120" s="62">
        <f>IF($V120&lt;&gt;"Sub","",N($X120)*IF(AND(ISNUMBER($G120),$G120&lt;=IF($S120=MesCiclo,InicioCiclo,$S120+MOD(2-WEEKDAY($S120),7))+20),1,MIN(1,MAX(0,IF(ISNUMBER(OFFSET($A$1,ROW()-1,10)),OFFSET($A$1,ROW()-1,10),IF(ISNUMBER(OFFSET($A$1,ROW()-1,9)),OFFSET($A$1,ROW()-1,9),IF(ISNUMBER(OFFSET($A$1,ROW()-1,8)),OFFSET($A$1,ROW()-1,8),0)))))))</f>
        <v/>
      </c>
      <c r="AG120" s="62">
        <f>IF($V120&lt;&gt;"Sub","",N($X120)*IF(AND(ISNUMBER($G120),$G120&lt;=IF($S120=MesCiclo,InicioCiclo,$S120+MOD(2-WEEKDAY($S120),7))+27),1,MIN(1,MAX(0,IF(ISNUMBER(OFFSET($A$1,ROW()-1,11)),OFFSET($A$1,ROW()-1,11),IF(ISNUMBER(OFFSET($A$1,ROW()-1,10)),OFFSET($A$1,ROW()-1,10),IF(ISNUMBER(OFFSET($A$1,ROW()-1,9)),OFFSET($A$1,ROW()-1,9),IF(ISNUMBER(OFFSET($A$1,ROW()-1,8)),OFFSET($A$1,ROW()-1,8),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",IFERROR(MATCH("Riesgo Operacional|"&amp;MID($C120,12,500),rDname_ADM,0),0),"")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IF(N($W121)=0,"",IF(AND($S121=MesCiclo,1&gt;SemanaActual),"",MIN(1,SUMIFS(OFFSET($A$1,ROW(),29,1000-ROW(),1),OFFSET($A$1,ROW(),20,1000-ROW(),1),ROW(),OFFSET($A$1,ROW(),21,1000-ROW(),1),"Sub"))))</f>
        <v/>
      </c>
      <c r="J121" s="60">
        <f>IF(N($W121)=0,"",IF(AND($S121=MesCiclo,2&gt;SemanaActual),"",MIN(1,SUMIFS(OFFSET($A$1,ROW(),30,1000-ROW(),1),OFFSET($A$1,ROW(),20,1000-ROW(),1),ROW(),OFFSET($A$1,ROW(),21,1000-ROW(),1),"Sub"))))</f>
        <v/>
      </c>
      <c r="K121" s="60">
        <f>IF(N($W121)=0,"",IF(AND($S121=MesCiclo,3&gt;SemanaActual),"",MIN(1,SUMIFS(OFFSET($A$1,ROW(),31,1000-ROW(),1),OFFSET($A$1,ROW(),20,1000-ROW(),1),ROW(),OFFSET($A$1,ROW(),21,1000-ROW(),1),"Sub"))))</f>
        <v/>
      </c>
      <c r="L121" s="60">
        <f>IF(N($W121)=0,"",IF(AND($S121=MesCiclo,4&gt;SemanaActual),"",MIN(1,SUMIFS(OFFSET($A$1,ROW(),32,1000-ROW(),1),OFFSET($A$1,ROW(),20,1000-ROW(),1),ROW(),OFFSET($A$1,ROW(),21,1000-ROW(),1),"Sub"))))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IF($V121&lt;&gt;"Sub","",N($X121)*IF(AND(ISNUMBER($G121),$G121&lt;=IF($S121=MesCiclo,InicioCiclo,$S121+MOD(2-WEEKDAY($S121),7))+6),1,MIN(1,MAX(0,IF(ISNUMBER(OFFSET($A$1,ROW()-1,8)),OFFSET($A$1,ROW()-1,8),0)))))</f>
        <v/>
      </c>
      <c r="AE121" s="62">
        <f>IF($V121&lt;&gt;"Sub","",N($X121)*IF(AND(ISNUMBER($G121),$G121&lt;=IF($S121=MesCiclo,InicioCiclo,$S121+MOD(2-WEEKDAY($S121),7))+13),1,MIN(1,MAX(0,IF(ISNUMBER(OFFSET($A$1,ROW()-1,9)),OFFSET($A$1,ROW()-1,9),IF(ISNUMBER(OFFSET($A$1,ROW()-1,8)),OFFSET($A$1,ROW()-1,8),0))))))</f>
        <v/>
      </c>
      <c r="AF121" s="62">
        <f>IF($V121&lt;&gt;"Sub","",N($X121)*IF(AND(ISNUMBER($G121),$G121&lt;=IF($S121=MesCiclo,InicioCiclo,$S121+MOD(2-WEEKDAY($S121),7))+20),1,MIN(1,MAX(0,IF(ISNUMBER(OFFSET($A$1,ROW()-1,10)),OFFSET($A$1,ROW()-1,10),IF(ISNUMBER(OFFSET($A$1,ROW()-1,9)),OFFSET($A$1,ROW()-1,9),IF(ISNUMBER(OFFSET($A$1,ROW()-1,8)),OFFSET($A$1,ROW()-1,8),0)))))))</f>
        <v/>
      </c>
      <c r="AG121" s="62">
        <f>IF($V121&lt;&gt;"Sub","",N($X121)*IF(AND(ISNUMBER($G121),$G121&lt;=IF($S121=MesCiclo,InicioCiclo,$S121+MOD(2-WEEKDAY($S121),7))+27),1,MIN(1,MAX(0,IF(ISNUMBER(OFFSET($A$1,ROW()-1,11)),OFFSET($A$1,ROW()-1,11),IF(ISNUMBER(OFFSET($A$1,ROW()-1,10)),OFFSET($A$1,ROW()-1,10),IF(ISNUMBER(OFFSET($A$1,ROW()-1,9)),OFFSET($A$1,ROW()-1,9),IF(ISNUMBER(OFFSET($A$1,ROW()-1,8)),OFFSET($A$1,ROW()-1,8),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",IFERROR(MATCH("Riesgo Operacional|"&amp;MID($C121,12,500),rDname_ADM,0),0),"")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IF(N($W122)=0,"",IF(AND($S122=MesCiclo,1&gt;SemanaActual),"",MIN(1,SUMIFS(OFFSET($A$1,ROW(),29,1000-ROW(),1),OFFSET($A$1,ROW(),20,1000-ROW(),1),ROW(),OFFSET($A$1,ROW(),21,1000-ROW(),1),"Sub"))))</f>
        <v/>
      </c>
      <c r="J122" s="60">
        <f>IF(N($W122)=0,"",IF(AND($S122=MesCiclo,2&gt;SemanaActual),"",MIN(1,SUMIFS(OFFSET($A$1,ROW(),30,1000-ROW(),1),OFFSET($A$1,ROW(),20,1000-ROW(),1),ROW(),OFFSET($A$1,ROW(),21,1000-ROW(),1),"Sub"))))</f>
        <v/>
      </c>
      <c r="K122" s="60">
        <f>IF(N($W122)=0,"",IF(AND($S122=MesCiclo,3&gt;SemanaActual),"",MIN(1,SUMIFS(OFFSET($A$1,ROW(),31,1000-ROW(),1),OFFSET($A$1,ROW(),20,1000-ROW(),1),ROW(),OFFSET($A$1,ROW(),21,1000-ROW(),1),"Sub"))))</f>
        <v/>
      </c>
      <c r="L122" s="60">
        <f>IF(N($W122)=0,"",IF(AND($S122=MesCiclo,4&gt;SemanaActual),"",MIN(1,SUMIFS(OFFSET($A$1,ROW(),32,1000-ROW(),1),OFFSET($A$1,ROW(),20,1000-ROW(),1),ROW(),OFFSET($A$1,ROW(),21,1000-ROW(),1),"Sub"))))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IF($V122&lt;&gt;"Sub","",N($X122)*IF(AND(ISNUMBER($G122),$G122&lt;=IF($S122=MesCiclo,InicioCiclo,$S122+MOD(2-WEEKDAY($S122),7))+6),1,MIN(1,MAX(0,IF(ISNUMBER(OFFSET($A$1,ROW()-1,8)),OFFSET($A$1,ROW()-1,8),0)))))</f>
        <v/>
      </c>
      <c r="AE122" s="62">
        <f>IF($V122&lt;&gt;"Sub","",N($X122)*IF(AND(ISNUMBER($G122),$G122&lt;=IF($S122=MesCiclo,InicioCiclo,$S122+MOD(2-WEEKDAY($S122),7))+13),1,MIN(1,MAX(0,IF(ISNUMBER(OFFSET($A$1,ROW()-1,9)),OFFSET($A$1,ROW()-1,9),IF(ISNUMBER(OFFSET($A$1,ROW()-1,8)),OFFSET($A$1,ROW()-1,8),0))))))</f>
        <v/>
      </c>
      <c r="AF122" s="62">
        <f>IF($V122&lt;&gt;"Sub","",N($X122)*IF(AND(ISNUMBER($G122),$G122&lt;=IF($S122=MesCiclo,InicioCiclo,$S122+MOD(2-WEEKDAY($S122),7))+20),1,MIN(1,MAX(0,IF(ISNUMBER(OFFSET($A$1,ROW()-1,10)),OFFSET($A$1,ROW()-1,10),IF(ISNUMBER(OFFSET($A$1,ROW()-1,9)),OFFSET($A$1,ROW()-1,9),IF(ISNUMBER(OFFSET($A$1,ROW()-1,8)),OFFSET($A$1,ROW()-1,8),0)))))))</f>
        <v/>
      </c>
      <c r="AG122" s="62">
        <f>IF($V122&lt;&gt;"Sub","",N($X122)*IF(AND(ISNUMBER($G122),$G122&lt;=IF($S122=MesCiclo,InicioCiclo,$S122+MOD(2-WEEKDAY($S122),7))+27),1,MIN(1,MAX(0,IF(ISNUMBER(OFFSET($A$1,ROW()-1,11)),OFFSET($A$1,ROW()-1,11),IF(ISNUMBER(OFFSET($A$1,ROW()-1,10)),OFFSET($A$1,ROW()-1,10),IF(ISNUMBER(OFFSET($A$1,ROW()-1,9)),OFFSET($A$1,ROW()-1,9),IF(ISNUMBER(OFFSET($A$1,ROW()-1,8)),OFFSET($A$1,ROW()-1,8),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",IFERROR(MATCH("Riesgo Operacional|"&amp;MID($C122,12,500),rDname_ADM,0),0),"")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IF(N($W123)=0,"",IF(AND($S123=MesCiclo,1&gt;SemanaActual),"",MIN(1,SUMIFS(OFFSET($A$1,ROW(),29,1000-ROW(),1),OFFSET($A$1,ROW(),20,1000-ROW(),1),ROW(),OFFSET($A$1,ROW(),21,1000-ROW(),1),"Sub"))))</f>
        <v/>
      </c>
      <c r="J123" s="60">
        <f>IF(N($W123)=0,"",IF(AND($S123=MesCiclo,2&gt;SemanaActual),"",MIN(1,SUMIFS(OFFSET($A$1,ROW(),30,1000-ROW(),1),OFFSET($A$1,ROW(),20,1000-ROW(),1),ROW(),OFFSET($A$1,ROW(),21,1000-ROW(),1),"Sub"))))</f>
        <v/>
      </c>
      <c r="K123" s="60">
        <f>IF(N($W123)=0,"",IF(AND($S123=MesCiclo,3&gt;SemanaActual),"",MIN(1,SUMIFS(OFFSET($A$1,ROW(),31,1000-ROW(),1),OFFSET($A$1,ROW(),20,1000-ROW(),1),ROW(),OFFSET($A$1,ROW(),21,1000-ROW(),1),"Sub"))))</f>
        <v/>
      </c>
      <c r="L123" s="60">
        <f>IF(N($W123)=0,"",IF(AND($S123=MesCiclo,4&gt;SemanaActual),"",MIN(1,SUMIFS(OFFSET($A$1,ROW(),32,1000-ROW(),1),OFFSET($A$1,ROW(),20,1000-ROW(),1),ROW(),OFFSET($A$1,ROW(),21,1000-ROW(),1),"Sub"))))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IF($V123&lt;&gt;"Sub","",N($X123)*IF(AND(ISNUMBER($G123),$G123&lt;=IF($S123=MesCiclo,InicioCiclo,$S123+MOD(2-WEEKDAY($S123),7))+6),1,MIN(1,MAX(0,IF(ISNUMBER(OFFSET($A$1,ROW()-1,8)),OFFSET($A$1,ROW()-1,8),0)))))</f>
        <v/>
      </c>
      <c r="AE123" s="62">
        <f>IF($V123&lt;&gt;"Sub","",N($X123)*IF(AND(ISNUMBER($G123),$G123&lt;=IF($S123=MesCiclo,InicioCiclo,$S123+MOD(2-WEEKDAY($S123),7))+13),1,MIN(1,MAX(0,IF(ISNUMBER(OFFSET($A$1,ROW()-1,9)),OFFSET($A$1,ROW()-1,9),IF(ISNUMBER(OFFSET($A$1,ROW()-1,8)),OFFSET($A$1,ROW()-1,8),0))))))</f>
        <v/>
      </c>
      <c r="AF123" s="62">
        <f>IF($V123&lt;&gt;"Sub","",N($X123)*IF(AND(ISNUMBER($G123),$G123&lt;=IF($S123=MesCiclo,InicioCiclo,$S123+MOD(2-WEEKDAY($S123),7))+20),1,MIN(1,MAX(0,IF(ISNUMBER(OFFSET($A$1,ROW()-1,10)),OFFSET($A$1,ROW()-1,10),IF(ISNUMBER(OFFSET($A$1,ROW()-1,9)),OFFSET($A$1,ROW()-1,9),IF(ISNUMBER(OFFSET($A$1,ROW()-1,8)),OFFSET($A$1,ROW()-1,8),0)))))))</f>
        <v/>
      </c>
      <c r="AG123" s="62">
        <f>IF($V123&lt;&gt;"Sub","",N($X123)*IF(AND(ISNUMBER($G123),$G123&lt;=IF($S123=MesCiclo,InicioCiclo,$S123+MOD(2-WEEKDAY($S123),7))+27),1,MIN(1,MAX(0,IF(ISNUMBER(OFFSET($A$1,ROW()-1,11)),OFFSET($A$1,ROW()-1,11),IF(ISNUMBER(OFFSET($A$1,ROW()-1,10)),OFFSET($A$1,ROW()-1,10),IF(ISNUMBER(OFFSET($A$1,ROW()-1,9)),OFFSET($A$1,ROW()-1,9),IF(ISNUMBER(OFFSET($A$1,ROW()-1,8)),OFFSET($A$1,ROW()-1,8),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",IFERROR(MATCH("Riesgo Operacional|"&amp;MID($C123,12,500),rDname_ADM,0),0),"")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IF(N($W124)=0,"",IF(AND($S124=MesCiclo,1&gt;SemanaActual),"",MIN(1,SUMIFS(OFFSET($A$1,ROW(),29,1000-ROW(),1),OFFSET($A$1,ROW(),20,1000-ROW(),1),ROW(),OFFSET($A$1,ROW(),21,1000-ROW(),1),"Sub"))))</f>
        <v/>
      </c>
      <c r="J124" s="60">
        <f>IF(N($W124)=0,"",IF(AND($S124=MesCiclo,2&gt;SemanaActual),"",MIN(1,SUMIFS(OFFSET($A$1,ROW(),30,1000-ROW(),1),OFFSET($A$1,ROW(),20,1000-ROW(),1),ROW(),OFFSET($A$1,ROW(),21,1000-ROW(),1),"Sub"))))</f>
        <v/>
      </c>
      <c r="K124" s="60">
        <f>IF(N($W124)=0,"",IF(AND($S124=MesCiclo,3&gt;SemanaActual),"",MIN(1,SUMIFS(OFFSET($A$1,ROW(),31,1000-ROW(),1),OFFSET($A$1,ROW(),20,1000-ROW(),1),ROW(),OFFSET($A$1,ROW(),21,1000-ROW(),1),"Sub"))))</f>
        <v/>
      </c>
      <c r="L124" s="60">
        <f>IF(N($W124)=0,"",IF(AND($S124=MesCiclo,4&gt;SemanaActual),"",MIN(1,SUMIFS(OFFSET($A$1,ROW(),32,1000-ROW(),1),OFFSET($A$1,ROW(),20,1000-ROW(),1),ROW(),OFFSET($A$1,ROW(),21,1000-ROW(),1),"Sub"))))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IF($V124&lt;&gt;"Sub","",N($X124)*IF(AND(ISNUMBER($G124),$G124&lt;=IF($S124=MesCiclo,InicioCiclo,$S124+MOD(2-WEEKDAY($S124),7))+6),1,MIN(1,MAX(0,IF(ISNUMBER(OFFSET($A$1,ROW()-1,8)),OFFSET($A$1,ROW()-1,8),0)))))</f>
        <v/>
      </c>
      <c r="AE124" s="62">
        <f>IF($V124&lt;&gt;"Sub","",N($X124)*IF(AND(ISNUMBER($G124),$G124&lt;=IF($S124=MesCiclo,InicioCiclo,$S124+MOD(2-WEEKDAY($S124),7))+13),1,MIN(1,MAX(0,IF(ISNUMBER(OFFSET($A$1,ROW()-1,9)),OFFSET($A$1,ROW()-1,9),IF(ISNUMBER(OFFSET($A$1,ROW()-1,8)),OFFSET($A$1,ROW()-1,8),0))))))</f>
        <v/>
      </c>
      <c r="AF124" s="62">
        <f>IF($V124&lt;&gt;"Sub","",N($X124)*IF(AND(ISNUMBER($G124),$G124&lt;=IF($S124=MesCiclo,InicioCiclo,$S124+MOD(2-WEEKDAY($S124),7))+20),1,MIN(1,MAX(0,IF(ISNUMBER(OFFSET($A$1,ROW()-1,10)),OFFSET($A$1,ROW()-1,10),IF(ISNUMBER(OFFSET($A$1,ROW()-1,9)),OFFSET($A$1,ROW()-1,9),IF(ISNUMBER(OFFSET($A$1,ROW()-1,8)),OFFSET($A$1,ROW()-1,8),0)))))))</f>
        <v/>
      </c>
      <c r="AG124" s="62">
        <f>IF($V124&lt;&gt;"Sub","",N($X124)*IF(AND(ISNUMBER($G124),$G124&lt;=IF($S124=MesCiclo,InicioCiclo,$S124+MOD(2-WEEKDAY($S124),7))+27),1,MIN(1,MAX(0,IF(ISNUMBER(OFFSET($A$1,ROW()-1,11)),OFFSET($A$1,ROW()-1,11),IF(ISNUMBER(OFFSET($A$1,ROW()-1,10)),OFFSET($A$1,ROW()-1,10),IF(ISNUMBER(OFFSET($A$1,ROW()-1,9)),OFFSET($A$1,ROW()-1,9),IF(ISNUMBER(OFFSET($A$1,ROW()-1,8)),OFFSET($A$1,ROW()-1,8),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",IFERROR(MATCH("Riesgo Operacional|"&amp;MID($C124,12,500),rDname_ADM,0),0),"")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IF(N($W125)=0,"",IF(AND($S125=MesCiclo,1&gt;SemanaActual),"",MIN(1,SUMIFS(OFFSET($A$1,ROW(),29,1000-ROW(),1),OFFSET($A$1,ROW(),20,1000-ROW(),1),ROW(),OFFSET($A$1,ROW(),21,1000-ROW(),1),"Sub"))))</f>
        <v/>
      </c>
      <c r="J125" s="60">
        <f>IF(N($W125)=0,"",IF(AND($S125=MesCiclo,2&gt;SemanaActual),"",MIN(1,SUMIFS(OFFSET($A$1,ROW(),30,1000-ROW(),1),OFFSET($A$1,ROW(),20,1000-ROW(),1),ROW(),OFFSET($A$1,ROW(),21,1000-ROW(),1),"Sub"))))</f>
        <v/>
      </c>
      <c r="K125" s="60">
        <f>IF(N($W125)=0,"",IF(AND($S125=MesCiclo,3&gt;SemanaActual),"",MIN(1,SUMIFS(OFFSET($A$1,ROW(),31,1000-ROW(),1),OFFSET($A$1,ROW(),20,1000-ROW(),1),ROW(),OFFSET($A$1,ROW(),21,1000-ROW(),1),"Sub"))))</f>
        <v/>
      </c>
      <c r="L125" s="60">
        <f>IF(N($W125)=0,"",IF(AND($S125=MesCiclo,4&gt;SemanaActual),"",MIN(1,SUMIFS(OFFSET($A$1,ROW(),32,1000-ROW(),1),OFFSET($A$1,ROW(),20,1000-ROW(),1),ROW(),OFFSET($A$1,ROW(),21,1000-ROW(),1),"Sub"))))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IF($V125&lt;&gt;"Sub","",N($X125)*IF(AND(ISNUMBER($G125),$G125&lt;=IF($S125=MesCiclo,InicioCiclo,$S125+MOD(2-WEEKDAY($S125),7))+6),1,MIN(1,MAX(0,IF(ISNUMBER(OFFSET($A$1,ROW()-1,8)),OFFSET($A$1,ROW()-1,8),0)))))</f>
        <v/>
      </c>
      <c r="AE125" s="62">
        <f>IF($V125&lt;&gt;"Sub","",N($X125)*IF(AND(ISNUMBER($G125),$G125&lt;=IF($S125=MesCiclo,InicioCiclo,$S125+MOD(2-WEEKDAY($S125),7))+13),1,MIN(1,MAX(0,IF(ISNUMBER(OFFSET($A$1,ROW()-1,9)),OFFSET($A$1,ROW()-1,9),IF(ISNUMBER(OFFSET($A$1,ROW()-1,8)),OFFSET($A$1,ROW()-1,8),0))))))</f>
        <v/>
      </c>
      <c r="AF125" s="62">
        <f>IF($V125&lt;&gt;"Sub","",N($X125)*IF(AND(ISNUMBER($G125),$G125&lt;=IF($S125=MesCiclo,InicioCiclo,$S125+MOD(2-WEEKDAY($S125),7))+20),1,MIN(1,MAX(0,IF(ISNUMBER(OFFSET($A$1,ROW()-1,10)),OFFSET($A$1,ROW()-1,10),IF(ISNUMBER(OFFSET($A$1,ROW()-1,9)),OFFSET($A$1,ROW()-1,9),IF(ISNUMBER(OFFSET($A$1,ROW()-1,8)),OFFSET($A$1,ROW()-1,8),0)))))))</f>
        <v/>
      </c>
      <c r="AG125" s="62">
        <f>IF($V125&lt;&gt;"Sub","",N($X125)*IF(AND(ISNUMBER($G125),$G125&lt;=IF($S125=MesCiclo,InicioCiclo,$S125+MOD(2-WEEKDAY($S125),7))+27),1,MIN(1,MAX(0,IF(ISNUMBER(OFFSET($A$1,ROW()-1,11)),OFFSET($A$1,ROW()-1,11),IF(ISNUMBER(OFFSET($A$1,ROW()-1,10)),OFFSET($A$1,ROW()-1,10),IF(ISNUMBER(OFFSET($A$1,ROW()-1,9)),OFFSET($A$1,ROW()-1,9),IF(ISNUMBER(OFFSET($A$1,ROW()-1,8)),OFFSET($A$1,ROW()-1,8),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",IFERROR(MATCH("Riesgo Operacional|"&amp;MID($C125,12,500),rDname_ADM,0),0),"")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IF(N($W126)=0,"",IF(AND($S126=MesCiclo,1&gt;SemanaActual),"",MIN(1,SUMIFS(OFFSET($A$1,ROW(),29,1000-ROW(),1),OFFSET($A$1,ROW(),20,1000-ROW(),1),ROW(),OFFSET($A$1,ROW(),21,1000-ROW(),1),"Sub"))))</f>
        <v/>
      </c>
      <c r="J126" s="60">
        <f>IF(N($W126)=0,"",IF(AND($S126=MesCiclo,2&gt;SemanaActual),"",MIN(1,SUMIFS(OFFSET($A$1,ROW(),30,1000-ROW(),1),OFFSET($A$1,ROW(),20,1000-ROW(),1),ROW(),OFFSET($A$1,ROW(),21,1000-ROW(),1),"Sub"))))</f>
        <v/>
      </c>
      <c r="K126" s="60">
        <f>IF(N($W126)=0,"",IF(AND($S126=MesCiclo,3&gt;SemanaActual),"",MIN(1,SUMIFS(OFFSET($A$1,ROW(),31,1000-ROW(),1),OFFSET($A$1,ROW(),20,1000-ROW(),1),ROW(),OFFSET($A$1,ROW(),21,1000-ROW(),1),"Sub"))))</f>
        <v/>
      </c>
      <c r="L126" s="60">
        <f>IF(N($W126)=0,"",IF(AND($S126=MesCiclo,4&gt;SemanaActual),"",MIN(1,SUMIFS(OFFSET($A$1,ROW(),32,1000-ROW(),1),OFFSET($A$1,ROW(),20,1000-ROW(),1),ROW(),OFFSET($A$1,ROW(),21,1000-ROW(),1),"Sub"))))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IF($V126&lt;&gt;"Sub","",N($X126)*IF(AND(ISNUMBER($G126),$G126&lt;=IF($S126=MesCiclo,InicioCiclo,$S126+MOD(2-WEEKDAY($S126),7))+6),1,MIN(1,MAX(0,IF(ISNUMBER(OFFSET($A$1,ROW()-1,8)),OFFSET($A$1,ROW()-1,8),0)))))</f>
        <v/>
      </c>
      <c r="AE126" s="62">
        <f>IF($V126&lt;&gt;"Sub","",N($X126)*IF(AND(ISNUMBER($G126),$G126&lt;=IF($S126=MesCiclo,InicioCiclo,$S126+MOD(2-WEEKDAY($S126),7))+13),1,MIN(1,MAX(0,IF(ISNUMBER(OFFSET($A$1,ROW()-1,9)),OFFSET($A$1,ROW()-1,9),IF(ISNUMBER(OFFSET($A$1,ROW()-1,8)),OFFSET($A$1,ROW()-1,8),0))))))</f>
        <v/>
      </c>
      <c r="AF126" s="62">
        <f>IF($V126&lt;&gt;"Sub","",N($X126)*IF(AND(ISNUMBER($G126),$G126&lt;=IF($S126=MesCiclo,InicioCiclo,$S126+MOD(2-WEEKDAY($S126),7))+20),1,MIN(1,MAX(0,IF(ISNUMBER(OFFSET($A$1,ROW()-1,10)),OFFSET($A$1,ROW()-1,10),IF(ISNUMBER(OFFSET($A$1,ROW()-1,9)),OFFSET($A$1,ROW()-1,9),IF(ISNUMBER(OFFSET($A$1,ROW()-1,8)),OFFSET($A$1,ROW()-1,8),0)))))))</f>
        <v/>
      </c>
      <c r="AG126" s="62">
        <f>IF($V126&lt;&gt;"Sub","",N($X126)*IF(AND(ISNUMBER($G126),$G126&lt;=IF($S126=MesCiclo,InicioCiclo,$S126+MOD(2-WEEKDAY($S126),7))+27),1,MIN(1,MAX(0,IF(ISNUMBER(OFFSET($A$1,ROW()-1,11)),OFFSET($A$1,ROW()-1,11),IF(ISNUMBER(OFFSET($A$1,ROW()-1,10)),OFFSET($A$1,ROW()-1,10),IF(ISNUMBER(OFFSET($A$1,ROW()-1,9)),OFFSET($A$1,ROW()-1,9),IF(ISNUMBER(OFFSET($A$1,ROW()-1,8)),OFFSET($A$1,ROW()-1,8),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",IFERROR(MATCH("Riesgo Operacional|"&amp;MID($C126,12,500),rDname_ADM,0),0),"")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IF(N($W127)=0,"",IF(AND($S127=MesCiclo,1&gt;SemanaActual),"",MIN(1,SUMIFS(OFFSET($A$1,ROW(),29,1000-ROW(),1),OFFSET($A$1,ROW(),20,1000-ROW(),1),ROW(),OFFSET($A$1,ROW(),21,1000-ROW(),1),"Sub"))))</f>
        <v/>
      </c>
      <c r="J127" s="60">
        <f>IF(N($W127)=0,"",IF(AND($S127=MesCiclo,2&gt;SemanaActual),"",MIN(1,SUMIFS(OFFSET($A$1,ROW(),30,1000-ROW(),1),OFFSET($A$1,ROW(),20,1000-ROW(),1),ROW(),OFFSET($A$1,ROW(),21,1000-ROW(),1),"Sub"))))</f>
        <v/>
      </c>
      <c r="K127" s="60">
        <f>IF(N($W127)=0,"",IF(AND($S127=MesCiclo,3&gt;SemanaActual),"",MIN(1,SUMIFS(OFFSET($A$1,ROW(),31,1000-ROW(),1),OFFSET($A$1,ROW(),20,1000-ROW(),1),ROW(),OFFSET($A$1,ROW(),21,1000-ROW(),1),"Sub"))))</f>
        <v/>
      </c>
      <c r="L127" s="60">
        <f>IF(N($W127)=0,"",IF(AND($S127=MesCiclo,4&gt;SemanaActual),"",MIN(1,SUMIFS(OFFSET($A$1,ROW(),32,1000-ROW(),1),OFFSET($A$1,ROW(),20,1000-ROW(),1),ROW(),OFFSET($A$1,ROW(),21,1000-ROW(),1),"Sub"))))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IF($V127&lt;&gt;"Sub","",N($X127)*IF(AND(ISNUMBER($G127),$G127&lt;=IF($S127=MesCiclo,InicioCiclo,$S127+MOD(2-WEEKDAY($S127),7))+6),1,MIN(1,MAX(0,IF(ISNUMBER(OFFSET($A$1,ROW()-1,8)),OFFSET($A$1,ROW()-1,8),0)))))</f>
        <v/>
      </c>
      <c r="AE127" s="62">
        <f>IF($V127&lt;&gt;"Sub","",N($X127)*IF(AND(ISNUMBER($G127),$G127&lt;=IF($S127=MesCiclo,InicioCiclo,$S127+MOD(2-WEEKDAY($S127),7))+13),1,MIN(1,MAX(0,IF(ISNUMBER(OFFSET($A$1,ROW()-1,9)),OFFSET($A$1,ROW()-1,9),IF(ISNUMBER(OFFSET($A$1,ROW()-1,8)),OFFSET($A$1,ROW()-1,8),0))))))</f>
        <v/>
      </c>
      <c r="AF127" s="62">
        <f>IF($V127&lt;&gt;"Sub","",N($X127)*IF(AND(ISNUMBER($G127),$G127&lt;=IF($S127=MesCiclo,InicioCiclo,$S127+MOD(2-WEEKDAY($S127),7))+20),1,MIN(1,MAX(0,IF(ISNUMBER(OFFSET($A$1,ROW()-1,10)),OFFSET($A$1,ROW()-1,10),IF(ISNUMBER(OFFSET($A$1,ROW()-1,9)),OFFSET($A$1,ROW()-1,9),IF(ISNUMBER(OFFSET($A$1,ROW()-1,8)),OFFSET($A$1,ROW()-1,8),0)))))))</f>
        <v/>
      </c>
      <c r="AG127" s="62">
        <f>IF($V127&lt;&gt;"Sub","",N($X127)*IF(AND(ISNUMBER($G127),$G127&lt;=IF($S127=MesCiclo,InicioCiclo,$S127+MOD(2-WEEKDAY($S127),7))+27),1,MIN(1,MAX(0,IF(ISNUMBER(OFFSET($A$1,ROW()-1,11)),OFFSET($A$1,ROW()-1,11),IF(ISNUMBER(OFFSET($A$1,ROW()-1,10)),OFFSET($A$1,ROW()-1,10),IF(ISNUMBER(OFFSET($A$1,ROW()-1,9)),OFFSET($A$1,ROW()-1,9),IF(ISNUMBER(OFFSET($A$1,ROW()-1,8)),OFFSET($A$1,ROW()-1,8),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",IFERROR(MATCH("Riesgo Operacional|"&amp;MID($C127,12,500),rDname_ADM,0),0),"")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IF(N($W128)=0,"",IF(AND($S128=MesCiclo,1&gt;SemanaActual),"",MIN(1,SUMIFS(OFFSET($A$1,ROW(),29,1000-ROW(),1),OFFSET($A$1,ROW(),20,1000-ROW(),1),ROW(),OFFSET($A$1,ROW(),21,1000-ROW(),1),"Sub"))))</f>
        <v/>
      </c>
      <c r="J128" s="60">
        <f>IF(N($W128)=0,"",IF(AND($S128=MesCiclo,2&gt;SemanaActual),"",MIN(1,SUMIFS(OFFSET($A$1,ROW(),30,1000-ROW(),1),OFFSET($A$1,ROW(),20,1000-ROW(),1),ROW(),OFFSET($A$1,ROW(),21,1000-ROW(),1),"Sub"))))</f>
        <v/>
      </c>
      <c r="K128" s="60">
        <f>IF(N($W128)=0,"",IF(AND($S128=MesCiclo,3&gt;SemanaActual),"",MIN(1,SUMIFS(OFFSET($A$1,ROW(),31,1000-ROW(),1),OFFSET($A$1,ROW(),20,1000-ROW(),1),ROW(),OFFSET($A$1,ROW(),21,1000-ROW(),1),"Sub"))))</f>
        <v/>
      </c>
      <c r="L128" s="60">
        <f>IF(N($W128)=0,"",IF(AND($S128=MesCiclo,4&gt;SemanaActual),"",MIN(1,SUMIFS(OFFSET($A$1,ROW(),32,1000-ROW(),1),OFFSET($A$1,ROW(),20,1000-ROW(),1),ROW(),OFFSET($A$1,ROW(),21,1000-ROW(),1),"Sub"))))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IF($V128&lt;&gt;"Sub","",N($X128)*IF(AND(ISNUMBER($G128),$G128&lt;=IF($S128=MesCiclo,InicioCiclo,$S128+MOD(2-WEEKDAY($S128),7))+6),1,MIN(1,MAX(0,IF(ISNUMBER(OFFSET($A$1,ROW()-1,8)),OFFSET($A$1,ROW()-1,8),0)))))</f>
        <v/>
      </c>
      <c r="AE128" s="62">
        <f>IF($V128&lt;&gt;"Sub","",N($X128)*IF(AND(ISNUMBER($G128),$G128&lt;=IF($S128=MesCiclo,InicioCiclo,$S128+MOD(2-WEEKDAY($S128),7))+13),1,MIN(1,MAX(0,IF(ISNUMBER(OFFSET($A$1,ROW()-1,9)),OFFSET($A$1,ROW()-1,9),IF(ISNUMBER(OFFSET($A$1,ROW()-1,8)),OFFSET($A$1,ROW()-1,8),0))))))</f>
        <v/>
      </c>
      <c r="AF128" s="62">
        <f>IF($V128&lt;&gt;"Sub","",N($X128)*IF(AND(ISNUMBER($G128),$G128&lt;=IF($S128=MesCiclo,InicioCiclo,$S128+MOD(2-WEEKDAY($S128),7))+20),1,MIN(1,MAX(0,IF(ISNUMBER(OFFSET($A$1,ROW()-1,10)),OFFSET($A$1,ROW()-1,10),IF(ISNUMBER(OFFSET($A$1,ROW()-1,9)),OFFSET($A$1,ROW()-1,9),IF(ISNUMBER(OFFSET($A$1,ROW()-1,8)),OFFSET($A$1,ROW()-1,8),0)))))))</f>
        <v/>
      </c>
      <c r="AG128" s="62">
        <f>IF($V128&lt;&gt;"Sub","",N($X128)*IF(AND(ISNUMBER($G128),$G128&lt;=IF($S128=MesCiclo,InicioCiclo,$S128+MOD(2-WEEKDAY($S128),7))+27),1,MIN(1,MAX(0,IF(ISNUMBER(OFFSET($A$1,ROW()-1,11)),OFFSET($A$1,ROW()-1,11),IF(ISNUMBER(OFFSET($A$1,ROW()-1,10)),OFFSET($A$1,ROW()-1,10),IF(ISNUMBER(OFFSET($A$1,ROW()-1,9)),OFFSET($A$1,ROW()-1,9),IF(ISNUMBER(OFFSET($A$1,ROW()-1,8)),OFFSET($A$1,ROW()-1,8),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",IFERROR(MATCH("Riesgo Operacional|"&amp;MID($C128,12,500),rDname_ADM,0),0),"")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IF(N($W129)=0,"",IF(AND($S129=MesCiclo,1&gt;SemanaActual),"",MIN(1,SUMIFS(OFFSET($A$1,ROW(),29,1000-ROW(),1),OFFSET($A$1,ROW(),20,1000-ROW(),1),ROW(),OFFSET($A$1,ROW(),21,1000-ROW(),1),"Sub"))))</f>
        <v/>
      </c>
      <c r="J129" s="60">
        <f>IF(N($W129)=0,"",IF(AND($S129=MesCiclo,2&gt;SemanaActual),"",MIN(1,SUMIFS(OFFSET($A$1,ROW(),30,1000-ROW(),1),OFFSET($A$1,ROW(),20,1000-ROW(),1),ROW(),OFFSET($A$1,ROW(),21,1000-ROW(),1),"Sub"))))</f>
        <v/>
      </c>
      <c r="K129" s="60">
        <f>IF(N($W129)=0,"",IF(AND($S129=MesCiclo,3&gt;SemanaActual),"",MIN(1,SUMIFS(OFFSET($A$1,ROW(),31,1000-ROW(),1),OFFSET($A$1,ROW(),20,1000-ROW(),1),ROW(),OFFSET($A$1,ROW(),21,1000-ROW(),1),"Sub"))))</f>
        <v/>
      </c>
      <c r="L129" s="60">
        <f>IF(N($W129)=0,"",IF(AND($S129=MesCiclo,4&gt;SemanaActual),"",MIN(1,SUMIFS(OFFSET($A$1,ROW(),32,1000-ROW(),1),OFFSET($A$1,ROW(),20,1000-ROW(),1),ROW(),OFFSET($A$1,ROW(),21,1000-ROW(),1),"Sub"))))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IF($V129&lt;&gt;"Sub","",N($X129)*IF(AND(ISNUMBER($G129),$G129&lt;=IF($S129=MesCiclo,InicioCiclo,$S129+MOD(2-WEEKDAY($S129),7))+6),1,MIN(1,MAX(0,IF(ISNUMBER(OFFSET($A$1,ROW()-1,8)),OFFSET($A$1,ROW()-1,8),0)))))</f>
        <v/>
      </c>
      <c r="AE129" s="62">
        <f>IF($V129&lt;&gt;"Sub","",N($X129)*IF(AND(ISNUMBER($G129),$G129&lt;=IF($S129=MesCiclo,InicioCiclo,$S129+MOD(2-WEEKDAY($S129),7))+13),1,MIN(1,MAX(0,IF(ISNUMBER(OFFSET($A$1,ROW()-1,9)),OFFSET($A$1,ROW()-1,9),IF(ISNUMBER(OFFSET($A$1,ROW()-1,8)),OFFSET($A$1,ROW()-1,8),0))))))</f>
        <v/>
      </c>
      <c r="AF129" s="62">
        <f>IF($V129&lt;&gt;"Sub","",N($X129)*IF(AND(ISNUMBER($G129),$G129&lt;=IF($S129=MesCiclo,InicioCiclo,$S129+MOD(2-WEEKDAY($S129),7))+20),1,MIN(1,MAX(0,IF(ISNUMBER(OFFSET($A$1,ROW()-1,10)),OFFSET($A$1,ROW()-1,10),IF(ISNUMBER(OFFSET($A$1,ROW()-1,9)),OFFSET($A$1,ROW()-1,9),IF(ISNUMBER(OFFSET($A$1,ROW()-1,8)),OFFSET($A$1,ROW()-1,8),0)))))))</f>
        <v/>
      </c>
      <c r="AG129" s="62">
        <f>IF($V129&lt;&gt;"Sub","",N($X129)*IF(AND(ISNUMBER($G129),$G129&lt;=IF($S129=MesCiclo,InicioCiclo,$S129+MOD(2-WEEKDAY($S129),7))+27),1,MIN(1,MAX(0,IF(ISNUMBER(OFFSET($A$1,ROW()-1,11)),OFFSET($A$1,ROW()-1,11),IF(ISNUMBER(OFFSET($A$1,ROW()-1,10)),OFFSET($A$1,ROW()-1,10),IF(ISNUMBER(OFFSET($A$1,ROW()-1,9)),OFFSET($A$1,ROW()-1,9),IF(ISNUMBER(OFFSET($A$1,ROW()-1,8)),OFFSET($A$1,ROW()-1,8),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",IFERROR(MATCH("Riesgo Operacional|"&amp;MID($C129,12,500),rDname_ADM,0),0),"")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IF(N($W130)=0,"",IF(AND($S130=MesCiclo,1&gt;SemanaActual),"",MIN(1,SUMIFS(OFFSET($A$1,ROW(),29,1000-ROW(),1),OFFSET($A$1,ROW(),20,1000-ROW(),1),ROW(),OFFSET($A$1,ROW(),21,1000-ROW(),1),"Sub"))))</f>
        <v/>
      </c>
      <c r="J130" s="60">
        <f>IF(N($W130)=0,"",IF(AND($S130=MesCiclo,2&gt;SemanaActual),"",MIN(1,SUMIFS(OFFSET($A$1,ROW(),30,1000-ROW(),1),OFFSET($A$1,ROW(),20,1000-ROW(),1),ROW(),OFFSET($A$1,ROW(),21,1000-ROW(),1),"Sub"))))</f>
        <v/>
      </c>
      <c r="K130" s="60">
        <f>IF(N($W130)=0,"",IF(AND($S130=MesCiclo,3&gt;SemanaActual),"",MIN(1,SUMIFS(OFFSET($A$1,ROW(),31,1000-ROW(),1),OFFSET($A$1,ROW(),20,1000-ROW(),1),ROW(),OFFSET($A$1,ROW(),21,1000-ROW(),1),"Sub"))))</f>
        <v/>
      </c>
      <c r="L130" s="60">
        <f>IF(N($W130)=0,"",IF(AND($S130=MesCiclo,4&gt;SemanaActual),"",MIN(1,SUMIFS(OFFSET($A$1,ROW(),32,1000-ROW(),1),OFFSET($A$1,ROW(),20,1000-ROW(),1),ROW(),OFFSET($A$1,ROW(),21,1000-ROW(),1),"Sub"))))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IF($V130&lt;&gt;"Sub","",N($X130)*IF(AND(ISNUMBER($G130),$G130&lt;=IF($S130=MesCiclo,InicioCiclo,$S130+MOD(2-WEEKDAY($S130),7))+6),1,MIN(1,MAX(0,IF(ISNUMBER(OFFSET($A$1,ROW()-1,8)),OFFSET($A$1,ROW()-1,8),0)))))</f>
        <v/>
      </c>
      <c r="AE130" s="62">
        <f>IF($V130&lt;&gt;"Sub","",N($X130)*IF(AND(ISNUMBER($G130),$G130&lt;=IF($S130=MesCiclo,InicioCiclo,$S130+MOD(2-WEEKDAY($S130),7))+13),1,MIN(1,MAX(0,IF(ISNUMBER(OFFSET($A$1,ROW()-1,9)),OFFSET($A$1,ROW()-1,9),IF(ISNUMBER(OFFSET($A$1,ROW()-1,8)),OFFSET($A$1,ROW()-1,8),0))))))</f>
        <v/>
      </c>
      <c r="AF130" s="62">
        <f>IF($V130&lt;&gt;"Sub","",N($X130)*IF(AND(ISNUMBER($G130),$G130&lt;=IF($S130=MesCiclo,InicioCiclo,$S130+MOD(2-WEEKDAY($S130),7))+20),1,MIN(1,MAX(0,IF(ISNUMBER(OFFSET($A$1,ROW()-1,10)),OFFSET($A$1,ROW()-1,10),IF(ISNUMBER(OFFSET($A$1,ROW()-1,9)),OFFSET($A$1,ROW()-1,9),IF(ISNUMBER(OFFSET($A$1,ROW()-1,8)),OFFSET($A$1,ROW()-1,8),0)))))))</f>
        <v/>
      </c>
      <c r="AG130" s="62">
        <f>IF($V130&lt;&gt;"Sub","",N($X130)*IF(AND(ISNUMBER($G130),$G130&lt;=IF($S130=MesCiclo,InicioCiclo,$S130+MOD(2-WEEKDAY($S130),7))+27),1,MIN(1,MAX(0,IF(ISNUMBER(OFFSET($A$1,ROW()-1,11)),OFFSET($A$1,ROW()-1,11),IF(ISNUMBER(OFFSET($A$1,ROW()-1,10)),OFFSET($A$1,ROW()-1,10),IF(ISNUMBER(OFFSET($A$1,ROW()-1,9)),OFFSET($A$1,ROW()-1,9),IF(ISNUMBER(OFFSET($A$1,ROW()-1,8)),OFFSET($A$1,ROW()-1,8),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",IFERROR(MATCH("Riesgo Operacional|"&amp;MID($C130,12,500),rDname_ADM,0),0),"")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IF(N($W131)=0,"",IF(AND($S131=MesCiclo,1&gt;SemanaActual),"",MIN(1,SUMIFS(OFFSET($A$1,ROW(),29,1000-ROW(),1),OFFSET($A$1,ROW(),20,1000-ROW(),1),ROW(),OFFSET($A$1,ROW(),21,1000-ROW(),1),"Sub"))))</f>
        <v/>
      </c>
      <c r="J131" s="60">
        <f>IF(N($W131)=0,"",IF(AND($S131=MesCiclo,2&gt;SemanaActual),"",MIN(1,SUMIFS(OFFSET($A$1,ROW(),30,1000-ROW(),1),OFFSET($A$1,ROW(),20,1000-ROW(),1),ROW(),OFFSET($A$1,ROW(),21,1000-ROW(),1),"Sub"))))</f>
        <v/>
      </c>
      <c r="K131" s="60">
        <f>IF(N($W131)=0,"",IF(AND($S131=MesCiclo,3&gt;SemanaActual),"",MIN(1,SUMIFS(OFFSET($A$1,ROW(),31,1000-ROW(),1),OFFSET($A$1,ROW(),20,1000-ROW(),1),ROW(),OFFSET($A$1,ROW(),21,1000-ROW(),1),"Sub"))))</f>
        <v/>
      </c>
      <c r="L131" s="60">
        <f>IF(N($W131)=0,"",IF(AND($S131=MesCiclo,4&gt;SemanaActual),"",MIN(1,SUMIFS(OFFSET($A$1,ROW(),32,1000-ROW(),1),OFFSET($A$1,ROW(),20,1000-ROW(),1),ROW(),OFFSET($A$1,ROW(),21,1000-ROW(),1),"Sub"))))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IF($V131&lt;&gt;"Sub","",N($X131)*IF(AND(ISNUMBER($G131),$G131&lt;=IF($S131=MesCiclo,InicioCiclo,$S131+MOD(2-WEEKDAY($S131),7))+6),1,MIN(1,MAX(0,IF(ISNUMBER(OFFSET($A$1,ROW()-1,8)),OFFSET($A$1,ROW()-1,8),0)))))</f>
        <v/>
      </c>
      <c r="AE131" s="62">
        <f>IF($V131&lt;&gt;"Sub","",N($X131)*IF(AND(ISNUMBER($G131),$G131&lt;=IF($S131=MesCiclo,InicioCiclo,$S131+MOD(2-WEEKDAY($S131),7))+13),1,MIN(1,MAX(0,IF(ISNUMBER(OFFSET($A$1,ROW()-1,9)),OFFSET($A$1,ROW()-1,9),IF(ISNUMBER(OFFSET($A$1,ROW()-1,8)),OFFSET($A$1,ROW()-1,8),0))))))</f>
        <v/>
      </c>
      <c r="AF131" s="62">
        <f>IF($V131&lt;&gt;"Sub","",N($X131)*IF(AND(ISNUMBER($G131),$G131&lt;=IF($S131=MesCiclo,InicioCiclo,$S131+MOD(2-WEEKDAY($S131),7))+20),1,MIN(1,MAX(0,IF(ISNUMBER(OFFSET($A$1,ROW()-1,10)),OFFSET($A$1,ROW()-1,10),IF(ISNUMBER(OFFSET($A$1,ROW()-1,9)),OFFSET($A$1,ROW()-1,9),IF(ISNUMBER(OFFSET($A$1,ROW()-1,8)),OFFSET($A$1,ROW()-1,8),0)))))))</f>
        <v/>
      </c>
      <c r="AG131" s="62">
        <f>IF($V131&lt;&gt;"Sub","",N($X131)*IF(AND(ISNUMBER($G131),$G131&lt;=IF($S131=MesCiclo,InicioCiclo,$S131+MOD(2-WEEKDAY($S131),7))+27),1,MIN(1,MAX(0,IF(ISNUMBER(OFFSET($A$1,ROW()-1,11)),OFFSET($A$1,ROW()-1,11),IF(ISNUMBER(OFFSET($A$1,ROW()-1,10)),OFFSET($A$1,ROW()-1,10),IF(ISNUMBER(OFFSET($A$1,ROW()-1,9)),OFFSET($A$1,ROW()-1,9),IF(ISNUMBER(OFFSET($A$1,ROW()-1,8)),OFFSET($A$1,ROW()-1,8),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",IFERROR(MATCH("Riesgo Operacional|"&amp;MID($C131,12,500),rDname_ADM,0),0),"")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IF(N($W132)=0,"",IF(AND($S132=MesCiclo,1&gt;SemanaActual),"",MIN(1,SUMIFS(OFFSET($A$1,ROW(),29,1000-ROW(),1),OFFSET($A$1,ROW(),20,1000-ROW(),1),ROW(),OFFSET($A$1,ROW(),21,1000-ROW(),1),"Sub"))))</f>
        <v/>
      </c>
      <c r="J132" s="60">
        <f>IF(N($W132)=0,"",IF(AND($S132=MesCiclo,2&gt;SemanaActual),"",MIN(1,SUMIFS(OFFSET($A$1,ROW(),30,1000-ROW(),1),OFFSET($A$1,ROW(),20,1000-ROW(),1),ROW(),OFFSET($A$1,ROW(),21,1000-ROW(),1),"Sub"))))</f>
        <v/>
      </c>
      <c r="K132" s="60">
        <f>IF(N($W132)=0,"",IF(AND($S132=MesCiclo,3&gt;SemanaActual),"",MIN(1,SUMIFS(OFFSET($A$1,ROW(),31,1000-ROW(),1),OFFSET($A$1,ROW(),20,1000-ROW(),1),ROW(),OFFSET($A$1,ROW(),21,1000-ROW(),1),"Sub"))))</f>
        <v/>
      </c>
      <c r="L132" s="60">
        <f>IF(N($W132)=0,"",IF(AND($S132=MesCiclo,4&gt;SemanaActual),"",MIN(1,SUMIFS(OFFSET($A$1,ROW(),32,1000-ROW(),1),OFFSET($A$1,ROW(),20,1000-ROW(),1),ROW(),OFFSET($A$1,ROW(),21,1000-ROW(),1),"Sub"))))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IF($V132&lt;&gt;"Sub","",N($X132)*IF(AND(ISNUMBER($G132),$G132&lt;=IF($S132=MesCiclo,InicioCiclo,$S132+MOD(2-WEEKDAY($S132),7))+6),1,MIN(1,MAX(0,IF(ISNUMBER(OFFSET($A$1,ROW()-1,8)),OFFSET($A$1,ROW()-1,8),0)))))</f>
        <v/>
      </c>
      <c r="AE132" s="62">
        <f>IF($V132&lt;&gt;"Sub","",N($X132)*IF(AND(ISNUMBER($G132),$G132&lt;=IF($S132=MesCiclo,InicioCiclo,$S132+MOD(2-WEEKDAY($S132),7))+13),1,MIN(1,MAX(0,IF(ISNUMBER(OFFSET($A$1,ROW()-1,9)),OFFSET($A$1,ROW()-1,9),IF(ISNUMBER(OFFSET($A$1,ROW()-1,8)),OFFSET($A$1,ROW()-1,8),0))))))</f>
        <v/>
      </c>
      <c r="AF132" s="62">
        <f>IF($V132&lt;&gt;"Sub","",N($X132)*IF(AND(ISNUMBER($G132),$G132&lt;=IF($S132=MesCiclo,InicioCiclo,$S132+MOD(2-WEEKDAY($S132),7))+20),1,MIN(1,MAX(0,IF(ISNUMBER(OFFSET($A$1,ROW()-1,10)),OFFSET($A$1,ROW()-1,10),IF(ISNUMBER(OFFSET($A$1,ROW()-1,9)),OFFSET($A$1,ROW()-1,9),IF(ISNUMBER(OFFSET($A$1,ROW()-1,8)),OFFSET($A$1,ROW()-1,8),0)))))))</f>
        <v/>
      </c>
      <c r="AG132" s="62">
        <f>IF($V132&lt;&gt;"Sub","",N($X132)*IF(AND(ISNUMBER($G132),$G132&lt;=IF($S132=MesCiclo,InicioCiclo,$S132+MOD(2-WEEKDAY($S132),7))+27),1,MIN(1,MAX(0,IF(ISNUMBER(OFFSET($A$1,ROW()-1,11)),OFFSET($A$1,ROW()-1,11),IF(ISNUMBER(OFFSET($A$1,ROW()-1,10)),OFFSET($A$1,ROW()-1,10),IF(ISNUMBER(OFFSET($A$1,ROW()-1,9)),OFFSET($A$1,ROW()-1,9),IF(ISNUMBER(OFFSET($A$1,ROW()-1,8)),OFFSET($A$1,ROW()-1,8),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",IFERROR(MATCH("Riesgo Operacional|"&amp;MID($C132,12,500),rDname_ADM,0),0),"")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IF(N($W133)=0,"",IF(AND($S133=MesCiclo,1&gt;SemanaActual),"",MIN(1,SUMIFS(OFFSET($A$1,ROW(),29,1000-ROW(),1),OFFSET($A$1,ROW(),20,1000-ROW(),1),ROW(),OFFSET($A$1,ROW(),21,1000-ROW(),1),"Sub"))))</f>
        <v/>
      </c>
      <c r="J133" s="60">
        <f>IF(N($W133)=0,"",IF(AND($S133=MesCiclo,2&gt;SemanaActual),"",MIN(1,SUMIFS(OFFSET($A$1,ROW(),30,1000-ROW(),1),OFFSET($A$1,ROW(),20,1000-ROW(),1),ROW(),OFFSET($A$1,ROW(),21,1000-ROW(),1),"Sub"))))</f>
        <v/>
      </c>
      <c r="K133" s="60">
        <f>IF(N($W133)=0,"",IF(AND($S133=MesCiclo,3&gt;SemanaActual),"",MIN(1,SUMIFS(OFFSET($A$1,ROW(),31,1000-ROW(),1),OFFSET($A$1,ROW(),20,1000-ROW(),1),ROW(),OFFSET($A$1,ROW(),21,1000-ROW(),1),"Sub"))))</f>
        <v/>
      </c>
      <c r="L133" s="60">
        <f>IF(N($W133)=0,"",IF(AND($S133=MesCiclo,4&gt;SemanaActual),"",MIN(1,SUMIFS(OFFSET($A$1,ROW(),32,1000-ROW(),1),OFFSET($A$1,ROW(),20,1000-ROW(),1),ROW(),OFFSET($A$1,ROW(),21,1000-ROW(),1),"Sub"))))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IF($V133&lt;&gt;"Sub","",N($X133)*IF(AND(ISNUMBER($G133),$G133&lt;=IF($S133=MesCiclo,InicioCiclo,$S133+MOD(2-WEEKDAY($S133),7))+6),1,MIN(1,MAX(0,IF(ISNUMBER(OFFSET($A$1,ROW()-1,8)),OFFSET($A$1,ROW()-1,8),0)))))</f>
        <v/>
      </c>
      <c r="AE133" s="62">
        <f>IF($V133&lt;&gt;"Sub","",N($X133)*IF(AND(ISNUMBER($G133),$G133&lt;=IF($S133=MesCiclo,InicioCiclo,$S133+MOD(2-WEEKDAY($S133),7))+13),1,MIN(1,MAX(0,IF(ISNUMBER(OFFSET($A$1,ROW()-1,9)),OFFSET($A$1,ROW()-1,9),IF(ISNUMBER(OFFSET($A$1,ROW()-1,8)),OFFSET($A$1,ROW()-1,8),0))))))</f>
        <v/>
      </c>
      <c r="AF133" s="62">
        <f>IF($V133&lt;&gt;"Sub","",N($X133)*IF(AND(ISNUMBER($G133),$G133&lt;=IF($S133=MesCiclo,InicioCiclo,$S133+MOD(2-WEEKDAY($S133),7))+20),1,MIN(1,MAX(0,IF(ISNUMBER(OFFSET($A$1,ROW()-1,10)),OFFSET($A$1,ROW()-1,10),IF(ISNUMBER(OFFSET($A$1,ROW()-1,9)),OFFSET($A$1,ROW()-1,9),IF(ISNUMBER(OFFSET($A$1,ROW()-1,8)),OFFSET($A$1,ROW()-1,8),0)))))))</f>
        <v/>
      </c>
      <c r="AG133" s="62">
        <f>IF($V133&lt;&gt;"Sub","",N($X133)*IF(AND(ISNUMBER($G133),$G133&lt;=IF($S133=MesCiclo,InicioCiclo,$S133+MOD(2-WEEKDAY($S133),7))+27),1,MIN(1,MAX(0,IF(ISNUMBER(OFFSET($A$1,ROW()-1,11)),OFFSET($A$1,ROW()-1,11),IF(ISNUMBER(OFFSET($A$1,ROW()-1,10)),OFFSET($A$1,ROW()-1,10),IF(ISNUMBER(OFFSET($A$1,ROW()-1,9)),OFFSET($A$1,ROW()-1,9),IF(ISNUMBER(OFFSET($A$1,ROW()-1,8)),OFFSET($A$1,ROW()-1,8),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",IFERROR(MATCH("Riesgo Operacional|"&amp;MID($C133,12,500),rDname_ADM,0),0),"")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IF(N($W134)=0,"",IF(AND($S134=MesCiclo,1&gt;SemanaActual),"",MIN(1,SUMIFS(OFFSET($A$1,ROW(),29,1000-ROW(),1),OFFSET($A$1,ROW(),20,1000-ROW(),1),ROW(),OFFSET($A$1,ROW(),21,1000-ROW(),1),"Sub"))))</f>
        <v/>
      </c>
      <c r="J134" s="60">
        <f>IF(N($W134)=0,"",IF(AND($S134=MesCiclo,2&gt;SemanaActual),"",MIN(1,SUMIFS(OFFSET($A$1,ROW(),30,1000-ROW(),1),OFFSET($A$1,ROW(),20,1000-ROW(),1),ROW(),OFFSET($A$1,ROW(),21,1000-ROW(),1),"Sub"))))</f>
        <v/>
      </c>
      <c r="K134" s="60">
        <f>IF(N($W134)=0,"",IF(AND($S134=MesCiclo,3&gt;SemanaActual),"",MIN(1,SUMIFS(OFFSET($A$1,ROW(),31,1000-ROW(),1),OFFSET($A$1,ROW(),20,1000-ROW(),1),ROW(),OFFSET($A$1,ROW(),21,1000-ROW(),1),"Sub"))))</f>
        <v/>
      </c>
      <c r="L134" s="60">
        <f>IF(N($W134)=0,"",IF(AND($S134=MesCiclo,4&gt;SemanaActual),"",MIN(1,SUMIFS(OFFSET($A$1,ROW(),32,1000-ROW(),1),OFFSET($A$1,ROW(),20,1000-ROW(),1),ROW(),OFFSET($A$1,ROW(),21,1000-ROW(),1),"Sub"))))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IF($V134&lt;&gt;"Sub","",N($X134)*IF(AND(ISNUMBER($G134),$G134&lt;=IF($S134=MesCiclo,InicioCiclo,$S134+MOD(2-WEEKDAY($S134),7))+6),1,MIN(1,MAX(0,IF(ISNUMBER(OFFSET($A$1,ROW()-1,8)),OFFSET($A$1,ROW()-1,8),0)))))</f>
        <v/>
      </c>
      <c r="AE134" s="62">
        <f>IF($V134&lt;&gt;"Sub","",N($X134)*IF(AND(ISNUMBER($G134),$G134&lt;=IF($S134=MesCiclo,InicioCiclo,$S134+MOD(2-WEEKDAY($S134),7))+13),1,MIN(1,MAX(0,IF(ISNUMBER(OFFSET($A$1,ROW()-1,9)),OFFSET($A$1,ROW()-1,9),IF(ISNUMBER(OFFSET($A$1,ROW()-1,8)),OFFSET($A$1,ROW()-1,8),0))))))</f>
        <v/>
      </c>
      <c r="AF134" s="62">
        <f>IF($V134&lt;&gt;"Sub","",N($X134)*IF(AND(ISNUMBER($G134),$G134&lt;=IF($S134=MesCiclo,InicioCiclo,$S134+MOD(2-WEEKDAY($S134),7))+20),1,MIN(1,MAX(0,IF(ISNUMBER(OFFSET($A$1,ROW()-1,10)),OFFSET($A$1,ROW()-1,10),IF(ISNUMBER(OFFSET($A$1,ROW()-1,9)),OFFSET($A$1,ROW()-1,9),IF(ISNUMBER(OFFSET($A$1,ROW()-1,8)),OFFSET($A$1,ROW()-1,8),0)))))))</f>
        <v/>
      </c>
      <c r="AG134" s="62">
        <f>IF($V134&lt;&gt;"Sub","",N($X134)*IF(AND(ISNUMBER($G134),$G134&lt;=IF($S134=MesCiclo,InicioCiclo,$S134+MOD(2-WEEKDAY($S134),7))+27),1,MIN(1,MAX(0,IF(ISNUMBER(OFFSET($A$1,ROW()-1,11)),OFFSET($A$1,ROW()-1,11),IF(ISNUMBER(OFFSET($A$1,ROW()-1,10)),OFFSET($A$1,ROW()-1,10),IF(ISNUMBER(OFFSET($A$1,ROW()-1,9)),OFFSET($A$1,ROW()-1,9),IF(ISNUMBER(OFFSET($A$1,ROW()-1,8)),OFFSET($A$1,ROW()-1,8),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",IFERROR(MATCH("Riesgo Operacional|"&amp;MID($C134,12,500),rDname_ADM,0),0),"")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IF(N($W135)=0,"",IF(AND($S135=MesCiclo,1&gt;SemanaActual),"",MIN(1,SUMIFS(OFFSET($A$1,ROW(),29,1000-ROW(),1),OFFSET($A$1,ROW(),20,1000-ROW(),1),ROW(),OFFSET($A$1,ROW(),21,1000-ROW(),1),"Sub"))))</f>
        <v/>
      </c>
      <c r="J135" s="60">
        <f>IF(N($W135)=0,"",IF(AND($S135=MesCiclo,2&gt;SemanaActual),"",MIN(1,SUMIFS(OFFSET($A$1,ROW(),30,1000-ROW(),1),OFFSET($A$1,ROW(),20,1000-ROW(),1),ROW(),OFFSET($A$1,ROW(),21,1000-ROW(),1),"Sub"))))</f>
        <v/>
      </c>
      <c r="K135" s="60">
        <f>IF(N($W135)=0,"",IF(AND($S135=MesCiclo,3&gt;SemanaActual),"",MIN(1,SUMIFS(OFFSET($A$1,ROW(),31,1000-ROW(),1),OFFSET($A$1,ROW(),20,1000-ROW(),1),ROW(),OFFSET($A$1,ROW(),21,1000-ROW(),1),"Sub"))))</f>
        <v/>
      </c>
      <c r="L135" s="60">
        <f>IF(N($W135)=0,"",IF(AND($S135=MesCiclo,4&gt;SemanaActual),"",MIN(1,SUMIFS(OFFSET($A$1,ROW(),32,1000-ROW(),1),OFFSET($A$1,ROW(),20,1000-ROW(),1),ROW(),OFFSET($A$1,ROW(),21,1000-ROW(),1),"Sub"))))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IF($V135&lt;&gt;"Sub","",N($X135)*IF(AND(ISNUMBER($G135),$G135&lt;=IF($S135=MesCiclo,InicioCiclo,$S135+MOD(2-WEEKDAY($S135),7))+6),1,MIN(1,MAX(0,IF(ISNUMBER(OFFSET($A$1,ROW()-1,8)),OFFSET($A$1,ROW()-1,8),0)))))</f>
        <v/>
      </c>
      <c r="AE135" s="62">
        <f>IF($V135&lt;&gt;"Sub","",N($X135)*IF(AND(ISNUMBER($G135),$G135&lt;=IF($S135=MesCiclo,InicioCiclo,$S135+MOD(2-WEEKDAY($S135),7))+13),1,MIN(1,MAX(0,IF(ISNUMBER(OFFSET($A$1,ROW()-1,9)),OFFSET($A$1,ROW()-1,9),IF(ISNUMBER(OFFSET($A$1,ROW()-1,8)),OFFSET($A$1,ROW()-1,8),0))))))</f>
        <v/>
      </c>
      <c r="AF135" s="62">
        <f>IF($V135&lt;&gt;"Sub","",N($X135)*IF(AND(ISNUMBER($G135),$G135&lt;=IF($S135=MesCiclo,InicioCiclo,$S135+MOD(2-WEEKDAY($S135),7))+20),1,MIN(1,MAX(0,IF(ISNUMBER(OFFSET($A$1,ROW()-1,10)),OFFSET($A$1,ROW()-1,10),IF(ISNUMBER(OFFSET($A$1,ROW()-1,9)),OFFSET($A$1,ROW()-1,9),IF(ISNUMBER(OFFSET($A$1,ROW()-1,8)),OFFSET($A$1,ROW()-1,8),0)))))))</f>
        <v/>
      </c>
      <c r="AG135" s="62">
        <f>IF($V135&lt;&gt;"Sub","",N($X135)*IF(AND(ISNUMBER($G135),$G135&lt;=IF($S135=MesCiclo,InicioCiclo,$S135+MOD(2-WEEKDAY($S135),7))+27),1,MIN(1,MAX(0,IF(ISNUMBER(OFFSET($A$1,ROW()-1,11)),OFFSET($A$1,ROW()-1,11),IF(ISNUMBER(OFFSET($A$1,ROW()-1,10)),OFFSET($A$1,ROW()-1,10),IF(ISNUMBER(OFFSET($A$1,ROW()-1,9)),OFFSET($A$1,ROW()-1,9),IF(ISNUMBER(OFFSET($A$1,ROW()-1,8)),OFFSET($A$1,ROW()-1,8),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",IFERROR(MATCH("Riesgo Operacional|"&amp;MID($C135,12,500),rDname_ADM,0),0),"")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IF(N($W136)=0,"",IF(AND($S136=MesCiclo,1&gt;SemanaActual),"",MIN(1,SUMIFS(OFFSET($A$1,ROW(),29,1000-ROW(),1),OFFSET($A$1,ROW(),20,1000-ROW(),1),ROW(),OFFSET($A$1,ROW(),21,1000-ROW(),1),"Sub"))))</f>
        <v/>
      </c>
      <c r="J136" s="60">
        <f>IF(N($W136)=0,"",IF(AND($S136=MesCiclo,2&gt;SemanaActual),"",MIN(1,SUMIFS(OFFSET($A$1,ROW(),30,1000-ROW(),1),OFFSET($A$1,ROW(),20,1000-ROW(),1),ROW(),OFFSET($A$1,ROW(),21,1000-ROW(),1),"Sub"))))</f>
        <v/>
      </c>
      <c r="K136" s="60">
        <f>IF(N($W136)=0,"",IF(AND($S136=MesCiclo,3&gt;SemanaActual),"",MIN(1,SUMIFS(OFFSET($A$1,ROW(),31,1000-ROW(),1),OFFSET($A$1,ROW(),20,1000-ROW(),1),ROW(),OFFSET($A$1,ROW(),21,1000-ROW(),1),"Sub"))))</f>
        <v/>
      </c>
      <c r="L136" s="60">
        <f>IF(N($W136)=0,"",IF(AND($S136=MesCiclo,4&gt;SemanaActual),"",MIN(1,SUMIFS(OFFSET($A$1,ROW(),32,1000-ROW(),1),OFFSET($A$1,ROW(),20,1000-ROW(),1),ROW(),OFFSET($A$1,ROW(),21,1000-ROW(),1),"Sub"))))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IF($V136&lt;&gt;"Sub","",N($X136)*IF(AND(ISNUMBER($G136),$G136&lt;=IF($S136=MesCiclo,InicioCiclo,$S136+MOD(2-WEEKDAY($S136),7))+6),1,MIN(1,MAX(0,IF(ISNUMBER(OFFSET($A$1,ROW()-1,8)),OFFSET($A$1,ROW()-1,8),0)))))</f>
        <v/>
      </c>
      <c r="AE136" s="62">
        <f>IF($V136&lt;&gt;"Sub","",N($X136)*IF(AND(ISNUMBER($G136),$G136&lt;=IF($S136=MesCiclo,InicioCiclo,$S136+MOD(2-WEEKDAY($S136),7))+13),1,MIN(1,MAX(0,IF(ISNUMBER(OFFSET($A$1,ROW()-1,9)),OFFSET($A$1,ROW()-1,9),IF(ISNUMBER(OFFSET($A$1,ROW()-1,8)),OFFSET($A$1,ROW()-1,8),0))))))</f>
        <v/>
      </c>
      <c r="AF136" s="62">
        <f>IF($V136&lt;&gt;"Sub","",N($X136)*IF(AND(ISNUMBER($G136),$G136&lt;=IF($S136=MesCiclo,InicioCiclo,$S136+MOD(2-WEEKDAY($S136),7))+20),1,MIN(1,MAX(0,IF(ISNUMBER(OFFSET($A$1,ROW()-1,10)),OFFSET($A$1,ROW()-1,10),IF(ISNUMBER(OFFSET($A$1,ROW()-1,9)),OFFSET($A$1,ROW()-1,9),IF(ISNUMBER(OFFSET($A$1,ROW()-1,8)),OFFSET($A$1,ROW()-1,8),0)))))))</f>
        <v/>
      </c>
      <c r="AG136" s="62">
        <f>IF($V136&lt;&gt;"Sub","",N($X136)*IF(AND(ISNUMBER($G136),$G136&lt;=IF($S136=MesCiclo,InicioCiclo,$S136+MOD(2-WEEKDAY($S136),7))+27),1,MIN(1,MAX(0,IF(ISNUMBER(OFFSET($A$1,ROW()-1,11)),OFFSET($A$1,ROW()-1,11),IF(ISNUMBER(OFFSET($A$1,ROW()-1,10)),OFFSET($A$1,ROW()-1,10),IF(ISNUMBER(OFFSET($A$1,ROW()-1,9)),OFFSET($A$1,ROW()-1,9),IF(ISNUMBER(OFFSET($A$1,ROW()-1,8)),OFFSET($A$1,ROW()-1,8),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",IFERROR(MATCH("Riesgo Operacional|"&amp;MID($C136,12,500),rDname_ADM,0),0),"")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IF(N($W137)=0,"",IF(AND($S137=MesCiclo,1&gt;SemanaActual),"",MIN(1,SUMIFS(OFFSET($A$1,ROW(),29,1000-ROW(),1),OFFSET($A$1,ROW(),20,1000-ROW(),1),ROW(),OFFSET($A$1,ROW(),21,1000-ROW(),1),"Sub"))))</f>
        <v/>
      </c>
      <c r="J137" s="60">
        <f>IF(N($W137)=0,"",IF(AND($S137=MesCiclo,2&gt;SemanaActual),"",MIN(1,SUMIFS(OFFSET($A$1,ROW(),30,1000-ROW(),1),OFFSET($A$1,ROW(),20,1000-ROW(),1),ROW(),OFFSET($A$1,ROW(),21,1000-ROW(),1),"Sub"))))</f>
        <v/>
      </c>
      <c r="K137" s="60">
        <f>IF(N($W137)=0,"",IF(AND($S137=MesCiclo,3&gt;SemanaActual),"",MIN(1,SUMIFS(OFFSET($A$1,ROW(),31,1000-ROW(),1),OFFSET($A$1,ROW(),20,1000-ROW(),1),ROW(),OFFSET($A$1,ROW(),21,1000-ROW(),1),"Sub"))))</f>
        <v/>
      </c>
      <c r="L137" s="60">
        <f>IF(N($W137)=0,"",IF(AND($S137=MesCiclo,4&gt;SemanaActual),"",MIN(1,SUMIFS(OFFSET($A$1,ROW(),32,1000-ROW(),1),OFFSET($A$1,ROW(),20,1000-ROW(),1),ROW(),OFFSET($A$1,ROW(),21,1000-ROW(),1),"Sub"))))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IF($V137&lt;&gt;"Sub","",N($X137)*IF(AND(ISNUMBER($G137),$G137&lt;=IF($S137=MesCiclo,InicioCiclo,$S137+MOD(2-WEEKDAY($S137),7))+6),1,MIN(1,MAX(0,IF(ISNUMBER(OFFSET($A$1,ROW()-1,8)),OFFSET($A$1,ROW()-1,8),0)))))</f>
        <v/>
      </c>
      <c r="AE137" s="62">
        <f>IF($V137&lt;&gt;"Sub","",N($X137)*IF(AND(ISNUMBER($G137),$G137&lt;=IF($S137=MesCiclo,InicioCiclo,$S137+MOD(2-WEEKDAY($S137),7))+13),1,MIN(1,MAX(0,IF(ISNUMBER(OFFSET($A$1,ROW()-1,9)),OFFSET($A$1,ROW()-1,9),IF(ISNUMBER(OFFSET($A$1,ROW()-1,8)),OFFSET($A$1,ROW()-1,8),0))))))</f>
        <v/>
      </c>
      <c r="AF137" s="62">
        <f>IF($V137&lt;&gt;"Sub","",N($X137)*IF(AND(ISNUMBER($G137),$G137&lt;=IF($S137=MesCiclo,InicioCiclo,$S137+MOD(2-WEEKDAY($S137),7))+20),1,MIN(1,MAX(0,IF(ISNUMBER(OFFSET($A$1,ROW()-1,10)),OFFSET($A$1,ROW()-1,10),IF(ISNUMBER(OFFSET($A$1,ROW()-1,9)),OFFSET($A$1,ROW()-1,9),IF(ISNUMBER(OFFSET($A$1,ROW()-1,8)),OFFSET($A$1,ROW()-1,8),0)))))))</f>
        <v/>
      </c>
      <c r="AG137" s="62">
        <f>IF($V137&lt;&gt;"Sub","",N($X137)*IF(AND(ISNUMBER($G137),$G137&lt;=IF($S137=MesCiclo,InicioCiclo,$S137+MOD(2-WEEKDAY($S137),7))+27),1,MIN(1,MAX(0,IF(ISNUMBER(OFFSET($A$1,ROW()-1,11)),OFFSET($A$1,ROW()-1,11),IF(ISNUMBER(OFFSET($A$1,ROW()-1,10)),OFFSET($A$1,ROW()-1,10),IF(ISNUMBER(OFFSET($A$1,ROW()-1,9)),OFFSET($A$1,ROW()-1,9),IF(ISNUMBER(OFFSET($A$1,ROW()-1,8)),OFFSET($A$1,ROW()-1,8),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",IFERROR(MATCH("Riesgo Operacional|"&amp;MID($C137,12,500),rDname_ADM,0),0),"")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IF(N($W138)=0,"",IF(AND($S138=MesCiclo,1&gt;SemanaActual),"",MIN(1,SUMIFS(OFFSET($A$1,ROW(),29,1000-ROW(),1),OFFSET($A$1,ROW(),20,1000-ROW(),1),ROW(),OFFSET($A$1,ROW(),21,1000-ROW(),1),"Sub"))))</f>
        <v/>
      </c>
      <c r="J138" s="60">
        <f>IF(N($W138)=0,"",IF(AND($S138=MesCiclo,2&gt;SemanaActual),"",MIN(1,SUMIFS(OFFSET($A$1,ROW(),30,1000-ROW(),1),OFFSET($A$1,ROW(),20,1000-ROW(),1),ROW(),OFFSET($A$1,ROW(),21,1000-ROW(),1),"Sub"))))</f>
        <v/>
      </c>
      <c r="K138" s="60">
        <f>IF(N($W138)=0,"",IF(AND($S138=MesCiclo,3&gt;SemanaActual),"",MIN(1,SUMIFS(OFFSET($A$1,ROW(),31,1000-ROW(),1),OFFSET($A$1,ROW(),20,1000-ROW(),1),ROW(),OFFSET($A$1,ROW(),21,1000-ROW(),1),"Sub"))))</f>
        <v/>
      </c>
      <c r="L138" s="60">
        <f>IF(N($W138)=0,"",IF(AND($S138=MesCiclo,4&gt;SemanaActual),"",MIN(1,SUMIFS(OFFSET($A$1,ROW(),32,1000-ROW(),1),OFFSET($A$1,ROW(),20,1000-ROW(),1),ROW(),OFFSET($A$1,ROW(),21,1000-ROW(),1),"Sub"))))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IF($V138&lt;&gt;"Sub","",N($X138)*IF(AND(ISNUMBER($G138),$G138&lt;=IF($S138=MesCiclo,InicioCiclo,$S138+MOD(2-WEEKDAY($S138),7))+6),1,MIN(1,MAX(0,IF(ISNUMBER(OFFSET($A$1,ROW()-1,8)),OFFSET($A$1,ROW()-1,8),0)))))</f>
        <v/>
      </c>
      <c r="AE138" s="62">
        <f>IF($V138&lt;&gt;"Sub","",N($X138)*IF(AND(ISNUMBER($G138),$G138&lt;=IF($S138=MesCiclo,InicioCiclo,$S138+MOD(2-WEEKDAY($S138),7))+13),1,MIN(1,MAX(0,IF(ISNUMBER(OFFSET($A$1,ROW()-1,9)),OFFSET($A$1,ROW()-1,9),IF(ISNUMBER(OFFSET($A$1,ROW()-1,8)),OFFSET($A$1,ROW()-1,8),0))))))</f>
        <v/>
      </c>
      <c r="AF138" s="62">
        <f>IF($V138&lt;&gt;"Sub","",N($X138)*IF(AND(ISNUMBER($G138),$G138&lt;=IF($S138=MesCiclo,InicioCiclo,$S138+MOD(2-WEEKDAY($S138),7))+20),1,MIN(1,MAX(0,IF(ISNUMBER(OFFSET($A$1,ROW()-1,10)),OFFSET($A$1,ROW()-1,10),IF(ISNUMBER(OFFSET($A$1,ROW()-1,9)),OFFSET($A$1,ROW()-1,9),IF(ISNUMBER(OFFSET($A$1,ROW()-1,8)),OFFSET($A$1,ROW()-1,8),0)))))))</f>
        <v/>
      </c>
      <c r="AG138" s="62">
        <f>IF($V138&lt;&gt;"Sub","",N($X138)*IF(AND(ISNUMBER($G138),$G138&lt;=IF($S138=MesCiclo,InicioCiclo,$S138+MOD(2-WEEKDAY($S138),7))+27),1,MIN(1,MAX(0,IF(ISNUMBER(OFFSET($A$1,ROW()-1,11)),OFFSET($A$1,ROW()-1,11),IF(ISNUMBER(OFFSET($A$1,ROW()-1,10)),OFFSET($A$1,ROW()-1,10),IF(ISNUMBER(OFFSET($A$1,ROW()-1,9)),OFFSET($A$1,ROW()-1,9),IF(ISNUMBER(OFFSET($A$1,ROW()-1,8)),OFFSET($A$1,ROW()-1,8),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",IFERROR(MATCH("Riesgo Operacional|"&amp;MID($C138,12,500),rDname_ADM,0),0),"")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IF(N($W139)=0,"",IF(AND($S139=MesCiclo,1&gt;SemanaActual),"",MIN(1,SUMIFS(OFFSET($A$1,ROW(),29,1000-ROW(),1),OFFSET($A$1,ROW(),20,1000-ROW(),1),ROW(),OFFSET($A$1,ROW(),21,1000-ROW(),1),"Sub"))))</f>
        <v/>
      </c>
      <c r="J139" s="60">
        <f>IF(N($W139)=0,"",IF(AND($S139=MesCiclo,2&gt;SemanaActual),"",MIN(1,SUMIFS(OFFSET($A$1,ROW(),30,1000-ROW(),1),OFFSET($A$1,ROW(),20,1000-ROW(),1),ROW(),OFFSET($A$1,ROW(),21,1000-ROW(),1),"Sub"))))</f>
        <v/>
      </c>
      <c r="K139" s="60">
        <f>IF(N($W139)=0,"",IF(AND($S139=MesCiclo,3&gt;SemanaActual),"",MIN(1,SUMIFS(OFFSET($A$1,ROW(),31,1000-ROW(),1),OFFSET($A$1,ROW(),20,1000-ROW(),1),ROW(),OFFSET($A$1,ROW(),21,1000-ROW(),1),"Sub"))))</f>
        <v/>
      </c>
      <c r="L139" s="60">
        <f>IF(N($W139)=0,"",IF(AND($S139=MesCiclo,4&gt;SemanaActual),"",MIN(1,SUMIFS(OFFSET($A$1,ROW(),32,1000-ROW(),1),OFFSET($A$1,ROW(),20,1000-ROW(),1),ROW(),OFFSET($A$1,ROW(),21,1000-ROW(),1),"Sub"))))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IF($V139&lt;&gt;"Sub","",N($X139)*IF(AND(ISNUMBER($G139),$G139&lt;=IF($S139=MesCiclo,InicioCiclo,$S139+MOD(2-WEEKDAY($S139),7))+6),1,MIN(1,MAX(0,IF(ISNUMBER(OFFSET($A$1,ROW()-1,8)),OFFSET($A$1,ROW()-1,8),0)))))</f>
        <v/>
      </c>
      <c r="AE139" s="62">
        <f>IF($V139&lt;&gt;"Sub","",N($X139)*IF(AND(ISNUMBER($G139),$G139&lt;=IF($S139=MesCiclo,InicioCiclo,$S139+MOD(2-WEEKDAY($S139),7))+13),1,MIN(1,MAX(0,IF(ISNUMBER(OFFSET($A$1,ROW()-1,9)),OFFSET($A$1,ROW()-1,9),IF(ISNUMBER(OFFSET($A$1,ROW()-1,8)),OFFSET($A$1,ROW()-1,8),0))))))</f>
        <v/>
      </c>
      <c r="AF139" s="62">
        <f>IF($V139&lt;&gt;"Sub","",N($X139)*IF(AND(ISNUMBER($G139),$G139&lt;=IF($S139=MesCiclo,InicioCiclo,$S139+MOD(2-WEEKDAY($S139),7))+20),1,MIN(1,MAX(0,IF(ISNUMBER(OFFSET($A$1,ROW()-1,10)),OFFSET($A$1,ROW()-1,10),IF(ISNUMBER(OFFSET($A$1,ROW()-1,9)),OFFSET($A$1,ROW()-1,9),IF(ISNUMBER(OFFSET($A$1,ROW()-1,8)),OFFSET($A$1,ROW()-1,8),0)))))))</f>
        <v/>
      </c>
      <c r="AG139" s="62">
        <f>IF($V139&lt;&gt;"Sub","",N($X139)*IF(AND(ISNUMBER($G139),$G139&lt;=IF($S139=MesCiclo,InicioCiclo,$S139+MOD(2-WEEKDAY($S139),7))+27),1,MIN(1,MAX(0,IF(ISNUMBER(OFFSET($A$1,ROW()-1,11)),OFFSET($A$1,ROW()-1,11),IF(ISNUMBER(OFFSET($A$1,ROW()-1,10)),OFFSET($A$1,ROW()-1,10),IF(ISNUMBER(OFFSET($A$1,ROW()-1,9)),OFFSET($A$1,ROW()-1,9),IF(ISNUMBER(OFFSET($A$1,ROW()-1,8)),OFFSET($A$1,ROW()-1,8),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",IFERROR(MATCH("Riesgo Operacional|"&amp;MID($C139,12,500),rDname_ADM,0),0),"")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IF(N($W140)=0,"",IF(AND($S140=MesCiclo,1&gt;SemanaActual),"",MIN(1,SUMIFS(OFFSET($A$1,ROW(),29,1000-ROW(),1),OFFSET($A$1,ROW(),20,1000-ROW(),1),ROW(),OFFSET($A$1,ROW(),21,1000-ROW(),1),"Sub"))))</f>
        <v/>
      </c>
      <c r="J140" s="60">
        <f>IF(N($W140)=0,"",IF(AND($S140=MesCiclo,2&gt;SemanaActual),"",MIN(1,SUMIFS(OFFSET($A$1,ROW(),30,1000-ROW(),1),OFFSET($A$1,ROW(),20,1000-ROW(),1),ROW(),OFFSET($A$1,ROW(),21,1000-ROW(),1),"Sub"))))</f>
        <v/>
      </c>
      <c r="K140" s="60">
        <f>IF(N($W140)=0,"",IF(AND($S140=MesCiclo,3&gt;SemanaActual),"",MIN(1,SUMIFS(OFFSET($A$1,ROW(),31,1000-ROW(),1),OFFSET($A$1,ROW(),20,1000-ROW(),1),ROW(),OFFSET($A$1,ROW(),21,1000-ROW(),1),"Sub"))))</f>
        <v/>
      </c>
      <c r="L140" s="60">
        <f>IF(N($W140)=0,"",IF(AND($S140=MesCiclo,4&gt;SemanaActual),"",MIN(1,SUMIFS(OFFSET($A$1,ROW(),32,1000-ROW(),1),OFFSET($A$1,ROW(),20,1000-ROW(),1),ROW(),OFFSET($A$1,ROW(),21,1000-ROW(),1),"Sub"))))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IF($V140&lt;&gt;"Sub","",N($X140)*IF(AND(ISNUMBER($G140),$G140&lt;=IF($S140=MesCiclo,InicioCiclo,$S140+MOD(2-WEEKDAY($S140),7))+6),1,MIN(1,MAX(0,IF(ISNUMBER(OFFSET($A$1,ROW()-1,8)),OFFSET($A$1,ROW()-1,8),0)))))</f>
        <v/>
      </c>
      <c r="AE140" s="62">
        <f>IF($V140&lt;&gt;"Sub","",N($X140)*IF(AND(ISNUMBER($G140),$G140&lt;=IF($S140=MesCiclo,InicioCiclo,$S140+MOD(2-WEEKDAY($S140),7))+13),1,MIN(1,MAX(0,IF(ISNUMBER(OFFSET($A$1,ROW()-1,9)),OFFSET($A$1,ROW()-1,9),IF(ISNUMBER(OFFSET($A$1,ROW()-1,8)),OFFSET($A$1,ROW()-1,8),0))))))</f>
        <v/>
      </c>
      <c r="AF140" s="62">
        <f>IF($V140&lt;&gt;"Sub","",N($X140)*IF(AND(ISNUMBER($G140),$G140&lt;=IF($S140=MesCiclo,InicioCiclo,$S140+MOD(2-WEEKDAY($S140),7))+20),1,MIN(1,MAX(0,IF(ISNUMBER(OFFSET($A$1,ROW()-1,10)),OFFSET($A$1,ROW()-1,10),IF(ISNUMBER(OFFSET($A$1,ROW()-1,9)),OFFSET($A$1,ROW()-1,9),IF(ISNUMBER(OFFSET($A$1,ROW()-1,8)),OFFSET($A$1,ROW()-1,8),0)))))))</f>
        <v/>
      </c>
      <c r="AG140" s="62">
        <f>IF($V140&lt;&gt;"Sub","",N($X140)*IF(AND(ISNUMBER($G140),$G140&lt;=IF($S140=MesCiclo,InicioCiclo,$S140+MOD(2-WEEKDAY($S140),7))+27),1,MIN(1,MAX(0,IF(ISNUMBER(OFFSET($A$1,ROW()-1,11)),OFFSET($A$1,ROW()-1,11),IF(ISNUMBER(OFFSET($A$1,ROW()-1,10)),OFFSET($A$1,ROW()-1,10),IF(ISNUMBER(OFFSET($A$1,ROW()-1,9)),OFFSET($A$1,ROW()-1,9),IF(ISNUMBER(OFFSET($A$1,ROW()-1,8)),OFFSET($A$1,ROW()-1,8),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",IFERROR(MATCH("Riesgo Operacional|"&amp;MID($C140,12,500),rDname_ADM,0),0),"")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IF(N($W141)=0,"",IF(AND($S141=MesCiclo,1&gt;SemanaActual),"",MIN(1,SUMIFS(OFFSET($A$1,ROW(),29,1000-ROW(),1),OFFSET($A$1,ROW(),20,1000-ROW(),1),ROW(),OFFSET($A$1,ROW(),21,1000-ROW(),1),"Sub"))))</f>
        <v/>
      </c>
      <c r="J141" s="60">
        <f>IF(N($W141)=0,"",IF(AND($S141=MesCiclo,2&gt;SemanaActual),"",MIN(1,SUMIFS(OFFSET($A$1,ROW(),30,1000-ROW(),1),OFFSET($A$1,ROW(),20,1000-ROW(),1),ROW(),OFFSET($A$1,ROW(),21,1000-ROW(),1),"Sub"))))</f>
        <v/>
      </c>
      <c r="K141" s="60">
        <f>IF(N($W141)=0,"",IF(AND($S141=MesCiclo,3&gt;SemanaActual),"",MIN(1,SUMIFS(OFFSET($A$1,ROW(),31,1000-ROW(),1),OFFSET($A$1,ROW(),20,1000-ROW(),1),ROW(),OFFSET($A$1,ROW(),21,1000-ROW(),1),"Sub"))))</f>
        <v/>
      </c>
      <c r="L141" s="60">
        <f>IF(N($W141)=0,"",IF(AND($S141=MesCiclo,4&gt;SemanaActual),"",MIN(1,SUMIFS(OFFSET($A$1,ROW(),32,1000-ROW(),1),OFFSET($A$1,ROW(),20,1000-ROW(),1),ROW(),OFFSET($A$1,ROW(),21,1000-ROW(),1),"Sub"))))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IF($V141&lt;&gt;"Sub","",N($X141)*IF(AND(ISNUMBER($G141),$G141&lt;=IF($S141=MesCiclo,InicioCiclo,$S141+MOD(2-WEEKDAY($S141),7))+6),1,MIN(1,MAX(0,IF(ISNUMBER(OFFSET($A$1,ROW()-1,8)),OFFSET($A$1,ROW()-1,8),0)))))</f>
        <v/>
      </c>
      <c r="AE141" s="62">
        <f>IF($V141&lt;&gt;"Sub","",N($X141)*IF(AND(ISNUMBER($G141),$G141&lt;=IF($S141=MesCiclo,InicioCiclo,$S141+MOD(2-WEEKDAY($S141),7))+13),1,MIN(1,MAX(0,IF(ISNUMBER(OFFSET($A$1,ROW()-1,9)),OFFSET($A$1,ROW()-1,9),IF(ISNUMBER(OFFSET($A$1,ROW()-1,8)),OFFSET($A$1,ROW()-1,8),0))))))</f>
        <v/>
      </c>
      <c r="AF141" s="62">
        <f>IF($V141&lt;&gt;"Sub","",N($X141)*IF(AND(ISNUMBER($G141),$G141&lt;=IF($S141=MesCiclo,InicioCiclo,$S141+MOD(2-WEEKDAY($S141),7))+20),1,MIN(1,MAX(0,IF(ISNUMBER(OFFSET($A$1,ROW()-1,10)),OFFSET($A$1,ROW()-1,10),IF(ISNUMBER(OFFSET($A$1,ROW()-1,9)),OFFSET($A$1,ROW()-1,9),IF(ISNUMBER(OFFSET($A$1,ROW()-1,8)),OFFSET($A$1,ROW()-1,8),0)))))))</f>
        <v/>
      </c>
      <c r="AG141" s="62">
        <f>IF($V141&lt;&gt;"Sub","",N($X141)*IF(AND(ISNUMBER($G141),$G141&lt;=IF($S141=MesCiclo,InicioCiclo,$S141+MOD(2-WEEKDAY($S141),7))+27),1,MIN(1,MAX(0,IF(ISNUMBER(OFFSET($A$1,ROW()-1,11)),OFFSET($A$1,ROW()-1,11),IF(ISNUMBER(OFFSET($A$1,ROW()-1,10)),OFFSET($A$1,ROW()-1,10),IF(ISNUMBER(OFFSET($A$1,ROW()-1,9)),OFFSET($A$1,ROW()-1,9),IF(ISNUMBER(OFFSET($A$1,ROW()-1,8)),OFFSET($A$1,ROW()-1,8),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",IFERROR(MATCH("Riesgo Operacional|"&amp;MID($C141,12,500),rDname_ADM,0),0),"")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IF(N($W142)=0,"",IF(AND($S142=MesCiclo,1&gt;SemanaActual),"",MIN(1,SUMIFS(OFFSET($A$1,ROW(),29,1000-ROW(),1),OFFSET($A$1,ROW(),20,1000-ROW(),1),ROW(),OFFSET($A$1,ROW(),21,1000-ROW(),1),"Sub"))))</f>
        <v/>
      </c>
      <c r="J142" s="60">
        <f>IF(N($W142)=0,"",IF(AND($S142=MesCiclo,2&gt;SemanaActual),"",MIN(1,SUMIFS(OFFSET($A$1,ROW(),30,1000-ROW(),1),OFFSET($A$1,ROW(),20,1000-ROW(),1),ROW(),OFFSET($A$1,ROW(),21,1000-ROW(),1),"Sub"))))</f>
        <v/>
      </c>
      <c r="K142" s="60">
        <f>IF(N($W142)=0,"",IF(AND($S142=MesCiclo,3&gt;SemanaActual),"",MIN(1,SUMIFS(OFFSET($A$1,ROW(),31,1000-ROW(),1),OFFSET($A$1,ROW(),20,1000-ROW(),1),ROW(),OFFSET($A$1,ROW(),21,1000-ROW(),1),"Sub"))))</f>
        <v/>
      </c>
      <c r="L142" s="60">
        <f>IF(N($W142)=0,"",IF(AND($S142=MesCiclo,4&gt;SemanaActual),"",MIN(1,SUMIFS(OFFSET($A$1,ROW(),32,1000-ROW(),1),OFFSET($A$1,ROW(),20,1000-ROW(),1),ROW(),OFFSET($A$1,ROW(),21,1000-ROW(),1),"Sub"))))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IF($V142&lt;&gt;"Sub","",N($X142)*IF(AND(ISNUMBER($G142),$G142&lt;=IF($S142=MesCiclo,InicioCiclo,$S142+MOD(2-WEEKDAY($S142),7))+6),1,MIN(1,MAX(0,IF(ISNUMBER(OFFSET($A$1,ROW()-1,8)),OFFSET($A$1,ROW()-1,8),0)))))</f>
        <v/>
      </c>
      <c r="AE142" s="62">
        <f>IF($V142&lt;&gt;"Sub","",N($X142)*IF(AND(ISNUMBER($G142),$G142&lt;=IF($S142=MesCiclo,InicioCiclo,$S142+MOD(2-WEEKDAY($S142),7))+13),1,MIN(1,MAX(0,IF(ISNUMBER(OFFSET($A$1,ROW()-1,9)),OFFSET($A$1,ROW()-1,9),IF(ISNUMBER(OFFSET($A$1,ROW()-1,8)),OFFSET($A$1,ROW()-1,8),0))))))</f>
        <v/>
      </c>
      <c r="AF142" s="62">
        <f>IF($V142&lt;&gt;"Sub","",N($X142)*IF(AND(ISNUMBER($G142),$G142&lt;=IF($S142=MesCiclo,InicioCiclo,$S142+MOD(2-WEEKDAY($S142),7))+20),1,MIN(1,MAX(0,IF(ISNUMBER(OFFSET($A$1,ROW()-1,10)),OFFSET($A$1,ROW()-1,10),IF(ISNUMBER(OFFSET($A$1,ROW()-1,9)),OFFSET($A$1,ROW()-1,9),IF(ISNUMBER(OFFSET($A$1,ROW()-1,8)),OFFSET($A$1,ROW()-1,8),0)))))))</f>
        <v/>
      </c>
      <c r="AG142" s="62">
        <f>IF($V142&lt;&gt;"Sub","",N($X142)*IF(AND(ISNUMBER($G142),$G142&lt;=IF($S142=MesCiclo,InicioCiclo,$S142+MOD(2-WEEKDAY($S142),7))+27),1,MIN(1,MAX(0,IF(ISNUMBER(OFFSET($A$1,ROW()-1,11)),OFFSET($A$1,ROW()-1,11),IF(ISNUMBER(OFFSET($A$1,ROW()-1,10)),OFFSET($A$1,ROW()-1,10),IF(ISNUMBER(OFFSET($A$1,ROW()-1,9)),OFFSET($A$1,ROW()-1,9),IF(ISNUMBER(OFFSET($A$1,ROW()-1,8)),OFFSET($A$1,ROW()-1,8),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",IFERROR(MATCH("Riesgo Operacional|"&amp;MID($C142,12,500),rDname_ADM,0),0),"")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IF(N($W143)=0,"",IF(AND($S143=MesCiclo,1&gt;SemanaActual),"",MIN(1,SUMIFS(OFFSET($A$1,ROW(),29,1000-ROW(),1),OFFSET($A$1,ROW(),20,1000-ROW(),1),ROW(),OFFSET($A$1,ROW(),21,1000-ROW(),1),"Sub"))))</f>
        <v/>
      </c>
      <c r="J143" s="60">
        <f>IF(N($W143)=0,"",IF(AND($S143=MesCiclo,2&gt;SemanaActual),"",MIN(1,SUMIFS(OFFSET($A$1,ROW(),30,1000-ROW(),1),OFFSET($A$1,ROW(),20,1000-ROW(),1),ROW(),OFFSET($A$1,ROW(),21,1000-ROW(),1),"Sub"))))</f>
        <v/>
      </c>
      <c r="K143" s="60">
        <f>IF(N($W143)=0,"",IF(AND($S143=MesCiclo,3&gt;SemanaActual),"",MIN(1,SUMIFS(OFFSET($A$1,ROW(),31,1000-ROW(),1),OFFSET($A$1,ROW(),20,1000-ROW(),1),ROW(),OFFSET($A$1,ROW(),21,1000-ROW(),1),"Sub"))))</f>
        <v/>
      </c>
      <c r="L143" s="60">
        <f>IF(N($W143)=0,"",IF(AND($S143=MesCiclo,4&gt;SemanaActual),"",MIN(1,SUMIFS(OFFSET($A$1,ROW(),32,1000-ROW(),1),OFFSET($A$1,ROW(),20,1000-ROW(),1),ROW(),OFFSET($A$1,ROW(),21,1000-ROW(),1),"Sub"))))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IF($V143&lt;&gt;"Sub","",N($X143)*IF(AND(ISNUMBER($G143),$G143&lt;=IF($S143=MesCiclo,InicioCiclo,$S143+MOD(2-WEEKDAY($S143),7))+6),1,MIN(1,MAX(0,IF(ISNUMBER(OFFSET($A$1,ROW()-1,8)),OFFSET($A$1,ROW()-1,8),0)))))</f>
        <v/>
      </c>
      <c r="AE143" s="62">
        <f>IF($V143&lt;&gt;"Sub","",N($X143)*IF(AND(ISNUMBER($G143),$G143&lt;=IF($S143=MesCiclo,InicioCiclo,$S143+MOD(2-WEEKDAY($S143),7))+13),1,MIN(1,MAX(0,IF(ISNUMBER(OFFSET($A$1,ROW()-1,9)),OFFSET($A$1,ROW()-1,9),IF(ISNUMBER(OFFSET($A$1,ROW()-1,8)),OFFSET($A$1,ROW()-1,8),0))))))</f>
        <v/>
      </c>
      <c r="AF143" s="62">
        <f>IF($V143&lt;&gt;"Sub","",N($X143)*IF(AND(ISNUMBER($G143),$G143&lt;=IF($S143=MesCiclo,InicioCiclo,$S143+MOD(2-WEEKDAY($S143),7))+20),1,MIN(1,MAX(0,IF(ISNUMBER(OFFSET($A$1,ROW()-1,10)),OFFSET($A$1,ROW()-1,10),IF(ISNUMBER(OFFSET($A$1,ROW()-1,9)),OFFSET($A$1,ROW()-1,9),IF(ISNUMBER(OFFSET($A$1,ROW()-1,8)),OFFSET($A$1,ROW()-1,8),0)))))))</f>
        <v/>
      </c>
      <c r="AG143" s="62">
        <f>IF($V143&lt;&gt;"Sub","",N($X143)*IF(AND(ISNUMBER($G143),$G143&lt;=IF($S143=MesCiclo,InicioCiclo,$S143+MOD(2-WEEKDAY($S143),7))+27),1,MIN(1,MAX(0,IF(ISNUMBER(OFFSET($A$1,ROW()-1,11)),OFFSET($A$1,ROW()-1,11),IF(ISNUMBER(OFFSET($A$1,ROW()-1,10)),OFFSET($A$1,ROW()-1,10),IF(ISNUMBER(OFFSET($A$1,ROW()-1,9)),OFFSET($A$1,ROW()-1,9),IF(ISNUMBER(OFFSET($A$1,ROW()-1,8)),OFFSET($A$1,ROW()-1,8),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",IFERROR(MATCH("Riesgo Operacional|"&amp;MID($C143,12,500),rDname_ADM,0),0),"")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IF(N($W144)=0,"",IF(AND($S144=MesCiclo,1&gt;SemanaActual),"",MIN(1,SUMIFS(OFFSET($A$1,ROW(),29,1000-ROW(),1),OFFSET($A$1,ROW(),20,1000-ROW(),1),ROW(),OFFSET($A$1,ROW(),21,1000-ROW(),1),"Sub"))))</f>
        <v/>
      </c>
      <c r="J144" s="60">
        <f>IF(N($W144)=0,"",IF(AND($S144=MesCiclo,2&gt;SemanaActual),"",MIN(1,SUMIFS(OFFSET($A$1,ROW(),30,1000-ROW(),1),OFFSET($A$1,ROW(),20,1000-ROW(),1),ROW(),OFFSET($A$1,ROW(),21,1000-ROW(),1),"Sub"))))</f>
        <v/>
      </c>
      <c r="K144" s="60">
        <f>IF(N($W144)=0,"",IF(AND($S144=MesCiclo,3&gt;SemanaActual),"",MIN(1,SUMIFS(OFFSET($A$1,ROW(),31,1000-ROW(),1),OFFSET($A$1,ROW(),20,1000-ROW(),1),ROW(),OFFSET($A$1,ROW(),21,1000-ROW(),1),"Sub"))))</f>
        <v/>
      </c>
      <c r="L144" s="60">
        <f>IF(N($W144)=0,"",IF(AND($S144=MesCiclo,4&gt;SemanaActual),"",MIN(1,SUMIFS(OFFSET($A$1,ROW(),32,1000-ROW(),1),OFFSET($A$1,ROW(),20,1000-ROW(),1),ROW(),OFFSET($A$1,ROW(),21,1000-ROW(),1),"Sub"))))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IF($V144&lt;&gt;"Sub","",N($X144)*IF(AND(ISNUMBER($G144),$G144&lt;=IF($S144=MesCiclo,InicioCiclo,$S144+MOD(2-WEEKDAY($S144),7))+6),1,MIN(1,MAX(0,IF(ISNUMBER(OFFSET($A$1,ROW()-1,8)),OFFSET($A$1,ROW()-1,8),0)))))</f>
        <v/>
      </c>
      <c r="AE144" s="62">
        <f>IF($V144&lt;&gt;"Sub","",N($X144)*IF(AND(ISNUMBER($G144),$G144&lt;=IF($S144=MesCiclo,InicioCiclo,$S144+MOD(2-WEEKDAY($S144),7))+13),1,MIN(1,MAX(0,IF(ISNUMBER(OFFSET($A$1,ROW()-1,9)),OFFSET($A$1,ROW()-1,9),IF(ISNUMBER(OFFSET($A$1,ROW()-1,8)),OFFSET($A$1,ROW()-1,8),0))))))</f>
        <v/>
      </c>
      <c r="AF144" s="62">
        <f>IF($V144&lt;&gt;"Sub","",N($X144)*IF(AND(ISNUMBER($G144),$G144&lt;=IF($S144=MesCiclo,InicioCiclo,$S144+MOD(2-WEEKDAY($S144),7))+20),1,MIN(1,MAX(0,IF(ISNUMBER(OFFSET($A$1,ROW()-1,10)),OFFSET($A$1,ROW()-1,10),IF(ISNUMBER(OFFSET($A$1,ROW()-1,9)),OFFSET($A$1,ROW()-1,9),IF(ISNUMBER(OFFSET($A$1,ROW()-1,8)),OFFSET($A$1,ROW()-1,8),0)))))))</f>
        <v/>
      </c>
      <c r="AG144" s="62">
        <f>IF($V144&lt;&gt;"Sub","",N($X144)*IF(AND(ISNUMBER($G144),$G144&lt;=IF($S144=MesCiclo,InicioCiclo,$S144+MOD(2-WEEKDAY($S144),7))+27),1,MIN(1,MAX(0,IF(ISNUMBER(OFFSET($A$1,ROW()-1,11)),OFFSET($A$1,ROW()-1,11),IF(ISNUMBER(OFFSET($A$1,ROW()-1,10)),OFFSET($A$1,ROW()-1,10),IF(ISNUMBER(OFFSET($A$1,ROW()-1,9)),OFFSET($A$1,ROW()-1,9),IF(ISNUMBER(OFFSET($A$1,ROW()-1,8)),OFFSET($A$1,ROW()-1,8),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",IFERROR(MATCH("Riesgo Operacional|"&amp;MID($C144,12,500),rDname_ADM,0),0),"")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IF(N($W145)=0,"",IF(AND($S145=MesCiclo,1&gt;SemanaActual),"",MIN(1,SUMIFS(OFFSET($A$1,ROW(),29,1000-ROW(),1),OFFSET($A$1,ROW(),20,1000-ROW(),1),ROW(),OFFSET($A$1,ROW(),21,1000-ROW(),1),"Sub"))))</f>
        <v/>
      </c>
      <c r="J145" s="60">
        <f>IF(N($W145)=0,"",IF(AND($S145=MesCiclo,2&gt;SemanaActual),"",MIN(1,SUMIFS(OFFSET($A$1,ROW(),30,1000-ROW(),1),OFFSET($A$1,ROW(),20,1000-ROW(),1),ROW(),OFFSET($A$1,ROW(),21,1000-ROW(),1),"Sub"))))</f>
        <v/>
      </c>
      <c r="K145" s="60">
        <f>IF(N($W145)=0,"",IF(AND($S145=MesCiclo,3&gt;SemanaActual),"",MIN(1,SUMIFS(OFFSET($A$1,ROW(),31,1000-ROW(),1),OFFSET($A$1,ROW(),20,1000-ROW(),1),ROW(),OFFSET($A$1,ROW(),21,1000-ROW(),1),"Sub"))))</f>
        <v/>
      </c>
      <c r="L145" s="60">
        <f>IF(N($W145)=0,"",IF(AND($S145=MesCiclo,4&gt;SemanaActual),"",MIN(1,SUMIFS(OFFSET($A$1,ROW(),32,1000-ROW(),1),OFFSET($A$1,ROW(),20,1000-ROW(),1),ROW(),OFFSET($A$1,ROW(),21,1000-ROW(),1),"Sub"))))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IF($V145&lt;&gt;"Sub","",N($X145)*IF(AND(ISNUMBER($G145),$G145&lt;=IF($S145=MesCiclo,InicioCiclo,$S145+MOD(2-WEEKDAY($S145),7))+6),1,MIN(1,MAX(0,IF(ISNUMBER(OFFSET($A$1,ROW()-1,8)),OFFSET($A$1,ROW()-1,8),0)))))</f>
        <v/>
      </c>
      <c r="AE145" s="62">
        <f>IF($V145&lt;&gt;"Sub","",N($X145)*IF(AND(ISNUMBER($G145),$G145&lt;=IF($S145=MesCiclo,InicioCiclo,$S145+MOD(2-WEEKDAY($S145),7))+13),1,MIN(1,MAX(0,IF(ISNUMBER(OFFSET($A$1,ROW()-1,9)),OFFSET($A$1,ROW()-1,9),IF(ISNUMBER(OFFSET($A$1,ROW()-1,8)),OFFSET($A$1,ROW()-1,8),0))))))</f>
        <v/>
      </c>
      <c r="AF145" s="62">
        <f>IF($V145&lt;&gt;"Sub","",N($X145)*IF(AND(ISNUMBER($G145),$G145&lt;=IF($S145=MesCiclo,InicioCiclo,$S145+MOD(2-WEEKDAY($S145),7))+20),1,MIN(1,MAX(0,IF(ISNUMBER(OFFSET($A$1,ROW()-1,10)),OFFSET($A$1,ROW()-1,10),IF(ISNUMBER(OFFSET($A$1,ROW()-1,9)),OFFSET($A$1,ROW()-1,9),IF(ISNUMBER(OFFSET($A$1,ROW()-1,8)),OFFSET($A$1,ROW()-1,8),0)))))))</f>
        <v/>
      </c>
      <c r="AG145" s="62">
        <f>IF($V145&lt;&gt;"Sub","",N($X145)*IF(AND(ISNUMBER($G145),$G145&lt;=IF($S145=MesCiclo,InicioCiclo,$S145+MOD(2-WEEKDAY($S145),7))+27),1,MIN(1,MAX(0,IF(ISNUMBER(OFFSET($A$1,ROW()-1,11)),OFFSET($A$1,ROW()-1,11),IF(ISNUMBER(OFFSET($A$1,ROW()-1,10)),OFFSET($A$1,ROW()-1,10),IF(ISNUMBER(OFFSET($A$1,ROW()-1,9)),OFFSET($A$1,ROW()-1,9),IF(ISNUMBER(OFFSET($A$1,ROW()-1,8)),OFFSET($A$1,ROW()-1,8),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",IFERROR(MATCH("Riesgo Operacional|"&amp;MID($C145,12,500),rDname_ADM,0),0),"")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IF(N($W146)=0,"",IF(AND($S146=MesCiclo,1&gt;SemanaActual),"",MIN(1,SUMIFS(OFFSET($A$1,ROW(),29,1000-ROW(),1),OFFSET($A$1,ROW(),20,1000-ROW(),1),ROW(),OFFSET($A$1,ROW(),21,1000-ROW(),1),"Sub"))))</f>
        <v/>
      </c>
      <c r="J146" s="60">
        <f>IF(N($W146)=0,"",IF(AND($S146=MesCiclo,2&gt;SemanaActual),"",MIN(1,SUMIFS(OFFSET($A$1,ROW(),30,1000-ROW(),1),OFFSET($A$1,ROW(),20,1000-ROW(),1),ROW(),OFFSET($A$1,ROW(),21,1000-ROW(),1),"Sub"))))</f>
        <v/>
      </c>
      <c r="K146" s="60">
        <f>IF(N($W146)=0,"",IF(AND($S146=MesCiclo,3&gt;SemanaActual),"",MIN(1,SUMIFS(OFFSET($A$1,ROW(),31,1000-ROW(),1),OFFSET($A$1,ROW(),20,1000-ROW(),1),ROW(),OFFSET($A$1,ROW(),21,1000-ROW(),1),"Sub"))))</f>
        <v/>
      </c>
      <c r="L146" s="60">
        <f>IF(N($W146)=0,"",IF(AND($S146=MesCiclo,4&gt;SemanaActual),"",MIN(1,SUMIFS(OFFSET($A$1,ROW(),32,1000-ROW(),1),OFFSET($A$1,ROW(),20,1000-ROW(),1),ROW(),OFFSET($A$1,ROW(),21,1000-ROW(),1),"Sub"))))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IF($V146&lt;&gt;"Sub","",N($X146)*IF(AND(ISNUMBER($G146),$G146&lt;=IF($S146=MesCiclo,InicioCiclo,$S146+MOD(2-WEEKDAY($S146),7))+6),1,MIN(1,MAX(0,IF(ISNUMBER(OFFSET($A$1,ROW()-1,8)),OFFSET($A$1,ROW()-1,8),0)))))</f>
        <v/>
      </c>
      <c r="AE146" s="62">
        <f>IF($V146&lt;&gt;"Sub","",N($X146)*IF(AND(ISNUMBER($G146),$G146&lt;=IF($S146=MesCiclo,InicioCiclo,$S146+MOD(2-WEEKDAY($S146),7))+13),1,MIN(1,MAX(0,IF(ISNUMBER(OFFSET($A$1,ROW()-1,9)),OFFSET($A$1,ROW()-1,9),IF(ISNUMBER(OFFSET($A$1,ROW()-1,8)),OFFSET($A$1,ROW()-1,8),0))))))</f>
        <v/>
      </c>
      <c r="AF146" s="62">
        <f>IF($V146&lt;&gt;"Sub","",N($X146)*IF(AND(ISNUMBER($G146),$G146&lt;=IF($S146=MesCiclo,InicioCiclo,$S146+MOD(2-WEEKDAY($S146),7))+20),1,MIN(1,MAX(0,IF(ISNUMBER(OFFSET($A$1,ROW()-1,10)),OFFSET($A$1,ROW()-1,10),IF(ISNUMBER(OFFSET($A$1,ROW()-1,9)),OFFSET($A$1,ROW()-1,9),IF(ISNUMBER(OFFSET($A$1,ROW()-1,8)),OFFSET($A$1,ROW()-1,8),0)))))))</f>
        <v/>
      </c>
      <c r="AG146" s="62">
        <f>IF($V146&lt;&gt;"Sub","",N($X146)*IF(AND(ISNUMBER($G146),$G146&lt;=IF($S146=MesCiclo,InicioCiclo,$S146+MOD(2-WEEKDAY($S146),7))+27),1,MIN(1,MAX(0,IF(ISNUMBER(OFFSET($A$1,ROW()-1,11)),OFFSET($A$1,ROW()-1,11),IF(ISNUMBER(OFFSET($A$1,ROW()-1,10)),OFFSET($A$1,ROW()-1,10),IF(ISNUMBER(OFFSET($A$1,ROW()-1,9)),OFFSET($A$1,ROW()-1,9),IF(ISNUMBER(OFFSET($A$1,ROW()-1,8)),OFFSET($A$1,ROW()-1,8),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",IFERROR(MATCH("Riesgo Operacional|"&amp;MID($C146,12,500),rDname_ADM,0),0),"")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IF(N($W147)=0,"",IF(AND($S147=MesCiclo,1&gt;SemanaActual),"",MIN(1,SUMIFS(OFFSET($A$1,ROW(),29,1000-ROW(),1),OFFSET($A$1,ROW(),20,1000-ROW(),1),ROW(),OFFSET($A$1,ROW(),21,1000-ROW(),1),"Sub"))))</f>
        <v/>
      </c>
      <c r="J147" s="60">
        <f>IF(N($W147)=0,"",IF(AND($S147=MesCiclo,2&gt;SemanaActual),"",MIN(1,SUMIFS(OFFSET($A$1,ROW(),30,1000-ROW(),1),OFFSET($A$1,ROW(),20,1000-ROW(),1),ROW(),OFFSET($A$1,ROW(),21,1000-ROW(),1),"Sub"))))</f>
        <v/>
      </c>
      <c r="K147" s="60">
        <f>IF(N($W147)=0,"",IF(AND($S147=MesCiclo,3&gt;SemanaActual),"",MIN(1,SUMIFS(OFFSET($A$1,ROW(),31,1000-ROW(),1),OFFSET($A$1,ROW(),20,1000-ROW(),1),ROW(),OFFSET($A$1,ROW(),21,1000-ROW(),1),"Sub"))))</f>
        <v/>
      </c>
      <c r="L147" s="60">
        <f>IF(N($W147)=0,"",IF(AND($S147=MesCiclo,4&gt;SemanaActual),"",MIN(1,SUMIFS(OFFSET($A$1,ROW(),32,1000-ROW(),1),OFFSET($A$1,ROW(),20,1000-ROW(),1),ROW(),OFFSET($A$1,ROW(),21,1000-ROW(),1),"Sub"))))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IF($V147&lt;&gt;"Sub","",N($X147)*IF(AND(ISNUMBER($G147),$G147&lt;=IF($S147=MesCiclo,InicioCiclo,$S147+MOD(2-WEEKDAY($S147),7))+6),1,MIN(1,MAX(0,IF(ISNUMBER(OFFSET($A$1,ROW()-1,8)),OFFSET($A$1,ROW()-1,8),0)))))</f>
        <v/>
      </c>
      <c r="AE147" s="62">
        <f>IF($V147&lt;&gt;"Sub","",N($X147)*IF(AND(ISNUMBER($G147),$G147&lt;=IF($S147=MesCiclo,InicioCiclo,$S147+MOD(2-WEEKDAY($S147),7))+13),1,MIN(1,MAX(0,IF(ISNUMBER(OFFSET($A$1,ROW()-1,9)),OFFSET($A$1,ROW()-1,9),IF(ISNUMBER(OFFSET($A$1,ROW()-1,8)),OFFSET($A$1,ROW()-1,8),0))))))</f>
        <v/>
      </c>
      <c r="AF147" s="62">
        <f>IF($V147&lt;&gt;"Sub","",N($X147)*IF(AND(ISNUMBER($G147),$G147&lt;=IF($S147=MesCiclo,InicioCiclo,$S147+MOD(2-WEEKDAY($S147),7))+20),1,MIN(1,MAX(0,IF(ISNUMBER(OFFSET($A$1,ROW()-1,10)),OFFSET($A$1,ROW()-1,10),IF(ISNUMBER(OFFSET($A$1,ROW()-1,9)),OFFSET($A$1,ROW()-1,9),IF(ISNUMBER(OFFSET($A$1,ROW()-1,8)),OFFSET($A$1,ROW()-1,8),0)))))))</f>
        <v/>
      </c>
      <c r="AG147" s="62">
        <f>IF($V147&lt;&gt;"Sub","",N($X147)*IF(AND(ISNUMBER($G147),$G147&lt;=IF($S147=MesCiclo,InicioCiclo,$S147+MOD(2-WEEKDAY($S147),7))+27),1,MIN(1,MAX(0,IF(ISNUMBER(OFFSET($A$1,ROW()-1,11)),OFFSET($A$1,ROW()-1,11),IF(ISNUMBER(OFFSET($A$1,ROW()-1,10)),OFFSET($A$1,ROW()-1,10),IF(ISNUMBER(OFFSET($A$1,ROW()-1,9)),OFFSET($A$1,ROW()-1,9),IF(ISNUMBER(OFFSET($A$1,ROW()-1,8)),OFFSET($A$1,ROW()-1,8),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",IFERROR(MATCH("Riesgo Operacional|"&amp;MID($C147,12,500),rDname_ADM,0),0),"")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IF(N($W148)=0,"",IF(AND($S148=MesCiclo,1&gt;SemanaActual),"",MIN(1,SUMIFS(OFFSET($A$1,ROW(),29,1000-ROW(),1),OFFSET($A$1,ROW(),20,1000-ROW(),1),ROW(),OFFSET($A$1,ROW(),21,1000-ROW(),1),"Sub"))))</f>
        <v/>
      </c>
      <c r="J148" s="60">
        <f>IF(N($W148)=0,"",IF(AND($S148=MesCiclo,2&gt;SemanaActual),"",MIN(1,SUMIFS(OFFSET($A$1,ROW(),30,1000-ROW(),1),OFFSET($A$1,ROW(),20,1000-ROW(),1),ROW(),OFFSET($A$1,ROW(),21,1000-ROW(),1),"Sub"))))</f>
        <v/>
      </c>
      <c r="K148" s="60">
        <f>IF(N($W148)=0,"",IF(AND($S148=MesCiclo,3&gt;SemanaActual),"",MIN(1,SUMIFS(OFFSET($A$1,ROW(),31,1000-ROW(),1),OFFSET($A$1,ROW(),20,1000-ROW(),1),ROW(),OFFSET($A$1,ROW(),21,1000-ROW(),1),"Sub"))))</f>
        <v/>
      </c>
      <c r="L148" s="60">
        <f>IF(N($W148)=0,"",IF(AND($S148=MesCiclo,4&gt;SemanaActual),"",MIN(1,SUMIFS(OFFSET($A$1,ROW(),32,1000-ROW(),1),OFFSET($A$1,ROW(),20,1000-ROW(),1),ROW(),OFFSET($A$1,ROW(),21,1000-ROW(),1),"Sub"))))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IF($V148&lt;&gt;"Sub","",N($X148)*IF(AND(ISNUMBER($G148),$G148&lt;=IF($S148=MesCiclo,InicioCiclo,$S148+MOD(2-WEEKDAY($S148),7))+6),1,MIN(1,MAX(0,IF(ISNUMBER(OFFSET($A$1,ROW()-1,8)),OFFSET($A$1,ROW()-1,8),0)))))</f>
        <v/>
      </c>
      <c r="AE148" s="62">
        <f>IF($V148&lt;&gt;"Sub","",N($X148)*IF(AND(ISNUMBER($G148),$G148&lt;=IF($S148=MesCiclo,InicioCiclo,$S148+MOD(2-WEEKDAY($S148),7))+13),1,MIN(1,MAX(0,IF(ISNUMBER(OFFSET($A$1,ROW()-1,9)),OFFSET($A$1,ROW()-1,9),IF(ISNUMBER(OFFSET($A$1,ROW()-1,8)),OFFSET($A$1,ROW()-1,8),0))))))</f>
        <v/>
      </c>
      <c r="AF148" s="62">
        <f>IF($V148&lt;&gt;"Sub","",N($X148)*IF(AND(ISNUMBER($G148),$G148&lt;=IF($S148=MesCiclo,InicioCiclo,$S148+MOD(2-WEEKDAY($S148),7))+20),1,MIN(1,MAX(0,IF(ISNUMBER(OFFSET($A$1,ROW()-1,10)),OFFSET($A$1,ROW()-1,10),IF(ISNUMBER(OFFSET($A$1,ROW()-1,9)),OFFSET($A$1,ROW()-1,9),IF(ISNUMBER(OFFSET($A$1,ROW()-1,8)),OFFSET($A$1,ROW()-1,8),0)))))))</f>
        <v/>
      </c>
      <c r="AG148" s="62">
        <f>IF($V148&lt;&gt;"Sub","",N($X148)*IF(AND(ISNUMBER($G148),$G148&lt;=IF($S148=MesCiclo,InicioCiclo,$S148+MOD(2-WEEKDAY($S148),7))+27),1,MIN(1,MAX(0,IF(ISNUMBER(OFFSET($A$1,ROW()-1,11)),OFFSET($A$1,ROW()-1,11),IF(ISNUMBER(OFFSET($A$1,ROW()-1,10)),OFFSET($A$1,ROW()-1,10),IF(ISNUMBER(OFFSET($A$1,ROW()-1,9)),OFFSET($A$1,ROW()-1,9),IF(ISNUMBER(OFFSET($A$1,ROW()-1,8)),OFFSET($A$1,ROW()-1,8),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",IFERROR(MATCH("Riesgo Operacional|"&amp;MID($C148,12,500),rDname_ADM,0),0),"")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IF(N($W149)=0,"",IF(AND($S149=MesCiclo,1&gt;SemanaActual),"",MIN(1,SUMIFS(OFFSET($A$1,ROW(),29,1000-ROW(),1),OFFSET($A$1,ROW(),20,1000-ROW(),1),ROW(),OFFSET($A$1,ROW(),21,1000-ROW(),1),"Sub"))))</f>
        <v/>
      </c>
      <c r="J149" s="60">
        <f>IF(N($W149)=0,"",IF(AND($S149=MesCiclo,2&gt;SemanaActual),"",MIN(1,SUMIFS(OFFSET($A$1,ROW(),30,1000-ROW(),1),OFFSET($A$1,ROW(),20,1000-ROW(),1),ROW(),OFFSET($A$1,ROW(),21,1000-ROW(),1),"Sub"))))</f>
        <v/>
      </c>
      <c r="K149" s="60">
        <f>IF(N($W149)=0,"",IF(AND($S149=MesCiclo,3&gt;SemanaActual),"",MIN(1,SUMIFS(OFFSET($A$1,ROW(),31,1000-ROW(),1),OFFSET($A$1,ROW(),20,1000-ROW(),1),ROW(),OFFSET($A$1,ROW(),21,1000-ROW(),1),"Sub"))))</f>
        <v/>
      </c>
      <c r="L149" s="60">
        <f>IF(N($W149)=0,"",IF(AND($S149=MesCiclo,4&gt;SemanaActual),"",MIN(1,SUMIFS(OFFSET($A$1,ROW(),32,1000-ROW(),1),OFFSET($A$1,ROW(),20,1000-ROW(),1),ROW(),OFFSET($A$1,ROW(),21,1000-ROW(),1),"Sub"))))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IF($V149&lt;&gt;"Sub","",N($X149)*IF(AND(ISNUMBER($G149),$G149&lt;=IF($S149=MesCiclo,InicioCiclo,$S149+MOD(2-WEEKDAY($S149),7))+6),1,MIN(1,MAX(0,IF(ISNUMBER(OFFSET($A$1,ROW()-1,8)),OFFSET($A$1,ROW()-1,8),0)))))</f>
        <v/>
      </c>
      <c r="AE149" s="62">
        <f>IF($V149&lt;&gt;"Sub","",N($X149)*IF(AND(ISNUMBER($G149),$G149&lt;=IF($S149=MesCiclo,InicioCiclo,$S149+MOD(2-WEEKDAY($S149),7))+13),1,MIN(1,MAX(0,IF(ISNUMBER(OFFSET($A$1,ROW()-1,9)),OFFSET($A$1,ROW()-1,9),IF(ISNUMBER(OFFSET($A$1,ROW()-1,8)),OFFSET($A$1,ROW()-1,8),0))))))</f>
        <v/>
      </c>
      <c r="AF149" s="62">
        <f>IF($V149&lt;&gt;"Sub","",N($X149)*IF(AND(ISNUMBER($G149),$G149&lt;=IF($S149=MesCiclo,InicioCiclo,$S149+MOD(2-WEEKDAY($S149),7))+20),1,MIN(1,MAX(0,IF(ISNUMBER(OFFSET($A$1,ROW()-1,10)),OFFSET($A$1,ROW()-1,10),IF(ISNUMBER(OFFSET($A$1,ROW()-1,9)),OFFSET($A$1,ROW()-1,9),IF(ISNUMBER(OFFSET($A$1,ROW()-1,8)),OFFSET($A$1,ROW()-1,8),0)))))))</f>
        <v/>
      </c>
      <c r="AG149" s="62">
        <f>IF($V149&lt;&gt;"Sub","",N($X149)*IF(AND(ISNUMBER($G149),$G149&lt;=IF($S149=MesCiclo,InicioCiclo,$S149+MOD(2-WEEKDAY($S149),7))+27),1,MIN(1,MAX(0,IF(ISNUMBER(OFFSET($A$1,ROW()-1,11)),OFFSET($A$1,ROW()-1,11),IF(ISNUMBER(OFFSET($A$1,ROW()-1,10)),OFFSET($A$1,ROW()-1,10),IF(ISNUMBER(OFFSET($A$1,ROW()-1,9)),OFFSET($A$1,ROW()-1,9),IF(ISNUMBER(OFFSET($A$1,ROW()-1,8)),OFFSET($A$1,ROW()-1,8),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",IFERROR(MATCH("Riesgo Operacional|"&amp;MID($C149,12,500),rDname_ADM,0),0),"")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IF(N($W150)=0,"",IF(AND($S150=MesCiclo,1&gt;SemanaActual),"",MIN(1,SUMIFS(OFFSET($A$1,ROW(),29,1000-ROW(),1),OFFSET($A$1,ROW(),20,1000-ROW(),1),ROW(),OFFSET($A$1,ROW(),21,1000-ROW(),1),"Sub"))))</f>
        <v/>
      </c>
      <c r="J150" s="60">
        <f>IF(N($W150)=0,"",IF(AND($S150=MesCiclo,2&gt;SemanaActual),"",MIN(1,SUMIFS(OFFSET($A$1,ROW(),30,1000-ROW(),1),OFFSET($A$1,ROW(),20,1000-ROW(),1),ROW(),OFFSET($A$1,ROW(),21,1000-ROW(),1),"Sub"))))</f>
        <v/>
      </c>
      <c r="K150" s="60">
        <f>IF(N($W150)=0,"",IF(AND($S150=MesCiclo,3&gt;SemanaActual),"",MIN(1,SUMIFS(OFFSET($A$1,ROW(),31,1000-ROW(),1),OFFSET($A$1,ROW(),20,1000-ROW(),1),ROW(),OFFSET($A$1,ROW(),21,1000-ROW(),1),"Sub"))))</f>
        <v/>
      </c>
      <c r="L150" s="60">
        <f>IF(N($W150)=0,"",IF(AND($S150=MesCiclo,4&gt;SemanaActual),"",MIN(1,SUMIFS(OFFSET($A$1,ROW(),32,1000-ROW(),1),OFFSET($A$1,ROW(),20,1000-ROW(),1),ROW(),OFFSET($A$1,ROW(),21,1000-ROW(),1),"Sub"))))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IF($V150&lt;&gt;"Sub","",N($X150)*IF(AND(ISNUMBER($G150),$G150&lt;=IF($S150=MesCiclo,InicioCiclo,$S150+MOD(2-WEEKDAY($S150),7))+6),1,MIN(1,MAX(0,IF(ISNUMBER(OFFSET($A$1,ROW()-1,8)),OFFSET($A$1,ROW()-1,8),0)))))</f>
        <v/>
      </c>
      <c r="AE150" s="62">
        <f>IF($V150&lt;&gt;"Sub","",N($X150)*IF(AND(ISNUMBER($G150),$G150&lt;=IF($S150=MesCiclo,InicioCiclo,$S150+MOD(2-WEEKDAY($S150),7))+13),1,MIN(1,MAX(0,IF(ISNUMBER(OFFSET($A$1,ROW()-1,9)),OFFSET($A$1,ROW()-1,9),IF(ISNUMBER(OFFSET($A$1,ROW()-1,8)),OFFSET($A$1,ROW()-1,8),0))))))</f>
        <v/>
      </c>
      <c r="AF150" s="62">
        <f>IF($V150&lt;&gt;"Sub","",N($X150)*IF(AND(ISNUMBER($G150),$G150&lt;=IF($S150=MesCiclo,InicioCiclo,$S150+MOD(2-WEEKDAY($S150),7))+20),1,MIN(1,MAX(0,IF(ISNUMBER(OFFSET($A$1,ROW()-1,10)),OFFSET($A$1,ROW()-1,10),IF(ISNUMBER(OFFSET($A$1,ROW()-1,9)),OFFSET($A$1,ROW()-1,9),IF(ISNUMBER(OFFSET($A$1,ROW()-1,8)),OFFSET($A$1,ROW()-1,8),0)))))))</f>
        <v/>
      </c>
      <c r="AG150" s="62">
        <f>IF($V150&lt;&gt;"Sub","",N($X150)*IF(AND(ISNUMBER($G150),$G150&lt;=IF($S150=MesCiclo,InicioCiclo,$S150+MOD(2-WEEKDAY($S150),7))+27),1,MIN(1,MAX(0,IF(ISNUMBER(OFFSET($A$1,ROW()-1,11)),OFFSET($A$1,ROW()-1,11),IF(ISNUMBER(OFFSET($A$1,ROW()-1,10)),OFFSET($A$1,ROW()-1,10),IF(ISNUMBER(OFFSET($A$1,ROW()-1,9)),OFFSET($A$1,ROW()-1,9),IF(ISNUMBER(OFFSET($A$1,ROW()-1,8)),OFFSET($A$1,ROW()-1,8),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",IFERROR(MATCH("Riesgo Operacional|"&amp;MID($C150,12,500),rDname_ADM,0),0),"")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IF(N($W151)=0,"",IF(AND($S151=MesCiclo,1&gt;SemanaActual),"",MIN(1,SUMIFS(OFFSET($A$1,ROW(),29,1000-ROW(),1),OFFSET($A$1,ROW(),20,1000-ROW(),1),ROW(),OFFSET($A$1,ROW(),21,1000-ROW(),1),"Sub"))))</f>
        <v/>
      </c>
      <c r="J151" s="60">
        <f>IF(N($W151)=0,"",IF(AND($S151=MesCiclo,2&gt;SemanaActual),"",MIN(1,SUMIFS(OFFSET($A$1,ROW(),30,1000-ROW(),1),OFFSET($A$1,ROW(),20,1000-ROW(),1),ROW(),OFFSET($A$1,ROW(),21,1000-ROW(),1),"Sub"))))</f>
        <v/>
      </c>
      <c r="K151" s="60">
        <f>IF(N($W151)=0,"",IF(AND($S151=MesCiclo,3&gt;SemanaActual),"",MIN(1,SUMIFS(OFFSET($A$1,ROW(),31,1000-ROW(),1),OFFSET($A$1,ROW(),20,1000-ROW(),1),ROW(),OFFSET($A$1,ROW(),21,1000-ROW(),1),"Sub"))))</f>
        <v/>
      </c>
      <c r="L151" s="60">
        <f>IF(N($W151)=0,"",IF(AND($S151=MesCiclo,4&gt;SemanaActual),"",MIN(1,SUMIFS(OFFSET($A$1,ROW(),32,1000-ROW(),1),OFFSET($A$1,ROW(),20,1000-ROW(),1),ROW(),OFFSET($A$1,ROW(),21,1000-ROW(),1),"Sub"))))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IF($V151&lt;&gt;"Sub","",N($X151)*IF(AND(ISNUMBER($G151),$G151&lt;=IF($S151=MesCiclo,InicioCiclo,$S151+MOD(2-WEEKDAY($S151),7))+6),1,MIN(1,MAX(0,IF(ISNUMBER(OFFSET($A$1,ROW()-1,8)),OFFSET($A$1,ROW()-1,8),0)))))</f>
        <v/>
      </c>
      <c r="AE151" s="62">
        <f>IF($V151&lt;&gt;"Sub","",N($X151)*IF(AND(ISNUMBER($G151),$G151&lt;=IF($S151=MesCiclo,InicioCiclo,$S151+MOD(2-WEEKDAY($S151),7))+13),1,MIN(1,MAX(0,IF(ISNUMBER(OFFSET($A$1,ROW()-1,9)),OFFSET($A$1,ROW()-1,9),IF(ISNUMBER(OFFSET($A$1,ROW()-1,8)),OFFSET($A$1,ROW()-1,8),0))))))</f>
        <v/>
      </c>
      <c r="AF151" s="62">
        <f>IF($V151&lt;&gt;"Sub","",N($X151)*IF(AND(ISNUMBER($G151),$G151&lt;=IF($S151=MesCiclo,InicioCiclo,$S151+MOD(2-WEEKDAY($S151),7))+20),1,MIN(1,MAX(0,IF(ISNUMBER(OFFSET($A$1,ROW()-1,10)),OFFSET($A$1,ROW()-1,10),IF(ISNUMBER(OFFSET($A$1,ROW()-1,9)),OFFSET($A$1,ROW()-1,9),IF(ISNUMBER(OFFSET($A$1,ROW()-1,8)),OFFSET($A$1,ROW()-1,8),0)))))))</f>
        <v/>
      </c>
      <c r="AG151" s="62">
        <f>IF($V151&lt;&gt;"Sub","",N($X151)*IF(AND(ISNUMBER($G151),$G151&lt;=IF($S151=MesCiclo,InicioCiclo,$S151+MOD(2-WEEKDAY($S151),7))+27),1,MIN(1,MAX(0,IF(ISNUMBER(OFFSET($A$1,ROW()-1,11)),OFFSET($A$1,ROW()-1,11),IF(ISNUMBER(OFFSET($A$1,ROW()-1,10)),OFFSET($A$1,ROW()-1,10),IF(ISNUMBER(OFFSET($A$1,ROW()-1,9)),OFFSET($A$1,ROW()-1,9),IF(ISNUMBER(OFFSET($A$1,ROW()-1,8)),OFFSET($A$1,ROW()-1,8),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",IFERROR(MATCH("Riesgo Operacional|"&amp;MID($C151,12,500),rDname_ADM,0),0),"")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IF(N($W152)=0,"",IF(AND($S152=MesCiclo,1&gt;SemanaActual),"",MIN(1,SUMIFS(OFFSET($A$1,ROW(),29,1000-ROW(),1),OFFSET($A$1,ROW(),20,1000-ROW(),1),ROW(),OFFSET($A$1,ROW(),21,1000-ROW(),1),"Sub"))))</f>
        <v/>
      </c>
      <c r="J152" s="60">
        <f>IF(N($W152)=0,"",IF(AND($S152=MesCiclo,2&gt;SemanaActual),"",MIN(1,SUMIFS(OFFSET($A$1,ROW(),30,1000-ROW(),1),OFFSET($A$1,ROW(),20,1000-ROW(),1),ROW(),OFFSET($A$1,ROW(),21,1000-ROW(),1),"Sub"))))</f>
        <v/>
      </c>
      <c r="K152" s="60">
        <f>IF(N($W152)=0,"",IF(AND($S152=MesCiclo,3&gt;SemanaActual),"",MIN(1,SUMIFS(OFFSET($A$1,ROW(),31,1000-ROW(),1),OFFSET($A$1,ROW(),20,1000-ROW(),1),ROW(),OFFSET($A$1,ROW(),21,1000-ROW(),1),"Sub"))))</f>
        <v/>
      </c>
      <c r="L152" s="60">
        <f>IF(N($W152)=0,"",IF(AND($S152=MesCiclo,4&gt;SemanaActual),"",MIN(1,SUMIFS(OFFSET($A$1,ROW(),32,1000-ROW(),1),OFFSET($A$1,ROW(),20,1000-ROW(),1),ROW(),OFFSET($A$1,ROW(),21,1000-ROW(),1),"Sub"))))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IF($V152&lt;&gt;"Sub","",N($X152)*IF(AND(ISNUMBER($G152),$G152&lt;=IF($S152=MesCiclo,InicioCiclo,$S152+MOD(2-WEEKDAY($S152),7))+6),1,MIN(1,MAX(0,IF(ISNUMBER(OFFSET($A$1,ROW()-1,8)),OFFSET($A$1,ROW()-1,8),0)))))</f>
        <v/>
      </c>
      <c r="AE152" s="62">
        <f>IF($V152&lt;&gt;"Sub","",N($X152)*IF(AND(ISNUMBER($G152),$G152&lt;=IF($S152=MesCiclo,InicioCiclo,$S152+MOD(2-WEEKDAY($S152),7))+13),1,MIN(1,MAX(0,IF(ISNUMBER(OFFSET($A$1,ROW()-1,9)),OFFSET($A$1,ROW()-1,9),IF(ISNUMBER(OFFSET($A$1,ROW()-1,8)),OFFSET($A$1,ROW()-1,8),0))))))</f>
        <v/>
      </c>
      <c r="AF152" s="62">
        <f>IF($V152&lt;&gt;"Sub","",N($X152)*IF(AND(ISNUMBER($G152),$G152&lt;=IF($S152=MesCiclo,InicioCiclo,$S152+MOD(2-WEEKDAY($S152),7))+20),1,MIN(1,MAX(0,IF(ISNUMBER(OFFSET($A$1,ROW()-1,10)),OFFSET($A$1,ROW()-1,10),IF(ISNUMBER(OFFSET($A$1,ROW()-1,9)),OFFSET($A$1,ROW()-1,9),IF(ISNUMBER(OFFSET($A$1,ROW()-1,8)),OFFSET($A$1,ROW()-1,8),0)))))))</f>
        <v/>
      </c>
      <c r="AG152" s="62">
        <f>IF($V152&lt;&gt;"Sub","",N($X152)*IF(AND(ISNUMBER($G152),$G152&lt;=IF($S152=MesCiclo,InicioCiclo,$S152+MOD(2-WEEKDAY($S152),7))+27),1,MIN(1,MAX(0,IF(ISNUMBER(OFFSET($A$1,ROW()-1,11)),OFFSET($A$1,ROW()-1,11),IF(ISNUMBER(OFFSET($A$1,ROW()-1,10)),OFFSET($A$1,ROW()-1,10),IF(ISNUMBER(OFFSET($A$1,ROW()-1,9)),OFFSET($A$1,ROW()-1,9),IF(ISNUMBER(OFFSET($A$1,ROW()-1,8)),OFFSET($A$1,ROW()-1,8),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",IFERROR(MATCH("Riesgo Operacional|"&amp;MID($C152,12,500),rDname_ADM,0),0),"")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IF(N($W153)=0,"",IF(AND($S153=MesCiclo,1&gt;SemanaActual),"",MIN(1,SUMIFS(OFFSET($A$1,ROW(),29,1000-ROW(),1),OFFSET($A$1,ROW(),20,1000-ROW(),1),ROW(),OFFSET($A$1,ROW(),21,1000-ROW(),1),"Sub"))))</f>
        <v/>
      </c>
      <c r="J153" s="60">
        <f>IF(N($W153)=0,"",IF(AND($S153=MesCiclo,2&gt;SemanaActual),"",MIN(1,SUMIFS(OFFSET($A$1,ROW(),30,1000-ROW(),1),OFFSET($A$1,ROW(),20,1000-ROW(),1),ROW(),OFFSET($A$1,ROW(),21,1000-ROW(),1),"Sub"))))</f>
        <v/>
      </c>
      <c r="K153" s="60">
        <f>IF(N($W153)=0,"",IF(AND($S153=MesCiclo,3&gt;SemanaActual),"",MIN(1,SUMIFS(OFFSET($A$1,ROW(),31,1000-ROW(),1),OFFSET($A$1,ROW(),20,1000-ROW(),1),ROW(),OFFSET($A$1,ROW(),21,1000-ROW(),1),"Sub"))))</f>
        <v/>
      </c>
      <c r="L153" s="60">
        <f>IF(N($W153)=0,"",IF(AND($S153=MesCiclo,4&gt;SemanaActual),"",MIN(1,SUMIFS(OFFSET($A$1,ROW(),32,1000-ROW(),1),OFFSET($A$1,ROW(),20,1000-ROW(),1),ROW(),OFFSET($A$1,ROW(),21,1000-ROW(),1),"Sub"))))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IF($V153&lt;&gt;"Sub","",N($X153)*IF(AND(ISNUMBER($G153),$G153&lt;=IF($S153=MesCiclo,InicioCiclo,$S153+MOD(2-WEEKDAY($S153),7))+6),1,MIN(1,MAX(0,IF(ISNUMBER(OFFSET($A$1,ROW()-1,8)),OFFSET($A$1,ROW()-1,8),0)))))</f>
        <v/>
      </c>
      <c r="AE153" s="62">
        <f>IF($V153&lt;&gt;"Sub","",N($X153)*IF(AND(ISNUMBER($G153),$G153&lt;=IF($S153=MesCiclo,InicioCiclo,$S153+MOD(2-WEEKDAY($S153),7))+13),1,MIN(1,MAX(0,IF(ISNUMBER(OFFSET($A$1,ROW()-1,9)),OFFSET($A$1,ROW()-1,9),IF(ISNUMBER(OFFSET($A$1,ROW()-1,8)),OFFSET($A$1,ROW()-1,8),0))))))</f>
        <v/>
      </c>
      <c r="AF153" s="62">
        <f>IF($V153&lt;&gt;"Sub","",N($X153)*IF(AND(ISNUMBER($G153),$G153&lt;=IF($S153=MesCiclo,InicioCiclo,$S153+MOD(2-WEEKDAY($S153),7))+20),1,MIN(1,MAX(0,IF(ISNUMBER(OFFSET($A$1,ROW()-1,10)),OFFSET($A$1,ROW()-1,10),IF(ISNUMBER(OFFSET($A$1,ROW()-1,9)),OFFSET($A$1,ROW()-1,9),IF(ISNUMBER(OFFSET($A$1,ROW()-1,8)),OFFSET($A$1,ROW()-1,8),0)))))))</f>
        <v/>
      </c>
      <c r="AG153" s="62">
        <f>IF($V153&lt;&gt;"Sub","",N($X153)*IF(AND(ISNUMBER($G153),$G153&lt;=IF($S153=MesCiclo,InicioCiclo,$S153+MOD(2-WEEKDAY($S153),7))+27),1,MIN(1,MAX(0,IF(ISNUMBER(OFFSET($A$1,ROW()-1,11)),OFFSET($A$1,ROW()-1,11),IF(ISNUMBER(OFFSET($A$1,ROW()-1,10)),OFFSET($A$1,ROW()-1,10),IF(ISNUMBER(OFFSET($A$1,ROW()-1,9)),OFFSET($A$1,ROW()-1,9),IF(ISNUMBER(OFFSET($A$1,ROW()-1,8)),OFFSET($A$1,ROW()-1,8),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",IFERROR(MATCH("Riesgo Operacional|"&amp;MID($C153,12,500),rDname_ADM,0),0),"")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IF(N($W154)=0,"",IF(AND($S154=MesCiclo,1&gt;SemanaActual),"",MIN(1,SUMIFS(OFFSET($A$1,ROW(),29,1000-ROW(),1),OFFSET($A$1,ROW(),20,1000-ROW(),1),ROW(),OFFSET($A$1,ROW(),21,1000-ROW(),1),"Sub"))))</f>
        <v/>
      </c>
      <c r="J154" s="60">
        <f>IF(N($W154)=0,"",IF(AND($S154=MesCiclo,2&gt;SemanaActual),"",MIN(1,SUMIFS(OFFSET($A$1,ROW(),30,1000-ROW(),1),OFFSET($A$1,ROW(),20,1000-ROW(),1),ROW(),OFFSET($A$1,ROW(),21,1000-ROW(),1),"Sub"))))</f>
        <v/>
      </c>
      <c r="K154" s="60">
        <f>IF(N($W154)=0,"",IF(AND($S154=MesCiclo,3&gt;SemanaActual),"",MIN(1,SUMIFS(OFFSET($A$1,ROW(),31,1000-ROW(),1),OFFSET($A$1,ROW(),20,1000-ROW(),1),ROW(),OFFSET($A$1,ROW(),21,1000-ROW(),1),"Sub"))))</f>
        <v/>
      </c>
      <c r="L154" s="60">
        <f>IF(N($W154)=0,"",IF(AND($S154=MesCiclo,4&gt;SemanaActual),"",MIN(1,SUMIFS(OFFSET($A$1,ROW(),32,1000-ROW(),1),OFFSET($A$1,ROW(),20,1000-ROW(),1),ROW(),OFFSET($A$1,ROW(),21,1000-ROW(),1),"Sub"))))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IF($V154&lt;&gt;"Sub","",N($X154)*IF(AND(ISNUMBER($G154),$G154&lt;=IF($S154=MesCiclo,InicioCiclo,$S154+MOD(2-WEEKDAY($S154),7))+6),1,MIN(1,MAX(0,IF(ISNUMBER(OFFSET($A$1,ROW()-1,8)),OFFSET($A$1,ROW()-1,8),0)))))</f>
        <v/>
      </c>
      <c r="AE154" s="62">
        <f>IF($V154&lt;&gt;"Sub","",N($X154)*IF(AND(ISNUMBER($G154),$G154&lt;=IF($S154=MesCiclo,InicioCiclo,$S154+MOD(2-WEEKDAY($S154),7))+13),1,MIN(1,MAX(0,IF(ISNUMBER(OFFSET($A$1,ROW()-1,9)),OFFSET($A$1,ROW()-1,9),IF(ISNUMBER(OFFSET($A$1,ROW()-1,8)),OFFSET($A$1,ROW()-1,8),0))))))</f>
        <v/>
      </c>
      <c r="AF154" s="62">
        <f>IF($V154&lt;&gt;"Sub","",N($X154)*IF(AND(ISNUMBER($G154),$G154&lt;=IF($S154=MesCiclo,InicioCiclo,$S154+MOD(2-WEEKDAY($S154),7))+20),1,MIN(1,MAX(0,IF(ISNUMBER(OFFSET($A$1,ROW()-1,10)),OFFSET($A$1,ROW()-1,10),IF(ISNUMBER(OFFSET($A$1,ROW()-1,9)),OFFSET($A$1,ROW()-1,9),IF(ISNUMBER(OFFSET($A$1,ROW()-1,8)),OFFSET($A$1,ROW()-1,8),0)))))))</f>
        <v/>
      </c>
      <c r="AG154" s="62">
        <f>IF($V154&lt;&gt;"Sub","",N($X154)*IF(AND(ISNUMBER($G154),$G154&lt;=IF($S154=MesCiclo,InicioCiclo,$S154+MOD(2-WEEKDAY($S154),7))+27),1,MIN(1,MAX(0,IF(ISNUMBER(OFFSET($A$1,ROW()-1,11)),OFFSET($A$1,ROW()-1,11),IF(ISNUMBER(OFFSET($A$1,ROW()-1,10)),OFFSET($A$1,ROW()-1,10),IF(ISNUMBER(OFFSET($A$1,ROW()-1,9)),OFFSET($A$1,ROW()-1,9),IF(ISNUMBER(OFFSET($A$1,ROW()-1,8)),OFFSET($A$1,ROW()-1,8),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",IFERROR(MATCH("Riesgo Operacional|"&amp;MID($C154,12,500),rDname_ADM,0),0),"")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IF(N($W155)=0,"",IF(AND($S155=MesCiclo,1&gt;SemanaActual),"",MIN(1,SUMIFS(OFFSET($A$1,ROW(),29,1000-ROW(),1),OFFSET($A$1,ROW(),20,1000-ROW(),1),ROW(),OFFSET($A$1,ROW(),21,1000-ROW(),1),"Sub"))))</f>
        <v/>
      </c>
      <c r="J155" s="60">
        <f>IF(N($W155)=0,"",IF(AND($S155=MesCiclo,2&gt;SemanaActual),"",MIN(1,SUMIFS(OFFSET($A$1,ROW(),30,1000-ROW(),1),OFFSET($A$1,ROW(),20,1000-ROW(),1),ROW(),OFFSET($A$1,ROW(),21,1000-ROW(),1),"Sub"))))</f>
        <v/>
      </c>
      <c r="K155" s="60">
        <f>IF(N($W155)=0,"",IF(AND($S155=MesCiclo,3&gt;SemanaActual),"",MIN(1,SUMIFS(OFFSET($A$1,ROW(),31,1000-ROW(),1),OFFSET($A$1,ROW(),20,1000-ROW(),1),ROW(),OFFSET($A$1,ROW(),21,1000-ROW(),1),"Sub"))))</f>
        <v/>
      </c>
      <c r="L155" s="60">
        <f>IF(N($W155)=0,"",IF(AND($S155=MesCiclo,4&gt;SemanaActual),"",MIN(1,SUMIFS(OFFSET($A$1,ROW(),32,1000-ROW(),1),OFFSET($A$1,ROW(),20,1000-ROW(),1),ROW(),OFFSET($A$1,ROW(),21,1000-ROW(),1),"Sub"))))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IF($V155&lt;&gt;"Sub","",N($X155)*IF(AND(ISNUMBER($G155),$G155&lt;=IF($S155=MesCiclo,InicioCiclo,$S155+MOD(2-WEEKDAY($S155),7))+6),1,MIN(1,MAX(0,IF(ISNUMBER(OFFSET($A$1,ROW()-1,8)),OFFSET($A$1,ROW()-1,8),0)))))</f>
        <v/>
      </c>
      <c r="AE155" s="62">
        <f>IF($V155&lt;&gt;"Sub","",N($X155)*IF(AND(ISNUMBER($G155),$G155&lt;=IF($S155=MesCiclo,InicioCiclo,$S155+MOD(2-WEEKDAY($S155),7))+13),1,MIN(1,MAX(0,IF(ISNUMBER(OFFSET($A$1,ROW()-1,9)),OFFSET($A$1,ROW()-1,9),IF(ISNUMBER(OFFSET($A$1,ROW()-1,8)),OFFSET($A$1,ROW()-1,8),0))))))</f>
        <v/>
      </c>
      <c r="AF155" s="62">
        <f>IF($V155&lt;&gt;"Sub","",N($X155)*IF(AND(ISNUMBER($G155),$G155&lt;=IF($S155=MesCiclo,InicioCiclo,$S155+MOD(2-WEEKDAY($S155),7))+20),1,MIN(1,MAX(0,IF(ISNUMBER(OFFSET($A$1,ROW()-1,10)),OFFSET($A$1,ROW()-1,10),IF(ISNUMBER(OFFSET($A$1,ROW()-1,9)),OFFSET($A$1,ROW()-1,9),IF(ISNUMBER(OFFSET($A$1,ROW()-1,8)),OFFSET($A$1,ROW()-1,8),0)))))))</f>
        <v/>
      </c>
      <c r="AG155" s="62">
        <f>IF($V155&lt;&gt;"Sub","",N($X155)*IF(AND(ISNUMBER($G155),$G155&lt;=IF($S155=MesCiclo,InicioCiclo,$S155+MOD(2-WEEKDAY($S155),7))+27),1,MIN(1,MAX(0,IF(ISNUMBER(OFFSET($A$1,ROW()-1,11)),OFFSET($A$1,ROW()-1,11),IF(ISNUMBER(OFFSET($A$1,ROW()-1,10)),OFFSET($A$1,ROW()-1,10),IF(ISNUMBER(OFFSET($A$1,ROW()-1,9)),OFFSET($A$1,ROW()-1,9),IF(ISNUMBER(OFFSET($A$1,ROW()-1,8)),OFFSET($A$1,ROW()-1,8),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",IFERROR(MATCH("Riesgo Operacional|"&amp;MID($C155,12,500),rDname_ADM,0),0),"")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IF(N($W156)=0,"",IF(AND($S156=MesCiclo,1&gt;SemanaActual),"",MIN(1,SUMIFS(OFFSET($A$1,ROW(),29,1000-ROW(),1),OFFSET($A$1,ROW(),20,1000-ROW(),1),ROW(),OFFSET($A$1,ROW(),21,1000-ROW(),1),"Sub"))))</f>
        <v/>
      </c>
      <c r="J156" s="60">
        <f>IF(N($W156)=0,"",IF(AND($S156=MesCiclo,2&gt;SemanaActual),"",MIN(1,SUMIFS(OFFSET($A$1,ROW(),30,1000-ROW(),1),OFFSET($A$1,ROW(),20,1000-ROW(),1),ROW(),OFFSET($A$1,ROW(),21,1000-ROW(),1),"Sub"))))</f>
        <v/>
      </c>
      <c r="K156" s="60">
        <f>IF(N($W156)=0,"",IF(AND($S156=MesCiclo,3&gt;SemanaActual),"",MIN(1,SUMIFS(OFFSET($A$1,ROW(),31,1000-ROW(),1),OFFSET($A$1,ROW(),20,1000-ROW(),1),ROW(),OFFSET($A$1,ROW(),21,1000-ROW(),1),"Sub"))))</f>
        <v/>
      </c>
      <c r="L156" s="60">
        <f>IF(N($W156)=0,"",IF(AND($S156=MesCiclo,4&gt;SemanaActual),"",MIN(1,SUMIFS(OFFSET($A$1,ROW(),32,1000-ROW(),1),OFFSET($A$1,ROW(),20,1000-ROW(),1),ROW(),OFFSET($A$1,ROW(),21,1000-ROW(),1),"Sub"))))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IF($V156&lt;&gt;"Sub","",N($X156)*IF(AND(ISNUMBER($G156),$G156&lt;=IF($S156=MesCiclo,InicioCiclo,$S156+MOD(2-WEEKDAY($S156),7))+6),1,MIN(1,MAX(0,IF(ISNUMBER(OFFSET($A$1,ROW()-1,8)),OFFSET($A$1,ROW()-1,8),0)))))</f>
        <v/>
      </c>
      <c r="AE156" s="62">
        <f>IF($V156&lt;&gt;"Sub","",N($X156)*IF(AND(ISNUMBER($G156),$G156&lt;=IF($S156=MesCiclo,InicioCiclo,$S156+MOD(2-WEEKDAY($S156),7))+13),1,MIN(1,MAX(0,IF(ISNUMBER(OFFSET($A$1,ROW()-1,9)),OFFSET($A$1,ROW()-1,9),IF(ISNUMBER(OFFSET($A$1,ROW()-1,8)),OFFSET($A$1,ROW()-1,8),0))))))</f>
        <v/>
      </c>
      <c r="AF156" s="62">
        <f>IF($V156&lt;&gt;"Sub","",N($X156)*IF(AND(ISNUMBER($G156),$G156&lt;=IF($S156=MesCiclo,InicioCiclo,$S156+MOD(2-WEEKDAY($S156),7))+20),1,MIN(1,MAX(0,IF(ISNUMBER(OFFSET($A$1,ROW()-1,10)),OFFSET($A$1,ROW()-1,10),IF(ISNUMBER(OFFSET($A$1,ROW()-1,9)),OFFSET($A$1,ROW()-1,9),IF(ISNUMBER(OFFSET($A$1,ROW()-1,8)),OFFSET($A$1,ROW()-1,8),0)))))))</f>
        <v/>
      </c>
      <c r="AG156" s="62">
        <f>IF($V156&lt;&gt;"Sub","",N($X156)*IF(AND(ISNUMBER($G156),$G156&lt;=IF($S156=MesCiclo,InicioCiclo,$S156+MOD(2-WEEKDAY($S156),7))+27),1,MIN(1,MAX(0,IF(ISNUMBER(OFFSET($A$1,ROW()-1,11)),OFFSET($A$1,ROW()-1,11),IF(ISNUMBER(OFFSET($A$1,ROW()-1,10)),OFFSET($A$1,ROW()-1,10),IF(ISNUMBER(OFFSET($A$1,ROW()-1,9)),OFFSET($A$1,ROW()-1,9),IF(ISNUMBER(OFFSET($A$1,ROW()-1,8)),OFFSET($A$1,ROW()-1,8),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",IFERROR(MATCH("Riesgo Operacional|"&amp;MID($C156,12,500),rDname_ADM,0),0),"")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IF(N($W157)=0,"",IF(AND($S157=MesCiclo,1&gt;SemanaActual),"",MIN(1,SUMIFS(OFFSET($A$1,ROW(),29,1000-ROW(),1),OFFSET($A$1,ROW(),20,1000-ROW(),1),ROW(),OFFSET($A$1,ROW(),21,1000-ROW(),1),"Sub"))))</f>
        <v/>
      </c>
      <c r="J157" s="60">
        <f>IF(N($W157)=0,"",IF(AND($S157=MesCiclo,2&gt;SemanaActual),"",MIN(1,SUMIFS(OFFSET($A$1,ROW(),30,1000-ROW(),1),OFFSET($A$1,ROW(),20,1000-ROW(),1),ROW(),OFFSET($A$1,ROW(),21,1000-ROW(),1),"Sub"))))</f>
        <v/>
      </c>
      <c r="K157" s="60">
        <f>IF(N($W157)=0,"",IF(AND($S157=MesCiclo,3&gt;SemanaActual),"",MIN(1,SUMIFS(OFFSET($A$1,ROW(),31,1000-ROW(),1),OFFSET($A$1,ROW(),20,1000-ROW(),1),ROW(),OFFSET($A$1,ROW(),21,1000-ROW(),1),"Sub"))))</f>
        <v/>
      </c>
      <c r="L157" s="60">
        <f>IF(N($W157)=0,"",IF(AND($S157=MesCiclo,4&gt;SemanaActual),"",MIN(1,SUMIFS(OFFSET($A$1,ROW(),32,1000-ROW(),1),OFFSET($A$1,ROW(),20,1000-ROW(),1),ROW(),OFFSET($A$1,ROW(),21,1000-ROW(),1),"Sub"))))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IF($V157&lt;&gt;"Sub","",N($X157)*IF(AND(ISNUMBER($G157),$G157&lt;=IF($S157=MesCiclo,InicioCiclo,$S157+MOD(2-WEEKDAY($S157),7))+6),1,MIN(1,MAX(0,IF(ISNUMBER(OFFSET($A$1,ROW()-1,8)),OFFSET($A$1,ROW()-1,8),0)))))</f>
        <v/>
      </c>
      <c r="AE157" s="62">
        <f>IF($V157&lt;&gt;"Sub","",N($X157)*IF(AND(ISNUMBER($G157),$G157&lt;=IF($S157=MesCiclo,InicioCiclo,$S157+MOD(2-WEEKDAY($S157),7))+13),1,MIN(1,MAX(0,IF(ISNUMBER(OFFSET($A$1,ROW()-1,9)),OFFSET($A$1,ROW()-1,9),IF(ISNUMBER(OFFSET($A$1,ROW()-1,8)),OFFSET($A$1,ROW()-1,8),0))))))</f>
        <v/>
      </c>
      <c r="AF157" s="62">
        <f>IF($V157&lt;&gt;"Sub","",N($X157)*IF(AND(ISNUMBER($G157),$G157&lt;=IF($S157=MesCiclo,InicioCiclo,$S157+MOD(2-WEEKDAY($S157),7))+20),1,MIN(1,MAX(0,IF(ISNUMBER(OFFSET($A$1,ROW()-1,10)),OFFSET($A$1,ROW()-1,10),IF(ISNUMBER(OFFSET($A$1,ROW()-1,9)),OFFSET($A$1,ROW()-1,9),IF(ISNUMBER(OFFSET($A$1,ROW()-1,8)),OFFSET($A$1,ROW()-1,8),0)))))))</f>
        <v/>
      </c>
      <c r="AG157" s="62">
        <f>IF($V157&lt;&gt;"Sub","",N($X157)*IF(AND(ISNUMBER($G157),$G157&lt;=IF($S157=MesCiclo,InicioCiclo,$S157+MOD(2-WEEKDAY($S157),7))+27),1,MIN(1,MAX(0,IF(ISNUMBER(OFFSET($A$1,ROW()-1,11)),OFFSET($A$1,ROW()-1,11),IF(ISNUMBER(OFFSET($A$1,ROW()-1,10)),OFFSET($A$1,ROW()-1,10),IF(ISNUMBER(OFFSET($A$1,ROW()-1,9)),OFFSET($A$1,ROW()-1,9),IF(ISNUMBER(OFFSET($A$1,ROW()-1,8)),OFFSET($A$1,ROW()-1,8),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",IFERROR(MATCH("Riesgo Operacional|"&amp;MID($C157,12,500),rDname_ADM,0),0),"")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IF(N($W158)=0,"",IF(AND($S158=MesCiclo,1&gt;SemanaActual),"",MIN(1,SUMIFS(OFFSET($A$1,ROW(),29,1000-ROW(),1),OFFSET($A$1,ROW(),20,1000-ROW(),1),ROW(),OFFSET($A$1,ROW(),21,1000-ROW(),1),"Sub"))))</f>
        <v/>
      </c>
      <c r="J158" s="60">
        <f>IF(N($W158)=0,"",IF(AND($S158=MesCiclo,2&gt;SemanaActual),"",MIN(1,SUMIFS(OFFSET($A$1,ROW(),30,1000-ROW(),1),OFFSET($A$1,ROW(),20,1000-ROW(),1),ROW(),OFFSET($A$1,ROW(),21,1000-ROW(),1),"Sub"))))</f>
        <v/>
      </c>
      <c r="K158" s="60">
        <f>IF(N($W158)=0,"",IF(AND($S158=MesCiclo,3&gt;SemanaActual),"",MIN(1,SUMIFS(OFFSET($A$1,ROW(),31,1000-ROW(),1),OFFSET($A$1,ROW(),20,1000-ROW(),1),ROW(),OFFSET($A$1,ROW(),21,1000-ROW(),1),"Sub"))))</f>
        <v/>
      </c>
      <c r="L158" s="60">
        <f>IF(N($W158)=0,"",IF(AND($S158=MesCiclo,4&gt;SemanaActual),"",MIN(1,SUMIFS(OFFSET($A$1,ROW(),32,1000-ROW(),1),OFFSET($A$1,ROW(),20,1000-ROW(),1),ROW(),OFFSET($A$1,ROW(),21,1000-ROW(),1),"Sub"))))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IF($V158&lt;&gt;"Sub","",N($X158)*IF(AND(ISNUMBER($G158),$G158&lt;=IF($S158=MesCiclo,InicioCiclo,$S158+MOD(2-WEEKDAY($S158),7))+6),1,MIN(1,MAX(0,IF(ISNUMBER(OFFSET($A$1,ROW()-1,8)),OFFSET($A$1,ROW()-1,8),0)))))</f>
        <v/>
      </c>
      <c r="AE158" s="62">
        <f>IF($V158&lt;&gt;"Sub","",N($X158)*IF(AND(ISNUMBER($G158),$G158&lt;=IF($S158=MesCiclo,InicioCiclo,$S158+MOD(2-WEEKDAY($S158),7))+13),1,MIN(1,MAX(0,IF(ISNUMBER(OFFSET($A$1,ROW()-1,9)),OFFSET($A$1,ROW()-1,9),IF(ISNUMBER(OFFSET($A$1,ROW()-1,8)),OFFSET($A$1,ROW()-1,8),0))))))</f>
        <v/>
      </c>
      <c r="AF158" s="62">
        <f>IF($V158&lt;&gt;"Sub","",N($X158)*IF(AND(ISNUMBER($G158),$G158&lt;=IF($S158=MesCiclo,InicioCiclo,$S158+MOD(2-WEEKDAY($S158),7))+20),1,MIN(1,MAX(0,IF(ISNUMBER(OFFSET($A$1,ROW()-1,10)),OFFSET($A$1,ROW()-1,10),IF(ISNUMBER(OFFSET($A$1,ROW()-1,9)),OFFSET($A$1,ROW()-1,9),IF(ISNUMBER(OFFSET($A$1,ROW()-1,8)),OFFSET($A$1,ROW()-1,8),0)))))))</f>
        <v/>
      </c>
      <c r="AG158" s="62">
        <f>IF($V158&lt;&gt;"Sub","",N($X158)*IF(AND(ISNUMBER($G158),$G158&lt;=IF($S158=MesCiclo,InicioCiclo,$S158+MOD(2-WEEKDAY($S158),7))+27),1,MIN(1,MAX(0,IF(ISNUMBER(OFFSET($A$1,ROW()-1,11)),OFFSET($A$1,ROW()-1,11),IF(ISNUMBER(OFFSET($A$1,ROW()-1,10)),OFFSET($A$1,ROW()-1,10),IF(ISNUMBER(OFFSET($A$1,ROW()-1,9)),OFFSET($A$1,ROW()-1,9),IF(ISNUMBER(OFFSET($A$1,ROW()-1,8)),OFFSET($A$1,ROW()-1,8),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",IFERROR(MATCH("Riesgo Operacional|"&amp;MID($C158,12,500),rDname_ADM,0),0),"")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IF(N($W159)=0,"",IF(AND($S159=MesCiclo,1&gt;SemanaActual),"",MIN(1,SUMIFS(OFFSET($A$1,ROW(),29,1000-ROW(),1),OFFSET($A$1,ROW(),20,1000-ROW(),1),ROW(),OFFSET($A$1,ROW(),21,1000-ROW(),1),"Sub"))))</f>
        <v/>
      </c>
      <c r="J159" s="60">
        <f>IF(N($W159)=0,"",IF(AND($S159=MesCiclo,2&gt;SemanaActual),"",MIN(1,SUMIFS(OFFSET($A$1,ROW(),30,1000-ROW(),1),OFFSET($A$1,ROW(),20,1000-ROW(),1),ROW(),OFFSET($A$1,ROW(),21,1000-ROW(),1),"Sub"))))</f>
        <v/>
      </c>
      <c r="K159" s="60">
        <f>IF(N($W159)=0,"",IF(AND($S159=MesCiclo,3&gt;SemanaActual),"",MIN(1,SUMIFS(OFFSET($A$1,ROW(),31,1000-ROW(),1),OFFSET($A$1,ROW(),20,1000-ROW(),1),ROW(),OFFSET($A$1,ROW(),21,1000-ROW(),1),"Sub"))))</f>
        <v/>
      </c>
      <c r="L159" s="60">
        <f>IF(N($W159)=0,"",IF(AND($S159=MesCiclo,4&gt;SemanaActual),"",MIN(1,SUMIFS(OFFSET($A$1,ROW(),32,1000-ROW(),1),OFFSET($A$1,ROW(),20,1000-ROW(),1),ROW(),OFFSET($A$1,ROW(),21,1000-ROW(),1),"Sub"))))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IF($V159&lt;&gt;"Sub","",N($X159)*IF(AND(ISNUMBER($G159),$G159&lt;=IF($S159=MesCiclo,InicioCiclo,$S159+MOD(2-WEEKDAY($S159),7))+6),1,MIN(1,MAX(0,IF(ISNUMBER(OFFSET($A$1,ROW()-1,8)),OFFSET($A$1,ROW()-1,8),0)))))</f>
        <v/>
      </c>
      <c r="AE159" s="62">
        <f>IF($V159&lt;&gt;"Sub","",N($X159)*IF(AND(ISNUMBER($G159),$G159&lt;=IF($S159=MesCiclo,InicioCiclo,$S159+MOD(2-WEEKDAY($S159),7))+13),1,MIN(1,MAX(0,IF(ISNUMBER(OFFSET($A$1,ROW()-1,9)),OFFSET($A$1,ROW()-1,9),IF(ISNUMBER(OFFSET($A$1,ROW()-1,8)),OFFSET($A$1,ROW()-1,8),0))))))</f>
        <v/>
      </c>
      <c r="AF159" s="62">
        <f>IF($V159&lt;&gt;"Sub","",N($X159)*IF(AND(ISNUMBER($G159),$G159&lt;=IF($S159=MesCiclo,InicioCiclo,$S159+MOD(2-WEEKDAY($S159),7))+20),1,MIN(1,MAX(0,IF(ISNUMBER(OFFSET($A$1,ROW()-1,10)),OFFSET($A$1,ROW()-1,10),IF(ISNUMBER(OFFSET($A$1,ROW()-1,9)),OFFSET($A$1,ROW()-1,9),IF(ISNUMBER(OFFSET($A$1,ROW()-1,8)),OFFSET($A$1,ROW()-1,8),0)))))))</f>
        <v/>
      </c>
      <c r="AG159" s="62">
        <f>IF($V159&lt;&gt;"Sub","",N($X159)*IF(AND(ISNUMBER($G159),$G159&lt;=IF($S159=MesCiclo,InicioCiclo,$S159+MOD(2-WEEKDAY($S159),7))+27),1,MIN(1,MAX(0,IF(ISNUMBER(OFFSET($A$1,ROW()-1,11)),OFFSET($A$1,ROW()-1,11),IF(ISNUMBER(OFFSET($A$1,ROW()-1,10)),OFFSET($A$1,ROW()-1,10),IF(ISNUMBER(OFFSET($A$1,ROW()-1,9)),OFFSET($A$1,ROW()-1,9),IF(ISNUMBER(OFFSET($A$1,ROW()-1,8)),OFFSET($A$1,ROW()-1,8),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",IFERROR(MATCH("Riesgo Operacional|"&amp;MID($C159,12,500),rDname_ADM,0),0),"")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IF(N($W160)=0,"",IF(AND($S160=MesCiclo,1&gt;SemanaActual),"",MIN(1,SUMIFS(OFFSET($A$1,ROW(),29,1000-ROW(),1),OFFSET($A$1,ROW(),20,1000-ROW(),1),ROW(),OFFSET($A$1,ROW(),21,1000-ROW(),1),"Sub"))))</f>
        <v/>
      </c>
      <c r="J160" s="60">
        <f>IF(N($W160)=0,"",IF(AND($S160=MesCiclo,2&gt;SemanaActual),"",MIN(1,SUMIFS(OFFSET($A$1,ROW(),30,1000-ROW(),1),OFFSET($A$1,ROW(),20,1000-ROW(),1),ROW(),OFFSET($A$1,ROW(),21,1000-ROW(),1),"Sub"))))</f>
        <v/>
      </c>
      <c r="K160" s="60">
        <f>IF(N($W160)=0,"",IF(AND($S160=MesCiclo,3&gt;SemanaActual),"",MIN(1,SUMIFS(OFFSET($A$1,ROW(),31,1000-ROW(),1),OFFSET($A$1,ROW(),20,1000-ROW(),1),ROW(),OFFSET($A$1,ROW(),21,1000-ROW(),1),"Sub"))))</f>
        <v/>
      </c>
      <c r="L160" s="60">
        <f>IF(N($W160)=0,"",IF(AND($S160=MesCiclo,4&gt;SemanaActual),"",MIN(1,SUMIFS(OFFSET($A$1,ROW(),32,1000-ROW(),1),OFFSET($A$1,ROW(),20,1000-ROW(),1),ROW(),OFFSET($A$1,ROW(),21,1000-ROW(),1),"Sub"))))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IF($V160&lt;&gt;"Sub","",N($X160)*IF(AND(ISNUMBER($G160),$G160&lt;=IF($S160=MesCiclo,InicioCiclo,$S160+MOD(2-WEEKDAY($S160),7))+6),1,MIN(1,MAX(0,IF(ISNUMBER(OFFSET($A$1,ROW()-1,8)),OFFSET($A$1,ROW()-1,8),0)))))</f>
        <v/>
      </c>
      <c r="AE160" s="62">
        <f>IF($V160&lt;&gt;"Sub","",N($X160)*IF(AND(ISNUMBER($G160),$G160&lt;=IF($S160=MesCiclo,InicioCiclo,$S160+MOD(2-WEEKDAY($S160),7))+13),1,MIN(1,MAX(0,IF(ISNUMBER(OFFSET($A$1,ROW()-1,9)),OFFSET($A$1,ROW()-1,9),IF(ISNUMBER(OFFSET($A$1,ROW()-1,8)),OFFSET($A$1,ROW()-1,8),0))))))</f>
        <v/>
      </c>
      <c r="AF160" s="62">
        <f>IF($V160&lt;&gt;"Sub","",N($X160)*IF(AND(ISNUMBER($G160),$G160&lt;=IF($S160=MesCiclo,InicioCiclo,$S160+MOD(2-WEEKDAY($S160),7))+20),1,MIN(1,MAX(0,IF(ISNUMBER(OFFSET($A$1,ROW()-1,10)),OFFSET($A$1,ROW()-1,10),IF(ISNUMBER(OFFSET($A$1,ROW()-1,9)),OFFSET($A$1,ROW()-1,9),IF(ISNUMBER(OFFSET($A$1,ROW()-1,8)),OFFSET($A$1,ROW()-1,8),0)))))))</f>
        <v/>
      </c>
      <c r="AG160" s="62">
        <f>IF($V160&lt;&gt;"Sub","",N($X160)*IF(AND(ISNUMBER($G160),$G160&lt;=IF($S160=MesCiclo,InicioCiclo,$S160+MOD(2-WEEKDAY($S160),7))+27),1,MIN(1,MAX(0,IF(ISNUMBER(OFFSET($A$1,ROW()-1,11)),OFFSET($A$1,ROW()-1,11),IF(ISNUMBER(OFFSET($A$1,ROW()-1,10)),OFFSET($A$1,ROW()-1,10),IF(ISNUMBER(OFFSET($A$1,ROW()-1,9)),OFFSET($A$1,ROW()-1,9),IF(ISNUMBER(OFFSET($A$1,ROW()-1,8)),OFFSET($A$1,ROW()-1,8),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",IFERROR(MATCH("Riesgo Operacional|"&amp;MID($C160,12,500),rDname_ADM,0),0),"")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IF(N($W161)=0,"",IF(AND($S161=MesCiclo,1&gt;SemanaActual),"",MIN(1,SUMIFS(OFFSET($A$1,ROW(),29,1000-ROW(),1),OFFSET($A$1,ROW(),20,1000-ROW(),1),ROW(),OFFSET($A$1,ROW(),21,1000-ROW(),1),"Sub"))))</f>
        <v/>
      </c>
      <c r="J161" s="60">
        <f>IF(N($W161)=0,"",IF(AND($S161=MesCiclo,2&gt;SemanaActual),"",MIN(1,SUMIFS(OFFSET($A$1,ROW(),30,1000-ROW(),1),OFFSET($A$1,ROW(),20,1000-ROW(),1),ROW(),OFFSET($A$1,ROW(),21,1000-ROW(),1),"Sub"))))</f>
        <v/>
      </c>
      <c r="K161" s="60">
        <f>IF(N($W161)=0,"",IF(AND($S161=MesCiclo,3&gt;SemanaActual),"",MIN(1,SUMIFS(OFFSET($A$1,ROW(),31,1000-ROW(),1),OFFSET($A$1,ROW(),20,1000-ROW(),1),ROW(),OFFSET($A$1,ROW(),21,1000-ROW(),1),"Sub"))))</f>
        <v/>
      </c>
      <c r="L161" s="60">
        <f>IF(N($W161)=0,"",IF(AND($S161=MesCiclo,4&gt;SemanaActual),"",MIN(1,SUMIFS(OFFSET($A$1,ROW(),32,1000-ROW(),1),OFFSET($A$1,ROW(),20,1000-ROW(),1),ROW(),OFFSET($A$1,ROW(),21,1000-ROW(),1),"Sub"))))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IF($V161&lt;&gt;"Sub","",N($X161)*IF(AND(ISNUMBER($G161),$G161&lt;=IF($S161=MesCiclo,InicioCiclo,$S161+MOD(2-WEEKDAY($S161),7))+6),1,MIN(1,MAX(0,IF(ISNUMBER(OFFSET($A$1,ROW()-1,8)),OFFSET($A$1,ROW()-1,8),0)))))</f>
        <v/>
      </c>
      <c r="AE161" s="62">
        <f>IF($V161&lt;&gt;"Sub","",N($X161)*IF(AND(ISNUMBER($G161),$G161&lt;=IF($S161=MesCiclo,InicioCiclo,$S161+MOD(2-WEEKDAY($S161),7))+13),1,MIN(1,MAX(0,IF(ISNUMBER(OFFSET($A$1,ROW()-1,9)),OFFSET($A$1,ROW()-1,9),IF(ISNUMBER(OFFSET($A$1,ROW()-1,8)),OFFSET($A$1,ROW()-1,8),0))))))</f>
        <v/>
      </c>
      <c r="AF161" s="62">
        <f>IF($V161&lt;&gt;"Sub","",N($X161)*IF(AND(ISNUMBER($G161),$G161&lt;=IF($S161=MesCiclo,InicioCiclo,$S161+MOD(2-WEEKDAY($S161),7))+20),1,MIN(1,MAX(0,IF(ISNUMBER(OFFSET($A$1,ROW()-1,10)),OFFSET($A$1,ROW()-1,10),IF(ISNUMBER(OFFSET($A$1,ROW()-1,9)),OFFSET($A$1,ROW()-1,9),IF(ISNUMBER(OFFSET($A$1,ROW()-1,8)),OFFSET($A$1,ROW()-1,8),0)))))))</f>
        <v/>
      </c>
      <c r="AG161" s="62">
        <f>IF($V161&lt;&gt;"Sub","",N($X161)*IF(AND(ISNUMBER($G161),$G161&lt;=IF($S161=MesCiclo,InicioCiclo,$S161+MOD(2-WEEKDAY($S161),7))+27),1,MIN(1,MAX(0,IF(ISNUMBER(OFFSET($A$1,ROW()-1,11)),OFFSET($A$1,ROW()-1,11),IF(ISNUMBER(OFFSET($A$1,ROW()-1,10)),OFFSET($A$1,ROW()-1,10),IF(ISNUMBER(OFFSET($A$1,ROW()-1,9)),OFFSET($A$1,ROW()-1,9),IF(ISNUMBER(OFFSET($A$1,ROW()-1,8)),OFFSET($A$1,ROW()-1,8),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",IFERROR(MATCH("Riesgo Operacional|"&amp;MID($C161,12,500),rDname_ADM,0),0),"")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IF(N($W162)=0,"",IF(AND($S162=MesCiclo,1&gt;SemanaActual),"",MIN(1,SUMIFS(OFFSET($A$1,ROW(),29,1000-ROW(),1),OFFSET($A$1,ROW(),20,1000-ROW(),1),ROW(),OFFSET($A$1,ROW(),21,1000-ROW(),1),"Sub"))))</f>
        <v/>
      </c>
      <c r="J162" s="60">
        <f>IF(N($W162)=0,"",IF(AND($S162=MesCiclo,2&gt;SemanaActual),"",MIN(1,SUMIFS(OFFSET($A$1,ROW(),30,1000-ROW(),1),OFFSET($A$1,ROW(),20,1000-ROW(),1),ROW(),OFFSET($A$1,ROW(),21,1000-ROW(),1),"Sub"))))</f>
        <v/>
      </c>
      <c r="K162" s="60">
        <f>IF(N($W162)=0,"",IF(AND($S162=MesCiclo,3&gt;SemanaActual),"",MIN(1,SUMIFS(OFFSET($A$1,ROW(),31,1000-ROW(),1),OFFSET($A$1,ROW(),20,1000-ROW(),1),ROW(),OFFSET($A$1,ROW(),21,1000-ROW(),1),"Sub"))))</f>
        <v/>
      </c>
      <c r="L162" s="60">
        <f>IF(N($W162)=0,"",IF(AND($S162=MesCiclo,4&gt;SemanaActual),"",MIN(1,SUMIFS(OFFSET($A$1,ROW(),32,1000-ROW(),1),OFFSET($A$1,ROW(),20,1000-ROW(),1),ROW(),OFFSET($A$1,ROW(),21,1000-ROW(),1),"Sub"))))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IF($V162&lt;&gt;"Sub","",N($X162)*IF(AND(ISNUMBER($G162),$G162&lt;=IF($S162=MesCiclo,InicioCiclo,$S162+MOD(2-WEEKDAY($S162),7))+6),1,MIN(1,MAX(0,IF(ISNUMBER(OFFSET($A$1,ROW()-1,8)),OFFSET($A$1,ROW()-1,8),0)))))</f>
        <v/>
      </c>
      <c r="AE162" s="62">
        <f>IF($V162&lt;&gt;"Sub","",N($X162)*IF(AND(ISNUMBER($G162),$G162&lt;=IF($S162=MesCiclo,InicioCiclo,$S162+MOD(2-WEEKDAY($S162),7))+13),1,MIN(1,MAX(0,IF(ISNUMBER(OFFSET($A$1,ROW()-1,9)),OFFSET($A$1,ROW()-1,9),IF(ISNUMBER(OFFSET($A$1,ROW()-1,8)),OFFSET($A$1,ROW()-1,8),0))))))</f>
        <v/>
      </c>
      <c r="AF162" s="62">
        <f>IF($V162&lt;&gt;"Sub","",N($X162)*IF(AND(ISNUMBER($G162),$G162&lt;=IF($S162=MesCiclo,InicioCiclo,$S162+MOD(2-WEEKDAY($S162),7))+20),1,MIN(1,MAX(0,IF(ISNUMBER(OFFSET($A$1,ROW()-1,10)),OFFSET($A$1,ROW()-1,10),IF(ISNUMBER(OFFSET($A$1,ROW()-1,9)),OFFSET($A$1,ROW()-1,9),IF(ISNUMBER(OFFSET($A$1,ROW()-1,8)),OFFSET($A$1,ROW()-1,8),0)))))))</f>
        <v/>
      </c>
      <c r="AG162" s="62">
        <f>IF($V162&lt;&gt;"Sub","",N($X162)*IF(AND(ISNUMBER($G162),$G162&lt;=IF($S162=MesCiclo,InicioCiclo,$S162+MOD(2-WEEKDAY($S162),7))+27),1,MIN(1,MAX(0,IF(ISNUMBER(OFFSET($A$1,ROW()-1,11)),OFFSET($A$1,ROW()-1,11),IF(ISNUMBER(OFFSET($A$1,ROW()-1,10)),OFFSET($A$1,ROW()-1,10),IF(ISNUMBER(OFFSET($A$1,ROW()-1,9)),OFFSET($A$1,ROW()-1,9),IF(ISNUMBER(OFFSET($A$1,ROW()-1,8)),OFFSET($A$1,ROW()-1,8),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",IFERROR(MATCH("Riesgo Operacional|"&amp;MID($C162,12,500),rDname_ADM,0),0),"")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IF(N($W163)=0,"",IF(AND($S163=MesCiclo,1&gt;SemanaActual),"",MIN(1,SUMIFS(OFFSET($A$1,ROW(),29,1000-ROW(),1),OFFSET($A$1,ROW(),20,1000-ROW(),1),ROW(),OFFSET($A$1,ROW(),21,1000-ROW(),1),"Sub"))))</f>
        <v/>
      </c>
      <c r="J163" s="60">
        <f>IF(N($W163)=0,"",IF(AND($S163=MesCiclo,2&gt;SemanaActual),"",MIN(1,SUMIFS(OFFSET($A$1,ROW(),30,1000-ROW(),1),OFFSET($A$1,ROW(),20,1000-ROW(),1),ROW(),OFFSET($A$1,ROW(),21,1000-ROW(),1),"Sub"))))</f>
        <v/>
      </c>
      <c r="K163" s="60">
        <f>IF(N($W163)=0,"",IF(AND($S163=MesCiclo,3&gt;SemanaActual),"",MIN(1,SUMIFS(OFFSET($A$1,ROW(),31,1000-ROW(),1),OFFSET($A$1,ROW(),20,1000-ROW(),1),ROW(),OFFSET($A$1,ROW(),21,1000-ROW(),1),"Sub"))))</f>
        <v/>
      </c>
      <c r="L163" s="60">
        <f>IF(N($W163)=0,"",IF(AND($S163=MesCiclo,4&gt;SemanaActual),"",MIN(1,SUMIFS(OFFSET($A$1,ROW(),32,1000-ROW(),1),OFFSET($A$1,ROW(),20,1000-ROW(),1),ROW(),OFFSET($A$1,ROW(),21,1000-ROW(),1),"Sub"))))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IF($V163&lt;&gt;"Sub","",N($X163)*IF(AND(ISNUMBER($G163),$G163&lt;=IF($S163=MesCiclo,InicioCiclo,$S163+MOD(2-WEEKDAY($S163),7))+6),1,MIN(1,MAX(0,IF(ISNUMBER(OFFSET($A$1,ROW()-1,8)),OFFSET($A$1,ROW()-1,8),0)))))</f>
        <v/>
      </c>
      <c r="AE163" s="62">
        <f>IF($V163&lt;&gt;"Sub","",N($X163)*IF(AND(ISNUMBER($G163),$G163&lt;=IF($S163=MesCiclo,InicioCiclo,$S163+MOD(2-WEEKDAY($S163),7))+13),1,MIN(1,MAX(0,IF(ISNUMBER(OFFSET($A$1,ROW()-1,9)),OFFSET($A$1,ROW()-1,9),IF(ISNUMBER(OFFSET($A$1,ROW()-1,8)),OFFSET($A$1,ROW()-1,8),0))))))</f>
        <v/>
      </c>
      <c r="AF163" s="62">
        <f>IF($V163&lt;&gt;"Sub","",N($X163)*IF(AND(ISNUMBER($G163),$G163&lt;=IF($S163=MesCiclo,InicioCiclo,$S163+MOD(2-WEEKDAY($S163),7))+20),1,MIN(1,MAX(0,IF(ISNUMBER(OFFSET($A$1,ROW()-1,10)),OFFSET($A$1,ROW()-1,10),IF(ISNUMBER(OFFSET($A$1,ROW()-1,9)),OFFSET($A$1,ROW()-1,9),IF(ISNUMBER(OFFSET($A$1,ROW()-1,8)),OFFSET($A$1,ROW()-1,8),0)))))))</f>
        <v/>
      </c>
      <c r="AG163" s="62">
        <f>IF($V163&lt;&gt;"Sub","",N($X163)*IF(AND(ISNUMBER($G163),$G163&lt;=IF($S163=MesCiclo,InicioCiclo,$S163+MOD(2-WEEKDAY($S163),7))+27),1,MIN(1,MAX(0,IF(ISNUMBER(OFFSET($A$1,ROW()-1,11)),OFFSET($A$1,ROW()-1,11),IF(ISNUMBER(OFFSET($A$1,ROW()-1,10)),OFFSET($A$1,ROW()-1,10),IF(ISNUMBER(OFFSET($A$1,ROW()-1,9)),OFFSET($A$1,ROW()-1,9),IF(ISNUMBER(OFFSET($A$1,ROW()-1,8)),OFFSET($A$1,ROW()-1,8),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",IFERROR(MATCH("Riesgo Operacional|"&amp;MID($C163,12,500),rDname_ADM,0),0),"")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IF(N($W164)=0,"",IF(AND($S164=MesCiclo,1&gt;SemanaActual),"",MIN(1,SUMIFS(OFFSET($A$1,ROW(),29,1000-ROW(),1),OFFSET($A$1,ROW(),20,1000-ROW(),1),ROW(),OFFSET($A$1,ROW(),21,1000-ROW(),1),"Sub"))))</f>
        <v/>
      </c>
      <c r="J164" s="60">
        <f>IF(N($W164)=0,"",IF(AND($S164=MesCiclo,2&gt;SemanaActual),"",MIN(1,SUMIFS(OFFSET($A$1,ROW(),30,1000-ROW(),1),OFFSET($A$1,ROW(),20,1000-ROW(),1),ROW(),OFFSET($A$1,ROW(),21,1000-ROW(),1),"Sub"))))</f>
        <v/>
      </c>
      <c r="K164" s="60">
        <f>IF(N($W164)=0,"",IF(AND($S164=MesCiclo,3&gt;SemanaActual),"",MIN(1,SUMIFS(OFFSET($A$1,ROW(),31,1000-ROW(),1),OFFSET($A$1,ROW(),20,1000-ROW(),1),ROW(),OFFSET($A$1,ROW(),21,1000-ROW(),1),"Sub"))))</f>
        <v/>
      </c>
      <c r="L164" s="60">
        <f>IF(N($W164)=0,"",IF(AND($S164=MesCiclo,4&gt;SemanaActual),"",MIN(1,SUMIFS(OFFSET($A$1,ROW(),32,1000-ROW(),1),OFFSET($A$1,ROW(),20,1000-ROW(),1),ROW(),OFFSET($A$1,ROW(),21,1000-ROW(),1),"Sub"))))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IF($V164&lt;&gt;"Sub","",N($X164)*IF(AND(ISNUMBER($G164),$G164&lt;=IF($S164=MesCiclo,InicioCiclo,$S164+MOD(2-WEEKDAY($S164),7))+6),1,MIN(1,MAX(0,IF(ISNUMBER(OFFSET($A$1,ROW()-1,8)),OFFSET($A$1,ROW()-1,8),0)))))</f>
        <v/>
      </c>
      <c r="AE164" s="62">
        <f>IF($V164&lt;&gt;"Sub","",N($X164)*IF(AND(ISNUMBER($G164),$G164&lt;=IF($S164=MesCiclo,InicioCiclo,$S164+MOD(2-WEEKDAY($S164),7))+13),1,MIN(1,MAX(0,IF(ISNUMBER(OFFSET($A$1,ROW()-1,9)),OFFSET($A$1,ROW()-1,9),IF(ISNUMBER(OFFSET($A$1,ROW()-1,8)),OFFSET($A$1,ROW()-1,8),0))))))</f>
        <v/>
      </c>
      <c r="AF164" s="62">
        <f>IF($V164&lt;&gt;"Sub","",N($X164)*IF(AND(ISNUMBER($G164),$G164&lt;=IF($S164=MesCiclo,InicioCiclo,$S164+MOD(2-WEEKDAY($S164),7))+20),1,MIN(1,MAX(0,IF(ISNUMBER(OFFSET($A$1,ROW()-1,10)),OFFSET($A$1,ROW()-1,10),IF(ISNUMBER(OFFSET($A$1,ROW()-1,9)),OFFSET($A$1,ROW()-1,9),IF(ISNUMBER(OFFSET($A$1,ROW()-1,8)),OFFSET($A$1,ROW()-1,8),0)))))))</f>
        <v/>
      </c>
      <c r="AG164" s="62">
        <f>IF($V164&lt;&gt;"Sub","",N($X164)*IF(AND(ISNUMBER($G164),$G164&lt;=IF($S164=MesCiclo,InicioCiclo,$S164+MOD(2-WEEKDAY($S164),7))+27),1,MIN(1,MAX(0,IF(ISNUMBER(OFFSET($A$1,ROW()-1,11)),OFFSET($A$1,ROW()-1,11),IF(ISNUMBER(OFFSET($A$1,ROW()-1,10)),OFFSET($A$1,ROW()-1,10),IF(ISNUMBER(OFFSET($A$1,ROW()-1,9)),OFFSET($A$1,ROW()-1,9),IF(ISNUMBER(OFFSET($A$1,ROW()-1,8)),OFFSET($A$1,ROW()-1,8),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",IFERROR(MATCH("Riesgo Operacional|"&amp;MID($C164,12,500),rDname_ADM,0),0),"")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IF(N($W165)=0,"",IF(AND($S165=MesCiclo,1&gt;SemanaActual),"",MIN(1,SUMIFS(OFFSET($A$1,ROW(),29,1000-ROW(),1),OFFSET($A$1,ROW(),20,1000-ROW(),1),ROW(),OFFSET($A$1,ROW(),21,1000-ROW(),1),"Sub"))))</f>
        <v/>
      </c>
      <c r="J165" s="60">
        <f>IF(N($W165)=0,"",IF(AND($S165=MesCiclo,2&gt;SemanaActual),"",MIN(1,SUMIFS(OFFSET($A$1,ROW(),30,1000-ROW(),1),OFFSET($A$1,ROW(),20,1000-ROW(),1),ROW(),OFFSET($A$1,ROW(),21,1000-ROW(),1),"Sub"))))</f>
        <v/>
      </c>
      <c r="K165" s="60">
        <f>IF(N($W165)=0,"",IF(AND($S165=MesCiclo,3&gt;SemanaActual),"",MIN(1,SUMIFS(OFFSET($A$1,ROW(),31,1000-ROW(),1),OFFSET($A$1,ROW(),20,1000-ROW(),1),ROW(),OFFSET($A$1,ROW(),21,1000-ROW(),1),"Sub"))))</f>
        <v/>
      </c>
      <c r="L165" s="60">
        <f>IF(N($W165)=0,"",IF(AND($S165=MesCiclo,4&gt;SemanaActual),"",MIN(1,SUMIFS(OFFSET($A$1,ROW(),32,1000-ROW(),1),OFFSET($A$1,ROW(),20,1000-ROW(),1),ROW(),OFFSET($A$1,ROW(),21,1000-ROW(),1),"Sub"))))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IF($V165&lt;&gt;"Sub","",N($X165)*IF(AND(ISNUMBER($G165),$G165&lt;=IF($S165=MesCiclo,InicioCiclo,$S165+MOD(2-WEEKDAY($S165),7))+6),1,MIN(1,MAX(0,IF(ISNUMBER(OFFSET($A$1,ROW()-1,8)),OFFSET($A$1,ROW()-1,8),0)))))</f>
        <v/>
      </c>
      <c r="AE165" s="62">
        <f>IF($V165&lt;&gt;"Sub","",N($X165)*IF(AND(ISNUMBER($G165),$G165&lt;=IF($S165=MesCiclo,InicioCiclo,$S165+MOD(2-WEEKDAY($S165),7))+13),1,MIN(1,MAX(0,IF(ISNUMBER(OFFSET($A$1,ROW()-1,9)),OFFSET($A$1,ROW()-1,9),IF(ISNUMBER(OFFSET($A$1,ROW()-1,8)),OFFSET($A$1,ROW()-1,8),0))))))</f>
        <v/>
      </c>
      <c r="AF165" s="62">
        <f>IF($V165&lt;&gt;"Sub","",N($X165)*IF(AND(ISNUMBER($G165),$G165&lt;=IF($S165=MesCiclo,InicioCiclo,$S165+MOD(2-WEEKDAY($S165),7))+20),1,MIN(1,MAX(0,IF(ISNUMBER(OFFSET($A$1,ROW()-1,10)),OFFSET($A$1,ROW()-1,10),IF(ISNUMBER(OFFSET($A$1,ROW()-1,9)),OFFSET($A$1,ROW()-1,9),IF(ISNUMBER(OFFSET($A$1,ROW()-1,8)),OFFSET($A$1,ROW()-1,8),0)))))))</f>
        <v/>
      </c>
      <c r="AG165" s="62">
        <f>IF($V165&lt;&gt;"Sub","",N($X165)*IF(AND(ISNUMBER($G165),$G165&lt;=IF($S165=MesCiclo,InicioCiclo,$S165+MOD(2-WEEKDAY($S165),7))+27),1,MIN(1,MAX(0,IF(ISNUMBER(OFFSET($A$1,ROW()-1,11)),OFFSET($A$1,ROW()-1,11),IF(ISNUMBER(OFFSET($A$1,ROW()-1,10)),OFFSET($A$1,ROW()-1,10),IF(ISNUMBER(OFFSET($A$1,ROW()-1,9)),OFFSET($A$1,ROW()-1,9),IF(ISNUMBER(OFFSET($A$1,ROW()-1,8)),OFFSET($A$1,ROW()-1,8),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",IFERROR(MATCH("Riesgo Operacional|"&amp;MID($C165,12,500),rDname_ADM,0),0),"")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IF(N($W166)=0,"",IF(AND($S166=MesCiclo,1&gt;SemanaActual),"",MIN(1,SUMIFS(OFFSET($A$1,ROW(),29,1000-ROW(),1),OFFSET($A$1,ROW(),20,1000-ROW(),1),ROW(),OFFSET($A$1,ROW(),21,1000-ROW(),1),"Sub"))))</f>
        <v/>
      </c>
      <c r="J166" s="60">
        <f>IF(N($W166)=0,"",IF(AND($S166=MesCiclo,2&gt;SemanaActual),"",MIN(1,SUMIFS(OFFSET($A$1,ROW(),30,1000-ROW(),1),OFFSET($A$1,ROW(),20,1000-ROW(),1),ROW(),OFFSET($A$1,ROW(),21,1000-ROW(),1),"Sub"))))</f>
        <v/>
      </c>
      <c r="K166" s="60">
        <f>IF(N($W166)=0,"",IF(AND($S166=MesCiclo,3&gt;SemanaActual),"",MIN(1,SUMIFS(OFFSET($A$1,ROW(),31,1000-ROW(),1),OFFSET($A$1,ROW(),20,1000-ROW(),1),ROW(),OFFSET($A$1,ROW(),21,1000-ROW(),1),"Sub"))))</f>
        <v/>
      </c>
      <c r="L166" s="60">
        <f>IF(N($W166)=0,"",IF(AND($S166=MesCiclo,4&gt;SemanaActual),"",MIN(1,SUMIFS(OFFSET($A$1,ROW(),32,1000-ROW(),1),OFFSET($A$1,ROW(),20,1000-ROW(),1),ROW(),OFFSET($A$1,ROW(),21,1000-ROW(),1),"Sub"))))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IF($V166&lt;&gt;"Sub","",N($X166)*IF(AND(ISNUMBER($G166),$G166&lt;=IF($S166=MesCiclo,InicioCiclo,$S166+MOD(2-WEEKDAY($S166),7))+6),1,MIN(1,MAX(0,IF(ISNUMBER(OFFSET($A$1,ROW()-1,8)),OFFSET($A$1,ROW()-1,8),0)))))</f>
        <v/>
      </c>
      <c r="AE166" s="62">
        <f>IF($V166&lt;&gt;"Sub","",N($X166)*IF(AND(ISNUMBER($G166),$G166&lt;=IF($S166=MesCiclo,InicioCiclo,$S166+MOD(2-WEEKDAY($S166),7))+13),1,MIN(1,MAX(0,IF(ISNUMBER(OFFSET($A$1,ROW()-1,9)),OFFSET($A$1,ROW()-1,9),IF(ISNUMBER(OFFSET($A$1,ROW()-1,8)),OFFSET($A$1,ROW()-1,8),0))))))</f>
        <v/>
      </c>
      <c r="AF166" s="62">
        <f>IF($V166&lt;&gt;"Sub","",N($X166)*IF(AND(ISNUMBER($G166),$G166&lt;=IF($S166=MesCiclo,InicioCiclo,$S166+MOD(2-WEEKDAY($S166),7))+20),1,MIN(1,MAX(0,IF(ISNUMBER(OFFSET($A$1,ROW()-1,10)),OFFSET($A$1,ROW()-1,10),IF(ISNUMBER(OFFSET($A$1,ROW()-1,9)),OFFSET($A$1,ROW()-1,9),IF(ISNUMBER(OFFSET($A$1,ROW()-1,8)),OFFSET($A$1,ROW()-1,8),0)))))))</f>
        <v/>
      </c>
      <c r="AG166" s="62">
        <f>IF($V166&lt;&gt;"Sub","",N($X166)*IF(AND(ISNUMBER($G166),$G166&lt;=IF($S166=MesCiclo,InicioCiclo,$S166+MOD(2-WEEKDAY($S166),7))+27),1,MIN(1,MAX(0,IF(ISNUMBER(OFFSET($A$1,ROW()-1,11)),OFFSET($A$1,ROW()-1,11),IF(ISNUMBER(OFFSET($A$1,ROW()-1,10)),OFFSET($A$1,ROW()-1,10),IF(ISNUMBER(OFFSET($A$1,ROW()-1,9)),OFFSET($A$1,ROW()-1,9),IF(ISNUMBER(OFFSET($A$1,ROW()-1,8)),OFFSET($A$1,ROW()-1,8),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",IFERROR(MATCH("Riesgo Operacional|"&amp;MID($C166,12,500),rDname_ADM,0),0),"")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IF(N($W167)=0,"",IF(AND($S167=MesCiclo,1&gt;SemanaActual),"",MIN(1,SUMIFS(OFFSET($A$1,ROW(),29,1000-ROW(),1),OFFSET($A$1,ROW(),20,1000-ROW(),1),ROW(),OFFSET($A$1,ROW(),21,1000-ROW(),1),"Sub"))))</f>
        <v/>
      </c>
      <c r="J167" s="60">
        <f>IF(N($W167)=0,"",IF(AND($S167=MesCiclo,2&gt;SemanaActual),"",MIN(1,SUMIFS(OFFSET($A$1,ROW(),30,1000-ROW(),1),OFFSET($A$1,ROW(),20,1000-ROW(),1),ROW(),OFFSET($A$1,ROW(),21,1000-ROW(),1),"Sub"))))</f>
        <v/>
      </c>
      <c r="K167" s="60">
        <f>IF(N($W167)=0,"",IF(AND($S167=MesCiclo,3&gt;SemanaActual),"",MIN(1,SUMIFS(OFFSET($A$1,ROW(),31,1000-ROW(),1),OFFSET($A$1,ROW(),20,1000-ROW(),1),ROW(),OFFSET($A$1,ROW(),21,1000-ROW(),1),"Sub"))))</f>
        <v/>
      </c>
      <c r="L167" s="60">
        <f>IF(N($W167)=0,"",IF(AND($S167=MesCiclo,4&gt;SemanaActual),"",MIN(1,SUMIFS(OFFSET($A$1,ROW(),32,1000-ROW(),1),OFFSET($A$1,ROW(),20,1000-ROW(),1),ROW(),OFFSET($A$1,ROW(),21,1000-ROW(),1),"Sub"))))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IF($V167&lt;&gt;"Sub","",N($X167)*IF(AND(ISNUMBER($G167),$G167&lt;=IF($S167=MesCiclo,InicioCiclo,$S167+MOD(2-WEEKDAY($S167),7))+6),1,MIN(1,MAX(0,IF(ISNUMBER(OFFSET($A$1,ROW()-1,8)),OFFSET($A$1,ROW()-1,8),0)))))</f>
        <v/>
      </c>
      <c r="AE167" s="62">
        <f>IF($V167&lt;&gt;"Sub","",N($X167)*IF(AND(ISNUMBER($G167),$G167&lt;=IF($S167=MesCiclo,InicioCiclo,$S167+MOD(2-WEEKDAY($S167),7))+13),1,MIN(1,MAX(0,IF(ISNUMBER(OFFSET($A$1,ROW()-1,9)),OFFSET($A$1,ROW()-1,9),IF(ISNUMBER(OFFSET($A$1,ROW()-1,8)),OFFSET($A$1,ROW()-1,8),0))))))</f>
        <v/>
      </c>
      <c r="AF167" s="62">
        <f>IF($V167&lt;&gt;"Sub","",N($X167)*IF(AND(ISNUMBER($G167),$G167&lt;=IF($S167=MesCiclo,InicioCiclo,$S167+MOD(2-WEEKDAY($S167),7))+20),1,MIN(1,MAX(0,IF(ISNUMBER(OFFSET($A$1,ROW()-1,10)),OFFSET($A$1,ROW()-1,10),IF(ISNUMBER(OFFSET($A$1,ROW()-1,9)),OFFSET($A$1,ROW()-1,9),IF(ISNUMBER(OFFSET($A$1,ROW()-1,8)),OFFSET($A$1,ROW()-1,8),0)))))))</f>
        <v/>
      </c>
      <c r="AG167" s="62">
        <f>IF($V167&lt;&gt;"Sub","",N($X167)*IF(AND(ISNUMBER($G167),$G167&lt;=IF($S167=MesCiclo,InicioCiclo,$S167+MOD(2-WEEKDAY($S167),7))+27),1,MIN(1,MAX(0,IF(ISNUMBER(OFFSET($A$1,ROW()-1,11)),OFFSET($A$1,ROW()-1,11),IF(ISNUMBER(OFFSET($A$1,ROW()-1,10)),OFFSET($A$1,ROW()-1,10),IF(ISNUMBER(OFFSET($A$1,ROW()-1,9)),OFFSET($A$1,ROW()-1,9),IF(ISNUMBER(OFFSET($A$1,ROW()-1,8)),OFFSET($A$1,ROW()-1,8),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",IFERROR(MATCH("Riesgo Operacional|"&amp;MID($C167,12,500),rDname_ADM,0),0),"")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IF(N($W168)=0,"",IF(AND($S168=MesCiclo,1&gt;SemanaActual),"",MIN(1,SUMIFS(OFFSET($A$1,ROW(),29,1000-ROW(),1),OFFSET($A$1,ROW(),20,1000-ROW(),1),ROW(),OFFSET($A$1,ROW(),21,1000-ROW(),1),"Sub"))))</f>
        <v/>
      </c>
      <c r="J168" s="60">
        <f>IF(N($W168)=0,"",IF(AND($S168=MesCiclo,2&gt;SemanaActual),"",MIN(1,SUMIFS(OFFSET($A$1,ROW(),30,1000-ROW(),1),OFFSET($A$1,ROW(),20,1000-ROW(),1),ROW(),OFFSET($A$1,ROW(),21,1000-ROW(),1),"Sub"))))</f>
        <v/>
      </c>
      <c r="K168" s="60">
        <f>IF(N($W168)=0,"",IF(AND($S168=MesCiclo,3&gt;SemanaActual),"",MIN(1,SUMIFS(OFFSET($A$1,ROW(),31,1000-ROW(),1),OFFSET($A$1,ROW(),20,1000-ROW(),1),ROW(),OFFSET($A$1,ROW(),21,1000-ROW(),1),"Sub"))))</f>
        <v/>
      </c>
      <c r="L168" s="60">
        <f>IF(N($W168)=0,"",IF(AND($S168=MesCiclo,4&gt;SemanaActual),"",MIN(1,SUMIFS(OFFSET($A$1,ROW(),32,1000-ROW(),1),OFFSET($A$1,ROW(),20,1000-ROW(),1),ROW(),OFFSET($A$1,ROW(),21,1000-ROW(),1),"Sub"))))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IF($V168&lt;&gt;"Sub","",N($X168)*IF(AND(ISNUMBER($G168),$G168&lt;=IF($S168=MesCiclo,InicioCiclo,$S168+MOD(2-WEEKDAY($S168),7))+6),1,MIN(1,MAX(0,IF(ISNUMBER(OFFSET($A$1,ROW()-1,8)),OFFSET($A$1,ROW()-1,8),0)))))</f>
        <v/>
      </c>
      <c r="AE168" s="62">
        <f>IF($V168&lt;&gt;"Sub","",N($X168)*IF(AND(ISNUMBER($G168),$G168&lt;=IF($S168=MesCiclo,InicioCiclo,$S168+MOD(2-WEEKDAY($S168),7))+13),1,MIN(1,MAX(0,IF(ISNUMBER(OFFSET($A$1,ROW()-1,9)),OFFSET($A$1,ROW()-1,9),IF(ISNUMBER(OFFSET($A$1,ROW()-1,8)),OFFSET($A$1,ROW()-1,8),0))))))</f>
        <v/>
      </c>
      <c r="AF168" s="62">
        <f>IF($V168&lt;&gt;"Sub","",N($X168)*IF(AND(ISNUMBER($G168),$G168&lt;=IF($S168=MesCiclo,InicioCiclo,$S168+MOD(2-WEEKDAY($S168),7))+20),1,MIN(1,MAX(0,IF(ISNUMBER(OFFSET($A$1,ROW()-1,10)),OFFSET($A$1,ROW()-1,10),IF(ISNUMBER(OFFSET($A$1,ROW()-1,9)),OFFSET($A$1,ROW()-1,9),IF(ISNUMBER(OFFSET($A$1,ROW()-1,8)),OFFSET($A$1,ROW()-1,8),0)))))))</f>
        <v/>
      </c>
      <c r="AG168" s="62">
        <f>IF($V168&lt;&gt;"Sub","",N($X168)*IF(AND(ISNUMBER($G168),$G168&lt;=IF($S168=MesCiclo,InicioCiclo,$S168+MOD(2-WEEKDAY($S168),7))+27),1,MIN(1,MAX(0,IF(ISNUMBER(OFFSET($A$1,ROW()-1,11)),OFFSET($A$1,ROW()-1,11),IF(ISNUMBER(OFFSET($A$1,ROW()-1,10)),OFFSET($A$1,ROW()-1,10),IF(ISNUMBER(OFFSET($A$1,ROW()-1,9)),OFFSET($A$1,ROW()-1,9),IF(ISNUMBER(OFFSET($A$1,ROW()-1,8)),OFFSET($A$1,ROW()-1,8),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",IFERROR(MATCH("Riesgo Operacional|"&amp;MID($C168,12,500),rDname_ADM,0),0),"")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IF(N($W169)=0,"",IF(AND($S169=MesCiclo,1&gt;SemanaActual),"",MIN(1,SUMIFS(OFFSET($A$1,ROW(),29,1000-ROW(),1),OFFSET($A$1,ROW(),20,1000-ROW(),1),ROW(),OFFSET($A$1,ROW(),21,1000-ROW(),1),"Sub"))))</f>
        <v/>
      </c>
      <c r="J169" s="60">
        <f>IF(N($W169)=0,"",IF(AND($S169=MesCiclo,2&gt;SemanaActual),"",MIN(1,SUMIFS(OFFSET($A$1,ROW(),30,1000-ROW(),1),OFFSET($A$1,ROW(),20,1000-ROW(),1),ROW(),OFFSET($A$1,ROW(),21,1000-ROW(),1),"Sub"))))</f>
        <v/>
      </c>
      <c r="K169" s="60">
        <f>IF(N($W169)=0,"",IF(AND($S169=MesCiclo,3&gt;SemanaActual),"",MIN(1,SUMIFS(OFFSET($A$1,ROW(),31,1000-ROW(),1),OFFSET($A$1,ROW(),20,1000-ROW(),1),ROW(),OFFSET($A$1,ROW(),21,1000-ROW(),1),"Sub"))))</f>
        <v/>
      </c>
      <c r="L169" s="60">
        <f>IF(N($W169)=0,"",IF(AND($S169=MesCiclo,4&gt;SemanaActual),"",MIN(1,SUMIFS(OFFSET($A$1,ROW(),32,1000-ROW(),1),OFFSET($A$1,ROW(),20,1000-ROW(),1),ROW(),OFFSET($A$1,ROW(),21,1000-ROW(),1),"Sub"))))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IF($V169&lt;&gt;"Sub","",N($X169)*IF(AND(ISNUMBER($G169),$G169&lt;=IF($S169=MesCiclo,InicioCiclo,$S169+MOD(2-WEEKDAY($S169),7))+6),1,MIN(1,MAX(0,IF(ISNUMBER(OFFSET($A$1,ROW()-1,8)),OFFSET($A$1,ROW()-1,8),0)))))</f>
        <v/>
      </c>
      <c r="AE169" s="62">
        <f>IF($V169&lt;&gt;"Sub","",N($X169)*IF(AND(ISNUMBER($G169),$G169&lt;=IF($S169=MesCiclo,InicioCiclo,$S169+MOD(2-WEEKDAY($S169),7))+13),1,MIN(1,MAX(0,IF(ISNUMBER(OFFSET($A$1,ROW()-1,9)),OFFSET($A$1,ROW()-1,9),IF(ISNUMBER(OFFSET($A$1,ROW()-1,8)),OFFSET($A$1,ROW()-1,8),0))))))</f>
        <v/>
      </c>
      <c r="AF169" s="62">
        <f>IF($V169&lt;&gt;"Sub","",N($X169)*IF(AND(ISNUMBER($G169),$G169&lt;=IF($S169=MesCiclo,InicioCiclo,$S169+MOD(2-WEEKDAY($S169),7))+20),1,MIN(1,MAX(0,IF(ISNUMBER(OFFSET($A$1,ROW()-1,10)),OFFSET($A$1,ROW()-1,10),IF(ISNUMBER(OFFSET($A$1,ROW()-1,9)),OFFSET($A$1,ROW()-1,9),IF(ISNUMBER(OFFSET($A$1,ROW()-1,8)),OFFSET($A$1,ROW()-1,8),0)))))))</f>
        <v/>
      </c>
      <c r="AG169" s="62">
        <f>IF($V169&lt;&gt;"Sub","",N($X169)*IF(AND(ISNUMBER($G169),$G169&lt;=IF($S169=MesCiclo,InicioCiclo,$S169+MOD(2-WEEKDAY($S169),7))+27),1,MIN(1,MAX(0,IF(ISNUMBER(OFFSET($A$1,ROW()-1,11)),OFFSET($A$1,ROW()-1,11),IF(ISNUMBER(OFFSET($A$1,ROW()-1,10)),OFFSET($A$1,ROW()-1,10),IF(ISNUMBER(OFFSET($A$1,ROW()-1,9)),OFFSET($A$1,ROW()-1,9),IF(ISNUMBER(OFFSET($A$1,ROW()-1,8)),OFFSET($A$1,ROW()-1,8),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",IFERROR(MATCH("Riesgo Operacional|"&amp;MID($C169,12,500),rDname_ADM,0),0),"")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IF(N($W170)=0,"",IF(AND($S170=MesCiclo,1&gt;SemanaActual),"",MIN(1,SUMIFS(OFFSET($A$1,ROW(),29,1000-ROW(),1),OFFSET($A$1,ROW(),20,1000-ROW(),1),ROW(),OFFSET($A$1,ROW(),21,1000-ROW(),1),"Sub"))))</f>
        <v/>
      </c>
      <c r="J170" s="60">
        <f>IF(N($W170)=0,"",IF(AND($S170=MesCiclo,2&gt;SemanaActual),"",MIN(1,SUMIFS(OFFSET($A$1,ROW(),30,1000-ROW(),1),OFFSET($A$1,ROW(),20,1000-ROW(),1),ROW(),OFFSET($A$1,ROW(),21,1000-ROW(),1),"Sub"))))</f>
        <v/>
      </c>
      <c r="K170" s="60">
        <f>IF(N($W170)=0,"",IF(AND($S170=MesCiclo,3&gt;SemanaActual),"",MIN(1,SUMIFS(OFFSET($A$1,ROW(),31,1000-ROW(),1),OFFSET($A$1,ROW(),20,1000-ROW(),1),ROW(),OFFSET($A$1,ROW(),21,1000-ROW(),1),"Sub"))))</f>
        <v/>
      </c>
      <c r="L170" s="60">
        <f>IF(N($W170)=0,"",IF(AND($S170=MesCiclo,4&gt;SemanaActual),"",MIN(1,SUMIFS(OFFSET($A$1,ROW(),32,1000-ROW(),1),OFFSET($A$1,ROW(),20,1000-ROW(),1),ROW(),OFFSET($A$1,ROW(),21,1000-ROW(),1),"Sub"))))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IF($V170&lt;&gt;"Sub","",N($X170)*IF(AND(ISNUMBER($G170),$G170&lt;=IF($S170=MesCiclo,InicioCiclo,$S170+MOD(2-WEEKDAY($S170),7))+6),1,MIN(1,MAX(0,IF(ISNUMBER(OFFSET($A$1,ROW()-1,8)),OFFSET($A$1,ROW()-1,8),0)))))</f>
        <v/>
      </c>
      <c r="AE170" s="62">
        <f>IF($V170&lt;&gt;"Sub","",N($X170)*IF(AND(ISNUMBER($G170),$G170&lt;=IF($S170=MesCiclo,InicioCiclo,$S170+MOD(2-WEEKDAY($S170),7))+13),1,MIN(1,MAX(0,IF(ISNUMBER(OFFSET($A$1,ROW()-1,9)),OFFSET($A$1,ROW()-1,9),IF(ISNUMBER(OFFSET($A$1,ROW()-1,8)),OFFSET($A$1,ROW()-1,8),0))))))</f>
        <v/>
      </c>
      <c r="AF170" s="62">
        <f>IF($V170&lt;&gt;"Sub","",N($X170)*IF(AND(ISNUMBER($G170),$G170&lt;=IF($S170=MesCiclo,InicioCiclo,$S170+MOD(2-WEEKDAY($S170),7))+20),1,MIN(1,MAX(0,IF(ISNUMBER(OFFSET($A$1,ROW()-1,10)),OFFSET($A$1,ROW()-1,10),IF(ISNUMBER(OFFSET($A$1,ROW()-1,9)),OFFSET($A$1,ROW()-1,9),IF(ISNUMBER(OFFSET($A$1,ROW()-1,8)),OFFSET($A$1,ROW()-1,8),0)))))))</f>
        <v/>
      </c>
      <c r="AG170" s="62">
        <f>IF($V170&lt;&gt;"Sub","",N($X170)*IF(AND(ISNUMBER($G170),$G170&lt;=IF($S170=MesCiclo,InicioCiclo,$S170+MOD(2-WEEKDAY($S170),7))+27),1,MIN(1,MAX(0,IF(ISNUMBER(OFFSET($A$1,ROW()-1,11)),OFFSET($A$1,ROW()-1,11),IF(ISNUMBER(OFFSET($A$1,ROW()-1,10)),OFFSET($A$1,ROW()-1,10),IF(ISNUMBER(OFFSET($A$1,ROW()-1,9)),OFFSET($A$1,ROW()-1,9),IF(ISNUMBER(OFFSET($A$1,ROW()-1,8)),OFFSET($A$1,ROW()-1,8),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",IFERROR(MATCH("Riesgo Operacional|"&amp;MID($C170,12,500),rDname_ADM,0),0),"")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IF(N($W171)=0,"",IF(AND($S171=MesCiclo,1&gt;SemanaActual),"",MIN(1,SUMIFS(OFFSET($A$1,ROW(),29,1000-ROW(),1),OFFSET($A$1,ROW(),20,1000-ROW(),1),ROW(),OFFSET($A$1,ROW(),21,1000-ROW(),1),"Sub"))))</f>
        <v/>
      </c>
      <c r="J171" s="60">
        <f>IF(N($W171)=0,"",IF(AND($S171=MesCiclo,2&gt;SemanaActual),"",MIN(1,SUMIFS(OFFSET($A$1,ROW(),30,1000-ROW(),1),OFFSET($A$1,ROW(),20,1000-ROW(),1),ROW(),OFFSET($A$1,ROW(),21,1000-ROW(),1),"Sub"))))</f>
        <v/>
      </c>
      <c r="K171" s="60">
        <f>IF(N($W171)=0,"",IF(AND($S171=MesCiclo,3&gt;SemanaActual),"",MIN(1,SUMIFS(OFFSET($A$1,ROW(),31,1000-ROW(),1),OFFSET($A$1,ROW(),20,1000-ROW(),1),ROW(),OFFSET($A$1,ROW(),21,1000-ROW(),1),"Sub"))))</f>
        <v/>
      </c>
      <c r="L171" s="60">
        <f>IF(N($W171)=0,"",IF(AND($S171=MesCiclo,4&gt;SemanaActual),"",MIN(1,SUMIFS(OFFSET($A$1,ROW(),32,1000-ROW(),1),OFFSET($A$1,ROW(),20,1000-ROW(),1),ROW(),OFFSET($A$1,ROW(),21,1000-ROW(),1),"Sub"))))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IF($V171&lt;&gt;"Sub","",N($X171)*IF(AND(ISNUMBER($G171),$G171&lt;=IF($S171=MesCiclo,InicioCiclo,$S171+MOD(2-WEEKDAY($S171),7))+6),1,MIN(1,MAX(0,IF(ISNUMBER(OFFSET($A$1,ROW()-1,8)),OFFSET($A$1,ROW()-1,8),0)))))</f>
        <v/>
      </c>
      <c r="AE171" s="62">
        <f>IF($V171&lt;&gt;"Sub","",N($X171)*IF(AND(ISNUMBER($G171),$G171&lt;=IF($S171=MesCiclo,InicioCiclo,$S171+MOD(2-WEEKDAY($S171),7))+13),1,MIN(1,MAX(0,IF(ISNUMBER(OFFSET($A$1,ROW()-1,9)),OFFSET($A$1,ROW()-1,9),IF(ISNUMBER(OFFSET($A$1,ROW()-1,8)),OFFSET($A$1,ROW()-1,8),0))))))</f>
        <v/>
      </c>
      <c r="AF171" s="62">
        <f>IF($V171&lt;&gt;"Sub","",N($X171)*IF(AND(ISNUMBER($G171),$G171&lt;=IF($S171=MesCiclo,InicioCiclo,$S171+MOD(2-WEEKDAY($S171),7))+20),1,MIN(1,MAX(0,IF(ISNUMBER(OFFSET($A$1,ROW()-1,10)),OFFSET($A$1,ROW()-1,10),IF(ISNUMBER(OFFSET($A$1,ROW()-1,9)),OFFSET($A$1,ROW()-1,9),IF(ISNUMBER(OFFSET($A$1,ROW()-1,8)),OFFSET($A$1,ROW()-1,8),0)))))))</f>
        <v/>
      </c>
      <c r="AG171" s="62">
        <f>IF($V171&lt;&gt;"Sub","",N($X171)*IF(AND(ISNUMBER($G171),$G171&lt;=IF($S171=MesCiclo,InicioCiclo,$S171+MOD(2-WEEKDAY($S171),7))+27),1,MIN(1,MAX(0,IF(ISNUMBER(OFFSET($A$1,ROW()-1,11)),OFFSET($A$1,ROW()-1,11),IF(ISNUMBER(OFFSET($A$1,ROW()-1,10)),OFFSET($A$1,ROW()-1,10),IF(ISNUMBER(OFFSET($A$1,ROW()-1,9)),OFFSET($A$1,ROW()-1,9),IF(ISNUMBER(OFFSET($A$1,ROW()-1,8)),OFFSET($A$1,ROW()-1,8),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",IFERROR(MATCH("Riesgo Operacional|"&amp;MID($C171,12,500),rDname_ADM,0),0),"")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IF(N($W172)=0,"",IF(AND($S172=MesCiclo,1&gt;SemanaActual),"",MIN(1,SUMIFS(OFFSET($A$1,ROW(),29,1000-ROW(),1),OFFSET($A$1,ROW(),20,1000-ROW(),1),ROW(),OFFSET($A$1,ROW(),21,1000-ROW(),1),"Sub"))))</f>
        <v/>
      </c>
      <c r="J172" s="60">
        <f>IF(N($W172)=0,"",IF(AND($S172=MesCiclo,2&gt;SemanaActual),"",MIN(1,SUMIFS(OFFSET($A$1,ROW(),30,1000-ROW(),1),OFFSET($A$1,ROW(),20,1000-ROW(),1),ROW(),OFFSET($A$1,ROW(),21,1000-ROW(),1),"Sub"))))</f>
        <v/>
      </c>
      <c r="K172" s="60">
        <f>IF(N($W172)=0,"",IF(AND($S172=MesCiclo,3&gt;SemanaActual),"",MIN(1,SUMIFS(OFFSET($A$1,ROW(),31,1000-ROW(),1),OFFSET($A$1,ROW(),20,1000-ROW(),1),ROW(),OFFSET($A$1,ROW(),21,1000-ROW(),1),"Sub"))))</f>
        <v/>
      </c>
      <c r="L172" s="60">
        <f>IF(N($W172)=0,"",IF(AND($S172=MesCiclo,4&gt;SemanaActual),"",MIN(1,SUMIFS(OFFSET($A$1,ROW(),32,1000-ROW(),1),OFFSET($A$1,ROW(),20,1000-ROW(),1),ROW(),OFFSET($A$1,ROW(),21,1000-ROW(),1),"Sub"))))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IF($V172&lt;&gt;"Sub","",N($X172)*IF(AND(ISNUMBER($G172),$G172&lt;=IF($S172=MesCiclo,InicioCiclo,$S172+MOD(2-WEEKDAY($S172),7))+6),1,MIN(1,MAX(0,IF(ISNUMBER(OFFSET($A$1,ROW()-1,8)),OFFSET($A$1,ROW()-1,8),0)))))</f>
        <v/>
      </c>
      <c r="AE172" s="62">
        <f>IF($V172&lt;&gt;"Sub","",N($X172)*IF(AND(ISNUMBER($G172),$G172&lt;=IF($S172=MesCiclo,InicioCiclo,$S172+MOD(2-WEEKDAY($S172),7))+13),1,MIN(1,MAX(0,IF(ISNUMBER(OFFSET($A$1,ROW()-1,9)),OFFSET($A$1,ROW()-1,9),IF(ISNUMBER(OFFSET($A$1,ROW()-1,8)),OFFSET($A$1,ROW()-1,8),0))))))</f>
        <v/>
      </c>
      <c r="AF172" s="62">
        <f>IF($V172&lt;&gt;"Sub","",N($X172)*IF(AND(ISNUMBER($G172),$G172&lt;=IF($S172=MesCiclo,InicioCiclo,$S172+MOD(2-WEEKDAY($S172),7))+20),1,MIN(1,MAX(0,IF(ISNUMBER(OFFSET($A$1,ROW()-1,10)),OFFSET($A$1,ROW()-1,10),IF(ISNUMBER(OFFSET($A$1,ROW()-1,9)),OFFSET($A$1,ROW()-1,9),IF(ISNUMBER(OFFSET($A$1,ROW()-1,8)),OFFSET($A$1,ROW()-1,8),0)))))))</f>
        <v/>
      </c>
      <c r="AG172" s="62">
        <f>IF($V172&lt;&gt;"Sub","",N($X172)*IF(AND(ISNUMBER($G172),$G172&lt;=IF($S172=MesCiclo,InicioCiclo,$S172+MOD(2-WEEKDAY($S172),7))+27),1,MIN(1,MAX(0,IF(ISNUMBER(OFFSET($A$1,ROW()-1,11)),OFFSET($A$1,ROW()-1,11),IF(ISNUMBER(OFFSET($A$1,ROW()-1,10)),OFFSET($A$1,ROW()-1,10),IF(ISNUMBER(OFFSET($A$1,ROW()-1,9)),OFFSET($A$1,ROW()-1,9),IF(ISNUMBER(OFFSET($A$1,ROW()-1,8)),OFFSET($A$1,ROW()-1,8),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",IFERROR(MATCH("Riesgo Operacional|"&amp;MID($C172,12,500),rDname_ADM,0),0),"")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IF(N($W173)=0,"",IF(AND($S173=MesCiclo,1&gt;SemanaActual),"",MIN(1,SUMIFS(OFFSET($A$1,ROW(),29,1000-ROW(),1),OFFSET($A$1,ROW(),20,1000-ROW(),1),ROW(),OFFSET($A$1,ROW(),21,1000-ROW(),1),"Sub"))))</f>
        <v/>
      </c>
      <c r="J173" s="60">
        <f>IF(N($W173)=0,"",IF(AND($S173=MesCiclo,2&gt;SemanaActual),"",MIN(1,SUMIFS(OFFSET($A$1,ROW(),30,1000-ROW(),1),OFFSET($A$1,ROW(),20,1000-ROW(),1),ROW(),OFFSET($A$1,ROW(),21,1000-ROW(),1),"Sub"))))</f>
        <v/>
      </c>
      <c r="K173" s="60">
        <f>IF(N($W173)=0,"",IF(AND($S173=MesCiclo,3&gt;SemanaActual),"",MIN(1,SUMIFS(OFFSET($A$1,ROW(),31,1000-ROW(),1),OFFSET($A$1,ROW(),20,1000-ROW(),1),ROW(),OFFSET($A$1,ROW(),21,1000-ROW(),1),"Sub"))))</f>
        <v/>
      </c>
      <c r="L173" s="60">
        <f>IF(N($W173)=0,"",IF(AND($S173=MesCiclo,4&gt;SemanaActual),"",MIN(1,SUMIFS(OFFSET($A$1,ROW(),32,1000-ROW(),1),OFFSET($A$1,ROW(),20,1000-ROW(),1),ROW(),OFFSET($A$1,ROW(),21,1000-ROW(),1),"Sub"))))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IF($V173&lt;&gt;"Sub","",N($X173)*IF(AND(ISNUMBER($G173),$G173&lt;=IF($S173=MesCiclo,InicioCiclo,$S173+MOD(2-WEEKDAY($S173),7))+6),1,MIN(1,MAX(0,IF(ISNUMBER(OFFSET($A$1,ROW()-1,8)),OFFSET($A$1,ROW()-1,8),0)))))</f>
        <v/>
      </c>
      <c r="AE173" s="62">
        <f>IF($V173&lt;&gt;"Sub","",N($X173)*IF(AND(ISNUMBER($G173),$G173&lt;=IF($S173=MesCiclo,InicioCiclo,$S173+MOD(2-WEEKDAY($S173),7))+13),1,MIN(1,MAX(0,IF(ISNUMBER(OFFSET($A$1,ROW()-1,9)),OFFSET($A$1,ROW()-1,9),IF(ISNUMBER(OFFSET($A$1,ROW()-1,8)),OFFSET($A$1,ROW()-1,8),0))))))</f>
        <v/>
      </c>
      <c r="AF173" s="62">
        <f>IF($V173&lt;&gt;"Sub","",N($X173)*IF(AND(ISNUMBER($G173),$G173&lt;=IF($S173=MesCiclo,InicioCiclo,$S173+MOD(2-WEEKDAY($S173),7))+20),1,MIN(1,MAX(0,IF(ISNUMBER(OFFSET($A$1,ROW()-1,10)),OFFSET($A$1,ROW()-1,10),IF(ISNUMBER(OFFSET($A$1,ROW()-1,9)),OFFSET($A$1,ROW()-1,9),IF(ISNUMBER(OFFSET($A$1,ROW()-1,8)),OFFSET($A$1,ROW()-1,8),0)))))))</f>
        <v/>
      </c>
      <c r="AG173" s="62">
        <f>IF($V173&lt;&gt;"Sub","",N($X173)*IF(AND(ISNUMBER($G173),$G173&lt;=IF($S173=MesCiclo,InicioCiclo,$S173+MOD(2-WEEKDAY($S173),7))+27),1,MIN(1,MAX(0,IF(ISNUMBER(OFFSET($A$1,ROW()-1,11)),OFFSET($A$1,ROW()-1,11),IF(ISNUMBER(OFFSET($A$1,ROW()-1,10)),OFFSET($A$1,ROW()-1,10),IF(ISNUMBER(OFFSET($A$1,ROW()-1,9)),OFFSET($A$1,ROW()-1,9),IF(ISNUMBER(OFFSET($A$1,ROW()-1,8)),OFFSET($A$1,ROW()-1,8),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",IFERROR(MATCH("Riesgo Operacional|"&amp;MID($C173,12,500),rDname_ADM,0),0),"")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IF(N($W174)=0,"",IF(AND($S174=MesCiclo,1&gt;SemanaActual),"",MIN(1,SUMIFS(OFFSET($A$1,ROW(),29,1000-ROW(),1),OFFSET($A$1,ROW(),20,1000-ROW(),1),ROW(),OFFSET($A$1,ROW(),21,1000-ROW(),1),"Sub"))))</f>
        <v/>
      </c>
      <c r="J174" s="60">
        <f>IF(N($W174)=0,"",IF(AND($S174=MesCiclo,2&gt;SemanaActual),"",MIN(1,SUMIFS(OFFSET($A$1,ROW(),30,1000-ROW(),1),OFFSET($A$1,ROW(),20,1000-ROW(),1),ROW(),OFFSET($A$1,ROW(),21,1000-ROW(),1),"Sub"))))</f>
        <v/>
      </c>
      <c r="K174" s="60">
        <f>IF(N($W174)=0,"",IF(AND($S174=MesCiclo,3&gt;SemanaActual),"",MIN(1,SUMIFS(OFFSET($A$1,ROW(),31,1000-ROW(),1),OFFSET($A$1,ROW(),20,1000-ROW(),1),ROW(),OFFSET($A$1,ROW(),21,1000-ROW(),1),"Sub"))))</f>
        <v/>
      </c>
      <c r="L174" s="60">
        <f>IF(N($W174)=0,"",IF(AND($S174=MesCiclo,4&gt;SemanaActual),"",MIN(1,SUMIFS(OFFSET($A$1,ROW(),32,1000-ROW(),1),OFFSET($A$1,ROW(),20,1000-ROW(),1),ROW(),OFFSET($A$1,ROW(),21,1000-ROW(),1),"Sub"))))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IF($V174&lt;&gt;"Sub","",N($X174)*IF(AND(ISNUMBER($G174),$G174&lt;=IF($S174=MesCiclo,InicioCiclo,$S174+MOD(2-WEEKDAY($S174),7))+6),1,MIN(1,MAX(0,IF(ISNUMBER(OFFSET($A$1,ROW()-1,8)),OFFSET($A$1,ROW()-1,8),0)))))</f>
        <v/>
      </c>
      <c r="AE174" s="62">
        <f>IF($V174&lt;&gt;"Sub","",N($X174)*IF(AND(ISNUMBER($G174),$G174&lt;=IF($S174=MesCiclo,InicioCiclo,$S174+MOD(2-WEEKDAY($S174),7))+13),1,MIN(1,MAX(0,IF(ISNUMBER(OFFSET($A$1,ROW()-1,9)),OFFSET($A$1,ROW()-1,9),IF(ISNUMBER(OFFSET($A$1,ROW()-1,8)),OFFSET($A$1,ROW()-1,8),0))))))</f>
        <v/>
      </c>
      <c r="AF174" s="62">
        <f>IF($V174&lt;&gt;"Sub","",N($X174)*IF(AND(ISNUMBER($G174),$G174&lt;=IF($S174=MesCiclo,InicioCiclo,$S174+MOD(2-WEEKDAY($S174),7))+20),1,MIN(1,MAX(0,IF(ISNUMBER(OFFSET($A$1,ROW()-1,10)),OFFSET($A$1,ROW()-1,10),IF(ISNUMBER(OFFSET($A$1,ROW()-1,9)),OFFSET($A$1,ROW()-1,9),IF(ISNUMBER(OFFSET($A$1,ROW()-1,8)),OFFSET($A$1,ROW()-1,8),0)))))))</f>
        <v/>
      </c>
      <c r="AG174" s="62">
        <f>IF($V174&lt;&gt;"Sub","",N($X174)*IF(AND(ISNUMBER($G174),$G174&lt;=IF($S174=MesCiclo,InicioCiclo,$S174+MOD(2-WEEKDAY($S174),7))+27),1,MIN(1,MAX(0,IF(ISNUMBER(OFFSET($A$1,ROW()-1,11)),OFFSET($A$1,ROW()-1,11),IF(ISNUMBER(OFFSET($A$1,ROW()-1,10)),OFFSET($A$1,ROW()-1,10),IF(ISNUMBER(OFFSET($A$1,ROW()-1,9)),OFFSET($A$1,ROW()-1,9),IF(ISNUMBER(OFFSET($A$1,ROW()-1,8)),OFFSET($A$1,ROW()-1,8),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",IFERROR(MATCH("Riesgo Operacional|"&amp;MID($C174,12,500),rDname_ADM,0),0),"")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IF(N($W175)=0,"",IF(AND($S175=MesCiclo,1&gt;SemanaActual),"",MIN(1,SUMIFS(OFFSET($A$1,ROW(),29,1000-ROW(),1),OFFSET($A$1,ROW(),20,1000-ROW(),1),ROW(),OFFSET($A$1,ROW(),21,1000-ROW(),1),"Sub"))))</f>
        <v/>
      </c>
      <c r="J175" s="60">
        <f>IF(N($W175)=0,"",IF(AND($S175=MesCiclo,2&gt;SemanaActual),"",MIN(1,SUMIFS(OFFSET($A$1,ROW(),30,1000-ROW(),1),OFFSET($A$1,ROW(),20,1000-ROW(),1),ROW(),OFFSET($A$1,ROW(),21,1000-ROW(),1),"Sub"))))</f>
        <v/>
      </c>
      <c r="K175" s="60">
        <f>IF(N($W175)=0,"",IF(AND($S175=MesCiclo,3&gt;SemanaActual),"",MIN(1,SUMIFS(OFFSET($A$1,ROW(),31,1000-ROW(),1),OFFSET($A$1,ROW(),20,1000-ROW(),1),ROW(),OFFSET($A$1,ROW(),21,1000-ROW(),1),"Sub"))))</f>
        <v/>
      </c>
      <c r="L175" s="60">
        <f>IF(N($W175)=0,"",IF(AND($S175=MesCiclo,4&gt;SemanaActual),"",MIN(1,SUMIFS(OFFSET($A$1,ROW(),32,1000-ROW(),1),OFFSET($A$1,ROW(),20,1000-ROW(),1),ROW(),OFFSET($A$1,ROW(),21,1000-ROW(),1),"Sub"))))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IF($V175&lt;&gt;"Sub","",N($X175)*IF(AND(ISNUMBER($G175),$G175&lt;=IF($S175=MesCiclo,InicioCiclo,$S175+MOD(2-WEEKDAY($S175),7))+6),1,MIN(1,MAX(0,IF(ISNUMBER(OFFSET($A$1,ROW()-1,8)),OFFSET($A$1,ROW()-1,8),0)))))</f>
        <v/>
      </c>
      <c r="AE175" s="62">
        <f>IF($V175&lt;&gt;"Sub","",N($X175)*IF(AND(ISNUMBER($G175),$G175&lt;=IF($S175=MesCiclo,InicioCiclo,$S175+MOD(2-WEEKDAY($S175),7))+13),1,MIN(1,MAX(0,IF(ISNUMBER(OFFSET($A$1,ROW()-1,9)),OFFSET($A$1,ROW()-1,9),IF(ISNUMBER(OFFSET($A$1,ROW()-1,8)),OFFSET($A$1,ROW()-1,8),0))))))</f>
        <v/>
      </c>
      <c r="AF175" s="62">
        <f>IF($V175&lt;&gt;"Sub","",N($X175)*IF(AND(ISNUMBER($G175),$G175&lt;=IF($S175=MesCiclo,InicioCiclo,$S175+MOD(2-WEEKDAY($S175),7))+20),1,MIN(1,MAX(0,IF(ISNUMBER(OFFSET($A$1,ROW()-1,10)),OFFSET($A$1,ROW()-1,10),IF(ISNUMBER(OFFSET($A$1,ROW()-1,9)),OFFSET($A$1,ROW()-1,9),IF(ISNUMBER(OFFSET($A$1,ROW()-1,8)),OFFSET($A$1,ROW()-1,8),0)))))))</f>
        <v/>
      </c>
      <c r="AG175" s="62">
        <f>IF($V175&lt;&gt;"Sub","",N($X175)*IF(AND(ISNUMBER($G175),$G175&lt;=IF($S175=MesCiclo,InicioCiclo,$S175+MOD(2-WEEKDAY($S175),7))+27),1,MIN(1,MAX(0,IF(ISNUMBER(OFFSET($A$1,ROW()-1,11)),OFFSET($A$1,ROW()-1,11),IF(ISNUMBER(OFFSET($A$1,ROW()-1,10)),OFFSET($A$1,ROW()-1,10),IF(ISNUMBER(OFFSET($A$1,ROW()-1,9)),OFFSET($A$1,ROW()-1,9),IF(ISNUMBER(OFFSET($A$1,ROW()-1,8)),OFFSET($A$1,ROW()-1,8),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",IFERROR(MATCH("Riesgo Operacional|"&amp;MID($C175,12,500),rDname_ADM,0),0),"")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IF(N($W176)=0,"",IF(AND($S176=MesCiclo,1&gt;SemanaActual),"",MIN(1,SUMIFS(OFFSET($A$1,ROW(),29,1000-ROW(),1),OFFSET($A$1,ROW(),20,1000-ROW(),1),ROW(),OFFSET($A$1,ROW(),21,1000-ROW(),1),"Sub"))))</f>
        <v/>
      </c>
      <c r="J176" s="60">
        <f>IF(N($W176)=0,"",IF(AND($S176=MesCiclo,2&gt;SemanaActual),"",MIN(1,SUMIFS(OFFSET($A$1,ROW(),30,1000-ROW(),1),OFFSET($A$1,ROW(),20,1000-ROW(),1),ROW(),OFFSET($A$1,ROW(),21,1000-ROW(),1),"Sub"))))</f>
        <v/>
      </c>
      <c r="K176" s="60">
        <f>IF(N($W176)=0,"",IF(AND($S176=MesCiclo,3&gt;SemanaActual),"",MIN(1,SUMIFS(OFFSET($A$1,ROW(),31,1000-ROW(),1),OFFSET($A$1,ROW(),20,1000-ROW(),1),ROW(),OFFSET($A$1,ROW(),21,1000-ROW(),1),"Sub"))))</f>
        <v/>
      </c>
      <c r="L176" s="60">
        <f>IF(N($W176)=0,"",IF(AND($S176=MesCiclo,4&gt;SemanaActual),"",MIN(1,SUMIFS(OFFSET($A$1,ROW(),32,1000-ROW(),1),OFFSET($A$1,ROW(),20,1000-ROW(),1),ROW(),OFFSET($A$1,ROW(),21,1000-ROW(),1),"Sub"))))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IF($V176&lt;&gt;"Sub","",N($X176)*IF(AND(ISNUMBER($G176),$G176&lt;=IF($S176=MesCiclo,InicioCiclo,$S176+MOD(2-WEEKDAY($S176),7))+6),1,MIN(1,MAX(0,IF(ISNUMBER(OFFSET($A$1,ROW()-1,8)),OFFSET($A$1,ROW()-1,8),0)))))</f>
        <v/>
      </c>
      <c r="AE176" s="62">
        <f>IF($V176&lt;&gt;"Sub","",N($X176)*IF(AND(ISNUMBER($G176),$G176&lt;=IF($S176=MesCiclo,InicioCiclo,$S176+MOD(2-WEEKDAY($S176),7))+13),1,MIN(1,MAX(0,IF(ISNUMBER(OFFSET($A$1,ROW()-1,9)),OFFSET($A$1,ROW()-1,9),IF(ISNUMBER(OFFSET($A$1,ROW()-1,8)),OFFSET($A$1,ROW()-1,8),0))))))</f>
        <v/>
      </c>
      <c r="AF176" s="62">
        <f>IF($V176&lt;&gt;"Sub","",N($X176)*IF(AND(ISNUMBER($G176),$G176&lt;=IF($S176=MesCiclo,InicioCiclo,$S176+MOD(2-WEEKDAY($S176),7))+20),1,MIN(1,MAX(0,IF(ISNUMBER(OFFSET($A$1,ROW()-1,10)),OFFSET($A$1,ROW()-1,10),IF(ISNUMBER(OFFSET($A$1,ROW()-1,9)),OFFSET($A$1,ROW()-1,9),IF(ISNUMBER(OFFSET($A$1,ROW()-1,8)),OFFSET($A$1,ROW()-1,8),0)))))))</f>
        <v/>
      </c>
      <c r="AG176" s="62">
        <f>IF($V176&lt;&gt;"Sub","",N($X176)*IF(AND(ISNUMBER($G176),$G176&lt;=IF($S176=MesCiclo,InicioCiclo,$S176+MOD(2-WEEKDAY($S176),7))+27),1,MIN(1,MAX(0,IF(ISNUMBER(OFFSET($A$1,ROW()-1,11)),OFFSET($A$1,ROW()-1,11),IF(ISNUMBER(OFFSET($A$1,ROW()-1,10)),OFFSET($A$1,ROW()-1,10),IF(ISNUMBER(OFFSET($A$1,ROW()-1,9)),OFFSET($A$1,ROW()-1,9),IF(ISNUMBER(OFFSET($A$1,ROW()-1,8)),OFFSET($A$1,ROW()-1,8),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",IFERROR(MATCH("Riesgo Operacional|"&amp;MID($C176,12,500),rDname_ADM,0),0),"")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IF(N($W177)=0,"",IF(AND($S177=MesCiclo,1&gt;SemanaActual),"",MIN(1,SUMIFS(OFFSET($A$1,ROW(),29,1000-ROW(),1),OFFSET($A$1,ROW(),20,1000-ROW(),1),ROW(),OFFSET($A$1,ROW(),21,1000-ROW(),1),"Sub"))))</f>
        <v/>
      </c>
      <c r="J177" s="60">
        <f>IF(N($W177)=0,"",IF(AND($S177=MesCiclo,2&gt;SemanaActual),"",MIN(1,SUMIFS(OFFSET($A$1,ROW(),30,1000-ROW(),1),OFFSET($A$1,ROW(),20,1000-ROW(),1),ROW(),OFFSET($A$1,ROW(),21,1000-ROW(),1),"Sub"))))</f>
        <v/>
      </c>
      <c r="K177" s="60">
        <f>IF(N($W177)=0,"",IF(AND($S177=MesCiclo,3&gt;SemanaActual),"",MIN(1,SUMIFS(OFFSET($A$1,ROW(),31,1000-ROW(),1),OFFSET($A$1,ROW(),20,1000-ROW(),1),ROW(),OFFSET($A$1,ROW(),21,1000-ROW(),1),"Sub"))))</f>
        <v/>
      </c>
      <c r="L177" s="60">
        <f>IF(N($W177)=0,"",IF(AND($S177=MesCiclo,4&gt;SemanaActual),"",MIN(1,SUMIFS(OFFSET($A$1,ROW(),32,1000-ROW(),1),OFFSET($A$1,ROW(),20,1000-ROW(),1),ROW(),OFFSET($A$1,ROW(),21,1000-ROW(),1),"Sub"))))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IF($V177&lt;&gt;"Sub","",N($X177)*IF(AND(ISNUMBER($G177),$G177&lt;=IF($S177=MesCiclo,InicioCiclo,$S177+MOD(2-WEEKDAY($S177),7))+6),1,MIN(1,MAX(0,IF(ISNUMBER(OFFSET($A$1,ROW()-1,8)),OFFSET($A$1,ROW()-1,8),0)))))</f>
        <v/>
      </c>
      <c r="AE177" s="62">
        <f>IF($V177&lt;&gt;"Sub","",N($X177)*IF(AND(ISNUMBER($G177),$G177&lt;=IF($S177=MesCiclo,InicioCiclo,$S177+MOD(2-WEEKDAY($S177),7))+13),1,MIN(1,MAX(0,IF(ISNUMBER(OFFSET($A$1,ROW()-1,9)),OFFSET($A$1,ROW()-1,9),IF(ISNUMBER(OFFSET($A$1,ROW()-1,8)),OFFSET($A$1,ROW()-1,8),0))))))</f>
        <v/>
      </c>
      <c r="AF177" s="62">
        <f>IF($V177&lt;&gt;"Sub","",N($X177)*IF(AND(ISNUMBER($G177),$G177&lt;=IF($S177=MesCiclo,InicioCiclo,$S177+MOD(2-WEEKDAY($S177),7))+20),1,MIN(1,MAX(0,IF(ISNUMBER(OFFSET($A$1,ROW()-1,10)),OFFSET($A$1,ROW()-1,10),IF(ISNUMBER(OFFSET($A$1,ROW()-1,9)),OFFSET($A$1,ROW()-1,9),IF(ISNUMBER(OFFSET($A$1,ROW()-1,8)),OFFSET($A$1,ROW()-1,8),0)))))))</f>
        <v/>
      </c>
      <c r="AG177" s="62">
        <f>IF($V177&lt;&gt;"Sub","",N($X177)*IF(AND(ISNUMBER($G177),$G177&lt;=IF($S177=MesCiclo,InicioCiclo,$S177+MOD(2-WEEKDAY($S177),7))+27),1,MIN(1,MAX(0,IF(ISNUMBER(OFFSET($A$1,ROW()-1,11)),OFFSET($A$1,ROW()-1,11),IF(ISNUMBER(OFFSET($A$1,ROW()-1,10)),OFFSET($A$1,ROW()-1,10),IF(ISNUMBER(OFFSET($A$1,ROW()-1,9)),OFFSET($A$1,ROW()-1,9),IF(ISNUMBER(OFFSET($A$1,ROW()-1,8)),OFFSET($A$1,ROW()-1,8),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",IFERROR(MATCH("Riesgo Operacional|"&amp;MID($C177,12,500),rDname_ADM,0),0),"")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IF(N($W178)=0,"",IF(AND($S178=MesCiclo,1&gt;SemanaActual),"",MIN(1,SUMIFS(OFFSET($A$1,ROW(),29,1000-ROW(),1),OFFSET($A$1,ROW(),20,1000-ROW(),1),ROW(),OFFSET($A$1,ROW(),21,1000-ROW(),1),"Sub"))))</f>
        <v/>
      </c>
      <c r="J178" s="60">
        <f>IF(N($W178)=0,"",IF(AND($S178=MesCiclo,2&gt;SemanaActual),"",MIN(1,SUMIFS(OFFSET($A$1,ROW(),30,1000-ROW(),1),OFFSET($A$1,ROW(),20,1000-ROW(),1),ROW(),OFFSET($A$1,ROW(),21,1000-ROW(),1),"Sub"))))</f>
        <v/>
      </c>
      <c r="K178" s="60">
        <f>IF(N($W178)=0,"",IF(AND($S178=MesCiclo,3&gt;SemanaActual),"",MIN(1,SUMIFS(OFFSET($A$1,ROW(),31,1000-ROW(),1),OFFSET($A$1,ROW(),20,1000-ROW(),1),ROW(),OFFSET($A$1,ROW(),21,1000-ROW(),1),"Sub"))))</f>
        <v/>
      </c>
      <c r="L178" s="60">
        <f>IF(N($W178)=0,"",IF(AND($S178=MesCiclo,4&gt;SemanaActual),"",MIN(1,SUMIFS(OFFSET($A$1,ROW(),32,1000-ROW(),1),OFFSET($A$1,ROW(),20,1000-ROW(),1),ROW(),OFFSET($A$1,ROW(),21,1000-ROW(),1),"Sub"))))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IF($V178&lt;&gt;"Sub","",N($X178)*IF(AND(ISNUMBER($G178),$G178&lt;=IF($S178=MesCiclo,InicioCiclo,$S178+MOD(2-WEEKDAY($S178),7))+6),1,MIN(1,MAX(0,IF(ISNUMBER(OFFSET($A$1,ROW()-1,8)),OFFSET($A$1,ROW()-1,8),0)))))</f>
        <v/>
      </c>
      <c r="AE178" s="62">
        <f>IF($V178&lt;&gt;"Sub","",N($X178)*IF(AND(ISNUMBER($G178),$G178&lt;=IF($S178=MesCiclo,InicioCiclo,$S178+MOD(2-WEEKDAY($S178),7))+13),1,MIN(1,MAX(0,IF(ISNUMBER(OFFSET($A$1,ROW()-1,9)),OFFSET($A$1,ROW()-1,9),IF(ISNUMBER(OFFSET($A$1,ROW()-1,8)),OFFSET($A$1,ROW()-1,8),0))))))</f>
        <v/>
      </c>
      <c r="AF178" s="62">
        <f>IF($V178&lt;&gt;"Sub","",N($X178)*IF(AND(ISNUMBER($G178),$G178&lt;=IF($S178=MesCiclo,InicioCiclo,$S178+MOD(2-WEEKDAY($S178),7))+20),1,MIN(1,MAX(0,IF(ISNUMBER(OFFSET($A$1,ROW()-1,10)),OFFSET($A$1,ROW()-1,10),IF(ISNUMBER(OFFSET($A$1,ROW()-1,9)),OFFSET($A$1,ROW()-1,9),IF(ISNUMBER(OFFSET($A$1,ROW()-1,8)),OFFSET($A$1,ROW()-1,8),0)))))))</f>
        <v/>
      </c>
      <c r="AG178" s="62">
        <f>IF($V178&lt;&gt;"Sub","",N($X178)*IF(AND(ISNUMBER($G178),$G178&lt;=IF($S178=MesCiclo,InicioCiclo,$S178+MOD(2-WEEKDAY($S178),7))+27),1,MIN(1,MAX(0,IF(ISNUMBER(OFFSET($A$1,ROW()-1,11)),OFFSET($A$1,ROW()-1,11),IF(ISNUMBER(OFFSET($A$1,ROW()-1,10)),OFFSET($A$1,ROW()-1,10),IF(ISNUMBER(OFFSET($A$1,ROW()-1,9)),OFFSET($A$1,ROW()-1,9),IF(ISNUMBER(OFFSET($A$1,ROW()-1,8)),OFFSET($A$1,ROW()-1,8),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",IFERROR(MATCH("Riesgo Operacional|"&amp;MID($C178,12,500),rDname_ADM,0),0),"")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IF(N($W179)=0,"",IF(AND($S179=MesCiclo,1&gt;SemanaActual),"",MIN(1,SUMIFS(OFFSET($A$1,ROW(),29,1000-ROW(),1),OFFSET($A$1,ROW(),20,1000-ROW(),1),ROW(),OFFSET($A$1,ROW(),21,1000-ROW(),1),"Sub"))))</f>
        <v/>
      </c>
      <c r="J179" s="60">
        <f>IF(N($W179)=0,"",IF(AND($S179=MesCiclo,2&gt;SemanaActual),"",MIN(1,SUMIFS(OFFSET($A$1,ROW(),30,1000-ROW(),1),OFFSET($A$1,ROW(),20,1000-ROW(),1),ROW(),OFFSET($A$1,ROW(),21,1000-ROW(),1),"Sub"))))</f>
        <v/>
      </c>
      <c r="K179" s="60">
        <f>IF(N($W179)=0,"",IF(AND($S179=MesCiclo,3&gt;SemanaActual),"",MIN(1,SUMIFS(OFFSET($A$1,ROW(),31,1000-ROW(),1),OFFSET($A$1,ROW(),20,1000-ROW(),1),ROW(),OFFSET($A$1,ROW(),21,1000-ROW(),1),"Sub"))))</f>
        <v/>
      </c>
      <c r="L179" s="60">
        <f>IF(N($W179)=0,"",IF(AND($S179=MesCiclo,4&gt;SemanaActual),"",MIN(1,SUMIFS(OFFSET($A$1,ROW(),32,1000-ROW(),1),OFFSET($A$1,ROW(),20,1000-ROW(),1),ROW(),OFFSET($A$1,ROW(),21,1000-ROW(),1),"Sub"))))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IF($V179&lt;&gt;"Sub","",N($X179)*IF(AND(ISNUMBER($G179),$G179&lt;=IF($S179=MesCiclo,InicioCiclo,$S179+MOD(2-WEEKDAY($S179),7))+6),1,MIN(1,MAX(0,IF(ISNUMBER(OFFSET($A$1,ROW()-1,8)),OFFSET($A$1,ROW()-1,8),0)))))</f>
        <v/>
      </c>
      <c r="AE179" s="62">
        <f>IF($V179&lt;&gt;"Sub","",N($X179)*IF(AND(ISNUMBER($G179),$G179&lt;=IF($S179=MesCiclo,InicioCiclo,$S179+MOD(2-WEEKDAY($S179),7))+13),1,MIN(1,MAX(0,IF(ISNUMBER(OFFSET($A$1,ROW()-1,9)),OFFSET($A$1,ROW()-1,9),IF(ISNUMBER(OFFSET($A$1,ROW()-1,8)),OFFSET($A$1,ROW()-1,8),0))))))</f>
        <v/>
      </c>
      <c r="AF179" s="62">
        <f>IF($V179&lt;&gt;"Sub","",N($X179)*IF(AND(ISNUMBER($G179),$G179&lt;=IF($S179=MesCiclo,InicioCiclo,$S179+MOD(2-WEEKDAY($S179),7))+20),1,MIN(1,MAX(0,IF(ISNUMBER(OFFSET($A$1,ROW()-1,10)),OFFSET($A$1,ROW()-1,10),IF(ISNUMBER(OFFSET($A$1,ROW()-1,9)),OFFSET($A$1,ROW()-1,9),IF(ISNUMBER(OFFSET($A$1,ROW()-1,8)),OFFSET($A$1,ROW()-1,8),0)))))))</f>
        <v/>
      </c>
      <c r="AG179" s="62">
        <f>IF($V179&lt;&gt;"Sub","",N($X179)*IF(AND(ISNUMBER($G179),$G179&lt;=IF($S179=MesCiclo,InicioCiclo,$S179+MOD(2-WEEKDAY($S179),7))+27),1,MIN(1,MAX(0,IF(ISNUMBER(OFFSET($A$1,ROW()-1,11)),OFFSET($A$1,ROW()-1,11),IF(ISNUMBER(OFFSET($A$1,ROW()-1,10)),OFFSET($A$1,ROW()-1,10),IF(ISNUMBER(OFFSET($A$1,ROW()-1,9)),OFFSET($A$1,ROW()-1,9),IF(ISNUMBER(OFFSET($A$1,ROW()-1,8)),OFFSET($A$1,ROW()-1,8),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",IFERROR(MATCH("Riesgo Operacional|"&amp;MID($C179,12,500),rDname_ADM,0),0),"")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IF(N($W180)=0,"",IF(AND($S180=MesCiclo,1&gt;SemanaActual),"",MIN(1,SUMIFS(OFFSET($A$1,ROW(),29,1000-ROW(),1),OFFSET($A$1,ROW(),20,1000-ROW(),1),ROW(),OFFSET($A$1,ROW(),21,1000-ROW(),1),"Sub"))))</f>
        <v/>
      </c>
      <c r="J180" s="60">
        <f>IF(N($W180)=0,"",IF(AND($S180=MesCiclo,2&gt;SemanaActual),"",MIN(1,SUMIFS(OFFSET($A$1,ROW(),30,1000-ROW(),1),OFFSET($A$1,ROW(),20,1000-ROW(),1),ROW(),OFFSET($A$1,ROW(),21,1000-ROW(),1),"Sub"))))</f>
        <v/>
      </c>
      <c r="K180" s="60">
        <f>IF(N($W180)=0,"",IF(AND($S180=MesCiclo,3&gt;SemanaActual),"",MIN(1,SUMIFS(OFFSET($A$1,ROW(),31,1000-ROW(),1),OFFSET($A$1,ROW(),20,1000-ROW(),1),ROW(),OFFSET($A$1,ROW(),21,1000-ROW(),1),"Sub"))))</f>
        <v/>
      </c>
      <c r="L180" s="60">
        <f>IF(N($W180)=0,"",IF(AND($S180=MesCiclo,4&gt;SemanaActual),"",MIN(1,SUMIFS(OFFSET($A$1,ROW(),32,1000-ROW(),1),OFFSET($A$1,ROW(),20,1000-ROW(),1),ROW(),OFFSET($A$1,ROW(),21,1000-ROW(),1),"Sub"))))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IF($V180&lt;&gt;"Sub","",N($X180)*IF(AND(ISNUMBER($G180),$G180&lt;=IF($S180=MesCiclo,InicioCiclo,$S180+MOD(2-WEEKDAY($S180),7))+6),1,MIN(1,MAX(0,IF(ISNUMBER(OFFSET($A$1,ROW()-1,8)),OFFSET($A$1,ROW()-1,8),0)))))</f>
        <v/>
      </c>
      <c r="AE180" s="62">
        <f>IF($V180&lt;&gt;"Sub","",N($X180)*IF(AND(ISNUMBER($G180),$G180&lt;=IF($S180=MesCiclo,InicioCiclo,$S180+MOD(2-WEEKDAY($S180),7))+13),1,MIN(1,MAX(0,IF(ISNUMBER(OFFSET($A$1,ROW()-1,9)),OFFSET($A$1,ROW()-1,9),IF(ISNUMBER(OFFSET($A$1,ROW()-1,8)),OFFSET($A$1,ROW()-1,8),0))))))</f>
        <v/>
      </c>
      <c r="AF180" s="62">
        <f>IF($V180&lt;&gt;"Sub","",N($X180)*IF(AND(ISNUMBER($G180),$G180&lt;=IF($S180=MesCiclo,InicioCiclo,$S180+MOD(2-WEEKDAY($S180),7))+20),1,MIN(1,MAX(0,IF(ISNUMBER(OFFSET($A$1,ROW()-1,10)),OFFSET($A$1,ROW()-1,10),IF(ISNUMBER(OFFSET($A$1,ROW()-1,9)),OFFSET($A$1,ROW()-1,9),IF(ISNUMBER(OFFSET($A$1,ROW()-1,8)),OFFSET($A$1,ROW()-1,8),0)))))))</f>
        <v/>
      </c>
      <c r="AG180" s="62">
        <f>IF($V180&lt;&gt;"Sub","",N($X180)*IF(AND(ISNUMBER($G180),$G180&lt;=IF($S180=MesCiclo,InicioCiclo,$S180+MOD(2-WEEKDAY($S180),7))+27),1,MIN(1,MAX(0,IF(ISNUMBER(OFFSET($A$1,ROW()-1,11)),OFFSET($A$1,ROW()-1,11),IF(ISNUMBER(OFFSET($A$1,ROW()-1,10)),OFFSET($A$1,ROW()-1,10),IF(ISNUMBER(OFFSET($A$1,ROW()-1,9)),OFFSET($A$1,ROW()-1,9),IF(ISNUMBER(OFFSET($A$1,ROW()-1,8)),OFFSET($A$1,ROW()-1,8),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",IFERROR(MATCH("Riesgo Operacional|"&amp;MID($C180,12,500),rDname_ADM,0),0),"")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IF(N($W181)=0,"",IF(AND($S181=MesCiclo,1&gt;SemanaActual),"",MIN(1,SUMIFS(OFFSET($A$1,ROW(),29,1000-ROW(),1),OFFSET($A$1,ROW(),20,1000-ROW(),1),ROW(),OFFSET($A$1,ROW(),21,1000-ROW(),1),"Sub"))))</f>
        <v/>
      </c>
      <c r="J181" s="60">
        <f>IF(N($W181)=0,"",IF(AND($S181=MesCiclo,2&gt;SemanaActual),"",MIN(1,SUMIFS(OFFSET($A$1,ROW(),30,1000-ROW(),1),OFFSET($A$1,ROW(),20,1000-ROW(),1),ROW(),OFFSET($A$1,ROW(),21,1000-ROW(),1),"Sub"))))</f>
        <v/>
      </c>
      <c r="K181" s="60">
        <f>IF(N($W181)=0,"",IF(AND($S181=MesCiclo,3&gt;SemanaActual),"",MIN(1,SUMIFS(OFFSET($A$1,ROW(),31,1000-ROW(),1),OFFSET($A$1,ROW(),20,1000-ROW(),1),ROW(),OFFSET($A$1,ROW(),21,1000-ROW(),1),"Sub"))))</f>
        <v/>
      </c>
      <c r="L181" s="60">
        <f>IF(N($W181)=0,"",IF(AND($S181=MesCiclo,4&gt;SemanaActual),"",MIN(1,SUMIFS(OFFSET($A$1,ROW(),32,1000-ROW(),1),OFFSET($A$1,ROW(),20,1000-ROW(),1),ROW(),OFFSET($A$1,ROW(),21,1000-ROW(),1),"Sub"))))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IF($V181&lt;&gt;"Sub","",N($X181)*IF(AND(ISNUMBER($G181),$G181&lt;=IF($S181=MesCiclo,InicioCiclo,$S181+MOD(2-WEEKDAY($S181),7))+6),1,MIN(1,MAX(0,IF(ISNUMBER(OFFSET($A$1,ROW()-1,8)),OFFSET($A$1,ROW()-1,8),0)))))</f>
        <v/>
      </c>
      <c r="AE181" s="62">
        <f>IF($V181&lt;&gt;"Sub","",N($X181)*IF(AND(ISNUMBER($G181),$G181&lt;=IF($S181=MesCiclo,InicioCiclo,$S181+MOD(2-WEEKDAY($S181),7))+13),1,MIN(1,MAX(0,IF(ISNUMBER(OFFSET($A$1,ROW()-1,9)),OFFSET($A$1,ROW()-1,9),IF(ISNUMBER(OFFSET($A$1,ROW()-1,8)),OFFSET($A$1,ROW()-1,8),0))))))</f>
        <v/>
      </c>
      <c r="AF181" s="62">
        <f>IF($V181&lt;&gt;"Sub","",N($X181)*IF(AND(ISNUMBER($G181),$G181&lt;=IF($S181=MesCiclo,InicioCiclo,$S181+MOD(2-WEEKDAY($S181),7))+20),1,MIN(1,MAX(0,IF(ISNUMBER(OFFSET($A$1,ROW()-1,10)),OFFSET($A$1,ROW()-1,10),IF(ISNUMBER(OFFSET($A$1,ROW()-1,9)),OFFSET($A$1,ROW()-1,9),IF(ISNUMBER(OFFSET($A$1,ROW()-1,8)),OFFSET($A$1,ROW()-1,8),0)))))))</f>
        <v/>
      </c>
      <c r="AG181" s="62">
        <f>IF($V181&lt;&gt;"Sub","",N($X181)*IF(AND(ISNUMBER($G181),$G181&lt;=IF($S181=MesCiclo,InicioCiclo,$S181+MOD(2-WEEKDAY($S181),7))+27),1,MIN(1,MAX(0,IF(ISNUMBER(OFFSET($A$1,ROW()-1,11)),OFFSET($A$1,ROW()-1,11),IF(ISNUMBER(OFFSET($A$1,ROW()-1,10)),OFFSET($A$1,ROW()-1,10),IF(ISNUMBER(OFFSET($A$1,ROW()-1,9)),OFFSET($A$1,ROW()-1,9),IF(ISNUMBER(OFFSET($A$1,ROW()-1,8)),OFFSET($A$1,ROW()-1,8),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",IFERROR(MATCH("Riesgo Operacional|"&amp;MID($C181,12,500),rDname_ADM,0),0),"")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IF(N($W182)=0,"",IF(AND($S182=MesCiclo,1&gt;SemanaActual),"",MIN(1,SUMIFS(OFFSET($A$1,ROW(),29,1000-ROW(),1),OFFSET($A$1,ROW(),20,1000-ROW(),1),ROW(),OFFSET($A$1,ROW(),21,1000-ROW(),1),"Sub"))))</f>
        <v/>
      </c>
      <c r="J182" s="60">
        <f>IF(N($W182)=0,"",IF(AND($S182=MesCiclo,2&gt;SemanaActual),"",MIN(1,SUMIFS(OFFSET($A$1,ROW(),30,1000-ROW(),1),OFFSET($A$1,ROW(),20,1000-ROW(),1),ROW(),OFFSET($A$1,ROW(),21,1000-ROW(),1),"Sub"))))</f>
        <v/>
      </c>
      <c r="K182" s="60">
        <f>IF(N($W182)=0,"",IF(AND($S182=MesCiclo,3&gt;SemanaActual),"",MIN(1,SUMIFS(OFFSET($A$1,ROW(),31,1000-ROW(),1),OFFSET($A$1,ROW(),20,1000-ROW(),1),ROW(),OFFSET($A$1,ROW(),21,1000-ROW(),1),"Sub"))))</f>
        <v/>
      </c>
      <c r="L182" s="60">
        <f>IF(N($W182)=0,"",IF(AND($S182=MesCiclo,4&gt;SemanaActual),"",MIN(1,SUMIFS(OFFSET($A$1,ROW(),32,1000-ROW(),1),OFFSET($A$1,ROW(),20,1000-ROW(),1),ROW(),OFFSET($A$1,ROW(),21,1000-ROW(),1),"Sub"))))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IF($V182&lt;&gt;"Sub","",N($X182)*IF(AND(ISNUMBER($G182),$G182&lt;=IF($S182=MesCiclo,InicioCiclo,$S182+MOD(2-WEEKDAY($S182),7))+6),1,MIN(1,MAX(0,IF(ISNUMBER(OFFSET($A$1,ROW()-1,8)),OFFSET($A$1,ROW()-1,8),0)))))</f>
        <v/>
      </c>
      <c r="AE182" s="62">
        <f>IF($V182&lt;&gt;"Sub","",N($X182)*IF(AND(ISNUMBER($G182),$G182&lt;=IF($S182=MesCiclo,InicioCiclo,$S182+MOD(2-WEEKDAY($S182),7))+13),1,MIN(1,MAX(0,IF(ISNUMBER(OFFSET($A$1,ROW()-1,9)),OFFSET($A$1,ROW()-1,9),IF(ISNUMBER(OFFSET($A$1,ROW()-1,8)),OFFSET($A$1,ROW()-1,8),0))))))</f>
        <v/>
      </c>
      <c r="AF182" s="62">
        <f>IF($V182&lt;&gt;"Sub","",N($X182)*IF(AND(ISNUMBER($G182),$G182&lt;=IF($S182=MesCiclo,InicioCiclo,$S182+MOD(2-WEEKDAY($S182),7))+20),1,MIN(1,MAX(0,IF(ISNUMBER(OFFSET($A$1,ROW()-1,10)),OFFSET($A$1,ROW()-1,10),IF(ISNUMBER(OFFSET($A$1,ROW()-1,9)),OFFSET($A$1,ROW()-1,9),IF(ISNUMBER(OFFSET($A$1,ROW()-1,8)),OFFSET($A$1,ROW()-1,8),0)))))))</f>
        <v/>
      </c>
      <c r="AG182" s="62">
        <f>IF($V182&lt;&gt;"Sub","",N($X182)*IF(AND(ISNUMBER($G182),$G182&lt;=IF($S182=MesCiclo,InicioCiclo,$S182+MOD(2-WEEKDAY($S182),7))+27),1,MIN(1,MAX(0,IF(ISNUMBER(OFFSET($A$1,ROW()-1,11)),OFFSET($A$1,ROW()-1,11),IF(ISNUMBER(OFFSET($A$1,ROW()-1,10)),OFFSET($A$1,ROW()-1,10),IF(ISNUMBER(OFFSET($A$1,ROW()-1,9)),OFFSET($A$1,ROW()-1,9),IF(ISNUMBER(OFFSET($A$1,ROW()-1,8)),OFFSET($A$1,ROW()-1,8),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",IFERROR(MATCH("Riesgo Operacional|"&amp;MID($C182,12,500),rDname_ADM,0),0),"")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IF(N($W183)=0,"",IF(AND($S183=MesCiclo,1&gt;SemanaActual),"",MIN(1,SUMIFS(OFFSET($A$1,ROW(),29,1000-ROW(),1),OFFSET($A$1,ROW(),20,1000-ROW(),1),ROW(),OFFSET($A$1,ROW(),21,1000-ROW(),1),"Sub"))))</f>
        <v/>
      </c>
      <c r="J183" s="60">
        <f>IF(N($W183)=0,"",IF(AND($S183=MesCiclo,2&gt;SemanaActual),"",MIN(1,SUMIFS(OFFSET($A$1,ROW(),30,1000-ROW(),1),OFFSET($A$1,ROW(),20,1000-ROW(),1),ROW(),OFFSET($A$1,ROW(),21,1000-ROW(),1),"Sub"))))</f>
        <v/>
      </c>
      <c r="K183" s="60">
        <f>IF(N($W183)=0,"",IF(AND($S183=MesCiclo,3&gt;SemanaActual),"",MIN(1,SUMIFS(OFFSET($A$1,ROW(),31,1000-ROW(),1),OFFSET($A$1,ROW(),20,1000-ROW(),1),ROW(),OFFSET($A$1,ROW(),21,1000-ROW(),1),"Sub"))))</f>
        <v/>
      </c>
      <c r="L183" s="60">
        <f>IF(N($W183)=0,"",IF(AND($S183=MesCiclo,4&gt;SemanaActual),"",MIN(1,SUMIFS(OFFSET($A$1,ROW(),32,1000-ROW(),1),OFFSET($A$1,ROW(),20,1000-ROW(),1),ROW(),OFFSET($A$1,ROW(),21,1000-ROW(),1),"Sub"))))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IF($V183&lt;&gt;"Sub","",N($X183)*IF(AND(ISNUMBER($G183),$G183&lt;=IF($S183=MesCiclo,InicioCiclo,$S183+MOD(2-WEEKDAY($S183),7))+6),1,MIN(1,MAX(0,IF(ISNUMBER(OFFSET($A$1,ROW()-1,8)),OFFSET($A$1,ROW()-1,8),0)))))</f>
        <v/>
      </c>
      <c r="AE183" s="62">
        <f>IF($V183&lt;&gt;"Sub","",N($X183)*IF(AND(ISNUMBER($G183),$G183&lt;=IF($S183=MesCiclo,InicioCiclo,$S183+MOD(2-WEEKDAY($S183),7))+13),1,MIN(1,MAX(0,IF(ISNUMBER(OFFSET($A$1,ROW()-1,9)),OFFSET($A$1,ROW()-1,9),IF(ISNUMBER(OFFSET($A$1,ROW()-1,8)),OFFSET($A$1,ROW()-1,8),0))))))</f>
        <v/>
      </c>
      <c r="AF183" s="62">
        <f>IF($V183&lt;&gt;"Sub","",N($X183)*IF(AND(ISNUMBER($G183),$G183&lt;=IF($S183=MesCiclo,InicioCiclo,$S183+MOD(2-WEEKDAY($S183),7))+20),1,MIN(1,MAX(0,IF(ISNUMBER(OFFSET($A$1,ROW()-1,10)),OFFSET($A$1,ROW()-1,10),IF(ISNUMBER(OFFSET($A$1,ROW()-1,9)),OFFSET($A$1,ROW()-1,9),IF(ISNUMBER(OFFSET($A$1,ROW()-1,8)),OFFSET($A$1,ROW()-1,8),0)))))))</f>
        <v/>
      </c>
      <c r="AG183" s="62">
        <f>IF($V183&lt;&gt;"Sub","",N($X183)*IF(AND(ISNUMBER($G183),$G183&lt;=IF($S183=MesCiclo,InicioCiclo,$S183+MOD(2-WEEKDAY($S183),7))+27),1,MIN(1,MAX(0,IF(ISNUMBER(OFFSET($A$1,ROW()-1,11)),OFFSET($A$1,ROW()-1,11),IF(ISNUMBER(OFFSET($A$1,ROW()-1,10)),OFFSET($A$1,ROW()-1,10),IF(ISNUMBER(OFFSET($A$1,ROW()-1,9)),OFFSET($A$1,ROW()-1,9),IF(ISNUMBER(OFFSET($A$1,ROW()-1,8)),OFFSET($A$1,ROW()-1,8),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",IFERROR(MATCH("Riesgo Operacional|"&amp;MID($C183,12,500),rDname_ADM,0),0),"")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IF(N($W184)=0,"",IF(AND($S184=MesCiclo,1&gt;SemanaActual),"",MIN(1,SUMIFS(OFFSET($A$1,ROW(),29,1000-ROW(),1),OFFSET($A$1,ROW(),20,1000-ROW(),1),ROW(),OFFSET($A$1,ROW(),21,1000-ROW(),1),"Sub"))))</f>
        <v/>
      </c>
      <c r="J184" s="60">
        <f>IF(N($W184)=0,"",IF(AND($S184=MesCiclo,2&gt;SemanaActual),"",MIN(1,SUMIFS(OFFSET($A$1,ROW(),30,1000-ROW(),1),OFFSET($A$1,ROW(),20,1000-ROW(),1),ROW(),OFFSET($A$1,ROW(),21,1000-ROW(),1),"Sub"))))</f>
        <v/>
      </c>
      <c r="K184" s="60">
        <f>IF(N($W184)=0,"",IF(AND($S184=MesCiclo,3&gt;SemanaActual),"",MIN(1,SUMIFS(OFFSET($A$1,ROW(),31,1000-ROW(),1),OFFSET($A$1,ROW(),20,1000-ROW(),1),ROW(),OFFSET($A$1,ROW(),21,1000-ROW(),1),"Sub"))))</f>
        <v/>
      </c>
      <c r="L184" s="60">
        <f>IF(N($W184)=0,"",IF(AND($S184=MesCiclo,4&gt;SemanaActual),"",MIN(1,SUMIFS(OFFSET($A$1,ROW(),32,1000-ROW(),1),OFFSET($A$1,ROW(),20,1000-ROW(),1),ROW(),OFFSET($A$1,ROW(),21,1000-ROW(),1),"Sub"))))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IF($V184&lt;&gt;"Sub","",N($X184)*IF(AND(ISNUMBER($G184),$G184&lt;=IF($S184=MesCiclo,InicioCiclo,$S184+MOD(2-WEEKDAY($S184),7))+6),1,MIN(1,MAX(0,IF(ISNUMBER(OFFSET($A$1,ROW()-1,8)),OFFSET($A$1,ROW()-1,8),0)))))</f>
        <v/>
      </c>
      <c r="AE184" s="62">
        <f>IF($V184&lt;&gt;"Sub","",N($X184)*IF(AND(ISNUMBER($G184),$G184&lt;=IF($S184=MesCiclo,InicioCiclo,$S184+MOD(2-WEEKDAY($S184),7))+13),1,MIN(1,MAX(0,IF(ISNUMBER(OFFSET($A$1,ROW()-1,9)),OFFSET($A$1,ROW()-1,9),IF(ISNUMBER(OFFSET($A$1,ROW()-1,8)),OFFSET($A$1,ROW()-1,8),0))))))</f>
        <v/>
      </c>
      <c r="AF184" s="62">
        <f>IF($V184&lt;&gt;"Sub","",N($X184)*IF(AND(ISNUMBER($G184),$G184&lt;=IF($S184=MesCiclo,InicioCiclo,$S184+MOD(2-WEEKDAY($S184),7))+20),1,MIN(1,MAX(0,IF(ISNUMBER(OFFSET($A$1,ROW()-1,10)),OFFSET($A$1,ROW()-1,10),IF(ISNUMBER(OFFSET($A$1,ROW()-1,9)),OFFSET($A$1,ROW()-1,9),IF(ISNUMBER(OFFSET($A$1,ROW()-1,8)),OFFSET($A$1,ROW()-1,8),0)))))))</f>
        <v/>
      </c>
      <c r="AG184" s="62">
        <f>IF($V184&lt;&gt;"Sub","",N($X184)*IF(AND(ISNUMBER($G184),$G184&lt;=IF($S184=MesCiclo,InicioCiclo,$S184+MOD(2-WEEKDAY($S184),7))+27),1,MIN(1,MAX(0,IF(ISNUMBER(OFFSET($A$1,ROW()-1,11)),OFFSET($A$1,ROW()-1,11),IF(ISNUMBER(OFFSET($A$1,ROW()-1,10)),OFFSET($A$1,ROW()-1,10),IF(ISNUMBER(OFFSET($A$1,ROW()-1,9)),OFFSET($A$1,ROW()-1,9),IF(ISNUMBER(OFFSET($A$1,ROW()-1,8)),OFFSET($A$1,ROW()-1,8),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",IFERROR(MATCH("Riesgo Operacional|"&amp;MID($C184,12,500),rDname_ADM,0),0),"")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IF(N($W185)=0,"",IF(AND($S185=MesCiclo,1&gt;SemanaActual),"",MIN(1,SUMIFS(OFFSET($A$1,ROW(),29,1000-ROW(),1),OFFSET($A$1,ROW(),20,1000-ROW(),1),ROW(),OFFSET($A$1,ROW(),21,1000-ROW(),1),"Sub"))))</f>
        <v/>
      </c>
      <c r="J185" s="60">
        <f>IF(N($W185)=0,"",IF(AND($S185=MesCiclo,2&gt;SemanaActual),"",MIN(1,SUMIFS(OFFSET($A$1,ROW(),30,1000-ROW(),1),OFFSET($A$1,ROW(),20,1000-ROW(),1),ROW(),OFFSET($A$1,ROW(),21,1000-ROW(),1),"Sub"))))</f>
        <v/>
      </c>
      <c r="K185" s="60">
        <f>IF(N($W185)=0,"",IF(AND($S185=MesCiclo,3&gt;SemanaActual),"",MIN(1,SUMIFS(OFFSET($A$1,ROW(),31,1000-ROW(),1),OFFSET($A$1,ROW(),20,1000-ROW(),1),ROW(),OFFSET($A$1,ROW(),21,1000-ROW(),1),"Sub"))))</f>
        <v/>
      </c>
      <c r="L185" s="60">
        <f>IF(N($W185)=0,"",IF(AND($S185=MesCiclo,4&gt;SemanaActual),"",MIN(1,SUMIFS(OFFSET($A$1,ROW(),32,1000-ROW(),1),OFFSET($A$1,ROW(),20,1000-ROW(),1),ROW(),OFFSET($A$1,ROW(),21,1000-ROW(),1),"Sub"))))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IF($V185&lt;&gt;"Sub","",N($X185)*IF(AND(ISNUMBER($G185),$G185&lt;=IF($S185=MesCiclo,InicioCiclo,$S185+MOD(2-WEEKDAY($S185),7))+6),1,MIN(1,MAX(0,IF(ISNUMBER(OFFSET($A$1,ROW()-1,8)),OFFSET($A$1,ROW()-1,8),0)))))</f>
        <v/>
      </c>
      <c r="AE185" s="62">
        <f>IF($V185&lt;&gt;"Sub","",N($X185)*IF(AND(ISNUMBER($G185),$G185&lt;=IF($S185=MesCiclo,InicioCiclo,$S185+MOD(2-WEEKDAY($S185),7))+13),1,MIN(1,MAX(0,IF(ISNUMBER(OFFSET($A$1,ROW()-1,9)),OFFSET($A$1,ROW()-1,9),IF(ISNUMBER(OFFSET($A$1,ROW()-1,8)),OFFSET($A$1,ROW()-1,8),0))))))</f>
        <v/>
      </c>
      <c r="AF185" s="62">
        <f>IF($V185&lt;&gt;"Sub","",N($X185)*IF(AND(ISNUMBER($G185),$G185&lt;=IF($S185=MesCiclo,InicioCiclo,$S185+MOD(2-WEEKDAY($S185),7))+20),1,MIN(1,MAX(0,IF(ISNUMBER(OFFSET($A$1,ROW()-1,10)),OFFSET($A$1,ROW()-1,10),IF(ISNUMBER(OFFSET($A$1,ROW()-1,9)),OFFSET($A$1,ROW()-1,9),IF(ISNUMBER(OFFSET($A$1,ROW()-1,8)),OFFSET($A$1,ROW()-1,8),0)))))))</f>
        <v/>
      </c>
      <c r="AG185" s="62">
        <f>IF($V185&lt;&gt;"Sub","",N($X185)*IF(AND(ISNUMBER($G185),$G185&lt;=IF($S185=MesCiclo,InicioCiclo,$S185+MOD(2-WEEKDAY($S185),7))+27),1,MIN(1,MAX(0,IF(ISNUMBER(OFFSET($A$1,ROW()-1,11)),OFFSET($A$1,ROW()-1,11),IF(ISNUMBER(OFFSET($A$1,ROW()-1,10)),OFFSET($A$1,ROW()-1,10),IF(ISNUMBER(OFFSET($A$1,ROW()-1,9)),OFFSET($A$1,ROW()-1,9),IF(ISNUMBER(OFFSET($A$1,ROW()-1,8)),OFFSET($A$1,ROW()-1,8),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",IFERROR(MATCH("Riesgo Operacional|"&amp;MID($C185,12,500),rDname_ADM,0),0),"")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IF(N($W186)=0,"",IF(AND($S186=MesCiclo,1&gt;SemanaActual),"",MIN(1,SUMIFS(OFFSET($A$1,ROW(),29,1000-ROW(),1),OFFSET($A$1,ROW(),20,1000-ROW(),1),ROW(),OFFSET($A$1,ROW(),21,1000-ROW(),1),"Sub"))))</f>
        <v/>
      </c>
      <c r="J186" s="60">
        <f>IF(N($W186)=0,"",IF(AND($S186=MesCiclo,2&gt;SemanaActual),"",MIN(1,SUMIFS(OFFSET($A$1,ROW(),30,1000-ROW(),1),OFFSET($A$1,ROW(),20,1000-ROW(),1),ROW(),OFFSET($A$1,ROW(),21,1000-ROW(),1),"Sub"))))</f>
        <v/>
      </c>
      <c r="K186" s="60">
        <f>IF(N($W186)=0,"",IF(AND($S186=MesCiclo,3&gt;SemanaActual),"",MIN(1,SUMIFS(OFFSET($A$1,ROW(),31,1000-ROW(),1),OFFSET($A$1,ROW(),20,1000-ROW(),1),ROW(),OFFSET($A$1,ROW(),21,1000-ROW(),1),"Sub"))))</f>
        <v/>
      </c>
      <c r="L186" s="60">
        <f>IF(N($W186)=0,"",IF(AND($S186=MesCiclo,4&gt;SemanaActual),"",MIN(1,SUMIFS(OFFSET($A$1,ROW(),32,1000-ROW(),1),OFFSET($A$1,ROW(),20,1000-ROW(),1),ROW(),OFFSET($A$1,ROW(),21,1000-ROW(),1),"Sub"))))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IF($V186&lt;&gt;"Sub","",N($X186)*IF(AND(ISNUMBER($G186),$G186&lt;=IF($S186=MesCiclo,InicioCiclo,$S186+MOD(2-WEEKDAY($S186),7))+6),1,MIN(1,MAX(0,IF(ISNUMBER(OFFSET($A$1,ROW()-1,8)),OFFSET($A$1,ROW()-1,8),0)))))</f>
        <v/>
      </c>
      <c r="AE186" s="62">
        <f>IF($V186&lt;&gt;"Sub","",N($X186)*IF(AND(ISNUMBER($G186),$G186&lt;=IF($S186=MesCiclo,InicioCiclo,$S186+MOD(2-WEEKDAY($S186),7))+13),1,MIN(1,MAX(0,IF(ISNUMBER(OFFSET($A$1,ROW()-1,9)),OFFSET($A$1,ROW()-1,9),IF(ISNUMBER(OFFSET($A$1,ROW()-1,8)),OFFSET($A$1,ROW()-1,8),0))))))</f>
        <v/>
      </c>
      <c r="AF186" s="62">
        <f>IF($V186&lt;&gt;"Sub","",N($X186)*IF(AND(ISNUMBER($G186),$G186&lt;=IF($S186=MesCiclo,InicioCiclo,$S186+MOD(2-WEEKDAY($S186),7))+20),1,MIN(1,MAX(0,IF(ISNUMBER(OFFSET($A$1,ROW()-1,10)),OFFSET($A$1,ROW()-1,10),IF(ISNUMBER(OFFSET($A$1,ROW()-1,9)),OFFSET($A$1,ROW()-1,9),IF(ISNUMBER(OFFSET($A$1,ROW()-1,8)),OFFSET($A$1,ROW()-1,8),0)))))))</f>
        <v/>
      </c>
      <c r="AG186" s="62">
        <f>IF($V186&lt;&gt;"Sub","",N($X186)*IF(AND(ISNUMBER($G186),$G186&lt;=IF($S186=MesCiclo,InicioCiclo,$S186+MOD(2-WEEKDAY($S186),7))+27),1,MIN(1,MAX(0,IF(ISNUMBER(OFFSET($A$1,ROW()-1,11)),OFFSET($A$1,ROW()-1,11),IF(ISNUMBER(OFFSET($A$1,ROW()-1,10)),OFFSET($A$1,ROW()-1,10),IF(ISNUMBER(OFFSET($A$1,ROW()-1,9)),OFFSET($A$1,ROW()-1,9),IF(ISNUMBER(OFFSET($A$1,ROW()-1,8)),OFFSET($A$1,ROW()-1,8),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",IFERROR(MATCH("Riesgo Operacional|"&amp;MID($C186,12,500),rDname_ADM,0),0),"")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IF(N($W187)=0,"",IF(AND($S187=MesCiclo,1&gt;SemanaActual),"",MIN(1,SUMIFS(OFFSET($A$1,ROW(),29,1000-ROW(),1),OFFSET($A$1,ROW(),20,1000-ROW(),1),ROW(),OFFSET($A$1,ROW(),21,1000-ROW(),1),"Sub"))))</f>
        <v/>
      </c>
      <c r="J187" s="60">
        <f>IF(N($W187)=0,"",IF(AND($S187=MesCiclo,2&gt;SemanaActual),"",MIN(1,SUMIFS(OFFSET($A$1,ROW(),30,1000-ROW(),1),OFFSET($A$1,ROW(),20,1000-ROW(),1),ROW(),OFFSET($A$1,ROW(),21,1000-ROW(),1),"Sub"))))</f>
        <v/>
      </c>
      <c r="K187" s="60">
        <f>IF(N($W187)=0,"",IF(AND($S187=MesCiclo,3&gt;SemanaActual),"",MIN(1,SUMIFS(OFFSET($A$1,ROW(),31,1000-ROW(),1),OFFSET($A$1,ROW(),20,1000-ROW(),1),ROW(),OFFSET($A$1,ROW(),21,1000-ROW(),1),"Sub"))))</f>
        <v/>
      </c>
      <c r="L187" s="60">
        <f>IF(N($W187)=0,"",IF(AND($S187=MesCiclo,4&gt;SemanaActual),"",MIN(1,SUMIFS(OFFSET($A$1,ROW(),32,1000-ROW(),1),OFFSET($A$1,ROW(),20,1000-ROW(),1),ROW(),OFFSET($A$1,ROW(),21,1000-ROW(),1),"Sub"))))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IF($V187&lt;&gt;"Sub","",N($X187)*IF(AND(ISNUMBER($G187),$G187&lt;=IF($S187=MesCiclo,InicioCiclo,$S187+MOD(2-WEEKDAY($S187),7))+6),1,MIN(1,MAX(0,IF(ISNUMBER(OFFSET($A$1,ROW()-1,8)),OFFSET($A$1,ROW()-1,8),0)))))</f>
        <v/>
      </c>
      <c r="AE187" s="62">
        <f>IF($V187&lt;&gt;"Sub","",N($X187)*IF(AND(ISNUMBER($G187),$G187&lt;=IF($S187=MesCiclo,InicioCiclo,$S187+MOD(2-WEEKDAY($S187),7))+13),1,MIN(1,MAX(0,IF(ISNUMBER(OFFSET($A$1,ROW()-1,9)),OFFSET($A$1,ROW()-1,9),IF(ISNUMBER(OFFSET($A$1,ROW()-1,8)),OFFSET($A$1,ROW()-1,8),0))))))</f>
        <v/>
      </c>
      <c r="AF187" s="62">
        <f>IF($V187&lt;&gt;"Sub","",N($X187)*IF(AND(ISNUMBER($G187),$G187&lt;=IF($S187=MesCiclo,InicioCiclo,$S187+MOD(2-WEEKDAY($S187),7))+20),1,MIN(1,MAX(0,IF(ISNUMBER(OFFSET($A$1,ROW()-1,10)),OFFSET($A$1,ROW()-1,10),IF(ISNUMBER(OFFSET($A$1,ROW()-1,9)),OFFSET($A$1,ROW()-1,9),IF(ISNUMBER(OFFSET($A$1,ROW()-1,8)),OFFSET($A$1,ROW()-1,8),0)))))))</f>
        <v/>
      </c>
      <c r="AG187" s="62">
        <f>IF($V187&lt;&gt;"Sub","",N($X187)*IF(AND(ISNUMBER($G187),$G187&lt;=IF($S187=MesCiclo,InicioCiclo,$S187+MOD(2-WEEKDAY($S187),7))+27),1,MIN(1,MAX(0,IF(ISNUMBER(OFFSET($A$1,ROW()-1,11)),OFFSET($A$1,ROW()-1,11),IF(ISNUMBER(OFFSET($A$1,ROW()-1,10)),OFFSET($A$1,ROW()-1,10),IF(ISNUMBER(OFFSET($A$1,ROW()-1,9)),OFFSET($A$1,ROW()-1,9),IF(ISNUMBER(OFFSET($A$1,ROW()-1,8)),OFFSET($A$1,ROW()-1,8),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",IFERROR(MATCH("Riesgo Operacional|"&amp;MID($C187,12,500),rDname_ADM,0),0),"")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IF(N($W188)=0,"",IF(AND($S188=MesCiclo,1&gt;SemanaActual),"",MIN(1,SUMIFS(OFFSET($A$1,ROW(),29,1000-ROW(),1),OFFSET($A$1,ROW(),20,1000-ROW(),1),ROW(),OFFSET($A$1,ROW(),21,1000-ROW(),1),"Sub"))))</f>
        <v/>
      </c>
      <c r="J188" s="60">
        <f>IF(N($W188)=0,"",IF(AND($S188=MesCiclo,2&gt;SemanaActual),"",MIN(1,SUMIFS(OFFSET($A$1,ROW(),30,1000-ROW(),1),OFFSET($A$1,ROW(),20,1000-ROW(),1),ROW(),OFFSET($A$1,ROW(),21,1000-ROW(),1),"Sub"))))</f>
        <v/>
      </c>
      <c r="K188" s="60">
        <f>IF(N($W188)=0,"",IF(AND($S188=MesCiclo,3&gt;SemanaActual),"",MIN(1,SUMIFS(OFFSET($A$1,ROW(),31,1000-ROW(),1),OFFSET($A$1,ROW(),20,1000-ROW(),1),ROW(),OFFSET($A$1,ROW(),21,1000-ROW(),1),"Sub"))))</f>
        <v/>
      </c>
      <c r="L188" s="60">
        <f>IF(N($W188)=0,"",IF(AND($S188=MesCiclo,4&gt;SemanaActual),"",MIN(1,SUMIFS(OFFSET($A$1,ROW(),32,1000-ROW(),1),OFFSET($A$1,ROW(),20,1000-ROW(),1),ROW(),OFFSET($A$1,ROW(),21,1000-ROW(),1),"Sub"))))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IF($V188&lt;&gt;"Sub","",N($X188)*IF(AND(ISNUMBER($G188),$G188&lt;=IF($S188=MesCiclo,InicioCiclo,$S188+MOD(2-WEEKDAY($S188),7))+6),1,MIN(1,MAX(0,IF(ISNUMBER(OFFSET($A$1,ROW()-1,8)),OFFSET($A$1,ROW()-1,8),0)))))</f>
        <v/>
      </c>
      <c r="AE188" s="62">
        <f>IF($V188&lt;&gt;"Sub","",N($X188)*IF(AND(ISNUMBER($G188),$G188&lt;=IF($S188=MesCiclo,InicioCiclo,$S188+MOD(2-WEEKDAY($S188),7))+13),1,MIN(1,MAX(0,IF(ISNUMBER(OFFSET($A$1,ROW()-1,9)),OFFSET($A$1,ROW()-1,9),IF(ISNUMBER(OFFSET($A$1,ROW()-1,8)),OFFSET($A$1,ROW()-1,8),0))))))</f>
        <v/>
      </c>
      <c r="AF188" s="62">
        <f>IF($V188&lt;&gt;"Sub","",N($X188)*IF(AND(ISNUMBER($G188),$G188&lt;=IF($S188=MesCiclo,InicioCiclo,$S188+MOD(2-WEEKDAY($S188),7))+20),1,MIN(1,MAX(0,IF(ISNUMBER(OFFSET($A$1,ROW()-1,10)),OFFSET($A$1,ROW()-1,10),IF(ISNUMBER(OFFSET($A$1,ROW()-1,9)),OFFSET($A$1,ROW()-1,9),IF(ISNUMBER(OFFSET($A$1,ROW()-1,8)),OFFSET($A$1,ROW()-1,8),0)))))))</f>
        <v/>
      </c>
      <c r="AG188" s="62">
        <f>IF($V188&lt;&gt;"Sub","",N($X188)*IF(AND(ISNUMBER($G188),$G188&lt;=IF($S188=MesCiclo,InicioCiclo,$S188+MOD(2-WEEKDAY($S188),7))+27),1,MIN(1,MAX(0,IF(ISNUMBER(OFFSET($A$1,ROW()-1,11)),OFFSET($A$1,ROW()-1,11),IF(ISNUMBER(OFFSET($A$1,ROW()-1,10)),OFFSET($A$1,ROW()-1,10),IF(ISNUMBER(OFFSET($A$1,ROW()-1,9)),OFFSET($A$1,ROW()-1,9),IF(ISNUMBER(OFFSET($A$1,ROW()-1,8)),OFFSET($A$1,ROW()-1,8),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",IFERROR(MATCH("Riesgo Operacional|"&amp;MID($C188,12,500),rDname_ADM,0),0),"")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IF(N($W189)=0,"",IF(AND($S189=MesCiclo,1&gt;SemanaActual),"",MIN(1,SUMIFS(OFFSET($A$1,ROW(),29,1000-ROW(),1),OFFSET($A$1,ROW(),20,1000-ROW(),1),ROW(),OFFSET($A$1,ROW(),21,1000-ROW(),1),"Sub"))))</f>
        <v/>
      </c>
      <c r="J189" s="60">
        <f>IF(N($W189)=0,"",IF(AND($S189=MesCiclo,2&gt;SemanaActual),"",MIN(1,SUMIFS(OFFSET($A$1,ROW(),30,1000-ROW(),1),OFFSET($A$1,ROW(),20,1000-ROW(),1),ROW(),OFFSET($A$1,ROW(),21,1000-ROW(),1),"Sub"))))</f>
        <v/>
      </c>
      <c r="K189" s="60">
        <f>IF(N($W189)=0,"",IF(AND($S189=MesCiclo,3&gt;SemanaActual),"",MIN(1,SUMIFS(OFFSET($A$1,ROW(),31,1000-ROW(),1),OFFSET($A$1,ROW(),20,1000-ROW(),1),ROW(),OFFSET($A$1,ROW(),21,1000-ROW(),1),"Sub"))))</f>
        <v/>
      </c>
      <c r="L189" s="60">
        <f>IF(N($W189)=0,"",IF(AND($S189=MesCiclo,4&gt;SemanaActual),"",MIN(1,SUMIFS(OFFSET($A$1,ROW(),32,1000-ROW(),1),OFFSET($A$1,ROW(),20,1000-ROW(),1),ROW(),OFFSET($A$1,ROW(),21,1000-ROW(),1),"Sub"))))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IF($V189&lt;&gt;"Sub","",N($X189)*IF(AND(ISNUMBER($G189),$G189&lt;=IF($S189=MesCiclo,InicioCiclo,$S189+MOD(2-WEEKDAY($S189),7))+6),1,MIN(1,MAX(0,IF(ISNUMBER(OFFSET($A$1,ROW()-1,8)),OFFSET($A$1,ROW()-1,8),0)))))</f>
        <v/>
      </c>
      <c r="AE189" s="62">
        <f>IF($V189&lt;&gt;"Sub","",N($X189)*IF(AND(ISNUMBER($G189),$G189&lt;=IF($S189=MesCiclo,InicioCiclo,$S189+MOD(2-WEEKDAY($S189),7))+13),1,MIN(1,MAX(0,IF(ISNUMBER(OFFSET($A$1,ROW()-1,9)),OFFSET($A$1,ROW()-1,9),IF(ISNUMBER(OFFSET($A$1,ROW()-1,8)),OFFSET($A$1,ROW()-1,8),0))))))</f>
        <v/>
      </c>
      <c r="AF189" s="62">
        <f>IF($V189&lt;&gt;"Sub","",N($X189)*IF(AND(ISNUMBER($G189),$G189&lt;=IF($S189=MesCiclo,InicioCiclo,$S189+MOD(2-WEEKDAY($S189),7))+20),1,MIN(1,MAX(0,IF(ISNUMBER(OFFSET($A$1,ROW()-1,10)),OFFSET($A$1,ROW()-1,10),IF(ISNUMBER(OFFSET($A$1,ROW()-1,9)),OFFSET($A$1,ROW()-1,9),IF(ISNUMBER(OFFSET($A$1,ROW()-1,8)),OFFSET($A$1,ROW()-1,8),0)))))))</f>
        <v/>
      </c>
      <c r="AG189" s="62">
        <f>IF($V189&lt;&gt;"Sub","",N($X189)*IF(AND(ISNUMBER($G189),$G189&lt;=IF($S189=MesCiclo,InicioCiclo,$S189+MOD(2-WEEKDAY($S189),7))+27),1,MIN(1,MAX(0,IF(ISNUMBER(OFFSET($A$1,ROW()-1,11)),OFFSET($A$1,ROW()-1,11),IF(ISNUMBER(OFFSET($A$1,ROW()-1,10)),OFFSET($A$1,ROW()-1,10),IF(ISNUMBER(OFFSET($A$1,ROW()-1,9)),OFFSET($A$1,ROW()-1,9),IF(ISNUMBER(OFFSET($A$1,ROW()-1,8)),OFFSET($A$1,ROW()-1,8),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",IFERROR(MATCH("Riesgo Operacional|"&amp;MID($C189,12,500),rDname_ADM,0),0),"")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IF(N($W190)=0,"",IF(AND($S190=MesCiclo,1&gt;SemanaActual),"",MIN(1,SUMIFS(OFFSET($A$1,ROW(),29,1000-ROW(),1),OFFSET($A$1,ROW(),20,1000-ROW(),1),ROW(),OFFSET($A$1,ROW(),21,1000-ROW(),1),"Sub"))))</f>
        <v/>
      </c>
      <c r="J190" s="60">
        <f>IF(N($W190)=0,"",IF(AND($S190=MesCiclo,2&gt;SemanaActual),"",MIN(1,SUMIFS(OFFSET($A$1,ROW(),30,1000-ROW(),1),OFFSET($A$1,ROW(),20,1000-ROW(),1),ROW(),OFFSET($A$1,ROW(),21,1000-ROW(),1),"Sub"))))</f>
        <v/>
      </c>
      <c r="K190" s="60">
        <f>IF(N($W190)=0,"",IF(AND($S190=MesCiclo,3&gt;SemanaActual),"",MIN(1,SUMIFS(OFFSET($A$1,ROW(),31,1000-ROW(),1),OFFSET($A$1,ROW(),20,1000-ROW(),1),ROW(),OFFSET($A$1,ROW(),21,1000-ROW(),1),"Sub"))))</f>
        <v/>
      </c>
      <c r="L190" s="60">
        <f>IF(N($W190)=0,"",IF(AND($S190=MesCiclo,4&gt;SemanaActual),"",MIN(1,SUMIFS(OFFSET($A$1,ROW(),32,1000-ROW(),1),OFFSET($A$1,ROW(),20,1000-ROW(),1),ROW(),OFFSET($A$1,ROW(),21,1000-ROW(),1),"Sub"))))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IF($V190&lt;&gt;"Sub","",N($X190)*IF(AND(ISNUMBER($G190),$G190&lt;=IF($S190=MesCiclo,InicioCiclo,$S190+MOD(2-WEEKDAY($S190),7))+6),1,MIN(1,MAX(0,IF(ISNUMBER(OFFSET($A$1,ROW()-1,8)),OFFSET($A$1,ROW()-1,8),0)))))</f>
        <v/>
      </c>
      <c r="AE190" s="62">
        <f>IF($V190&lt;&gt;"Sub","",N($X190)*IF(AND(ISNUMBER($G190),$G190&lt;=IF($S190=MesCiclo,InicioCiclo,$S190+MOD(2-WEEKDAY($S190),7))+13),1,MIN(1,MAX(0,IF(ISNUMBER(OFFSET($A$1,ROW()-1,9)),OFFSET($A$1,ROW()-1,9),IF(ISNUMBER(OFFSET($A$1,ROW()-1,8)),OFFSET($A$1,ROW()-1,8),0))))))</f>
        <v/>
      </c>
      <c r="AF190" s="62">
        <f>IF($V190&lt;&gt;"Sub","",N($X190)*IF(AND(ISNUMBER($G190),$G190&lt;=IF($S190=MesCiclo,InicioCiclo,$S190+MOD(2-WEEKDAY($S190),7))+20),1,MIN(1,MAX(0,IF(ISNUMBER(OFFSET($A$1,ROW()-1,10)),OFFSET($A$1,ROW()-1,10),IF(ISNUMBER(OFFSET($A$1,ROW()-1,9)),OFFSET($A$1,ROW()-1,9),IF(ISNUMBER(OFFSET($A$1,ROW()-1,8)),OFFSET($A$1,ROW()-1,8),0)))))))</f>
        <v/>
      </c>
      <c r="AG190" s="62">
        <f>IF($V190&lt;&gt;"Sub","",N($X190)*IF(AND(ISNUMBER($G190),$G190&lt;=IF($S190=MesCiclo,InicioCiclo,$S190+MOD(2-WEEKDAY($S190),7))+27),1,MIN(1,MAX(0,IF(ISNUMBER(OFFSET($A$1,ROW()-1,11)),OFFSET($A$1,ROW()-1,11),IF(ISNUMBER(OFFSET($A$1,ROW()-1,10)),OFFSET($A$1,ROW()-1,10),IF(ISNUMBER(OFFSET($A$1,ROW()-1,9)),OFFSET($A$1,ROW()-1,9),IF(ISNUMBER(OFFSET($A$1,ROW()-1,8)),OFFSET($A$1,ROW()-1,8),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",IFERROR(MATCH("Riesgo Operacional|"&amp;MID($C190,12,500),rDname_ADM,0),0),"")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IF(N($W191)=0,"",IF(AND($S191=MesCiclo,1&gt;SemanaActual),"",MIN(1,SUMIFS(OFFSET($A$1,ROW(),29,1000-ROW(),1),OFFSET($A$1,ROW(),20,1000-ROW(),1),ROW(),OFFSET($A$1,ROW(),21,1000-ROW(),1),"Sub"))))</f>
        <v/>
      </c>
      <c r="J191" s="60">
        <f>IF(N($W191)=0,"",IF(AND($S191=MesCiclo,2&gt;SemanaActual),"",MIN(1,SUMIFS(OFFSET($A$1,ROW(),30,1000-ROW(),1),OFFSET($A$1,ROW(),20,1000-ROW(),1),ROW(),OFFSET($A$1,ROW(),21,1000-ROW(),1),"Sub"))))</f>
        <v/>
      </c>
      <c r="K191" s="60">
        <f>IF(N($W191)=0,"",IF(AND($S191=MesCiclo,3&gt;SemanaActual),"",MIN(1,SUMIFS(OFFSET($A$1,ROW(),31,1000-ROW(),1),OFFSET($A$1,ROW(),20,1000-ROW(),1),ROW(),OFFSET($A$1,ROW(),21,1000-ROW(),1),"Sub"))))</f>
        <v/>
      </c>
      <c r="L191" s="60">
        <f>IF(N($W191)=0,"",IF(AND($S191=MesCiclo,4&gt;SemanaActual),"",MIN(1,SUMIFS(OFFSET($A$1,ROW(),32,1000-ROW(),1),OFFSET($A$1,ROW(),20,1000-ROW(),1),ROW(),OFFSET($A$1,ROW(),21,1000-ROW(),1),"Sub"))))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IF($V191&lt;&gt;"Sub","",N($X191)*IF(AND(ISNUMBER($G191),$G191&lt;=IF($S191=MesCiclo,InicioCiclo,$S191+MOD(2-WEEKDAY($S191),7))+6),1,MIN(1,MAX(0,IF(ISNUMBER(OFFSET($A$1,ROW()-1,8)),OFFSET($A$1,ROW()-1,8),0)))))</f>
        <v/>
      </c>
      <c r="AE191" s="62">
        <f>IF($V191&lt;&gt;"Sub","",N($X191)*IF(AND(ISNUMBER($G191),$G191&lt;=IF($S191=MesCiclo,InicioCiclo,$S191+MOD(2-WEEKDAY($S191),7))+13),1,MIN(1,MAX(0,IF(ISNUMBER(OFFSET($A$1,ROW()-1,9)),OFFSET($A$1,ROW()-1,9),IF(ISNUMBER(OFFSET($A$1,ROW()-1,8)),OFFSET($A$1,ROW()-1,8),0))))))</f>
        <v/>
      </c>
      <c r="AF191" s="62">
        <f>IF($V191&lt;&gt;"Sub","",N($X191)*IF(AND(ISNUMBER($G191),$G191&lt;=IF($S191=MesCiclo,InicioCiclo,$S191+MOD(2-WEEKDAY($S191),7))+20),1,MIN(1,MAX(0,IF(ISNUMBER(OFFSET($A$1,ROW()-1,10)),OFFSET($A$1,ROW()-1,10),IF(ISNUMBER(OFFSET($A$1,ROW()-1,9)),OFFSET($A$1,ROW()-1,9),IF(ISNUMBER(OFFSET($A$1,ROW()-1,8)),OFFSET($A$1,ROW()-1,8),0)))))))</f>
        <v/>
      </c>
      <c r="AG191" s="62">
        <f>IF($V191&lt;&gt;"Sub","",N($X191)*IF(AND(ISNUMBER($G191),$G191&lt;=IF($S191=MesCiclo,InicioCiclo,$S191+MOD(2-WEEKDAY($S191),7))+27),1,MIN(1,MAX(0,IF(ISNUMBER(OFFSET($A$1,ROW()-1,11)),OFFSET($A$1,ROW()-1,11),IF(ISNUMBER(OFFSET($A$1,ROW()-1,10)),OFFSET($A$1,ROW()-1,10),IF(ISNUMBER(OFFSET($A$1,ROW()-1,9)),OFFSET($A$1,ROW()-1,9),IF(ISNUMBER(OFFSET($A$1,ROW()-1,8)),OFFSET($A$1,ROW()-1,8),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",IFERROR(MATCH("Riesgo Operacional|"&amp;MID($C191,12,500),rDname_ADM,0),0),"")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IF(N($W192)=0,"",IF(AND($S192=MesCiclo,1&gt;SemanaActual),"",MIN(1,SUMIFS(OFFSET($A$1,ROW(),29,1000-ROW(),1),OFFSET($A$1,ROW(),20,1000-ROW(),1),ROW(),OFFSET($A$1,ROW(),21,1000-ROW(),1),"Sub"))))</f>
        <v/>
      </c>
      <c r="J192" s="60">
        <f>IF(N($W192)=0,"",IF(AND($S192=MesCiclo,2&gt;SemanaActual),"",MIN(1,SUMIFS(OFFSET($A$1,ROW(),30,1000-ROW(),1),OFFSET($A$1,ROW(),20,1000-ROW(),1),ROW(),OFFSET($A$1,ROW(),21,1000-ROW(),1),"Sub"))))</f>
        <v/>
      </c>
      <c r="K192" s="60">
        <f>IF(N($W192)=0,"",IF(AND($S192=MesCiclo,3&gt;SemanaActual),"",MIN(1,SUMIFS(OFFSET($A$1,ROW(),31,1000-ROW(),1),OFFSET($A$1,ROW(),20,1000-ROW(),1),ROW(),OFFSET($A$1,ROW(),21,1000-ROW(),1),"Sub"))))</f>
        <v/>
      </c>
      <c r="L192" s="60">
        <f>IF(N($W192)=0,"",IF(AND($S192=MesCiclo,4&gt;SemanaActual),"",MIN(1,SUMIFS(OFFSET($A$1,ROW(),32,1000-ROW(),1),OFFSET($A$1,ROW(),20,1000-ROW(),1),ROW(),OFFSET($A$1,ROW(),21,1000-ROW(),1),"Sub"))))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IF($V192&lt;&gt;"Sub","",N($X192)*IF(AND(ISNUMBER($G192),$G192&lt;=IF($S192=MesCiclo,InicioCiclo,$S192+MOD(2-WEEKDAY($S192),7))+6),1,MIN(1,MAX(0,IF(ISNUMBER(OFFSET($A$1,ROW()-1,8)),OFFSET($A$1,ROW()-1,8),0)))))</f>
        <v/>
      </c>
      <c r="AE192" s="62">
        <f>IF($V192&lt;&gt;"Sub","",N($X192)*IF(AND(ISNUMBER($G192),$G192&lt;=IF($S192=MesCiclo,InicioCiclo,$S192+MOD(2-WEEKDAY($S192),7))+13),1,MIN(1,MAX(0,IF(ISNUMBER(OFFSET($A$1,ROW()-1,9)),OFFSET($A$1,ROW()-1,9),IF(ISNUMBER(OFFSET($A$1,ROW()-1,8)),OFFSET($A$1,ROW()-1,8),0))))))</f>
        <v/>
      </c>
      <c r="AF192" s="62">
        <f>IF($V192&lt;&gt;"Sub","",N($X192)*IF(AND(ISNUMBER($G192),$G192&lt;=IF($S192=MesCiclo,InicioCiclo,$S192+MOD(2-WEEKDAY($S192),7))+20),1,MIN(1,MAX(0,IF(ISNUMBER(OFFSET($A$1,ROW()-1,10)),OFFSET($A$1,ROW()-1,10),IF(ISNUMBER(OFFSET($A$1,ROW()-1,9)),OFFSET($A$1,ROW()-1,9),IF(ISNUMBER(OFFSET($A$1,ROW()-1,8)),OFFSET($A$1,ROW()-1,8),0)))))))</f>
        <v/>
      </c>
      <c r="AG192" s="62">
        <f>IF($V192&lt;&gt;"Sub","",N($X192)*IF(AND(ISNUMBER($G192),$G192&lt;=IF($S192=MesCiclo,InicioCiclo,$S192+MOD(2-WEEKDAY($S192),7))+27),1,MIN(1,MAX(0,IF(ISNUMBER(OFFSET($A$1,ROW()-1,11)),OFFSET($A$1,ROW()-1,11),IF(ISNUMBER(OFFSET($A$1,ROW()-1,10)),OFFSET($A$1,ROW()-1,10),IF(ISNUMBER(OFFSET($A$1,ROW()-1,9)),OFFSET($A$1,ROW()-1,9),IF(ISNUMBER(OFFSET($A$1,ROW()-1,8)),OFFSET($A$1,ROW()-1,8),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",IFERROR(MATCH("Riesgo Operacional|"&amp;MID($C192,12,500),rDname_ADM,0),0),"")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IF(N($W193)=0,"",IF(AND($S193=MesCiclo,1&gt;SemanaActual),"",MIN(1,SUMIFS(OFFSET($A$1,ROW(),29,1000-ROW(),1),OFFSET($A$1,ROW(),20,1000-ROW(),1),ROW(),OFFSET($A$1,ROW(),21,1000-ROW(),1),"Sub"))))</f>
        <v/>
      </c>
      <c r="J193" s="60">
        <f>IF(N($W193)=0,"",IF(AND($S193=MesCiclo,2&gt;SemanaActual),"",MIN(1,SUMIFS(OFFSET($A$1,ROW(),30,1000-ROW(),1),OFFSET($A$1,ROW(),20,1000-ROW(),1),ROW(),OFFSET($A$1,ROW(),21,1000-ROW(),1),"Sub"))))</f>
        <v/>
      </c>
      <c r="K193" s="60">
        <f>IF(N($W193)=0,"",IF(AND($S193=MesCiclo,3&gt;SemanaActual),"",MIN(1,SUMIFS(OFFSET($A$1,ROW(),31,1000-ROW(),1),OFFSET($A$1,ROW(),20,1000-ROW(),1),ROW(),OFFSET($A$1,ROW(),21,1000-ROW(),1),"Sub"))))</f>
        <v/>
      </c>
      <c r="L193" s="60">
        <f>IF(N($W193)=0,"",IF(AND($S193=MesCiclo,4&gt;SemanaActual),"",MIN(1,SUMIFS(OFFSET($A$1,ROW(),32,1000-ROW(),1),OFFSET($A$1,ROW(),20,1000-ROW(),1),ROW(),OFFSET($A$1,ROW(),21,1000-ROW(),1),"Sub"))))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IF($V193&lt;&gt;"Sub","",N($X193)*IF(AND(ISNUMBER($G193),$G193&lt;=IF($S193=MesCiclo,InicioCiclo,$S193+MOD(2-WEEKDAY($S193),7))+6),1,MIN(1,MAX(0,IF(ISNUMBER(OFFSET($A$1,ROW()-1,8)),OFFSET($A$1,ROW()-1,8),0)))))</f>
        <v/>
      </c>
      <c r="AE193" s="62">
        <f>IF($V193&lt;&gt;"Sub","",N($X193)*IF(AND(ISNUMBER($G193),$G193&lt;=IF($S193=MesCiclo,InicioCiclo,$S193+MOD(2-WEEKDAY($S193),7))+13),1,MIN(1,MAX(0,IF(ISNUMBER(OFFSET($A$1,ROW()-1,9)),OFFSET($A$1,ROW()-1,9),IF(ISNUMBER(OFFSET($A$1,ROW()-1,8)),OFFSET($A$1,ROW()-1,8),0))))))</f>
        <v/>
      </c>
      <c r="AF193" s="62">
        <f>IF($V193&lt;&gt;"Sub","",N($X193)*IF(AND(ISNUMBER($G193),$G193&lt;=IF($S193=MesCiclo,InicioCiclo,$S193+MOD(2-WEEKDAY($S193),7))+20),1,MIN(1,MAX(0,IF(ISNUMBER(OFFSET($A$1,ROW()-1,10)),OFFSET($A$1,ROW()-1,10),IF(ISNUMBER(OFFSET($A$1,ROW()-1,9)),OFFSET($A$1,ROW()-1,9),IF(ISNUMBER(OFFSET($A$1,ROW()-1,8)),OFFSET($A$1,ROW()-1,8),0)))))))</f>
        <v/>
      </c>
      <c r="AG193" s="62">
        <f>IF($V193&lt;&gt;"Sub","",N($X193)*IF(AND(ISNUMBER($G193),$G193&lt;=IF($S193=MesCiclo,InicioCiclo,$S193+MOD(2-WEEKDAY($S193),7))+27),1,MIN(1,MAX(0,IF(ISNUMBER(OFFSET($A$1,ROW()-1,11)),OFFSET($A$1,ROW()-1,11),IF(ISNUMBER(OFFSET($A$1,ROW()-1,10)),OFFSET($A$1,ROW()-1,10),IF(ISNUMBER(OFFSET($A$1,ROW()-1,9)),OFFSET($A$1,ROW()-1,9),IF(ISNUMBER(OFFSET($A$1,ROW()-1,8)),OFFSET($A$1,ROW()-1,8),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",IFERROR(MATCH("Riesgo Operacional|"&amp;MID($C193,12,500),rDname_ADM,0),0),"")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IF(N($W194)=0,"",IF(AND($S194=MesCiclo,1&gt;SemanaActual),"",MIN(1,SUMIFS(OFFSET($A$1,ROW(),29,1000-ROW(),1),OFFSET($A$1,ROW(),20,1000-ROW(),1),ROW(),OFFSET($A$1,ROW(),21,1000-ROW(),1),"Sub"))))</f>
        <v/>
      </c>
      <c r="J194" s="60">
        <f>IF(N($W194)=0,"",IF(AND($S194=MesCiclo,2&gt;SemanaActual),"",MIN(1,SUMIFS(OFFSET($A$1,ROW(),30,1000-ROW(),1),OFFSET($A$1,ROW(),20,1000-ROW(),1),ROW(),OFFSET($A$1,ROW(),21,1000-ROW(),1),"Sub"))))</f>
        <v/>
      </c>
      <c r="K194" s="60">
        <f>IF(N($W194)=0,"",IF(AND($S194=MesCiclo,3&gt;SemanaActual),"",MIN(1,SUMIFS(OFFSET($A$1,ROW(),31,1000-ROW(),1),OFFSET($A$1,ROW(),20,1000-ROW(),1),ROW(),OFFSET($A$1,ROW(),21,1000-ROW(),1),"Sub"))))</f>
        <v/>
      </c>
      <c r="L194" s="60">
        <f>IF(N($W194)=0,"",IF(AND($S194=MesCiclo,4&gt;SemanaActual),"",MIN(1,SUMIFS(OFFSET($A$1,ROW(),32,1000-ROW(),1),OFFSET($A$1,ROW(),20,1000-ROW(),1),ROW(),OFFSET($A$1,ROW(),21,1000-ROW(),1),"Sub"))))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IF($V194&lt;&gt;"Sub","",N($X194)*IF(AND(ISNUMBER($G194),$G194&lt;=IF($S194=MesCiclo,InicioCiclo,$S194+MOD(2-WEEKDAY($S194),7))+6),1,MIN(1,MAX(0,IF(ISNUMBER(OFFSET($A$1,ROW()-1,8)),OFFSET($A$1,ROW()-1,8),0)))))</f>
        <v/>
      </c>
      <c r="AE194" s="62">
        <f>IF($V194&lt;&gt;"Sub","",N($X194)*IF(AND(ISNUMBER($G194),$G194&lt;=IF($S194=MesCiclo,InicioCiclo,$S194+MOD(2-WEEKDAY($S194),7))+13),1,MIN(1,MAX(0,IF(ISNUMBER(OFFSET($A$1,ROW()-1,9)),OFFSET($A$1,ROW()-1,9),IF(ISNUMBER(OFFSET($A$1,ROW()-1,8)),OFFSET($A$1,ROW()-1,8),0))))))</f>
        <v/>
      </c>
      <c r="AF194" s="62">
        <f>IF($V194&lt;&gt;"Sub","",N($X194)*IF(AND(ISNUMBER($G194),$G194&lt;=IF($S194=MesCiclo,InicioCiclo,$S194+MOD(2-WEEKDAY($S194),7))+20),1,MIN(1,MAX(0,IF(ISNUMBER(OFFSET($A$1,ROW()-1,10)),OFFSET($A$1,ROW()-1,10),IF(ISNUMBER(OFFSET($A$1,ROW()-1,9)),OFFSET($A$1,ROW()-1,9),IF(ISNUMBER(OFFSET($A$1,ROW()-1,8)),OFFSET($A$1,ROW()-1,8),0)))))))</f>
        <v/>
      </c>
      <c r="AG194" s="62">
        <f>IF($V194&lt;&gt;"Sub","",N($X194)*IF(AND(ISNUMBER($G194),$G194&lt;=IF($S194=MesCiclo,InicioCiclo,$S194+MOD(2-WEEKDAY($S194),7))+27),1,MIN(1,MAX(0,IF(ISNUMBER(OFFSET($A$1,ROW()-1,11)),OFFSET($A$1,ROW()-1,11),IF(ISNUMBER(OFFSET($A$1,ROW()-1,10)),OFFSET($A$1,ROW()-1,10),IF(ISNUMBER(OFFSET($A$1,ROW()-1,9)),OFFSET($A$1,ROW()-1,9),IF(ISNUMBER(OFFSET($A$1,ROW()-1,8)),OFFSET($A$1,ROW()-1,8),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",IFERROR(MATCH("Riesgo Operacional|"&amp;MID($C194,12,500),rDname_ADM,0),0),"")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IF(N($W195)=0,"",IF(AND($S195=MesCiclo,1&gt;SemanaActual),"",MIN(1,SUMIFS(OFFSET($A$1,ROW(),29,1000-ROW(),1),OFFSET($A$1,ROW(),20,1000-ROW(),1),ROW(),OFFSET($A$1,ROW(),21,1000-ROW(),1),"Sub"))))</f>
        <v/>
      </c>
      <c r="J195" s="60">
        <f>IF(N($W195)=0,"",IF(AND($S195=MesCiclo,2&gt;SemanaActual),"",MIN(1,SUMIFS(OFFSET($A$1,ROW(),30,1000-ROW(),1),OFFSET($A$1,ROW(),20,1000-ROW(),1),ROW(),OFFSET($A$1,ROW(),21,1000-ROW(),1),"Sub"))))</f>
        <v/>
      </c>
      <c r="K195" s="60">
        <f>IF(N($W195)=0,"",IF(AND($S195=MesCiclo,3&gt;SemanaActual),"",MIN(1,SUMIFS(OFFSET($A$1,ROW(),31,1000-ROW(),1),OFFSET($A$1,ROW(),20,1000-ROW(),1),ROW(),OFFSET($A$1,ROW(),21,1000-ROW(),1),"Sub"))))</f>
        <v/>
      </c>
      <c r="L195" s="60">
        <f>IF(N($W195)=0,"",IF(AND($S195=MesCiclo,4&gt;SemanaActual),"",MIN(1,SUMIFS(OFFSET($A$1,ROW(),32,1000-ROW(),1),OFFSET($A$1,ROW(),20,1000-ROW(),1),ROW(),OFFSET($A$1,ROW(),21,1000-ROW(),1),"Sub"))))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IF($V195&lt;&gt;"Sub","",N($X195)*IF(AND(ISNUMBER($G195),$G195&lt;=IF($S195=MesCiclo,InicioCiclo,$S195+MOD(2-WEEKDAY($S195),7))+6),1,MIN(1,MAX(0,IF(ISNUMBER(OFFSET($A$1,ROW()-1,8)),OFFSET($A$1,ROW()-1,8),0)))))</f>
        <v/>
      </c>
      <c r="AE195" s="62">
        <f>IF($V195&lt;&gt;"Sub","",N($X195)*IF(AND(ISNUMBER($G195),$G195&lt;=IF($S195=MesCiclo,InicioCiclo,$S195+MOD(2-WEEKDAY($S195),7))+13),1,MIN(1,MAX(0,IF(ISNUMBER(OFFSET($A$1,ROW()-1,9)),OFFSET($A$1,ROW()-1,9),IF(ISNUMBER(OFFSET($A$1,ROW()-1,8)),OFFSET($A$1,ROW()-1,8),0))))))</f>
        <v/>
      </c>
      <c r="AF195" s="62">
        <f>IF($V195&lt;&gt;"Sub","",N($X195)*IF(AND(ISNUMBER($G195),$G195&lt;=IF($S195=MesCiclo,InicioCiclo,$S195+MOD(2-WEEKDAY($S195),7))+20),1,MIN(1,MAX(0,IF(ISNUMBER(OFFSET($A$1,ROW()-1,10)),OFFSET($A$1,ROW()-1,10),IF(ISNUMBER(OFFSET($A$1,ROW()-1,9)),OFFSET($A$1,ROW()-1,9),IF(ISNUMBER(OFFSET($A$1,ROW()-1,8)),OFFSET($A$1,ROW()-1,8),0)))))))</f>
        <v/>
      </c>
      <c r="AG195" s="62">
        <f>IF($V195&lt;&gt;"Sub","",N($X195)*IF(AND(ISNUMBER($G195),$G195&lt;=IF($S195=MesCiclo,InicioCiclo,$S195+MOD(2-WEEKDAY($S195),7))+27),1,MIN(1,MAX(0,IF(ISNUMBER(OFFSET($A$1,ROW()-1,11)),OFFSET($A$1,ROW()-1,11),IF(ISNUMBER(OFFSET($A$1,ROW()-1,10)),OFFSET($A$1,ROW()-1,10),IF(ISNUMBER(OFFSET($A$1,ROW()-1,9)),OFFSET($A$1,ROW()-1,9),IF(ISNUMBER(OFFSET($A$1,ROW()-1,8)),OFFSET($A$1,ROW()-1,8),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",IFERROR(MATCH("Riesgo Operacional|"&amp;MID($C195,12,500),rDname_ADM,0),0),"")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IF(N($W196)=0,"",IF(AND($S196=MesCiclo,1&gt;SemanaActual),"",MIN(1,SUMIFS(OFFSET($A$1,ROW(),29,1000-ROW(),1),OFFSET($A$1,ROW(),20,1000-ROW(),1),ROW(),OFFSET($A$1,ROW(),21,1000-ROW(),1),"Sub"))))</f>
        <v/>
      </c>
      <c r="J196" s="60">
        <f>IF(N($W196)=0,"",IF(AND($S196=MesCiclo,2&gt;SemanaActual),"",MIN(1,SUMIFS(OFFSET($A$1,ROW(),30,1000-ROW(),1),OFFSET($A$1,ROW(),20,1000-ROW(),1),ROW(),OFFSET($A$1,ROW(),21,1000-ROW(),1),"Sub"))))</f>
        <v/>
      </c>
      <c r="K196" s="60">
        <f>IF(N($W196)=0,"",IF(AND($S196=MesCiclo,3&gt;SemanaActual),"",MIN(1,SUMIFS(OFFSET($A$1,ROW(),31,1000-ROW(),1),OFFSET($A$1,ROW(),20,1000-ROW(),1),ROW(),OFFSET($A$1,ROW(),21,1000-ROW(),1),"Sub"))))</f>
        <v/>
      </c>
      <c r="L196" s="60">
        <f>IF(N($W196)=0,"",IF(AND($S196=MesCiclo,4&gt;SemanaActual),"",MIN(1,SUMIFS(OFFSET($A$1,ROW(),32,1000-ROW(),1),OFFSET($A$1,ROW(),20,1000-ROW(),1),ROW(),OFFSET($A$1,ROW(),21,1000-ROW(),1),"Sub"))))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IF($V196&lt;&gt;"Sub","",N($X196)*IF(AND(ISNUMBER($G196),$G196&lt;=IF($S196=MesCiclo,InicioCiclo,$S196+MOD(2-WEEKDAY($S196),7))+6),1,MIN(1,MAX(0,IF(ISNUMBER(OFFSET($A$1,ROW()-1,8)),OFFSET($A$1,ROW()-1,8),0)))))</f>
        <v/>
      </c>
      <c r="AE196" s="62">
        <f>IF($V196&lt;&gt;"Sub","",N($X196)*IF(AND(ISNUMBER($G196),$G196&lt;=IF($S196=MesCiclo,InicioCiclo,$S196+MOD(2-WEEKDAY($S196),7))+13),1,MIN(1,MAX(0,IF(ISNUMBER(OFFSET($A$1,ROW()-1,9)),OFFSET($A$1,ROW()-1,9),IF(ISNUMBER(OFFSET($A$1,ROW()-1,8)),OFFSET($A$1,ROW()-1,8),0))))))</f>
        <v/>
      </c>
      <c r="AF196" s="62">
        <f>IF($V196&lt;&gt;"Sub","",N($X196)*IF(AND(ISNUMBER($G196),$G196&lt;=IF($S196=MesCiclo,InicioCiclo,$S196+MOD(2-WEEKDAY($S196),7))+20),1,MIN(1,MAX(0,IF(ISNUMBER(OFFSET($A$1,ROW()-1,10)),OFFSET($A$1,ROW()-1,10),IF(ISNUMBER(OFFSET($A$1,ROW()-1,9)),OFFSET($A$1,ROW()-1,9),IF(ISNUMBER(OFFSET($A$1,ROW()-1,8)),OFFSET($A$1,ROW()-1,8),0)))))))</f>
        <v/>
      </c>
      <c r="AG196" s="62">
        <f>IF($V196&lt;&gt;"Sub","",N($X196)*IF(AND(ISNUMBER($G196),$G196&lt;=IF($S196=MesCiclo,InicioCiclo,$S196+MOD(2-WEEKDAY($S196),7))+27),1,MIN(1,MAX(0,IF(ISNUMBER(OFFSET($A$1,ROW()-1,11)),OFFSET($A$1,ROW()-1,11),IF(ISNUMBER(OFFSET($A$1,ROW()-1,10)),OFFSET($A$1,ROW()-1,10),IF(ISNUMBER(OFFSET($A$1,ROW()-1,9)),OFFSET($A$1,ROW()-1,9),IF(ISNUMBER(OFFSET($A$1,ROW()-1,8)),OFFSET($A$1,ROW()-1,8),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",IFERROR(MATCH("Riesgo Operacional|"&amp;MID($C196,12,500),rDname_ADM,0),0),"")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IF(N($W197)=0,"",IF(AND($S197=MesCiclo,1&gt;SemanaActual),"",MIN(1,SUMIFS(OFFSET($A$1,ROW(),29,1000-ROW(),1),OFFSET($A$1,ROW(),20,1000-ROW(),1),ROW(),OFFSET($A$1,ROW(),21,1000-ROW(),1),"Sub"))))</f>
        <v/>
      </c>
      <c r="J197" s="60">
        <f>IF(N($W197)=0,"",IF(AND($S197=MesCiclo,2&gt;SemanaActual),"",MIN(1,SUMIFS(OFFSET($A$1,ROW(),30,1000-ROW(),1),OFFSET($A$1,ROW(),20,1000-ROW(),1),ROW(),OFFSET($A$1,ROW(),21,1000-ROW(),1),"Sub"))))</f>
        <v/>
      </c>
      <c r="K197" s="60">
        <f>IF(N($W197)=0,"",IF(AND($S197=MesCiclo,3&gt;SemanaActual),"",MIN(1,SUMIFS(OFFSET($A$1,ROW(),31,1000-ROW(),1),OFFSET($A$1,ROW(),20,1000-ROW(),1),ROW(),OFFSET($A$1,ROW(),21,1000-ROW(),1),"Sub"))))</f>
        <v/>
      </c>
      <c r="L197" s="60">
        <f>IF(N($W197)=0,"",IF(AND($S197=MesCiclo,4&gt;SemanaActual),"",MIN(1,SUMIFS(OFFSET($A$1,ROW(),32,1000-ROW(),1),OFFSET($A$1,ROW(),20,1000-ROW(),1),ROW(),OFFSET($A$1,ROW(),21,1000-ROW(),1),"Sub"))))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IF($V197&lt;&gt;"Sub","",N($X197)*IF(AND(ISNUMBER($G197),$G197&lt;=IF($S197=MesCiclo,InicioCiclo,$S197+MOD(2-WEEKDAY($S197),7))+6),1,MIN(1,MAX(0,IF(ISNUMBER(OFFSET($A$1,ROW()-1,8)),OFFSET($A$1,ROW()-1,8),0)))))</f>
        <v/>
      </c>
      <c r="AE197" s="62">
        <f>IF($V197&lt;&gt;"Sub","",N($X197)*IF(AND(ISNUMBER($G197),$G197&lt;=IF($S197=MesCiclo,InicioCiclo,$S197+MOD(2-WEEKDAY($S197),7))+13),1,MIN(1,MAX(0,IF(ISNUMBER(OFFSET($A$1,ROW()-1,9)),OFFSET($A$1,ROW()-1,9),IF(ISNUMBER(OFFSET($A$1,ROW()-1,8)),OFFSET($A$1,ROW()-1,8),0))))))</f>
        <v/>
      </c>
      <c r="AF197" s="62">
        <f>IF($V197&lt;&gt;"Sub","",N($X197)*IF(AND(ISNUMBER($G197),$G197&lt;=IF($S197=MesCiclo,InicioCiclo,$S197+MOD(2-WEEKDAY($S197),7))+20),1,MIN(1,MAX(0,IF(ISNUMBER(OFFSET($A$1,ROW()-1,10)),OFFSET($A$1,ROW()-1,10),IF(ISNUMBER(OFFSET($A$1,ROW()-1,9)),OFFSET($A$1,ROW()-1,9),IF(ISNUMBER(OFFSET($A$1,ROW()-1,8)),OFFSET($A$1,ROW()-1,8),0)))))))</f>
        <v/>
      </c>
      <c r="AG197" s="62">
        <f>IF($V197&lt;&gt;"Sub","",N($X197)*IF(AND(ISNUMBER($G197),$G197&lt;=IF($S197=MesCiclo,InicioCiclo,$S197+MOD(2-WEEKDAY($S197),7))+27),1,MIN(1,MAX(0,IF(ISNUMBER(OFFSET($A$1,ROW()-1,11)),OFFSET($A$1,ROW()-1,11),IF(ISNUMBER(OFFSET($A$1,ROW()-1,10)),OFFSET($A$1,ROW()-1,10),IF(ISNUMBER(OFFSET($A$1,ROW()-1,9)),OFFSET($A$1,ROW()-1,9),IF(ISNUMBER(OFFSET($A$1,ROW()-1,8)),OFFSET($A$1,ROW()-1,8),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",IFERROR(MATCH("Riesgo Operacional|"&amp;MID($C197,12,500),rDname_ADM,0),0),"")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IF(N($W198)=0,"",IF(AND($S198=MesCiclo,1&gt;SemanaActual),"",MIN(1,SUMIFS(OFFSET($A$1,ROW(),29,1000-ROW(),1),OFFSET($A$1,ROW(),20,1000-ROW(),1),ROW(),OFFSET($A$1,ROW(),21,1000-ROW(),1),"Sub"))))</f>
        <v/>
      </c>
      <c r="J198" s="60">
        <f>IF(N($W198)=0,"",IF(AND($S198=MesCiclo,2&gt;SemanaActual),"",MIN(1,SUMIFS(OFFSET($A$1,ROW(),30,1000-ROW(),1),OFFSET($A$1,ROW(),20,1000-ROW(),1),ROW(),OFFSET($A$1,ROW(),21,1000-ROW(),1),"Sub"))))</f>
        <v/>
      </c>
      <c r="K198" s="60">
        <f>IF(N($W198)=0,"",IF(AND($S198=MesCiclo,3&gt;SemanaActual),"",MIN(1,SUMIFS(OFFSET($A$1,ROW(),31,1000-ROW(),1),OFFSET($A$1,ROW(),20,1000-ROW(),1),ROW(),OFFSET($A$1,ROW(),21,1000-ROW(),1),"Sub"))))</f>
        <v/>
      </c>
      <c r="L198" s="60">
        <f>IF(N($W198)=0,"",IF(AND($S198=MesCiclo,4&gt;SemanaActual),"",MIN(1,SUMIFS(OFFSET($A$1,ROW(),32,1000-ROW(),1),OFFSET($A$1,ROW(),20,1000-ROW(),1),ROW(),OFFSET($A$1,ROW(),21,1000-ROW(),1),"Sub"))))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IF($V198&lt;&gt;"Sub","",N($X198)*IF(AND(ISNUMBER($G198),$G198&lt;=IF($S198=MesCiclo,InicioCiclo,$S198+MOD(2-WEEKDAY($S198),7))+6),1,MIN(1,MAX(0,IF(ISNUMBER(OFFSET($A$1,ROW()-1,8)),OFFSET($A$1,ROW()-1,8),0)))))</f>
        <v/>
      </c>
      <c r="AE198" s="62">
        <f>IF($V198&lt;&gt;"Sub","",N($X198)*IF(AND(ISNUMBER($G198),$G198&lt;=IF($S198=MesCiclo,InicioCiclo,$S198+MOD(2-WEEKDAY($S198),7))+13),1,MIN(1,MAX(0,IF(ISNUMBER(OFFSET($A$1,ROW()-1,9)),OFFSET($A$1,ROW()-1,9),IF(ISNUMBER(OFFSET($A$1,ROW()-1,8)),OFFSET($A$1,ROW()-1,8),0))))))</f>
        <v/>
      </c>
      <c r="AF198" s="62">
        <f>IF($V198&lt;&gt;"Sub","",N($X198)*IF(AND(ISNUMBER($G198),$G198&lt;=IF($S198=MesCiclo,InicioCiclo,$S198+MOD(2-WEEKDAY($S198),7))+20),1,MIN(1,MAX(0,IF(ISNUMBER(OFFSET($A$1,ROW()-1,10)),OFFSET($A$1,ROW()-1,10),IF(ISNUMBER(OFFSET($A$1,ROW()-1,9)),OFFSET($A$1,ROW()-1,9),IF(ISNUMBER(OFFSET($A$1,ROW()-1,8)),OFFSET($A$1,ROW()-1,8),0)))))))</f>
        <v/>
      </c>
      <c r="AG198" s="62">
        <f>IF($V198&lt;&gt;"Sub","",N($X198)*IF(AND(ISNUMBER($G198),$G198&lt;=IF($S198=MesCiclo,InicioCiclo,$S198+MOD(2-WEEKDAY($S198),7))+27),1,MIN(1,MAX(0,IF(ISNUMBER(OFFSET($A$1,ROW()-1,11)),OFFSET($A$1,ROW()-1,11),IF(ISNUMBER(OFFSET($A$1,ROW()-1,10)),OFFSET($A$1,ROW()-1,10),IF(ISNUMBER(OFFSET($A$1,ROW()-1,9)),OFFSET($A$1,ROW()-1,9),IF(ISNUMBER(OFFSET($A$1,ROW()-1,8)),OFFSET($A$1,ROW()-1,8),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",IFERROR(MATCH("Riesgo Operacional|"&amp;MID($C198,12,500),rDname_ADM,0),0),"")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IF(N($W199)=0,"",IF(AND($S199=MesCiclo,1&gt;SemanaActual),"",MIN(1,SUMIFS(OFFSET($A$1,ROW(),29,1000-ROW(),1),OFFSET($A$1,ROW(),20,1000-ROW(),1),ROW(),OFFSET($A$1,ROW(),21,1000-ROW(),1),"Sub"))))</f>
        <v/>
      </c>
      <c r="J199" s="60">
        <f>IF(N($W199)=0,"",IF(AND($S199=MesCiclo,2&gt;SemanaActual),"",MIN(1,SUMIFS(OFFSET($A$1,ROW(),30,1000-ROW(),1),OFFSET($A$1,ROW(),20,1000-ROW(),1),ROW(),OFFSET($A$1,ROW(),21,1000-ROW(),1),"Sub"))))</f>
        <v/>
      </c>
      <c r="K199" s="60">
        <f>IF(N($W199)=0,"",IF(AND($S199=MesCiclo,3&gt;SemanaActual),"",MIN(1,SUMIFS(OFFSET($A$1,ROW(),31,1000-ROW(),1),OFFSET($A$1,ROW(),20,1000-ROW(),1),ROW(),OFFSET($A$1,ROW(),21,1000-ROW(),1),"Sub"))))</f>
        <v/>
      </c>
      <c r="L199" s="60">
        <f>IF(N($W199)=0,"",IF(AND($S199=MesCiclo,4&gt;SemanaActual),"",MIN(1,SUMIFS(OFFSET($A$1,ROW(),32,1000-ROW(),1),OFFSET($A$1,ROW(),20,1000-ROW(),1),ROW(),OFFSET($A$1,ROW(),21,1000-ROW(),1),"Sub"))))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IF($V199&lt;&gt;"Sub","",N($X199)*IF(AND(ISNUMBER($G199),$G199&lt;=IF($S199=MesCiclo,InicioCiclo,$S199+MOD(2-WEEKDAY($S199),7))+6),1,MIN(1,MAX(0,IF(ISNUMBER(OFFSET($A$1,ROW()-1,8)),OFFSET($A$1,ROW()-1,8),0)))))</f>
        <v/>
      </c>
      <c r="AE199" s="62">
        <f>IF($V199&lt;&gt;"Sub","",N($X199)*IF(AND(ISNUMBER($G199),$G199&lt;=IF($S199=MesCiclo,InicioCiclo,$S199+MOD(2-WEEKDAY($S199),7))+13),1,MIN(1,MAX(0,IF(ISNUMBER(OFFSET($A$1,ROW()-1,9)),OFFSET($A$1,ROW()-1,9),IF(ISNUMBER(OFFSET($A$1,ROW()-1,8)),OFFSET($A$1,ROW()-1,8),0))))))</f>
        <v/>
      </c>
      <c r="AF199" s="62">
        <f>IF($V199&lt;&gt;"Sub","",N($X199)*IF(AND(ISNUMBER($G199),$G199&lt;=IF($S199=MesCiclo,InicioCiclo,$S199+MOD(2-WEEKDAY($S199),7))+20),1,MIN(1,MAX(0,IF(ISNUMBER(OFFSET($A$1,ROW()-1,10)),OFFSET($A$1,ROW()-1,10),IF(ISNUMBER(OFFSET($A$1,ROW()-1,9)),OFFSET($A$1,ROW()-1,9),IF(ISNUMBER(OFFSET($A$1,ROW()-1,8)),OFFSET($A$1,ROW()-1,8),0)))))))</f>
        <v/>
      </c>
      <c r="AG199" s="62">
        <f>IF($V199&lt;&gt;"Sub","",N($X199)*IF(AND(ISNUMBER($G199),$G199&lt;=IF($S199=MesCiclo,InicioCiclo,$S199+MOD(2-WEEKDAY($S199),7))+27),1,MIN(1,MAX(0,IF(ISNUMBER(OFFSET($A$1,ROW()-1,11)),OFFSET($A$1,ROW()-1,11),IF(ISNUMBER(OFFSET($A$1,ROW()-1,10)),OFFSET($A$1,ROW()-1,10),IF(ISNUMBER(OFFSET($A$1,ROW()-1,9)),OFFSET($A$1,ROW()-1,9),IF(ISNUMBER(OFFSET($A$1,ROW()-1,8)),OFFSET($A$1,ROW()-1,8),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",IFERROR(MATCH("Riesgo Operacional|"&amp;MID($C199,12,500),rDname_ADM,0),0),"")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IF(N($W200)=0,"",IF(AND($S200=MesCiclo,1&gt;SemanaActual),"",MIN(1,SUMIFS(OFFSET($A$1,ROW(),29,1000-ROW(),1),OFFSET($A$1,ROW(),20,1000-ROW(),1),ROW(),OFFSET($A$1,ROW(),21,1000-ROW(),1),"Sub"))))</f>
        <v/>
      </c>
      <c r="J200" s="60">
        <f>IF(N($W200)=0,"",IF(AND($S200=MesCiclo,2&gt;SemanaActual),"",MIN(1,SUMIFS(OFFSET($A$1,ROW(),30,1000-ROW(),1),OFFSET($A$1,ROW(),20,1000-ROW(),1),ROW(),OFFSET($A$1,ROW(),21,1000-ROW(),1),"Sub"))))</f>
        <v/>
      </c>
      <c r="K200" s="60">
        <f>IF(N($W200)=0,"",IF(AND($S200=MesCiclo,3&gt;SemanaActual),"",MIN(1,SUMIFS(OFFSET($A$1,ROW(),31,1000-ROW(),1),OFFSET($A$1,ROW(),20,1000-ROW(),1),ROW(),OFFSET($A$1,ROW(),21,1000-ROW(),1),"Sub"))))</f>
        <v/>
      </c>
      <c r="L200" s="60">
        <f>IF(N($W200)=0,"",IF(AND($S200=MesCiclo,4&gt;SemanaActual),"",MIN(1,SUMIFS(OFFSET($A$1,ROW(),32,1000-ROW(),1),OFFSET($A$1,ROW(),20,1000-ROW(),1),ROW(),OFFSET($A$1,ROW(),21,1000-ROW(),1),"Sub"))))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IF($V200&lt;&gt;"Sub","",N($X200)*IF(AND(ISNUMBER($G200),$G200&lt;=IF($S200=MesCiclo,InicioCiclo,$S200+MOD(2-WEEKDAY($S200),7))+6),1,MIN(1,MAX(0,IF(ISNUMBER(OFFSET($A$1,ROW()-1,8)),OFFSET($A$1,ROW()-1,8),0)))))</f>
        <v/>
      </c>
      <c r="AE200" s="62">
        <f>IF($V200&lt;&gt;"Sub","",N($X200)*IF(AND(ISNUMBER($G200),$G200&lt;=IF($S200=MesCiclo,InicioCiclo,$S200+MOD(2-WEEKDAY($S200),7))+13),1,MIN(1,MAX(0,IF(ISNUMBER(OFFSET($A$1,ROW()-1,9)),OFFSET($A$1,ROW()-1,9),IF(ISNUMBER(OFFSET($A$1,ROW()-1,8)),OFFSET($A$1,ROW()-1,8),0))))))</f>
        <v/>
      </c>
      <c r="AF200" s="62">
        <f>IF($V200&lt;&gt;"Sub","",N($X200)*IF(AND(ISNUMBER($G200),$G200&lt;=IF($S200=MesCiclo,InicioCiclo,$S200+MOD(2-WEEKDAY($S200),7))+20),1,MIN(1,MAX(0,IF(ISNUMBER(OFFSET($A$1,ROW()-1,10)),OFFSET($A$1,ROW()-1,10),IF(ISNUMBER(OFFSET($A$1,ROW()-1,9)),OFFSET($A$1,ROW()-1,9),IF(ISNUMBER(OFFSET($A$1,ROW()-1,8)),OFFSET($A$1,ROW()-1,8),0)))))))</f>
        <v/>
      </c>
      <c r="AG200" s="62">
        <f>IF($V200&lt;&gt;"Sub","",N($X200)*IF(AND(ISNUMBER($G200),$G200&lt;=IF($S200=MesCiclo,InicioCiclo,$S200+MOD(2-WEEKDAY($S200),7))+27),1,MIN(1,MAX(0,IF(ISNUMBER(OFFSET($A$1,ROW()-1,11)),OFFSET($A$1,ROW()-1,11),IF(ISNUMBER(OFFSET($A$1,ROW()-1,10)),OFFSET($A$1,ROW()-1,10),IF(ISNUMBER(OFFSET($A$1,ROW()-1,9)),OFFSET($A$1,ROW()-1,9),IF(ISNUMBER(OFFSET($A$1,ROW()-1,8)),OFFSET($A$1,ROW()-1,8),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",IFERROR(MATCH("Riesgo Operacional|"&amp;MID($C200,12,500),rDname_ADM,0),0),"")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IF(N($W201)=0,"",IF(AND($S201=MesCiclo,1&gt;SemanaActual),"",MIN(1,SUMIFS(OFFSET($A$1,ROW(),29,1000-ROW(),1),OFFSET($A$1,ROW(),20,1000-ROW(),1),ROW(),OFFSET($A$1,ROW(),21,1000-ROW(),1),"Sub"))))</f>
        <v/>
      </c>
      <c r="J201" s="60">
        <f>IF(N($W201)=0,"",IF(AND($S201=MesCiclo,2&gt;SemanaActual),"",MIN(1,SUMIFS(OFFSET($A$1,ROW(),30,1000-ROW(),1),OFFSET($A$1,ROW(),20,1000-ROW(),1),ROW(),OFFSET($A$1,ROW(),21,1000-ROW(),1),"Sub"))))</f>
        <v/>
      </c>
      <c r="K201" s="60">
        <f>IF(N($W201)=0,"",IF(AND($S201=MesCiclo,3&gt;SemanaActual),"",MIN(1,SUMIFS(OFFSET($A$1,ROW(),31,1000-ROW(),1),OFFSET($A$1,ROW(),20,1000-ROW(),1),ROW(),OFFSET($A$1,ROW(),21,1000-ROW(),1),"Sub"))))</f>
        <v/>
      </c>
      <c r="L201" s="60">
        <f>IF(N($W201)=0,"",IF(AND($S201=MesCiclo,4&gt;SemanaActual),"",MIN(1,SUMIFS(OFFSET($A$1,ROW(),32,1000-ROW(),1),OFFSET($A$1,ROW(),20,1000-ROW(),1),ROW(),OFFSET($A$1,ROW(),21,1000-ROW(),1),"Sub"))))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IF($V201&lt;&gt;"Sub","",N($X201)*IF(AND(ISNUMBER($G201),$G201&lt;=IF($S201=MesCiclo,InicioCiclo,$S201+MOD(2-WEEKDAY($S201),7))+6),1,MIN(1,MAX(0,IF(ISNUMBER(OFFSET($A$1,ROW()-1,8)),OFFSET($A$1,ROW()-1,8),0)))))</f>
        <v/>
      </c>
      <c r="AE201" s="62">
        <f>IF($V201&lt;&gt;"Sub","",N($X201)*IF(AND(ISNUMBER($G201),$G201&lt;=IF($S201=MesCiclo,InicioCiclo,$S201+MOD(2-WEEKDAY($S201),7))+13),1,MIN(1,MAX(0,IF(ISNUMBER(OFFSET($A$1,ROW()-1,9)),OFFSET($A$1,ROW()-1,9),IF(ISNUMBER(OFFSET($A$1,ROW()-1,8)),OFFSET($A$1,ROW()-1,8),0))))))</f>
        <v/>
      </c>
      <c r="AF201" s="62">
        <f>IF($V201&lt;&gt;"Sub","",N($X201)*IF(AND(ISNUMBER($G201),$G201&lt;=IF($S201=MesCiclo,InicioCiclo,$S201+MOD(2-WEEKDAY($S201),7))+20),1,MIN(1,MAX(0,IF(ISNUMBER(OFFSET($A$1,ROW()-1,10)),OFFSET($A$1,ROW()-1,10),IF(ISNUMBER(OFFSET($A$1,ROW()-1,9)),OFFSET($A$1,ROW()-1,9),IF(ISNUMBER(OFFSET($A$1,ROW()-1,8)),OFFSET($A$1,ROW()-1,8),0)))))))</f>
        <v/>
      </c>
      <c r="AG201" s="62">
        <f>IF($V201&lt;&gt;"Sub","",N($X201)*IF(AND(ISNUMBER($G201),$G201&lt;=IF($S201=MesCiclo,InicioCiclo,$S201+MOD(2-WEEKDAY($S201),7))+27),1,MIN(1,MAX(0,IF(ISNUMBER(OFFSET($A$1,ROW()-1,11)),OFFSET($A$1,ROW()-1,11),IF(ISNUMBER(OFFSET($A$1,ROW()-1,10)),OFFSET($A$1,ROW()-1,10),IF(ISNUMBER(OFFSET($A$1,ROW()-1,9)),OFFSET($A$1,ROW()-1,9),IF(ISNUMBER(OFFSET($A$1,ROW()-1,8)),OFFSET($A$1,ROW()-1,8),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",IFERROR(MATCH("Riesgo Operacional|"&amp;MID($C201,12,500),rDname_ADM,0),0),"")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IF(N($W202)=0,"",IF(AND($S202=MesCiclo,1&gt;SemanaActual),"",MIN(1,SUMIFS(OFFSET($A$1,ROW(),29,1000-ROW(),1),OFFSET($A$1,ROW(),20,1000-ROW(),1),ROW(),OFFSET($A$1,ROW(),21,1000-ROW(),1),"Sub"))))</f>
        <v/>
      </c>
      <c r="J202" s="60">
        <f>IF(N($W202)=0,"",IF(AND($S202=MesCiclo,2&gt;SemanaActual),"",MIN(1,SUMIFS(OFFSET($A$1,ROW(),30,1000-ROW(),1),OFFSET($A$1,ROW(),20,1000-ROW(),1),ROW(),OFFSET($A$1,ROW(),21,1000-ROW(),1),"Sub"))))</f>
        <v/>
      </c>
      <c r="K202" s="60">
        <f>IF(N($W202)=0,"",IF(AND($S202=MesCiclo,3&gt;SemanaActual),"",MIN(1,SUMIFS(OFFSET($A$1,ROW(),31,1000-ROW(),1),OFFSET($A$1,ROW(),20,1000-ROW(),1),ROW(),OFFSET($A$1,ROW(),21,1000-ROW(),1),"Sub"))))</f>
        <v/>
      </c>
      <c r="L202" s="60">
        <f>IF(N($W202)=0,"",IF(AND($S202=MesCiclo,4&gt;SemanaActual),"",MIN(1,SUMIFS(OFFSET($A$1,ROW(),32,1000-ROW(),1),OFFSET($A$1,ROW(),20,1000-ROW(),1),ROW(),OFFSET($A$1,ROW(),21,1000-ROW(),1),"Sub"))))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IF($V202&lt;&gt;"Sub","",N($X202)*IF(AND(ISNUMBER($G202),$G202&lt;=IF($S202=MesCiclo,InicioCiclo,$S202+MOD(2-WEEKDAY($S202),7))+6),1,MIN(1,MAX(0,IF(ISNUMBER(OFFSET($A$1,ROW()-1,8)),OFFSET($A$1,ROW()-1,8),0)))))</f>
        <v/>
      </c>
      <c r="AE202" s="62">
        <f>IF($V202&lt;&gt;"Sub","",N($X202)*IF(AND(ISNUMBER($G202),$G202&lt;=IF($S202=MesCiclo,InicioCiclo,$S202+MOD(2-WEEKDAY($S202),7))+13),1,MIN(1,MAX(0,IF(ISNUMBER(OFFSET($A$1,ROW()-1,9)),OFFSET($A$1,ROW()-1,9),IF(ISNUMBER(OFFSET($A$1,ROW()-1,8)),OFFSET($A$1,ROW()-1,8),0))))))</f>
        <v/>
      </c>
      <c r="AF202" s="62">
        <f>IF($V202&lt;&gt;"Sub","",N($X202)*IF(AND(ISNUMBER($G202),$G202&lt;=IF($S202=MesCiclo,InicioCiclo,$S202+MOD(2-WEEKDAY($S202),7))+20),1,MIN(1,MAX(0,IF(ISNUMBER(OFFSET($A$1,ROW()-1,10)),OFFSET($A$1,ROW()-1,10),IF(ISNUMBER(OFFSET($A$1,ROW()-1,9)),OFFSET($A$1,ROW()-1,9),IF(ISNUMBER(OFFSET($A$1,ROW()-1,8)),OFFSET($A$1,ROW()-1,8),0)))))))</f>
        <v/>
      </c>
      <c r="AG202" s="62">
        <f>IF($V202&lt;&gt;"Sub","",N($X202)*IF(AND(ISNUMBER($G202),$G202&lt;=IF($S202=MesCiclo,InicioCiclo,$S202+MOD(2-WEEKDAY($S202),7))+27),1,MIN(1,MAX(0,IF(ISNUMBER(OFFSET($A$1,ROW()-1,11)),OFFSET($A$1,ROW()-1,11),IF(ISNUMBER(OFFSET($A$1,ROW()-1,10)),OFFSET($A$1,ROW()-1,10),IF(ISNUMBER(OFFSET($A$1,ROW()-1,9)),OFFSET($A$1,ROW()-1,9),IF(ISNUMBER(OFFSET($A$1,ROW()-1,8)),OFFSET($A$1,ROW()-1,8),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",IFERROR(MATCH("Riesgo Operacional|"&amp;MID($C202,12,500),rDname_ADM,0),0),"")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IF(N($W203)=0,"",IF(AND($S203=MesCiclo,1&gt;SemanaActual),"",MIN(1,SUMIFS(OFFSET($A$1,ROW(),29,1000-ROW(),1),OFFSET($A$1,ROW(),20,1000-ROW(),1),ROW(),OFFSET($A$1,ROW(),21,1000-ROW(),1),"Sub"))))</f>
        <v/>
      </c>
      <c r="J203" s="60">
        <f>IF(N($W203)=0,"",IF(AND($S203=MesCiclo,2&gt;SemanaActual),"",MIN(1,SUMIFS(OFFSET($A$1,ROW(),30,1000-ROW(),1),OFFSET($A$1,ROW(),20,1000-ROW(),1),ROW(),OFFSET($A$1,ROW(),21,1000-ROW(),1),"Sub"))))</f>
        <v/>
      </c>
      <c r="K203" s="60">
        <f>IF(N($W203)=0,"",IF(AND($S203=MesCiclo,3&gt;SemanaActual),"",MIN(1,SUMIFS(OFFSET($A$1,ROW(),31,1000-ROW(),1),OFFSET($A$1,ROW(),20,1000-ROW(),1),ROW(),OFFSET($A$1,ROW(),21,1000-ROW(),1),"Sub"))))</f>
        <v/>
      </c>
      <c r="L203" s="60">
        <f>IF(N($W203)=0,"",IF(AND($S203=MesCiclo,4&gt;SemanaActual),"",MIN(1,SUMIFS(OFFSET($A$1,ROW(),32,1000-ROW(),1),OFFSET($A$1,ROW(),20,1000-ROW(),1),ROW(),OFFSET($A$1,ROW(),21,1000-ROW(),1),"Sub"))))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IF($V203&lt;&gt;"Sub","",N($X203)*IF(AND(ISNUMBER($G203),$G203&lt;=IF($S203=MesCiclo,InicioCiclo,$S203+MOD(2-WEEKDAY($S203),7))+6),1,MIN(1,MAX(0,IF(ISNUMBER(OFFSET($A$1,ROW()-1,8)),OFFSET($A$1,ROW()-1,8),0)))))</f>
        <v/>
      </c>
      <c r="AE203" s="62">
        <f>IF($V203&lt;&gt;"Sub","",N($X203)*IF(AND(ISNUMBER($G203),$G203&lt;=IF($S203=MesCiclo,InicioCiclo,$S203+MOD(2-WEEKDAY($S203),7))+13),1,MIN(1,MAX(0,IF(ISNUMBER(OFFSET($A$1,ROW()-1,9)),OFFSET($A$1,ROW()-1,9),IF(ISNUMBER(OFFSET($A$1,ROW()-1,8)),OFFSET($A$1,ROW()-1,8),0))))))</f>
        <v/>
      </c>
      <c r="AF203" s="62">
        <f>IF($V203&lt;&gt;"Sub","",N($X203)*IF(AND(ISNUMBER($G203),$G203&lt;=IF($S203=MesCiclo,InicioCiclo,$S203+MOD(2-WEEKDAY($S203),7))+20),1,MIN(1,MAX(0,IF(ISNUMBER(OFFSET($A$1,ROW()-1,10)),OFFSET($A$1,ROW()-1,10),IF(ISNUMBER(OFFSET($A$1,ROW()-1,9)),OFFSET($A$1,ROW()-1,9),IF(ISNUMBER(OFFSET($A$1,ROW()-1,8)),OFFSET($A$1,ROW()-1,8),0)))))))</f>
        <v/>
      </c>
      <c r="AG203" s="62">
        <f>IF($V203&lt;&gt;"Sub","",N($X203)*IF(AND(ISNUMBER($G203),$G203&lt;=IF($S203=MesCiclo,InicioCiclo,$S203+MOD(2-WEEKDAY($S203),7))+27),1,MIN(1,MAX(0,IF(ISNUMBER(OFFSET($A$1,ROW()-1,11)),OFFSET($A$1,ROW()-1,11),IF(ISNUMBER(OFFSET($A$1,ROW()-1,10)),OFFSET($A$1,ROW()-1,10),IF(ISNUMBER(OFFSET($A$1,ROW()-1,9)),OFFSET($A$1,ROW()-1,9),IF(ISNUMBER(OFFSET($A$1,ROW()-1,8)),OFFSET($A$1,ROW()-1,8),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",IFERROR(MATCH("Riesgo Operacional|"&amp;MID($C203,12,500),rDname_ADM,0),0),"")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IF(N($W204)=0,"",IF(AND($S204=MesCiclo,1&gt;SemanaActual),"",MIN(1,SUMIFS(OFFSET($A$1,ROW(),29,1000-ROW(),1),OFFSET($A$1,ROW(),20,1000-ROW(),1),ROW(),OFFSET($A$1,ROW(),21,1000-ROW(),1),"Sub"))))</f>
        <v/>
      </c>
      <c r="J204" s="60">
        <f>IF(N($W204)=0,"",IF(AND($S204=MesCiclo,2&gt;SemanaActual),"",MIN(1,SUMIFS(OFFSET($A$1,ROW(),30,1000-ROW(),1),OFFSET($A$1,ROW(),20,1000-ROW(),1),ROW(),OFFSET($A$1,ROW(),21,1000-ROW(),1),"Sub"))))</f>
        <v/>
      </c>
      <c r="K204" s="60">
        <f>IF(N($W204)=0,"",IF(AND($S204=MesCiclo,3&gt;SemanaActual),"",MIN(1,SUMIFS(OFFSET($A$1,ROW(),31,1000-ROW(),1),OFFSET($A$1,ROW(),20,1000-ROW(),1),ROW(),OFFSET($A$1,ROW(),21,1000-ROW(),1),"Sub"))))</f>
        <v/>
      </c>
      <c r="L204" s="60">
        <f>IF(N($W204)=0,"",IF(AND($S204=MesCiclo,4&gt;SemanaActual),"",MIN(1,SUMIFS(OFFSET($A$1,ROW(),32,1000-ROW(),1),OFFSET($A$1,ROW(),20,1000-ROW(),1),ROW(),OFFSET($A$1,ROW(),21,1000-ROW(),1),"Sub"))))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IF($V204&lt;&gt;"Sub","",N($X204)*IF(AND(ISNUMBER($G204),$G204&lt;=IF($S204=MesCiclo,InicioCiclo,$S204+MOD(2-WEEKDAY($S204),7))+6),1,MIN(1,MAX(0,IF(ISNUMBER(OFFSET($A$1,ROW()-1,8)),OFFSET($A$1,ROW()-1,8),0)))))</f>
        <v/>
      </c>
      <c r="AE204" s="62">
        <f>IF($V204&lt;&gt;"Sub","",N($X204)*IF(AND(ISNUMBER($G204),$G204&lt;=IF($S204=MesCiclo,InicioCiclo,$S204+MOD(2-WEEKDAY($S204),7))+13),1,MIN(1,MAX(0,IF(ISNUMBER(OFFSET($A$1,ROW()-1,9)),OFFSET($A$1,ROW()-1,9),IF(ISNUMBER(OFFSET($A$1,ROW()-1,8)),OFFSET($A$1,ROW()-1,8),0))))))</f>
        <v/>
      </c>
      <c r="AF204" s="62">
        <f>IF($V204&lt;&gt;"Sub","",N($X204)*IF(AND(ISNUMBER($G204),$G204&lt;=IF($S204=MesCiclo,InicioCiclo,$S204+MOD(2-WEEKDAY($S204),7))+20),1,MIN(1,MAX(0,IF(ISNUMBER(OFFSET($A$1,ROW()-1,10)),OFFSET($A$1,ROW()-1,10),IF(ISNUMBER(OFFSET($A$1,ROW()-1,9)),OFFSET($A$1,ROW()-1,9),IF(ISNUMBER(OFFSET($A$1,ROW()-1,8)),OFFSET($A$1,ROW()-1,8),0)))))))</f>
        <v/>
      </c>
      <c r="AG204" s="62">
        <f>IF($V204&lt;&gt;"Sub","",N($X204)*IF(AND(ISNUMBER($G204),$G204&lt;=IF($S204=MesCiclo,InicioCiclo,$S204+MOD(2-WEEKDAY($S204),7))+27),1,MIN(1,MAX(0,IF(ISNUMBER(OFFSET($A$1,ROW()-1,11)),OFFSET($A$1,ROW()-1,11),IF(ISNUMBER(OFFSET($A$1,ROW()-1,10)),OFFSET($A$1,ROW()-1,10),IF(ISNUMBER(OFFSET($A$1,ROW()-1,9)),OFFSET($A$1,ROW()-1,9),IF(ISNUMBER(OFFSET($A$1,ROW()-1,8)),OFFSET($A$1,ROW()-1,8),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",IFERROR(MATCH("Riesgo Operacional|"&amp;MID($C204,12,500),rDname_ADM,0),0),"")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IF(N($W205)=0,"",IF(AND($S205=MesCiclo,1&gt;SemanaActual),"",MIN(1,SUMIFS(OFFSET($A$1,ROW(),29,1000-ROW(),1),OFFSET($A$1,ROW(),20,1000-ROW(),1),ROW(),OFFSET($A$1,ROW(),21,1000-ROW(),1),"Sub"))))</f>
        <v/>
      </c>
      <c r="J205" s="60">
        <f>IF(N($W205)=0,"",IF(AND($S205=MesCiclo,2&gt;SemanaActual),"",MIN(1,SUMIFS(OFFSET($A$1,ROW(),30,1000-ROW(),1),OFFSET($A$1,ROW(),20,1000-ROW(),1),ROW(),OFFSET($A$1,ROW(),21,1000-ROW(),1),"Sub"))))</f>
        <v/>
      </c>
      <c r="K205" s="60">
        <f>IF(N($W205)=0,"",IF(AND($S205=MesCiclo,3&gt;SemanaActual),"",MIN(1,SUMIFS(OFFSET($A$1,ROW(),31,1000-ROW(),1),OFFSET($A$1,ROW(),20,1000-ROW(),1),ROW(),OFFSET($A$1,ROW(),21,1000-ROW(),1),"Sub"))))</f>
        <v/>
      </c>
      <c r="L205" s="60">
        <f>IF(N($W205)=0,"",IF(AND($S205=MesCiclo,4&gt;SemanaActual),"",MIN(1,SUMIFS(OFFSET($A$1,ROW(),32,1000-ROW(),1),OFFSET($A$1,ROW(),20,1000-ROW(),1),ROW(),OFFSET($A$1,ROW(),21,1000-ROW(),1),"Sub"))))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IF($V205&lt;&gt;"Sub","",N($X205)*IF(AND(ISNUMBER($G205),$G205&lt;=IF($S205=MesCiclo,InicioCiclo,$S205+MOD(2-WEEKDAY($S205),7))+6),1,MIN(1,MAX(0,IF(ISNUMBER(OFFSET($A$1,ROW()-1,8)),OFFSET($A$1,ROW()-1,8),0)))))</f>
        <v/>
      </c>
      <c r="AE205" s="62">
        <f>IF($V205&lt;&gt;"Sub","",N($X205)*IF(AND(ISNUMBER($G205),$G205&lt;=IF($S205=MesCiclo,InicioCiclo,$S205+MOD(2-WEEKDAY($S205),7))+13),1,MIN(1,MAX(0,IF(ISNUMBER(OFFSET($A$1,ROW()-1,9)),OFFSET($A$1,ROW()-1,9),IF(ISNUMBER(OFFSET($A$1,ROW()-1,8)),OFFSET($A$1,ROW()-1,8),0))))))</f>
        <v/>
      </c>
      <c r="AF205" s="62">
        <f>IF($V205&lt;&gt;"Sub","",N($X205)*IF(AND(ISNUMBER($G205),$G205&lt;=IF($S205=MesCiclo,InicioCiclo,$S205+MOD(2-WEEKDAY($S205),7))+20),1,MIN(1,MAX(0,IF(ISNUMBER(OFFSET($A$1,ROW()-1,10)),OFFSET($A$1,ROW()-1,10),IF(ISNUMBER(OFFSET($A$1,ROW()-1,9)),OFFSET($A$1,ROW()-1,9),IF(ISNUMBER(OFFSET($A$1,ROW()-1,8)),OFFSET($A$1,ROW()-1,8),0)))))))</f>
        <v/>
      </c>
      <c r="AG205" s="62">
        <f>IF($V205&lt;&gt;"Sub","",N($X205)*IF(AND(ISNUMBER($G205),$G205&lt;=IF($S205=MesCiclo,InicioCiclo,$S205+MOD(2-WEEKDAY($S205),7))+27),1,MIN(1,MAX(0,IF(ISNUMBER(OFFSET($A$1,ROW()-1,11)),OFFSET($A$1,ROW()-1,11),IF(ISNUMBER(OFFSET($A$1,ROW()-1,10)),OFFSET($A$1,ROW()-1,10),IF(ISNUMBER(OFFSET($A$1,ROW()-1,9)),OFFSET($A$1,ROW()-1,9),IF(ISNUMBER(OFFSET($A$1,ROW()-1,8)),OFFSET($A$1,ROW()-1,8),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",IFERROR(MATCH("Riesgo Operacional|"&amp;MID($C205,12,500),rDname_ADM,0),0),"")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IF(N($W206)=0,"",IF(AND($S206=MesCiclo,1&gt;SemanaActual),"",MIN(1,SUMIFS(OFFSET($A$1,ROW(),29,1000-ROW(),1),OFFSET($A$1,ROW(),20,1000-ROW(),1),ROW(),OFFSET($A$1,ROW(),21,1000-ROW(),1),"Sub"))))</f>
        <v/>
      </c>
      <c r="J206" s="60">
        <f>IF(N($W206)=0,"",IF(AND($S206=MesCiclo,2&gt;SemanaActual),"",MIN(1,SUMIFS(OFFSET($A$1,ROW(),30,1000-ROW(),1),OFFSET($A$1,ROW(),20,1000-ROW(),1),ROW(),OFFSET($A$1,ROW(),21,1000-ROW(),1),"Sub"))))</f>
        <v/>
      </c>
      <c r="K206" s="60">
        <f>IF(N($W206)=0,"",IF(AND($S206=MesCiclo,3&gt;SemanaActual),"",MIN(1,SUMIFS(OFFSET($A$1,ROW(),31,1000-ROW(),1),OFFSET($A$1,ROW(),20,1000-ROW(),1),ROW(),OFFSET($A$1,ROW(),21,1000-ROW(),1),"Sub"))))</f>
        <v/>
      </c>
      <c r="L206" s="60">
        <f>IF(N($W206)=0,"",IF(AND($S206=MesCiclo,4&gt;SemanaActual),"",MIN(1,SUMIFS(OFFSET($A$1,ROW(),32,1000-ROW(),1),OFFSET($A$1,ROW(),20,1000-ROW(),1),ROW(),OFFSET($A$1,ROW(),21,1000-ROW(),1),"Sub"))))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IF($V206&lt;&gt;"Sub","",N($X206)*IF(AND(ISNUMBER($G206),$G206&lt;=IF($S206=MesCiclo,InicioCiclo,$S206+MOD(2-WEEKDAY($S206),7))+6),1,MIN(1,MAX(0,IF(ISNUMBER(OFFSET($A$1,ROW()-1,8)),OFFSET($A$1,ROW()-1,8),0)))))</f>
        <v/>
      </c>
      <c r="AE206" s="62">
        <f>IF($V206&lt;&gt;"Sub","",N($X206)*IF(AND(ISNUMBER($G206),$G206&lt;=IF($S206=MesCiclo,InicioCiclo,$S206+MOD(2-WEEKDAY($S206),7))+13),1,MIN(1,MAX(0,IF(ISNUMBER(OFFSET($A$1,ROW()-1,9)),OFFSET($A$1,ROW()-1,9),IF(ISNUMBER(OFFSET($A$1,ROW()-1,8)),OFFSET($A$1,ROW()-1,8),0))))))</f>
        <v/>
      </c>
      <c r="AF206" s="62">
        <f>IF($V206&lt;&gt;"Sub","",N($X206)*IF(AND(ISNUMBER($G206),$G206&lt;=IF($S206=MesCiclo,InicioCiclo,$S206+MOD(2-WEEKDAY($S206),7))+20),1,MIN(1,MAX(0,IF(ISNUMBER(OFFSET($A$1,ROW()-1,10)),OFFSET($A$1,ROW()-1,10),IF(ISNUMBER(OFFSET($A$1,ROW()-1,9)),OFFSET($A$1,ROW()-1,9),IF(ISNUMBER(OFFSET($A$1,ROW()-1,8)),OFFSET($A$1,ROW()-1,8),0)))))))</f>
        <v/>
      </c>
      <c r="AG206" s="62">
        <f>IF($V206&lt;&gt;"Sub","",N($X206)*IF(AND(ISNUMBER($G206),$G206&lt;=IF($S206=MesCiclo,InicioCiclo,$S206+MOD(2-WEEKDAY($S206),7))+27),1,MIN(1,MAX(0,IF(ISNUMBER(OFFSET($A$1,ROW()-1,11)),OFFSET($A$1,ROW()-1,11),IF(ISNUMBER(OFFSET($A$1,ROW()-1,10)),OFFSET($A$1,ROW()-1,10),IF(ISNUMBER(OFFSET($A$1,ROW()-1,9)),OFFSET($A$1,ROW()-1,9),IF(ISNUMBER(OFFSET($A$1,ROW()-1,8)),OFFSET($A$1,ROW()-1,8),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",IFERROR(MATCH("Riesgo Operacional|"&amp;MID($C206,12,500),rDname_ADM,0),0),"")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IF(N($W207)=0,"",IF(AND($S207=MesCiclo,1&gt;SemanaActual),"",MIN(1,SUMIFS(OFFSET($A$1,ROW(),29,1000-ROW(),1),OFFSET($A$1,ROW(),20,1000-ROW(),1),ROW(),OFFSET($A$1,ROW(),21,1000-ROW(),1),"Sub"))))</f>
        <v/>
      </c>
      <c r="J207" s="60">
        <f>IF(N($W207)=0,"",IF(AND($S207=MesCiclo,2&gt;SemanaActual),"",MIN(1,SUMIFS(OFFSET($A$1,ROW(),30,1000-ROW(),1),OFFSET($A$1,ROW(),20,1000-ROW(),1),ROW(),OFFSET($A$1,ROW(),21,1000-ROW(),1),"Sub"))))</f>
        <v/>
      </c>
      <c r="K207" s="60">
        <f>IF(N($W207)=0,"",IF(AND($S207=MesCiclo,3&gt;SemanaActual),"",MIN(1,SUMIFS(OFFSET($A$1,ROW(),31,1000-ROW(),1),OFFSET($A$1,ROW(),20,1000-ROW(),1),ROW(),OFFSET($A$1,ROW(),21,1000-ROW(),1),"Sub"))))</f>
        <v/>
      </c>
      <c r="L207" s="60">
        <f>IF(N($W207)=0,"",IF(AND($S207=MesCiclo,4&gt;SemanaActual),"",MIN(1,SUMIFS(OFFSET($A$1,ROW(),32,1000-ROW(),1),OFFSET($A$1,ROW(),20,1000-ROW(),1),ROW(),OFFSET($A$1,ROW(),21,1000-ROW(),1),"Sub"))))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IF($V207&lt;&gt;"Sub","",N($X207)*IF(AND(ISNUMBER($G207),$G207&lt;=IF($S207=MesCiclo,InicioCiclo,$S207+MOD(2-WEEKDAY($S207),7))+6),1,MIN(1,MAX(0,IF(ISNUMBER(OFFSET($A$1,ROW()-1,8)),OFFSET($A$1,ROW()-1,8),0)))))</f>
        <v/>
      </c>
      <c r="AE207" s="62">
        <f>IF($V207&lt;&gt;"Sub","",N($X207)*IF(AND(ISNUMBER($G207),$G207&lt;=IF($S207=MesCiclo,InicioCiclo,$S207+MOD(2-WEEKDAY($S207),7))+13),1,MIN(1,MAX(0,IF(ISNUMBER(OFFSET($A$1,ROW()-1,9)),OFFSET($A$1,ROW()-1,9),IF(ISNUMBER(OFFSET($A$1,ROW()-1,8)),OFFSET($A$1,ROW()-1,8),0))))))</f>
        <v/>
      </c>
      <c r="AF207" s="62">
        <f>IF($V207&lt;&gt;"Sub","",N($X207)*IF(AND(ISNUMBER($G207),$G207&lt;=IF($S207=MesCiclo,InicioCiclo,$S207+MOD(2-WEEKDAY($S207),7))+20),1,MIN(1,MAX(0,IF(ISNUMBER(OFFSET($A$1,ROW()-1,10)),OFFSET($A$1,ROW()-1,10),IF(ISNUMBER(OFFSET($A$1,ROW()-1,9)),OFFSET($A$1,ROW()-1,9),IF(ISNUMBER(OFFSET($A$1,ROW()-1,8)),OFFSET($A$1,ROW()-1,8),0)))))))</f>
        <v/>
      </c>
      <c r="AG207" s="62">
        <f>IF($V207&lt;&gt;"Sub","",N($X207)*IF(AND(ISNUMBER($G207),$G207&lt;=IF($S207=MesCiclo,InicioCiclo,$S207+MOD(2-WEEKDAY($S207),7))+27),1,MIN(1,MAX(0,IF(ISNUMBER(OFFSET($A$1,ROW()-1,11)),OFFSET($A$1,ROW()-1,11),IF(ISNUMBER(OFFSET($A$1,ROW()-1,10)),OFFSET($A$1,ROW()-1,10),IF(ISNUMBER(OFFSET($A$1,ROW()-1,9)),OFFSET($A$1,ROW()-1,9),IF(ISNUMBER(OFFSET($A$1,ROW()-1,8)),OFFSET($A$1,ROW()-1,8),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",IFERROR(MATCH("Riesgo Operacional|"&amp;MID($C207,12,500),rDname_ADM,0),0),"")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IF(N($W208)=0,"",IF(AND($S208=MesCiclo,1&gt;SemanaActual),"",MIN(1,SUMIFS(OFFSET($A$1,ROW(),29,1000-ROW(),1),OFFSET($A$1,ROW(),20,1000-ROW(),1),ROW(),OFFSET($A$1,ROW(),21,1000-ROW(),1),"Sub"))))</f>
        <v/>
      </c>
      <c r="J208" s="60">
        <f>IF(N($W208)=0,"",IF(AND($S208=MesCiclo,2&gt;SemanaActual),"",MIN(1,SUMIFS(OFFSET($A$1,ROW(),30,1000-ROW(),1),OFFSET($A$1,ROW(),20,1000-ROW(),1),ROW(),OFFSET($A$1,ROW(),21,1000-ROW(),1),"Sub"))))</f>
        <v/>
      </c>
      <c r="K208" s="60">
        <f>IF(N($W208)=0,"",IF(AND($S208=MesCiclo,3&gt;SemanaActual),"",MIN(1,SUMIFS(OFFSET($A$1,ROW(),31,1000-ROW(),1),OFFSET($A$1,ROW(),20,1000-ROW(),1),ROW(),OFFSET($A$1,ROW(),21,1000-ROW(),1),"Sub"))))</f>
        <v/>
      </c>
      <c r="L208" s="60">
        <f>IF(N($W208)=0,"",IF(AND($S208=MesCiclo,4&gt;SemanaActual),"",MIN(1,SUMIFS(OFFSET($A$1,ROW(),32,1000-ROW(),1),OFFSET($A$1,ROW(),20,1000-ROW(),1),ROW(),OFFSET($A$1,ROW(),21,1000-ROW(),1),"Sub"))))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IF($V208&lt;&gt;"Sub","",N($X208)*IF(AND(ISNUMBER($G208),$G208&lt;=IF($S208=MesCiclo,InicioCiclo,$S208+MOD(2-WEEKDAY($S208),7))+6),1,MIN(1,MAX(0,IF(ISNUMBER(OFFSET($A$1,ROW()-1,8)),OFFSET($A$1,ROW()-1,8),0)))))</f>
        <v/>
      </c>
      <c r="AE208" s="62">
        <f>IF($V208&lt;&gt;"Sub","",N($X208)*IF(AND(ISNUMBER($G208),$G208&lt;=IF($S208=MesCiclo,InicioCiclo,$S208+MOD(2-WEEKDAY($S208),7))+13),1,MIN(1,MAX(0,IF(ISNUMBER(OFFSET($A$1,ROW()-1,9)),OFFSET($A$1,ROW()-1,9),IF(ISNUMBER(OFFSET($A$1,ROW()-1,8)),OFFSET($A$1,ROW()-1,8),0))))))</f>
        <v/>
      </c>
      <c r="AF208" s="62">
        <f>IF($V208&lt;&gt;"Sub","",N($X208)*IF(AND(ISNUMBER($G208),$G208&lt;=IF($S208=MesCiclo,InicioCiclo,$S208+MOD(2-WEEKDAY($S208),7))+20),1,MIN(1,MAX(0,IF(ISNUMBER(OFFSET($A$1,ROW()-1,10)),OFFSET($A$1,ROW()-1,10),IF(ISNUMBER(OFFSET($A$1,ROW()-1,9)),OFFSET($A$1,ROW()-1,9),IF(ISNUMBER(OFFSET($A$1,ROW()-1,8)),OFFSET($A$1,ROW()-1,8),0)))))))</f>
        <v/>
      </c>
      <c r="AG208" s="62">
        <f>IF($V208&lt;&gt;"Sub","",N($X208)*IF(AND(ISNUMBER($G208),$G208&lt;=IF($S208=MesCiclo,InicioCiclo,$S208+MOD(2-WEEKDAY($S208),7))+27),1,MIN(1,MAX(0,IF(ISNUMBER(OFFSET($A$1,ROW()-1,11)),OFFSET($A$1,ROW()-1,11),IF(ISNUMBER(OFFSET($A$1,ROW()-1,10)),OFFSET($A$1,ROW()-1,10),IF(ISNUMBER(OFFSET($A$1,ROW()-1,9)),OFFSET($A$1,ROW()-1,9),IF(ISNUMBER(OFFSET($A$1,ROW()-1,8)),OFFSET($A$1,ROW()-1,8),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",IFERROR(MATCH("Riesgo Operacional|"&amp;MID($C208,12,500),rDname_ADM,0),0),"")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IF(N($W209)=0,"",IF(AND($S209=MesCiclo,1&gt;SemanaActual),"",MIN(1,SUMIFS(OFFSET($A$1,ROW(),29,1000-ROW(),1),OFFSET($A$1,ROW(),20,1000-ROW(),1),ROW(),OFFSET($A$1,ROW(),21,1000-ROW(),1),"Sub"))))</f>
        <v/>
      </c>
      <c r="J209" s="60">
        <f>IF(N($W209)=0,"",IF(AND($S209=MesCiclo,2&gt;SemanaActual),"",MIN(1,SUMIFS(OFFSET($A$1,ROW(),30,1000-ROW(),1),OFFSET($A$1,ROW(),20,1000-ROW(),1),ROW(),OFFSET($A$1,ROW(),21,1000-ROW(),1),"Sub"))))</f>
        <v/>
      </c>
      <c r="K209" s="60">
        <f>IF(N($W209)=0,"",IF(AND($S209=MesCiclo,3&gt;SemanaActual),"",MIN(1,SUMIFS(OFFSET($A$1,ROW(),31,1000-ROW(),1),OFFSET($A$1,ROW(),20,1000-ROW(),1),ROW(),OFFSET($A$1,ROW(),21,1000-ROW(),1),"Sub"))))</f>
        <v/>
      </c>
      <c r="L209" s="60">
        <f>IF(N($W209)=0,"",IF(AND($S209=MesCiclo,4&gt;SemanaActual),"",MIN(1,SUMIFS(OFFSET($A$1,ROW(),32,1000-ROW(),1),OFFSET($A$1,ROW(),20,1000-ROW(),1),ROW(),OFFSET($A$1,ROW(),21,1000-ROW(),1),"Sub"))))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IF($V209&lt;&gt;"Sub","",N($X209)*IF(AND(ISNUMBER($G209),$G209&lt;=IF($S209=MesCiclo,InicioCiclo,$S209+MOD(2-WEEKDAY($S209),7))+6),1,MIN(1,MAX(0,IF(ISNUMBER(OFFSET($A$1,ROW()-1,8)),OFFSET($A$1,ROW()-1,8),0)))))</f>
        <v/>
      </c>
      <c r="AE209" s="62">
        <f>IF($V209&lt;&gt;"Sub","",N($X209)*IF(AND(ISNUMBER($G209),$G209&lt;=IF($S209=MesCiclo,InicioCiclo,$S209+MOD(2-WEEKDAY($S209),7))+13),1,MIN(1,MAX(0,IF(ISNUMBER(OFFSET($A$1,ROW()-1,9)),OFFSET($A$1,ROW()-1,9),IF(ISNUMBER(OFFSET($A$1,ROW()-1,8)),OFFSET($A$1,ROW()-1,8),0))))))</f>
        <v/>
      </c>
      <c r="AF209" s="62">
        <f>IF($V209&lt;&gt;"Sub","",N($X209)*IF(AND(ISNUMBER($G209),$G209&lt;=IF($S209=MesCiclo,InicioCiclo,$S209+MOD(2-WEEKDAY($S209),7))+20),1,MIN(1,MAX(0,IF(ISNUMBER(OFFSET($A$1,ROW()-1,10)),OFFSET($A$1,ROW()-1,10),IF(ISNUMBER(OFFSET($A$1,ROW()-1,9)),OFFSET($A$1,ROW()-1,9),IF(ISNUMBER(OFFSET($A$1,ROW()-1,8)),OFFSET($A$1,ROW()-1,8),0)))))))</f>
        <v/>
      </c>
      <c r="AG209" s="62">
        <f>IF($V209&lt;&gt;"Sub","",N($X209)*IF(AND(ISNUMBER($G209),$G209&lt;=IF($S209=MesCiclo,InicioCiclo,$S209+MOD(2-WEEKDAY($S209),7))+27),1,MIN(1,MAX(0,IF(ISNUMBER(OFFSET($A$1,ROW()-1,11)),OFFSET($A$1,ROW()-1,11),IF(ISNUMBER(OFFSET($A$1,ROW()-1,10)),OFFSET($A$1,ROW()-1,10),IF(ISNUMBER(OFFSET($A$1,ROW()-1,9)),OFFSET($A$1,ROW()-1,9),IF(ISNUMBER(OFFSET($A$1,ROW()-1,8)),OFFSET($A$1,ROW()-1,8),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",IFERROR(MATCH("Riesgo Operacional|"&amp;MID($C209,12,500),rDname_ADM,0),0),"")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IF(N($W210)=0,"",IF(AND($S210=MesCiclo,1&gt;SemanaActual),"",MIN(1,SUMIFS(OFFSET($A$1,ROW(),29,1000-ROW(),1),OFFSET($A$1,ROW(),20,1000-ROW(),1),ROW(),OFFSET($A$1,ROW(),21,1000-ROW(),1),"Sub"))))</f>
        <v/>
      </c>
      <c r="J210" s="60">
        <f>IF(N($W210)=0,"",IF(AND($S210=MesCiclo,2&gt;SemanaActual),"",MIN(1,SUMIFS(OFFSET($A$1,ROW(),30,1000-ROW(),1),OFFSET($A$1,ROW(),20,1000-ROW(),1),ROW(),OFFSET($A$1,ROW(),21,1000-ROW(),1),"Sub"))))</f>
        <v/>
      </c>
      <c r="K210" s="60">
        <f>IF(N($W210)=0,"",IF(AND($S210=MesCiclo,3&gt;SemanaActual),"",MIN(1,SUMIFS(OFFSET($A$1,ROW(),31,1000-ROW(),1),OFFSET($A$1,ROW(),20,1000-ROW(),1),ROW(),OFFSET($A$1,ROW(),21,1000-ROW(),1),"Sub"))))</f>
        <v/>
      </c>
      <c r="L210" s="60">
        <f>IF(N($W210)=0,"",IF(AND($S210=MesCiclo,4&gt;SemanaActual),"",MIN(1,SUMIFS(OFFSET($A$1,ROW(),32,1000-ROW(),1),OFFSET($A$1,ROW(),20,1000-ROW(),1),ROW(),OFFSET($A$1,ROW(),21,1000-ROW(),1),"Sub"))))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IF($V210&lt;&gt;"Sub","",N($X210)*IF(AND(ISNUMBER($G210),$G210&lt;=IF($S210=MesCiclo,InicioCiclo,$S210+MOD(2-WEEKDAY($S210),7))+6),1,MIN(1,MAX(0,IF(ISNUMBER(OFFSET($A$1,ROW()-1,8)),OFFSET($A$1,ROW()-1,8),0)))))</f>
        <v/>
      </c>
      <c r="AE210" s="62">
        <f>IF($V210&lt;&gt;"Sub","",N($X210)*IF(AND(ISNUMBER($G210),$G210&lt;=IF($S210=MesCiclo,InicioCiclo,$S210+MOD(2-WEEKDAY($S210),7))+13),1,MIN(1,MAX(0,IF(ISNUMBER(OFFSET($A$1,ROW()-1,9)),OFFSET($A$1,ROW()-1,9),IF(ISNUMBER(OFFSET($A$1,ROW()-1,8)),OFFSET($A$1,ROW()-1,8),0))))))</f>
        <v/>
      </c>
      <c r="AF210" s="62">
        <f>IF($V210&lt;&gt;"Sub","",N($X210)*IF(AND(ISNUMBER($G210),$G210&lt;=IF($S210=MesCiclo,InicioCiclo,$S210+MOD(2-WEEKDAY($S210),7))+20),1,MIN(1,MAX(0,IF(ISNUMBER(OFFSET($A$1,ROW()-1,10)),OFFSET($A$1,ROW()-1,10),IF(ISNUMBER(OFFSET($A$1,ROW()-1,9)),OFFSET($A$1,ROW()-1,9),IF(ISNUMBER(OFFSET($A$1,ROW()-1,8)),OFFSET($A$1,ROW()-1,8),0)))))))</f>
        <v/>
      </c>
      <c r="AG210" s="62">
        <f>IF($V210&lt;&gt;"Sub","",N($X210)*IF(AND(ISNUMBER($G210),$G210&lt;=IF($S210=MesCiclo,InicioCiclo,$S210+MOD(2-WEEKDAY($S210),7))+27),1,MIN(1,MAX(0,IF(ISNUMBER(OFFSET($A$1,ROW()-1,11)),OFFSET($A$1,ROW()-1,11),IF(ISNUMBER(OFFSET($A$1,ROW()-1,10)),OFFSET($A$1,ROW()-1,10),IF(ISNUMBER(OFFSET($A$1,ROW()-1,9)),OFFSET($A$1,ROW()-1,9),IF(ISNUMBER(OFFSET($A$1,ROW()-1,8)),OFFSET($A$1,ROW()-1,8),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",IFERROR(MATCH("Riesgo Operacional|"&amp;MID($C210,12,500),rDname_ADM,0),0),"")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IF(N($W211)=0,"",IF(AND($S211=MesCiclo,1&gt;SemanaActual),"",MIN(1,SUMIFS(OFFSET($A$1,ROW(),29,1000-ROW(),1),OFFSET($A$1,ROW(),20,1000-ROW(),1),ROW(),OFFSET($A$1,ROW(),21,1000-ROW(),1),"Sub"))))</f>
        <v/>
      </c>
      <c r="J211" s="60">
        <f>IF(N($W211)=0,"",IF(AND($S211=MesCiclo,2&gt;SemanaActual),"",MIN(1,SUMIFS(OFFSET($A$1,ROW(),30,1000-ROW(),1),OFFSET($A$1,ROW(),20,1000-ROW(),1),ROW(),OFFSET($A$1,ROW(),21,1000-ROW(),1),"Sub"))))</f>
        <v/>
      </c>
      <c r="K211" s="60">
        <f>IF(N($W211)=0,"",IF(AND($S211=MesCiclo,3&gt;SemanaActual),"",MIN(1,SUMIFS(OFFSET($A$1,ROW(),31,1000-ROW(),1),OFFSET($A$1,ROW(),20,1000-ROW(),1),ROW(),OFFSET($A$1,ROW(),21,1000-ROW(),1),"Sub"))))</f>
        <v/>
      </c>
      <c r="L211" s="60">
        <f>IF(N($W211)=0,"",IF(AND($S211=MesCiclo,4&gt;SemanaActual),"",MIN(1,SUMIFS(OFFSET($A$1,ROW(),32,1000-ROW(),1),OFFSET($A$1,ROW(),20,1000-ROW(),1),ROW(),OFFSET($A$1,ROW(),21,1000-ROW(),1),"Sub"))))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IF($V211&lt;&gt;"Sub","",N($X211)*IF(AND(ISNUMBER($G211),$G211&lt;=IF($S211=MesCiclo,InicioCiclo,$S211+MOD(2-WEEKDAY($S211),7))+6),1,MIN(1,MAX(0,IF(ISNUMBER(OFFSET($A$1,ROW()-1,8)),OFFSET($A$1,ROW()-1,8),0)))))</f>
        <v/>
      </c>
      <c r="AE211" s="62">
        <f>IF($V211&lt;&gt;"Sub","",N($X211)*IF(AND(ISNUMBER($G211),$G211&lt;=IF($S211=MesCiclo,InicioCiclo,$S211+MOD(2-WEEKDAY($S211),7))+13),1,MIN(1,MAX(0,IF(ISNUMBER(OFFSET($A$1,ROW()-1,9)),OFFSET($A$1,ROW()-1,9),IF(ISNUMBER(OFFSET($A$1,ROW()-1,8)),OFFSET($A$1,ROW()-1,8),0))))))</f>
        <v/>
      </c>
      <c r="AF211" s="62">
        <f>IF($V211&lt;&gt;"Sub","",N($X211)*IF(AND(ISNUMBER($G211),$G211&lt;=IF($S211=MesCiclo,InicioCiclo,$S211+MOD(2-WEEKDAY($S211),7))+20),1,MIN(1,MAX(0,IF(ISNUMBER(OFFSET($A$1,ROW()-1,10)),OFFSET($A$1,ROW()-1,10),IF(ISNUMBER(OFFSET($A$1,ROW()-1,9)),OFFSET($A$1,ROW()-1,9),IF(ISNUMBER(OFFSET($A$1,ROW()-1,8)),OFFSET($A$1,ROW()-1,8),0)))))))</f>
        <v/>
      </c>
      <c r="AG211" s="62">
        <f>IF($V211&lt;&gt;"Sub","",N($X211)*IF(AND(ISNUMBER($G211),$G211&lt;=IF($S211=MesCiclo,InicioCiclo,$S211+MOD(2-WEEKDAY($S211),7))+27),1,MIN(1,MAX(0,IF(ISNUMBER(OFFSET($A$1,ROW()-1,11)),OFFSET($A$1,ROW()-1,11),IF(ISNUMBER(OFFSET($A$1,ROW()-1,10)),OFFSET($A$1,ROW()-1,10),IF(ISNUMBER(OFFSET($A$1,ROW()-1,9)),OFFSET($A$1,ROW()-1,9),IF(ISNUMBER(OFFSET($A$1,ROW()-1,8)),OFFSET($A$1,ROW()-1,8),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",IFERROR(MATCH("Riesgo Operacional|"&amp;MID($C211,12,500),rDname_ADM,0),0),"")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IF(N($W212)=0,"",IF(AND($S212=MesCiclo,1&gt;SemanaActual),"",MIN(1,SUMIFS(OFFSET($A$1,ROW(),29,1000-ROW(),1),OFFSET($A$1,ROW(),20,1000-ROW(),1),ROW(),OFFSET($A$1,ROW(),21,1000-ROW(),1),"Sub"))))</f>
        <v/>
      </c>
      <c r="J212" s="60">
        <f>IF(N($W212)=0,"",IF(AND($S212=MesCiclo,2&gt;SemanaActual),"",MIN(1,SUMIFS(OFFSET($A$1,ROW(),30,1000-ROW(),1),OFFSET($A$1,ROW(),20,1000-ROW(),1),ROW(),OFFSET($A$1,ROW(),21,1000-ROW(),1),"Sub"))))</f>
        <v/>
      </c>
      <c r="K212" s="60">
        <f>IF(N($W212)=0,"",IF(AND($S212=MesCiclo,3&gt;SemanaActual),"",MIN(1,SUMIFS(OFFSET($A$1,ROW(),31,1000-ROW(),1),OFFSET($A$1,ROW(),20,1000-ROW(),1),ROW(),OFFSET($A$1,ROW(),21,1000-ROW(),1),"Sub"))))</f>
        <v/>
      </c>
      <c r="L212" s="60">
        <f>IF(N($W212)=0,"",IF(AND($S212=MesCiclo,4&gt;SemanaActual),"",MIN(1,SUMIFS(OFFSET($A$1,ROW(),32,1000-ROW(),1),OFFSET($A$1,ROW(),20,1000-ROW(),1),ROW(),OFFSET($A$1,ROW(),21,1000-ROW(),1),"Sub"))))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IF($V212&lt;&gt;"Sub","",N($X212)*IF(AND(ISNUMBER($G212),$G212&lt;=IF($S212=MesCiclo,InicioCiclo,$S212+MOD(2-WEEKDAY($S212),7))+6),1,MIN(1,MAX(0,IF(ISNUMBER(OFFSET($A$1,ROW()-1,8)),OFFSET($A$1,ROW()-1,8),0)))))</f>
        <v/>
      </c>
      <c r="AE212" s="62">
        <f>IF($V212&lt;&gt;"Sub","",N($X212)*IF(AND(ISNUMBER($G212),$G212&lt;=IF($S212=MesCiclo,InicioCiclo,$S212+MOD(2-WEEKDAY($S212),7))+13),1,MIN(1,MAX(0,IF(ISNUMBER(OFFSET($A$1,ROW()-1,9)),OFFSET($A$1,ROW()-1,9),IF(ISNUMBER(OFFSET($A$1,ROW()-1,8)),OFFSET($A$1,ROW()-1,8),0))))))</f>
        <v/>
      </c>
      <c r="AF212" s="62">
        <f>IF($V212&lt;&gt;"Sub","",N($X212)*IF(AND(ISNUMBER($G212),$G212&lt;=IF($S212=MesCiclo,InicioCiclo,$S212+MOD(2-WEEKDAY($S212),7))+20),1,MIN(1,MAX(0,IF(ISNUMBER(OFFSET($A$1,ROW()-1,10)),OFFSET($A$1,ROW()-1,10),IF(ISNUMBER(OFFSET($A$1,ROW()-1,9)),OFFSET($A$1,ROW()-1,9),IF(ISNUMBER(OFFSET($A$1,ROW()-1,8)),OFFSET($A$1,ROW()-1,8),0)))))))</f>
        <v/>
      </c>
      <c r="AG212" s="62">
        <f>IF($V212&lt;&gt;"Sub","",N($X212)*IF(AND(ISNUMBER($G212),$G212&lt;=IF($S212=MesCiclo,InicioCiclo,$S212+MOD(2-WEEKDAY($S212),7))+27),1,MIN(1,MAX(0,IF(ISNUMBER(OFFSET($A$1,ROW()-1,11)),OFFSET($A$1,ROW()-1,11),IF(ISNUMBER(OFFSET($A$1,ROW()-1,10)),OFFSET($A$1,ROW()-1,10),IF(ISNUMBER(OFFSET($A$1,ROW()-1,9)),OFFSET($A$1,ROW()-1,9),IF(ISNUMBER(OFFSET($A$1,ROW()-1,8)),OFFSET($A$1,ROW()-1,8),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",IFERROR(MATCH("Riesgo Operacional|"&amp;MID($C212,12,500),rDname_ADM,0),0),"")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IF(N($W213)=0,"",IF(AND($S213=MesCiclo,1&gt;SemanaActual),"",MIN(1,SUMIFS(OFFSET($A$1,ROW(),29,1000-ROW(),1),OFFSET($A$1,ROW(),20,1000-ROW(),1),ROW(),OFFSET($A$1,ROW(),21,1000-ROW(),1),"Sub"))))</f>
        <v/>
      </c>
      <c r="J213" s="60">
        <f>IF(N($W213)=0,"",IF(AND($S213=MesCiclo,2&gt;SemanaActual),"",MIN(1,SUMIFS(OFFSET($A$1,ROW(),30,1000-ROW(),1),OFFSET($A$1,ROW(),20,1000-ROW(),1),ROW(),OFFSET($A$1,ROW(),21,1000-ROW(),1),"Sub"))))</f>
        <v/>
      </c>
      <c r="K213" s="60">
        <f>IF(N($W213)=0,"",IF(AND($S213=MesCiclo,3&gt;SemanaActual),"",MIN(1,SUMIFS(OFFSET($A$1,ROW(),31,1000-ROW(),1),OFFSET($A$1,ROW(),20,1000-ROW(),1),ROW(),OFFSET($A$1,ROW(),21,1000-ROW(),1),"Sub"))))</f>
        <v/>
      </c>
      <c r="L213" s="60">
        <f>IF(N($W213)=0,"",IF(AND($S213=MesCiclo,4&gt;SemanaActual),"",MIN(1,SUMIFS(OFFSET($A$1,ROW(),32,1000-ROW(),1),OFFSET($A$1,ROW(),20,1000-ROW(),1),ROW(),OFFSET($A$1,ROW(),21,1000-ROW(),1),"Sub"))))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IF($V213&lt;&gt;"Sub","",N($X213)*IF(AND(ISNUMBER($G213),$G213&lt;=IF($S213=MesCiclo,InicioCiclo,$S213+MOD(2-WEEKDAY($S213),7))+6),1,MIN(1,MAX(0,IF(ISNUMBER(OFFSET($A$1,ROW()-1,8)),OFFSET($A$1,ROW()-1,8),0)))))</f>
        <v/>
      </c>
      <c r="AE213" s="62">
        <f>IF($V213&lt;&gt;"Sub","",N($X213)*IF(AND(ISNUMBER($G213),$G213&lt;=IF($S213=MesCiclo,InicioCiclo,$S213+MOD(2-WEEKDAY($S213),7))+13),1,MIN(1,MAX(0,IF(ISNUMBER(OFFSET($A$1,ROW()-1,9)),OFFSET($A$1,ROW()-1,9),IF(ISNUMBER(OFFSET($A$1,ROW()-1,8)),OFFSET($A$1,ROW()-1,8),0))))))</f>
        <v/>
      </c>
      <c r="AF213" s="62">
        <f>IF($V213&lt;&gt;"Sub","",N($X213)*IF(AND(ISNUMBER($G213),$G213&lt;=IF($S213=MesCiclo,InicioCiclo,$S213+MOD(2-WEEKDAY($S213),7))+20),1,MIN(1,MAX(0,IF(ISNUMBER(OFFSET($A$1,ROW()-1,10)),OFFSET($A$1,ROW()-1,10),IF(ISNUMBER(OFFSET($A$1,ROW()-1,9)),OFFSET($A$1,ROW()-1,9),IF(ISNUMBER(OFFSET($A$1,ROW()-1,8)),OFFSET($A$1,ROW()-1,8),0)))))))</f>
        <v/>
      </c>
      <c r="AG213" s="62">
        <f>IF($V213&lt;&gt;"Sub","",N($X213)*IF(AND(ISNUMBER($G213),$G213&lt;=IF($S213=MesCiclo,InicioCiclo,$S213+MOD(2-WEEKDAY($S213),7))+27),1,MIN(1,MAX(0,IF(ISNUMBER(OFFSET($A$1,ROW()-1,11)),OFFSET($A$1,ROW()-1,11),IF(ISNUMBER(OFFSET($A$1,ROW()-1,10)),OFFSET($A$1,ROW()-1,10),IF(ISNUMBER(OFFSET($A$1,ROW()-1,9)),OFFSET($A$1,ROW()-1,9),IF(ISNUMBER(OFFSET($A$1,ROW()-1,8)),OFFSET($A$1,ROW()-1,8),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",IFERROR(MATCH("Riesgo Operacional|"&amp;MID($C213,12,500),rDname_ADM,0),0),"")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IF(N($W214)=0,"",IF(AND($S214=MesCiclo,1&gt;SemanaActual),"",MIN(1,SUMIFS(OFFSET($A$1,ROW(),29,1000-ROW(),1),OFFSET($A$1,ROW(),20,1000-ROW(),1),ROW(),OFFSET($A$1,ROW(),21,1000-ROW(),1),"Sub"))))</f>
        <v/>
      </c>
      <c r="J214" s="60">
        <f>IF(N($W214)=0,"",IF(AND($S214=MesCiclo,2&gt;SemanaActual),"",MIN(1,SUMIFS(OFFSET($A$1,ROW(),30,1000-ROW(),1),OFFSET($A$1,ROW(),20,1000-ROW(),1),ROW(),OFFSET($A$1,ROW(),21,1000-ROW(),1),"Sub"))))</f>
        <v/>
      </c>
      <c r="K214" s="60">
        <f>IF(N($W214)=0,"",IF(AND($S214=MesCiclo,3&gt;SemanaActual),"",MIN(1,SUMIFS(OFFSET($A$1,ROW(),31,1000-ROW(),1),OFFSET($A$1,ROW(),20,1000-ROW(),1),ROW(),OFFSET($A$1,ROW(),21,1000-ROW(),1),"Sub"))))</f>
        <v/>
      </c>
      <c r="L214" s="60">
        <f>IF(N($W214)=0,"",IF(AND($S214=MesCiclo,4&gt;SemanaActual),"",MIN(1,SUMIFS(OFFSET($A$1,ROW(),32,1000-ROW(),1),OFFSET($A$1,ROW(),20,1000-ROW(),1),ROW(),OFFSET($A$1,ROW(),21,1000-ROW(),1),"Sub"))))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IF($V214&lt;&gt;"Sub","",N($X214)*IF(AND(ISNUMBER($G214),$G214&lt;=IF($S214=MesCiclo,InicioCiclo,$S214+MOD(2-WEEKDAY($S214),7))+6),1,MIN(1,MAX(0,IF(ISNUMBER(OFFSET($A$1,ROW()-1,8)),OFFSET($A$1,ROW()-1,8),0)))))</f>
        <v/>
      </c>
      <c r="AE214" s="62">
        <f>IF($V214&lt;&gt;"Sub","",N($X214)*IF(AND(ISNUMBER($G214),$G214&lt;=IF($S214=MesCiclo,InicioCiclo,$S214+MOD(2-WEEKDAY($S214),7))+13),1,MIN(1,MAX(0,IF(ISNUMBER(OFFSET($A$1,ROW()-1,9)),OFFSET($A$1,ROW()-1,9),IF(ISNUMBER(OFFSET($A$1,ROW()-1,8)),OFFSET($A$1,ROW()-1,8),0))))))</f>
        <v/>
      </c>
      <c r="AF214" s="62">
        <f>IF($V214&lt;&gt;"Sub","",N($X214)*IF(AND(ISNUMBER($G214),$G214&lt;=IF($S214=MesCiclo,InicioCiclo,$S214+MOD(2-WEEKDAY($S214),7))+20),1,MIN(1,MAX(0,IF(ISNUMBER(OFFSET($A$1,ROW()-1,10)),OFFSET($A$1,ROW()-1,10),IF(ISNUMBER(OFFSET($A$1,ROW()-1,9)),OFFSET($A$1,ROW()-1,9),IF(ISNUMBER(OFFSET($A$1,ROW()-1,8)),OFFSET($A$1,ROW()-1,8),0)))))))</f>
        <v/>
      </c>
      <c r="AG214" s="62">
        <f>IF($V214&lt;&gt;"Sub","",N($X214)*IF(AND(ISNUMBER($G214),$G214&lt;=IF($S214=MesCiclo,InicioCiclo,$S214+MOD(2-WEEKDAY($S214),7))+27),1,MIN(1,MAX(0,IF(ISNUMBER(OFFSET($A$1,ROW()-1,11)),OFFSET($A$1,ROW()-1,11),IF(ISNUMBER(OFFSET($A$1,ROW()-1,10)),OFFSET($A$1,ROW()-1,10),IF(ISNUMBER(OFFSET($A$1,ROW()-1,9)),OFFSET($A$1,ROW()-1,9),IF(ISNUMBER(OFFSET($A$1,ROW()-1,8)),OFFSET($A$1,ROW()-1,8),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",IFERROR(MATCH("Riesgo Operacional|"&amp;MID($C214,12,500),rDname_ADM,0),0),"")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IF(N($W215)=0,"",IF(AND($S215=MesCiclo,1&gt;SemanaActual),"",MIN(1,SUMIFS(OFFSET($A$1,ROW(),29,1000-ROW(),1),OFFSET($A$1,ROW(),20,1000-ROW(),1),ROW(),OFFSET($A$1,ROW(),21,1000-ROW(),1),"Sub"))))</f>
        <v/>
      </c>
      <c r="J215" s="60">
        <f>IF(N($W215)=0,"",IF(AND($S215=MesCiclo,2&gt;SemanaActual),"",MIN(1,SUMIFS(OFFSET($A$1,ROW(),30,1000-ROW(),1),OFFSET($A$1,ROW(),20,1000-ROW(),1),ROW(),OFFSET($A$1,ROW(),21,1000-ROW(),1),"Sub"))))</f>
        <v/>
      </c>
      <c r="K215" s="60">
        <f>IF(N($W215)=0,"",IF(AND($S215=MesCiclo,3&gt;SemanaActual),"",MIN(1,SUMIFS(OFFSET($A$1,ROW(),31,1000-ROW(),1),OFFSET($A$1,ROW(),20,1000-ROW(),1),ROW(),OFFSET($A$1,ROW(),21,1000-ROW(),1),"Sub"))))</f>
        <v/>
      </c>
      <c r="L215" s="60">
        <f>IF(N($W215)=0,"",IF(AND($S215=MesCiclo,4&gt;SemanaActual),"",MIN(1,SUMIFS(OFFSET($A$1,ROW(),32,1000-ROW(),1),OFFSET($A$1,ROW(),20,1000-ROW(),1),ROW(),OFFSET($A$1,ROW(),21,1000-ROW(),1),"Sub"))))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IF($V215&lt;&gt;"Sub","",N($X215)*IF(AND(ISNUMBER($G215),$G215&lt;=IF($S215=MesCiclo,InicioCiclo,$S215+MOD(2-WEEKDAY($S215),7))+6),1,MIN(1,MAX(0,IF(ISNUMBER(OFFSET($A$1,ROW()-1,8)),OFFSET($A$1,ROW()-1,8),0)))))</f>
        <v/>
      </c>
      <c r="AE215" s="62">
        <f>IF($V215&lt;&gt;"Sub","",N($X215)*IF(AND(ISNUMBER($G215),$G215&lt;=IF($S215=MesCiclo,InicioCiclo,$S215+MOD(2-WEEKDAY($S215),7))+13),1,MIN(1,MAX(0,IF(ISNUMBER(OFFSET($A$1,ROW()-1,9)),OFFSET($A$1,ROW()-1,9),IF(ISNUMBER(OFFSET($A$1,ROW()-1,8)),OFFSET($A$1,ROW()-1,8),0))))))</f>
        <v/>
      </c>
      <c r="AF215" s="62">
        <f>IF($V215&lt;&gt;"Sub","",N($X215)*IF(AND(ISNUMBER($G215),$G215&lt;=IF($S215=MesCiclo,InicioCiclo,$S215+MOD(2-WEEKDAY($S215),7))+20),1,MIN(1,MAX(0,IF(ISNUMBER(OFFSET($A$1,ROW()-1,10)),OFFSET($A$1,ROW()-1,10),IF(ISNUMBER(OFFSET($A$1,ROW()-1,9)),OFFSET($A$1,ROW()-1,9),IF(ISNUMBER(OFFSET($A$1,ROW()-1,8)),OFFSET($A$1,ROW()-1,8),0)))))))</f>
        <v/>
      </c>
      <c r="AG215" s="62">
        <f>IF($V215&lt;&gt;"Sub","",N($X215)*IF(AND(ISNUMBER($G215),$G215&lt;=IF($S215=MesCiclo,InicioCiclo,$S215+MOD(2-WEEKDAY($S215),7))+27),1,MIN(1,MAX(0,IF(ISNUMBER(OFFSET($A$1,ROW()-1,11)),OFFSET($A$1,ROW()-1,11),IF(ISNUMBER(OFFSET($A$1,ROW()-1,10)),OFFSET($A$1,ROW()-1,10),IF(ISNUMBER(OFFSET($A$1,ROW()-1,9)),OFFSET($A$1,ROW()-1,9),IF(ISNUMBER(OFFSET($A$1,ROW()-1,8)),OFFSET($A$1,ROW()-1,8),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",IFERROR(MATCH("Riesgo Operacional|"&amp;MID($C215,12,500),rDname_ADM,0),0),"")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IF(N($W216)=0,"",IF(AND($S216=MesCiclo,1&gt;SemanaActual),"",MIN(1,SUMIFS(OFFSET($A$1,ROW(),29,1000-ROW(),1),OFFSET($A$1,ROW(),20,1000-ROW(),1),ROW(),OFFSET($A$1,ROW(),21,1000-ROW(),1),"Sub"))))</f>
        <v/>
      </c>
      <c r="J216" s="60">
        <f>IF(N($W216)=0,"",IF(AND($S216=MesCiclo,2&gt;SemanaActual),"",MIN(1,SUMIFS(OFFSET($A$1,ROW(),30,1000-ROW(),1),OFFSET($A$1,ROW(),20,1000-ROW(),1),ROW(),OFFSET($A$1,ROW(),21,1000-ROW(),1),"Sub"))))</f>
        <v/>
      </c>
      <c r="K216" s="60">
        <f>IF(N($W216)=0,"",IF(AND($S216=MesCiclo,3&gt;SemanaActual),"",MIN(1,SUMIFS(OFFSET($A$1,ROW(),31,1000-ROW(),1),OFFSET($A$1,ROW(),20,1000-ROW(),1),ROW(),OFFSET($A$1,ROW(),21,1000-ROW(),1),"Sub"))))</f>
        <v/>
      </c>
      <c r="L216" s="60">
        <f>IF(N($W216)=0,"",IF(AND($S216=MesCiclo,4&gt;SemanaActual),"",MIN(1,SUMIFS(OFFSET($A$1,ROW(),32,1000-ROW(),1),OFFSET($A$1,ROW(),20,1000-ROW(),1),ROW(),OFFSET($A$1,ROW(),21,1000-ROW(),1),"Sub"))))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IF($V216&lt;&gt;"Sub","",N($X216)*IF(AND(ISNUMBER($G216),$G216&lt;=IF($S216=MesCiclo,InicioCiclo,$S216+MOD(2-WEEKDAY($S216),7))+6),1,MIN(1,MAX(0,IF(ISNUMBER(OFFSET($A$1,ROW()-1,8)),OFFSET($A$1,ROW()-1,8),0)))))</f>
        <v/>
      </c>
      <c r="AE216" s="62">
        <f>IF($V216&lt;&gt;"Sub","",N($X216)*IF(AND(ISNUMBER($G216),$G216&lt;=IF($S216=MesCiclo,InicioCiclo,$S216+MOD(2-WEEKDAY($S216),7))+13),1,MIN(1,MAX(0,IF(ISNUMBER(OFFSET($A$1,ROW()-1,9)),OFFSET($A$1,ROW()-1,9),IF(ISNUMBER(OFFSET($A$1,ROW()-1,8)),OFFSET($A$1,ROW()-1,8),0))))))</f>
        <v/>
      </c>
      <c r="AF216" s="62">
        <f>IF($V216&lt;&gt;"Sub","",N($X216)*IF(AND(ISNUMBER($G216),$G216&lt;=IF($S216=MesCiclo,InicioCiclo,$S216+MOD(2-WEEKDAY($S216),7))+20),1,MIN(1,MAX(0,IF(ISNUMBER(OFFSET($A$1,ROW()-1,10)),OFFSET($A$1,ROW()-1,10),IF(ISNUMBER(OFFSET($A$1,ROW()-1,9)),OFFSET($A$1,ROW()-1,9),IF(ISNUMBER(OFFSET($A$1,ROW()-1,8)),OFFSET($A$1,ROW()-1,8),0)))))))</f>
        <v/>
      </c>
      <c r="AG216" s="62">
        <f>IF($V216&lt;&gt;"Sub","",N($X216)*IF(AND(ISNUMBER($G216),$G216&lt;=IF($S216=MesCiclo,InicioCiclo,$S216+MOD(2-WEEKDAY($S216),7))+27),1,MIN(1,MAX(0,IF(ISNUMBER(OFFSET($A$1,ROW()-1,11)),OFFSET($A$1,ROW()-1,11),IF(ISNUMBER(OFFSET($A$1,ROW()-1,10)),OFFSET($A$1,ROW()-1,10),IF(ISNUMBER(OFFSET($A$1,ROW()-1,9)),OFFSET($A$1,ROW()-1,9),IF(ISNUMBER(OFFSET($A$1,ROW()-1,8)),OFFSET($A$1,ROW()-1,8),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",IFERROR(MATCH("Riesgo Operacional|"&amp;MID($C216,12,500),rDname_ADM,0),0),"")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IF(N($W217)=0,"",IF(AND($S217=MesCiclo,1&gt;SemanaActual),"",MIN(1,SUMIFS(OFFSET($A$1,ROW(),29,1000-ROW(),1),OFFSET($A$1,ROW(),20,1000-ROW(),1),ROW(),OFFSET($A$1,ROW(),21,1000-ROW(),1),"Sub"))))</f>
        <v/>
      </c>
      <c r="J217" s="60">
        <f>IF(N($W217)=0,"",IF(AND($S217=MesCiclo,2&gt;SemanaActual),"",MIN(1,SUMIFS(OFFSET($A$1,ROW(),30,1000-ROW(),1),OFFSET($A$1,ROW(),20,1000-ROW(),1),ROW(),OFFSET($A$1,ROW(),21,1000-ROW(),1),"Sub"))))</f>
        <v/>
      </c>
      <c r="K217" s="60">
        <f>IF(N($W217)=0,"",IF(AND($S217=MesCiclo,3&gt;SemanaActual),"",MIN(1,SUMIFS(OFFSET($A$1,ROW(),31,1000-ROW(),1),OFFSET($A$1,ROW(),20,1000-ROW(),1),ROW(),OFFSET($A$1,ROW(),21,1000-ROW(),1),"Sub"))))</f>
        <v/>
      </c>
      <c r="L217" s="60">
        <f>IF(N($W217)=0,"",IF(AND($S217=MesCiclo,4&gt;SemanaActual),"",MIN(1,SUMIFS(OFFSET($A$1,ROW(),32,1000-ROW(),1),OFFSET($A$1,ROW(),20,1000-ROW(),1),ROW(),OFFSET($A$1,ROW(),21,1000-ROW(),1),"Sub"))))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IF($V217&lt;&gt;"Sub","",N($X217)*IF(AND(ISNUMBER($G217),$G217&lt;=IF($S217=MesCiclo,InicioCiclo,$S217+MOD(2-WEEKDAY($S217),7))+6),1,MIN(1,MAX(0,IF(ISNUMBER(OFFSET($A$1,ROW()-1,8)),OFFSET($A$1,ROW()-1,8),0)))))</f>
        <v/>
      </c>
      <c r="AE217" s="62">
        <f>IF($V217&lt;&gt;"Sub","",N($X217)*IF(AND(ISNUMBER($G217),$G217&lt;=IF($S217=MesCiclo,InicioCiclo,$S217+MOD(2-WEEKDAY($S217),7))+13),1,MIN(1,MAX(0,IF(ISNUMBER(OFFSET($A$1,ROW()-1,9)),OFFSET($A$1,ROW()-1,9),IF(ISNUMBER(OFFSET($A$1,ROW()-1,8)),OFFSET($A$1,ROW()-1,8),0))))))</f>
        <v/>
      </c>
      <c r="AF217" s="62">
        <f>IF($V217&lt;&gt;"Sub","",N($X217)*IF(AND(ISNUMBER($G217),$G217&lt;=IF($S217=MesCiclo,InicioCiclo,$S217+MOD(2-WEEKDAY($S217),7))+20),1,MIN(1,MAX(0,IF(ISNUMBER(OFFSET($A$1,ROW()-1,10)),OFFSET($A$1,ROW()-1,10),IF(ISNUMBER(OFFSET($A$1,ROW()-1,9)),OFFSET($A$1,ROW()-1,9),IF(ISNUMBER(OFFSET($A$1,ROW()-1,8)),OFFSET($A$1,ROW()-1,8),0)))))))</f>
        <v/>
      </c>
      <c r="AG217" s="62">
        <f>IF($V217&lt;&gt;"Sub","",N($X217)*IF(AND(ISNUMBER($G217),$G217&lt;=IF($S217=MesCiclo,InicioCiclo,$S217+MOD(2-WEEKDAY($S217),7))+27),1,MIN(1,MAX(0,IF(ISNUMBER(OFFSET($A$1,ROW()-1,11)),OFFSET($A$1,ROW()-1,11),IF(ISNUMBER(OFFSET($A$1,ROW()-1,10)),OFFSET($A$1,ROW()-1,10),IF(ISNUMBER(OFFSET($A$1,ROW()-1,9)),OFFSET($A$1,ROW()-1,9),IF(ISNUMBER(OFFSET($A$1,ROW()-1,8)),OFFSET($A$1,ROW()-1,8),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",IFERROR(MATCH("Riesgo Operacional|"&amp;MID($C217,12,500),rDname_ADM,0),0),"")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IF(N($W218)=0,"",IF(AND($S218=MesCiclo,1&gt;SemanaActual),"",MIN(1,SUMIFS(OFFSET($A$1,ROW(),29,1000-ROW(),1),OFFSET($A$1,ROW(),20,1000-ROW(),1),ROW(),OFFSET($A$1,ROW(),21,1000-ROW(),1),"Sub"))))</f>
        <v/>
      </c>
      <c r="J218" s="60">
        <f>IF(N($W218)=0,"",IF(AND($S218=MesCiclo,2&gt;SemanaActual),"",MIN(1,SUMIFS(OFFSET($A$1,ROW(),30,1000-ROW(),1),OFFSET($A$1,ROW(),20,1000-ROW(),1),ROW(),OFFSET($A$1,ROW(),21,1000-ROW(),1),"Sub"))))</f>
        <v/>
      </c>
      <c r="K218" s="60">
        <f>IF(N($W218)=0,"",IF(AND($S218=MesCiclo,3&gt;SemanaActual),"",MIN(1,SUMIFS(OFFSET($A$1,ROW(),31,1000-ROW(),1),OFFSET($A$1,ROW(),20,1000-ROW(),1),ROW(),OFFSET($A$1,ROW(),21,1000-ROW(),1),"Sub"))))</f>
        <v/>
      </c>
      <c r="L218" s="60">
        <f>IF(N($W218)=0,"",IF(AND($S218=MesCiclo,4&gt;SemanaActual),"",MIN(1,SUMIFS(OFFSET($A$1,ROW(),32,1000-ROW(),1),OFFSET($A$1,ROW(),20,1000-ROW(),1),ROW(),OFFSET($A$1,ROW(),21,1000-ROW(),1),"Sub"))))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IF($V218&lt;&gt;"Sub","",N($X218)*IF(AND(ISNUMBER($G218),$G218&lt;=IF($S218=MesCiclo,InicioCiclo,$S218+MOD(2-WEEKDAY($S218),7))+6),1,MIN(1,MAX(0,IF(ISNUMBER(OFFSET($A$1,ROW()-1,8)),OFFSET($A$1,ROW()-1,8),0)))))</f>
        <v/>
      </c>
      <c r="AE218" s="62">
        <f>IF($V218&lt;&gt;"Sub","",N($X218)*IF(AND(ISNUMBER($G218),$G218&lt;=IF($S218=MesCiclo,InicioCiclo,$S218+MOD(2-WEEKDAY($S218),7))+13),1,MIN(1,MAX(0,IF(ISNUMBER(OFFSET($A$1,ROW()-1,9)),OFFSET($A$1,ROW()-1,9),IF(ISNUMBER(OFFSET($A$1,ROW()-1,8)),OFFSET($A$1,ROW()-1,8),0))))))</f>
        <v/>
      </c>
      <c r="AF218" s="62">
        <f>IF($V218&lt;&gt;"Sub","",N($X218)*IF(AND(ISNUMBER($G218),$G218&lt;=IF($S218=MesCiclo,InicioCiclo,$S218+MOD(2-WEEKDAY($S218),7))+20),1,MIN(1,MAX(0,IF(ISNUMBER(OFFSET($A$1,ROW()-1,10)),OFFSET($A$1,ROW()-1,10),IF(ISNUMBER(OFFSET($A$1,ROW()-1,9)),OFFSET($A$1,ROW()-1,9),IF(ISNUMBER(OFFSET($A$1,ROW()-1,8)),OFFSET($A$1,ROW()-1,8),0)))))))</f>
        <v/>
      </c>
      <c r="AG218" s="62">
        <f>IF($V218&lt;&gt;"Sub","",N($X218)*IF(AND(ISNUMBER($G218),$G218&lt;=IF($S218=MesCiclo,InicioCiclo,$S218+MOD(2-WEEKDAY($S218),7))+27),1,MIN(1,MAX(0,IF(ISNUMBER(OFFSET($A$1,ROW()-1,11)),OFFSET($A$1,ROW()-1,11),IF(ISNUMBER(OFFSET($A$1,ROW()-1,10)),OFFSET($A$1,ROW()-1,10),IF(ISNUMBER(OFFSET($A$1,ROW()-1,9)),OFFSET($A$1,ROW()-1,9),IF(ISNUMBER(OFFSET($A$1,ROW()-1,8)),OFFSET($A$1,ROW()-1,8),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",IFERROR(MATCH("Riesgo Operacional|"&amp;MID($C218,12,500),rDname_ADM,0),0),"")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IF(N($W219)=0,"",IF(AND($S219=MesCiclo,1&gt;SemanaActual),"",MIN(1,SUMIFS(OFFSET($A$1,ROW(),29,1000-ROW(),1),OFFSET($A$1,ROW(),20,1000-ROW(),1),ROW(),OFFSET($A$1,ROW(),21,1000-ROW(),1),"Sub"))))</f>
        <v/>
      </c>
      <c r="J219" s="60">
        <f>IF(N($W219)=0,"",IF(AND($S219=MesCiclo,2&gt;SemanaActual),"",MIN(1,SUMIFS(OFFSET($A$1,ROW(),30,1000-ROW(),1),OFFSET($A$1,ROW(),20,1000-ROW(),1),ROW(),OFFSET($A$1,ROW(),21,1000-ROW(),1),"Sub"))))</f>
        <v/>
      </c>
      <c r="K219" s="60">
        <f>IF(N($W219)=0,"",IF(AND($S219=MesCiclo,3&gt;SemanaActual),"",MIN(1,SUMIFS(OFFSET($A$1,ROW(),31,1000-ROW(),1),OFFSET($A$1,ROW(),20,1000-ROW(),1),ROW(),OFFSET($A$1,ROW(),21,1000-ROW(),1),"Sub"))))</f>
        <v/>
      </c>
      <c r="L219" s="60">
        <f>IF(N($W219)=0,"",IF(AND($S219=MesCiclo,4&gt;SemanaActual),"",MIN(1,SUMIFS(OFFSET($A$1,ROW(),32,1000-ROW(),1),OFFSET($A$1,ROW(),20,1000-ROW(),1),ROW(),OFFSET($A$1,ROW(),21,1000-ROW(),1),"Sub"))))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IF($V219&lt;&gt;"Sub","",N($X219)*IF(AND(ISNUMBER($G219),$G219&lt;=IF($S219=MesCiclo,InicioCiclo,$S219+MOD(2-WEEKDAY($S219),7))+6),1,MIN(1,MAX(0,IF(ISNUMBER(OFFSET($A$1,ROW()-1,8)),OFFSET($A$1,ROW()-1,8),0)))))</f>
        <v/>
      </c>
      <c r="AE219" s="62">
        <f>IF($V219&lt;&gt;"Sub","",N($X219)*IF(AND(ISNUMBER($G219),$G219&lt;=IF($S219=MesCiclo,InicioCiclo,$S219+MOD(2-WEEKDAY($S219),7))+13),1,MIN(1,MAX(0,IF(ISNUMBER(OFFSET($A$1,ROW()-1,9)),OFFSET($A$1,ROW()-1,9),IF(ISNUMBER(OFFSET($A$1,ROW()-1,8)),OFFSET($A$1,ROW()-1,8),0))))))</f>
        <v/>
      </c>
      <c r="AF219" s="62">
        <f>IF($V219&lt;&gt;"Sub","",N($X219)*IF(AND(ISNUMBER($G219),$G219&lt;=IF($S219=MesCiclo,InicioCiclo,$S219+MOD(2-WEEKDAY($S219),7))+20),1,MIN(1,MAX(0,IF(ISNUMBER(OFFSET($A$1,ROW()-1,10)),OFFSET($A$1,ROW()-1,10),IF(ISNUMBER(OFFSET($A$1,ROW()-1,9)),OFFSET($A$1,ROW()-1,9),IF(ISNUMBER(OFFSET($A$1,ROW()-1,8)),OFFSET($A$1,ROW()-1,8),0)))))))</f>
        <v/>
      </c>
      <c r="AG219" s="62">
        <f>IF($V219&lt;&gt;"Sub","",N($X219)*IF(AND(ISNUMBER($G219),$G219&lt;=IF($S219=MesCiclo,InicioCiclo,$S219+MOD(2-WEEKDAY($S219),7))+27),1,MIN(1,MAX(0,IF(ISNUMBER(OFFSET($A$1,ROW()-1,11)),OFFSET($A$1,ROW()-1,11),IF(ISNUMBER(OFFSET($A$1,ROW()-1,10)),OFFSET($A$1,ROW()-1,10),IF(ISNUMBER(OFFSET($A$1,ROW()-1,9)),OFFSET($A$1,ROW()-1,9),IF(ISNUMBER(OFFSET($A$1,ROW()-1,8)),OFFSET($A$1,ROW()-1,8),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",IFERROR(MATCH("Riesgo Operacional|"&amp;MID($C219,12,500),rDname_ADM,0),0),"")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IF(N($W220)=0,"",IF(AND($S220=MesCiclo,1&gt;SemanaActual),"",MIN(1,SUMIFS(OFFSET($A$1,ROW(),29,1000-ROW(),1),OFFSET($A$1,ROW(),20,1000-ROW(),1),ROW(),OFFSET($A$1,ROW(),21,1000-ROW(),1),"Sub"))))</f>
        <v/>
      </c>
      <c r="J220" s="60">
        <f>IF(N($W220)=0,"",IF(AND($S220=MesCiclo,2&gt;SemanaActual),"",MIN(1,SUMIFS(OFFSET($A$1,ROW(),30,1000-ROW(),1),OFFSET($A$1,ROW(),20,1000-ROW(),1),ROW(),OFFSET($A$1,ROW(),21,1000-ROW(),1),"Sub"))))</f>
        <v/>
      </c>
      <c r="K220" s="60">
        <f>IF(N($W220)=0,"",IF(AND($S220=MesCiclo,3&gt;SemanaActual),"",MIN(1,SUMIFS(OFFSET($A$1,ROW(),31,1000-ROW(),1),OFFSET($A$1,ROW(),20,1000-ROW(),1),ROW(),OFFSET($A$1,ROW(),21,1000-ROW(),1),"Sub"))))</f>
        <v/>
      </c>
      <c r="L220" s="60">
        <f>IF(N($W220)=0,"",IF(AND($S220=MesCiclo,4&gt;SemanaActual),"",MIN(1,SUMIFS(OFFSET($A$1,ROW(),32,1000-ROW(),1),OFFSET($A$1,ROW(),20,1000-ROW(),1),ROW(),OFFSET($A$1,ROW(),21,1000-ROW(),1),"Sub"))))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IF($V220&lt;&gt;"Sub","",N($X220)*IF(AND(ISNUMBER($G220),$G220&lt;=IF($S220=MesCiclo,InicioCiclo,$S220+MOD(2-WEEKDAY($S220),7))+6),1,MIN(1,MAX(0,IF(ISNUMBER(OFFSET($A$1,ROW()-1,8)),OFFSET($A$1,ROW()-1,8),0)))))</f>
        <v/>
      </c>
      <c r="AE220" s="62">
        <f>IF($V220&lt;&gt;"Sub","",N($X220)*IF(AND(ISNUMBER($G220),$G220&lt;=IF($S220=MesCiclo,InicioCiclo,$S220+MOD(2-WEEKDAY($S220),7))+13),1,MIN(1,MAX(0,IF(ISNUMBER(OFFSET($A$1,ROW()-1,9)),OFFSET($A$1,ROW()-1,9),IF(ISNUMBER(OFFSET($A$1,ROW()-1,8)),OFFSET($A$1,ROW()-1,8),0))))))</f>
        <v/>
      </c>
      <c r="AF220" s="62">
        <f>IF($V220&lt;&gt;"Sub","",N($X220)*IF(AND(ISNUMBER($G220),$G220&lt;=IF($S220=MesCiclo,InicioCiclo,$S220+MOD(2-WEEKDAY($S220),7))+20),1,MIN(1,MAX(0,IF(ISNUMBER(OFFSET($A$1,ROW()-1,10)),OFFSET($A$1,ROW()-1,10),IF(ISNUMBER(OFFSET($A$1,ROW()-1,9)),OFFSET($A$1,ROW()-1,9),IF(ISNUMBER(OFFSET($A$1,ROW()-1,8)),OFFSET($A$1,ROW()-1,8),0)))))))</f>
        <v/>
      </c>
      <c r="AG220" s="62">
        <f>IF($V220&lt;&gt;"Sub","",N($X220)*IF(AND(ISNUMBER($G220),$G220&lt;=IF($S220=MesCiclo,InicioCiclo,$S220+MOD(2-WEEKDAY($S220),7))+27),1,MIN(1,MAX(0,IF(ISNUMBER(OFFSET($A$1,ROW()-1,11)),OFFSET($A$1,ROW()-1,11),IF(ISNUMBER(OFFSET($A$1,ROW()-1,10)),OFFSET($A$1,ROW()-1,10),IF(ISNUMBER(OFFSET($A$1,ROW()-1,9)),OFFSET($A$1,ROW()-1,9),IF(ISNUMBER(OFFSET($A$1,ROW()-1,8)),OFFSET($A$1,ROW()-1,8),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",IFERROR(MATCH("Riesgo Operacional|"&amp;MID($C220,12,500),rDname_ADM,0),0),"")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IF(N($W221)=0,"",IF(AND($S221=MesCiclo,1&gt;SemanaActual),"",MIN(1,SUMIFS(OFFSET($A$1,ROW(),29,1000-ROW(),1),OFFSET($A$1,ROW(),20,1000-ROW(),1),ROW(),OFFSET($A$1,ROW(),21,1000-ROW(),1),"Sub"))))</f>
        <v/>
      </c>
      <c r="J221" s="60">
        <f>IF(N($W221)=0,"",IF(AND($S221=MesCiclo,2&gt;SemanaActual),"",MIN(1,SUMIFS(OFFSET($A$1,ROW(),30,1000-ROW(),1),OFFSET($A$1,ROW(),20,1000-ROW(),1),ROW(),OFFSET($A$1,ROW(),21,1000-ROW(),1),"Sub"))))</f>
        <v/>
      </c>
      <c r="K221" s="60">
        <f>IF(N($W221)=0,"",IF(AND($S221=MesCiclo,3&gt;SemanaActual),"",MIN(1,SUMIFS(OFFSET($A$1,ROW(),31,1000-ROW(),1),OFFSET($A$1,ROW(),20,1000-ROW(),1),ROW(),OFFSET($A$1,ROW(),21,1000-ROW(),1),"Sub"))))</f>
        <v/>
      </c>
      <c r="L221" s="60">
        <f>IF(N($W221)=0,"",IF(AND($S221=MesCiclo,4&gt;SemanaActual),"",MIN(1,SUMIFS(OFFSET($A$1,ROW(),32,1000-ROW(),1),OFFSET($A$1,ROW(),20,1000-ROW(),1),ROW(),OFFSET($A$1,ROW(),21,1000-ROW(),1),"Sub"))))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IF($V221&lt;&gt;"Sub","",N($X221)*IF(AND(ISNUMBER($G221),$G221&lt;=IF($S221=MesCiclo,InicioCiclo,$S221+MOD(2-WEEKDAY($S221),7))+6),1,MIN(1,MAX(0,IF(ISNUMBER(OFFSET($A$1,ROW()-1,8)),OFFSET($A$1,ROW()-1,8),0)))))</f>
        <v/>
      </c>
      <c r="AE221" s="62">
        <f>IF($V221&lt;&gt;"Sub","",N($X221)*IF(AND(ISNUMBER($G221),$G221&lt;=IF($S221=MesCiclo,InicioCiclo,$S221+MOD(2-WEEKDAY($S221),7))+13),1,MIN(1,MAX(0,IF(ISNUMBER(OFFSET($A$1,ROW()-1,9)),OFFSET($A$1,ROW()-1,9),IF(ISNUMBER(OFFSET($A$1,ROW()-1,8)),OFFSET($A$1,ROW()-1,8),0))))))</f>
        <v/>
      </c>
      <c r="AF221" s="62">
        <f>IF($V221&lt;&gt;"Sub","",N($X221)*IF(AND(ISNUMBER($G221),$G221&lt;=IF($S221=MesCiclo,InicioCiclo,$S221+MOD(2-WEEKDAY($S221),7))+20),1,MIN(1,MAX(0,IF(ISNUMBER(OFFSET($A$1,ROW()-1,10)),OFFSET($A$1,ROW()-1,10),IF(ISNUMBER(OFFSET($A$1,ROW()-1,9)),OFFSET($A$1,ROW()-1,9),IF(ISNUMBER(OFFSET($A$1,ROW()-1,8)),OFFSET($A$1,ROW()-1,8),0)))))))</f>
        <v/>
      </c>
      <c r="AG221" s="62">
        <f>IF($V221&lt;&gt;"Sub","",N($X221)*IF(AND(ISNUMBER($G221),$G221&lt;=IF($S221=MesCiclo,InicioCiclo,$S221+MOD(2-WEEKDAY($S221),7))+27),1,MIN(1,MAX(0,IF(ISNUMBER(OFFSET($A$1,ROW()-1,11)),OFFSET($A$1,ROW()-1,11),IF(ISNUMBER(OFFSET($A$1,ROW()-1,10)),OFFSET($A$1,ROW()-1,10),IF(ISNUMBER(OFFSET($A$1,ROW()-1,9)),OFFSET($A$1,ROW()-1,9),IF(ISNUMBER(OFFSET($A$1,ROW()-1,8)),OFFSET($A$1,ROW()-1,8),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",IFERROR(MATCH("Riesgo Operacional|"&amp;MID($C221,12,500),rDname_ADM,0),0),"")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IF(N($W222)=0,"",IF(AND($S222=MesCiclo,1&gt;SemanaActual),"",MIN(1,SUMIFS(OFFSET($A$1,ROW(),29,1000-ROW(),1),OFFSET($A$1,ROW(),20,1000-ROW(),1),ROW(),OFFSET($A$1,ROW(),21,1000-ROW(),1),"Sub"))))</f>
        <v/>
      </c>
      <c r="J222" s="60">
        <f>IF(N($W222)=0,"",IF(AND($S222=MesCiclo,2&gt;SemanaActual),"",MIN(1,SUMIFS(OFFSET($A$1,ROW(),30,1000-ROW(),1),OFFSET($A$1,ROW(),20,1000-ROW(),1),ROW(),OFFSET($A$1,ROW(),21,1000-ROW(),1),"Sub"))))</f>
        <v/>
      </c>
      <c r="K222" s="60">
        <f>IF(N($W222)=0,"",IF(AND($S222=MesCiclo,3&gt;SemanaActual),"",MIN(1,SUMIFS(OFFSET($A$1,ROW(),31,1000-ROW(),1),OFFSET($A$1,ROW(),20,1000-ROW(),1),ROW(),OFFSET($A$1,ROW(),21,1000-ROW(),1),"Sub"))))</f>
        <v/>
      </c>
      <c r="L222" s="60">
        <f>IF(N($W222)=0,"",IF(AND($S222=MesCiclo,4&gt;SemanaActual),"",MIN(1,SUMIFS(OFFSET($A$1,ROW(),32,1000-ROW(),1),OFFSET($A$1,ROW(),20,1000-ROW(),1),ROW(),OFFSET($A$1,ROW(),21,1000-ROW(),1),"Sub"))))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IF($V222&lt;&gt;"Sub","",N($X222)*IF(AND(ISNUMBER($G222),$G222&lt;=IF($S222=MesCiclo,InicioCiclo,$S222+MOD(2-WEEKDAY($S222),7))+6),1,MIN(1,MAX(0,IF(ISNUMBER(OFFSET($A$1,ROW()-1,8)),OFFSET($A$1,ROW()-1,8),0)))))</f>
        <v/>
      </c>
      <c r="AE222" s="62">
        <f>IF($V222&lt;&gt;"Sub","",N($X222)*IF(AND(ISNUMBER($G222),$G222&lt;=IF($S222=MesCiclo,InicioCiclo,$S222+MOD(2-WEEKDAY($S222),7))+13),1,MIN(1,MAX(0,IF(ISNUMBER(OFFSET($A$1,ROW()-1,9)),OFFSET($A$1,ROW()-1,9),IF(ISNUMBER(OFFSET($A$1,ROW()-1,8)),OFFSET($A$1,ROW()-1,8),0))))))</f>
        <v/>
      </c>
      <c r="AF222" s="62">
        <f>IF($V222&lt;&gt;"Sub","",N($X222)*IF(AND(ISNUMBER($G222),$G222&lt;=IF($S222=MesCiclo,InicioCiclo,$S222+MOD(2-WEEKDAY($S222),7))+20),1,MIN(1,MAX(0,IF(ISNUMBER(OFFSET($A$1,ROW()-1,10)),OFFSET($A$1,ROW()-1,10),IF(ISNUMBER(OFFSET($A$1,ROW()-1,9)),OFFSET($A$1,ROW()-1,9),IF(ISNUMBER(OFFSET($A$1,ROW()-1,8)),OFFSET($A$1,ROW()-1,8),0)))))))</f>
        <v/>
      </c>
      <c r="AG222" s="62">
        <f>IF($V222&lt;&gt;"Sub","",N($X222)*IF(AND(ISNUMBER($G222),$G222&lt;=IF($S222=MesCiclo,InicioCiclo,$S222+MOD(2-WEEKDAY($S222),7))+27),1,MIN(1,MAX(0,IF(ISNUMBER(OFFSET($A$1,ROW()-1,11)),OFFSET($A$1,ROW()-1,11),IF(ISNUMBER(OFFSET($A$1,ROW()-1,10)),OFFSET($A$1,ROW()-1,10),IF(ISNUMBER(OFFSET($A$1,ROW()-1,9)),OFFSET($A$1,ROW()-1,9),IF(ISNUMBER(OFFSET($A$1,ROW()-1,8)),OFFSET($A$1,ROW()-1,8),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",IFERROR(MATCH("Riesgo Operacional|"&amp;MID($C222,12,500),rDname_ADM,0),0),"")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IF(N($W223)=0,"",IF(AND($S223=MesCiclo,1&gt;SemanaActual),"",MIN(1,SUMIFS(OFFSET($A$1,ROW(),29,1000-ROW(),1),OFFSET($A$1,ROW(),20,1000-ROW(),1),ROW(),OFFSET($A$1,ROW(),21,1000-ROW(),1),"Sub"))))</f>
        <v/>
      </c>
      <c r="J223" s="60">
        <f>IF(N($W223)=0,"",IF(AND($S223=MesCiclo,2&gt;SemanaActual),"",MIN(1,SUMIFS(OFFSET($A$1,ROW(),30,1000-ROW(),1),OFFSET($A$1,ROW(),20,1000-ROW(),1),ROW(),OFFSET($A$1,ROW(),21,1000-ROW(),1),"Sub"))))</f>
        <v/>
      </c>
      <c r="K223" s="60">
        <f>IF(N($W223)=0,"",IF(AND($S223=MesCiclo,3&gt;SemanaActual),"",MIN(1,SUMIFS(OFFSET($A$1,ROW(),31,1000-ROW(),1),OFFSET($A$1,ROW(),20,1000-ROW(),1),ROW(),OFFSET($A$1,ROW(),21,1000-ROW(),1),"Sub"))))</f>
        <v/>
      </c>
      <c r="L223" s="60">
        <f>IF(N($W223)=0,"",IF(AND($S223=MesCiclo,4&gt;SemanaActual),"",MIN(1,SUMIFS(OFFSET($A$1,ROW(),32,1000-ROW(),1),OFFSET($A$1,ROW(),20,1000-ROW(),1),ROW(),OFFSET($A$1,ROW(),21,1000-ROW(),1),"Sub"))))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IF($V223&lt;&gt;"Sub","",N($X223)*IF(AND(ISNUMBER($G223),$G223&lt;=IF($S223=MesCiclo,InicioCiclo,$S223+MOD(2-WEEKDAY($S223),7))+6),1,MIN(1,MAX(0,IF(ISNUMBER(OFFSET($A$1,ROW()-1,8)),OFFSET($A$1,ROW()-1,8),0)))))</f>
        <v/>
      </c>
      <c r="AE223" s="62">
        <f>IF($V223&lt;&gt;"Sub","",N($X223)*IF(AND(ISNUMBER($G223),$G223&lt;=IF($S223=MesCiclo,InicioCiclo,$S223+MOD(2-WEEKDAY($S223),7))+13),1,MIN(1,MAX(0,IF(ISNUMBER(OFFSET($A$1,ROW()-1,9)),OFFSET($A$1,ROW()-1,9),IF(ISNUMBER(OFFSET($A$1,ROW()-1,8)),OFFSET($A$1,ROW()-1,8),0))))))</f>
        <v/>
      </c>
      <c r="AF223" s="62">
        <f>IF($V223&lt;&gt;"Sub","",N($X223)*IF(AND(ISNUMBER($G223),$G223&lt;=IF($S223=MesCiclo,InicioCiclo,$S223+MOD(2-WEEKDAY($S223),7))+20),1,MIN(1,MAX(0,IF(ISNUMBER(OFFSET($A$1,ROW()-1,10)),OFFSET($A$1,ROW()-1,10),IF(ISNUMBER(OFFSET($A$1,ROW()-1,9)),OFFSET($A$1,ROW()-1,9),IF(ISNUMBER(OFFSET($A$1,ROW()-1,8)),OFFSET($A$1,ROW()-1,8),0)))))))</f>
        <v/>
      </c>
      <c r="AG223" s="62">
        <f>IF($V223&lt;&gt;"Sub","",N($X223)*IF(AND(ISNUMBER($G223),$G223&lt;=IF($S223=MesCiclo,InicioCiclo,$S223+MOD(2-WEEKDAY($S223),7))+27),1,MIN(1,MAX(0,IF(ISNUMBER(OFFSET($A$1,ROW()-1,11)),OFFSET($A$1,ROW()-1,11),IF(ISNUMBER(OFFSET($A$1,ROW()-1,10)),OFFSET($A$1,ROW()-1,10),IF(ISNUMBER(OFFSET($A$1,ROW()-1,9)),OFFSET($A$1,ROW()-1,9),IF(ISNUMBER(OFFSET($A$1,ROW()-1,8)),OFFSET($A$1,ROW()-1,8),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",IFERROR(MATCH("Riesgo Operacional|"&amp;MID($C223,12,500),rDname_ADM,0),0),"")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IF(N($W224)=0,"",IF(AND($S224=MesCiclo,1&gt;SemanaActual),"",MIN(1,SUMIFS(OFFSET($A$1,ROW(),29,1000-ROW(),1),OFFSET($A$1,ROW(),20,1000-ROW(),1),ROW(),OFFSET($A$1,ROW(),21,1000-ROW(),1),"Sub"))))</f>
        <v/>
      </c>
      <c r="J224" s="60">
        <f>IF(N($W224)=0,"",IF(AND($S224=MesCiclo,2&gt;SemanaActual),"",MIN(1,SUMIFS(OFFSET($A$1,ROW(),30,1000-ROW(),1),OFFSET($A$1,ROW(),20,1000-ROW(),1),ROW(),OFFSET($A$1,ROW(),21,1000-ROW(),1),"Sub"))))</f>
        <v/>
      </c>
      <c r="K224" s="60">
        <f>IF(N($W224)=0,"",IF(AND($S224=MesCiclo,3&gt;SemanaActual),"",MIN(1,SUMIFS(OFFSET($A$1,ROW(),31,1000-ROW(),1),OFFSET($A$1,ROW(),20,1000-ROW(),1),ROW(),OFFSET($A$1,ROW(),21,1000-ROW(),1),"Sub"))))</f>
        <v/>
      </c>
      <c r="L224" s="60">
        <f>IF(N($W224)=0,"",IF(AND($S224=MesCiclo,4&gt;SemanaActual),"",MIN(1,SUMIFS(OFFSET($A$1,ROW(),32,1000-ROW(),1),OFFSET($A$1,ROW(),20,1000-ROW(),1),ROW(),OFFSET($A$1,ROW(),21,1000-ROW(),1),"Sub"))))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IF($V224&lt;&gt;"Sub","",N($X224)*IF(AND(ISNUMBER($G224),$G224&lt;=IF($S224=MesCiclo,InicioCiclo,$S224+MOD(2-WEEKDAY($S224),7))+6),1,MIN(1,MAX(0,IF(ISNUMBER(OFFSET($A$1,ROW()-1,8)),OFFSET($A$1,ROW()-1,8),0)))))</f>
        <v/>
      </c>
      <c r="AE224" s="62">
        <f>IF($V224&lt;&gt;"Sub","",N($X224)*IF(AND(ISNUMBER($G224),$G224&lt;=IF($S224=MesCiclo,InicioCiclo,$S224+MOD(2-WEEKDAY($S224),7))+13),1,MIN(1,MAX(0,IF(ISNUMBER(OFFSET($A$1,ROW()-1,9)),OFFSET($A$1,ROW()-1,9),IF(ISNUMBER(OFFSET($A$1,ROW()-1,8)),OFFSET($A$1,ROW()-1,8),0))))))</f>
        <v/>
      </c>
      <c r="AF224" s="62">
        <f>IF($V224&lt;&gt;"Sub","",N($X224)*IF(AND(ISNUMBER($G224),$G224&lt;=IF($S224=MesCiclo,InicioCiclo,$S224+MOD(2-WEEKDAY($S224),7))+20),1,MIN(1,MAX(0,IF(ISNUMBER(OFFSET($A$1,ROW()-1,10)),OFFSET($A$1,ROW()-1,10),IF(ISNUMBER(OFFSET($A$1,ROW()-1,9)),OFFSET($A$1,ROW()-1,9),IF(ISNUMBER(OFFSET($A$1,ROW()-1,8)),OFFSET($A$1,ROW()-1,8),0)))))))</f>
        <v/>
      </c>
      <c r="AG224" s="62">
        <f>IF($V224&lt;&gt;"Sub","",N($X224)*IF(AND(ISNUMBER($G224),$G224&lt;=IF($S224=MesCiclo,InicioCiclo,$S224+MOD(2-WEEKDAY($S224),7))+27),1,MIN(1,MAX(0,IF(ISNUMBER(OFFSET($A$1,ROW()-1,11)),OFFSET($A$1,ROW()-1,11),IF(ISNUMBER(OFFSET($A$1,ROW()-1,10)),OFFSET($A$1,ROW()-1,10),IF(ISNUMBER(OFFSET($A$1,ROW()-1,9)),OFFSET($A$1,ROW()-1,9),IF(ISNUMBER(OFFSET($A$1,ROW()-1,8)),OFFSET($A$1,ROW()-1,8),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",IFERROR(MATCH("Riesgo Operacional|"&amp;MID($C224,12,500),rDname_ADM,0),0),"")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IF(N($W225)=0,"",IF(AND($S225=MesCiclo,1&gt;SemanaActual),"",MIN(1,SUMIFS(OFFSET($A$1,ROW(),29,1000-ROW(),1),OFFSET($A$1,ROW(),20,1000-ROW(),1),ROW(),OFFSET($A$1,ROW(),21,1000-ROW(),1),"Sub"))))</f>
        <v/>
      </c>
      <c r="J225" s="60">
        <f>IF(N($W225)=0,"",IF(AND($S225=MesCiclo,2&gt;SemanaActual),"",MIN(1,SUMIFS(OFFSET($A$1,ROW(),30,1000-ROW(),1),OFFSET($A$1,ROW(),20,1000-ROW(),1),ROW(),OFFSET($A$1,ROW(),21,1000-ROW(),1),"Sub"))))</f>
        <v/>
      </c>
      <c r="K225" s="60">
        <f>IF(N($W225)=0,"",IF(AND($S225=MesCiclo,3&gt;SemanaActual),"",MIN(1,SUMIFS(OFFSET($A$1,ROW(),31,1000-ROW(),1),OFFSET($A$1,ROW(),20,1000-ROW(),1),ROW(),OFFSET($A$1,ROW(),21,1000-ROW(),1),"Sub"))))</f>
        <v/>
      </c>
      <c r="L225" s="60">
        <f>IF(N($W225)=0,"",IF(AND($S225=MesCiclo,4&gt;SemanaActual),"",MIN(1,SUMIFS(OFFSET($A$1,ROW(),32,1000-ROW(),1),OFFSET($A$1,ROW(),20,1000-ROW(),1),ROW(),OFFSET($A$1,ROW(),21,1000-ROW(),1),"Sub"))))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IF($V225&lt;&gt;"Sub","",N($X225)*IF(AND(ISNUMBER($G225),$G225&lt;=IF($S225=MesCiclo,InicioCiclo,$S225+MOD(2-WEEKDAY($S225),7))+6),1,MIN(1,MAX(0,IF(ISNUMBER(OFFSET($A$1,ROW()-1,8)),OFFSET($A$1,ROW()-1,8),0)))))</f>
        <v/>
      </c>
      <c r="AE225" s="62">
        <f>IF($V225&lt;&gt;"Sub","",N($X225)*IF(AND(ISNUMBER($G225),$G225&lt;=IF($S225=MesCiclo,InicioCiclo,$S225+MOD(2-WEEKDAY($S225),7))+13),1,MIN(1,MAX(0,IF(ISNUMBER(OFFSET($A$1,ROW()-1,9)),OFFSET($A$1,ROW()-1,9),IF(ISNUMBER(OFFSET($A$1,ROW()-1,8)),OFFSET($A$1,ROW()-1,8),0))))))</f>
        <v/>
      </c>
      <c r="AF225" s="62">
        <f>IF($V225&lt;&gt;"Sub","",N($X225)*IF(AND(ISNUMBER($G225),$G225&lt;=IF($S225=MesCiclo,InicioCiclo,$S225+MOD(2-WEEKDAY($S225),7))+20),1,MIN(1,MAX(0,IF(ISNUMBER(OFFSET($A$1,ROW()-1,10)),OFFSET($A$1,ROW()-1,10),IF(ISNUMBER(OFFSET($A$1,ROW()-1,9)),OFFSET($A$1,ROW()-1,9),IF(ISNUMBER(OFFSET($A$1,ROW()-1,8)),OFFSET($A$1,ROW()-1,8),0)))))))</f>
        <v/>
      </c>
      <c r="AG225" s="62">
        <f>IF($V225&lt;&gt;"Sub","",N($X225)*IF(AND(ISNUMBER($G225),$G225&lt;=IF($S225=MesCiclo,InicioCiclo,$S225+MOD(2-WEEKDAY($S225),7))+27),1,MIN(1,MAX(0,IF(ISNUMBER(OFFSET($A$1,ROW()-1,11)),OFFSET($A$1,ROW()-1,11),IF(ISNUMBER(OFFSET($A$1,ROW()-1,10)),OFFSET($A$1,ROW()-1,10),IF(ISNUMBER(OFFSET($A$1,ROW()-1,9)),OFFSET($A$1,ROW()-1,9),IF(ISNUMBER(OFFSET($A$1,ROW()-1,8)),OFFSET($A$1,ROW()-1,8),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",IFERROR(MATCH("Riesgo Operacional|"&amp;MID($C225,12,500),rDname_ADM,0),0),"")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IF(N($W226)=0,"",IF(AND($S226=MesCiclo,1&gt;SemanaActual),"",MIN(1,SUMIFS(OFFSET($A$1,ROW(),29,1000-ROW(),1),OFFSET($A$1,ROW(),20,1000-ROW(),1),ROW(),OFFSET($A$1,ROW(),21,1000-ROW(),1),"Sub"))))</f>
        <v/>
      </c>
      <c r="J226" s="60">
        <f>IF(N($W226)=0,"",IF(AND($S226=MesCiclo,2&gt;SemanaActual),"",MIN(1,SUMIFS(OFFSET($A$1,ROW(),30,1000-ROW(),1),OFFSET($A$1,ROW(),20,1000-ROW(),1),ROW(),OFFSET($A$1,ROW(),21,1000-ROW(),1),"Sub"))))</f>
        <v/>
      </c>
      <c r="K226" s="60">
        <f>IF(N($W226)=0,"",IF(AND($S226=MesCiclo,3&gt;SemanaActual),"",MIN(1,SUMIFS(OFFSET($A$1,ROW(),31,1000-ROW(),1),OFFSET($A$1,ROW(),20,1000-ROW(),1),ROW(),OFFSET($A$1,ROW(),21,1000-ROW(),1),"Sub"))))</f>
        <v/>
      </c>
      <c r="L226" s="60">
        <f>IF(N($W226)=0,"",IF(AND($S226=MesCiclo,4&gt;SemanaActual),"",MIN(1,SUMIFS(OFFSET($A$1,ROW(),32,1000-ROW(),1),OFFSET($A$1,ROW(),20,1000-ROW(),1),ROW(),OFFSET($A$1,ROW(),21,1000-ROW(),1),"Sub"))))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IF($V226&lt;&gt;"Sub","",N($X226)*IF(AND(ISNUMBER($G226),$G226&lt;=IF($S226=MesCiclo,InicioCiclo,$S226+MOD(2-WEEKDAY($S226),7))+6),1,MIN(1,MAX(0,IF(ISNUMBER(OFFSET($A$1,ROW()-1,8)),OFFSET($A$1,ROW()-1,8),0)))))</f>
        <v/>
      </c>
      <c r="AE226" s="62">
        <f>IF($V226&lt;&gt;"Sub","",N($X226)*IF(AND(ISNUMBER($G226),$G226&lt;=IF($S226=MesCiclo,InicioCiclo,$S226+MOD(2-WEEKDAY($S226),7))+13),1,MIN(1,MAX(0,IF(ISNUMBER(OFFSET($A$1,ROW()-1,9)),OFFSET($A$1,ROW()-1,9),IF(ISNUMBER(OFFSET($A$1,ROW()-1,8)),OFFSET($A$1,ROW()-1,8),0))))))</f>
        <v/>
      </c>
      <c r="AF226" s="62">
        <f>IF($V226&lt;&gt;"Sub","",N($X226)*IF(AND(ISNUMBER($G226),$G226&lt;=IF($S226=MesCiclo,InicioCiclo,$S226+MOD(2-WEEKDAY($S226),7))+20),1,MIN(1,MAX(0,IF(ISNUMBER(OFFSET($A$1,ROW()-1,10)),OFFSET($A$1,ROW()-1,10),IF(ISNUMBER(OFFSET($A$1,ROW()-1,9)),OFFSET($A$1,ROW()-1,9),IF(ISNUMBER(OFFSET($A$1,ROW()-1,8)),OFFSET($A$1,ROW()-1,8),0)))))))</f>
        <v/>
      </c>
      <c r="AG226" s="62">
        <f>IF($V226&lt;&gt;"Sub","",N($X226)*IF(AND(ISNUMBER($G226),$G226&lt;=IF($S226=MesCiclo,InicioCiclo,$S226+MOD(2-WEEKDAY($S226),7))+27),1,MIN(1,MAX(0,IF(ISNUMBER(OFFSET($A$1,ROW()-1,11)),OFFSET($A$1,ROW()-1,11),IF(ISNUMBER(OFFSET($A$1,ROW()-1,10)),OFFSET($A$1,ROW()-1,10),IF(ISNUMBER(OFFSET($A$1,ROW()-1,9)),OFFSET($A$1,ROW()-1,9),IF(ISNUMBER(OFFSET($A$1,ROW()-1,8)),OFFSET($A$1,ROW()-1,8),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",IFERROR(MATCH("Riesgo Operacional|"&amp;MID($C226,12,500),rDname_ADM,0),0),"")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IF(N($W227)=0,"",IF(AND($S227=MesCiclo,1&gt;SemanaActual),"",MIN(1,SUMIFS(OFFSET($A$1,ROW(),29,1000-ROW(),1),OFFSET($A$1,ROW(),20,1000-ROW(),1),ROW(),OFFSET($A$1,ROW(),21,1000-ROW(),1),"Sub"))))</f>
        <v/>
      </c>
      <c r="J227" s="60">
        <f>IF(N($W227)=0,"",IF(AND($S227=MesCiclo,2&gt;SemanaActual),"",MIN(1,SUMIFS(OFFSET($A$1,ROW(),30,1000-ROW(),1),OFFSET($A$1,ROW(),20,1000-ROW(),1),ROW(),OFFSET($A$1,ROW(),21,1000-ROW(),1),"Sub"))))</f>
        <v/>
      </c>
      <c r="K227" s="60">
        <f>IF(N($W227)=0,"",IF(AND($S227=MesCiclo,3&gt;SemanaActual),"",MIN(1,SUMIFS(OFFSET($A$1,ROW(),31,1000-ROW(),1),OFFSET($A$1,ROW(),20,1000-ROW(),1),ROW(),OFFSET($A$1,ROW(),21,1000-ROW(),1),"Sub"))))</f>
        <v/>
      </c>
      <c r="L227" s="60">
        <f>IF(N($W227)=0,"",IF(AND($S227=MesCiclo,4&gt;SemanaActual),"",MIN(1,SUMIFS(OFFSET($A$1,ROW(),32,1000-ROW(),1),OFFSET($A$1,ROW(),20,1000-ROW(),1),ROW(),OFFSET($A$1,ROW(),21,1000-ROW(),1),"Sub"))))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IF($V227&lt;&gt;"Sub","",N($X227)*IF(AND(ISNUMBER($G227),$G227&lt;=IF($S227=MesCiclo,InicioCiclo,$S227+MOD(2-WEEKDAY($S227),7))+6),1,MIN(1,MAX(0,IF(ISNUMBER(OFFSET($A$1,ROW()-1,8)),OFFSET($A$1,ROW()-1,8),0)))))</f>
        <v/>
      </c>
      <c r="AE227" s="62">
        <f>IF($V227&lt;&gt;"Sub","",N($X227)*IF(AND(ISNUMBER($G227),$G227&lt;=IF($S227=MesCiclo,InicioCiclo,$S227+MOD(2-WEEKDAY($S227),7))+13),1,MIN(1,MAX(0,IF(ISNUMBER(OFFSET($A$1,ROW()-1,9)),OFFSET($A$1,ROW()-1,9),IF(ISNUMBER(OFFSET($A$1,ROW()-1,8)),OFFSET($A$1,ROW()-1,8),0))))))</f>
        <v/>
      </c>
      <c r="AF227" s="62">
        <f>IF($V227&lt;&gt;"Sub","",N($X227)*IF(AND(ISNUMBER($G227),$G227&lt;=IF($S227=MesCiclo,InicioCiclo,$S227+MOD(2-WEEKDAY($S227),7))+20),1,MIN(1,MAX(0,IF(ISNUMBER(OFFSET($A$1,ROW()-1,10)),OFFSET($A$1,ROW()-1,10),IF(ISNUMBER(OFFSET($A$1,ROW()-1,9)),OFFSET($A$1,ROW()-1,9),IF(ISNUMBER(OFFSET($A$1,ROW()-1,8)),OFFSET($A$1,ROW()-1,8),0)))))))</f>
        <v/>
      </c>
      <c r="AG227" s="62">
        <f>IF($V227&lt;&gt;"Sub","",N($X227)*IF(AND(ISNUMBER($G227),$G227&lt;=IF($S227=MesCiclo,InicioCiclo,$S227+MOD(2-WEEKDAY($S227),7))+27),1,MIN(1,MAX(0,IF(ISNUMBER(OFFSET($A$1,ROW()-1,11)),OFFSET($A$1,ROW()-1,11),IF(ISNUMBER(OFFSET($A$1,ROW()-1,10)),OFFSET($A$1,ROW()-1,10),IF(ISNUMBER(OFFSET($A$1,ROW()-1,9)),OFFSET($A$1,ROW()-1,9),IF(ISNUMBER(OFFSET($A$1,ROW()-1,8)),OFFSET($A$1,ROW()-1,8),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",IFERROR(MATCH("Riesgo Operacional|"&amp;MID($C227,12,500),rDname_ADM,0),0),"")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IF(N($W228)=0,"",IF(AND($S228=MesCiclo,1&gt;SemanaActual),"",MIN(1,SUMIFS(OFFSET($A$1,ROW(),29,1000-ROW(),1),OFFSET($A$1,ROW(),20,1000-ROW(),1),ROW(),OFFSET($A$1,ROW(),21,1000-ROW(),1),"Sub"))))</f>
        <v/>
      </c>
      <c r="J228" s="60">
        <f>IF(N($W228)=0,"",IF(AND($S228=MesCiclo,2&gt;SemanaActual),"",MIN(1,SUMIFS(OFFSET($A$1,ROW(),30,1000-ROW(),1),OFFSET($A$1,ROW(),20,1000-ROW(),1),ROW(),OFFSET($A$1,ROW(),21,1000-ROW(),1),"Sub"))))</f>
        <v/>
      </c>
      <c r="K228" s="60">
        <f>IF(N($W228)=0,"",IF(AND($S228=MesCiclo,3&gt;SemanaActual),"",MIN(1,SUMIFS(OFFSET($A$1,ROW(),31,1000-ROW(),1),OFFSET($A$1,ROW(),20,1000-ROW(),1),ROW(),OFFSET($A$1,ROW(),21,1000-ROW(),1),"Sub"))))</f>
        <v/>
      </c>
      <c r="L228" s="60">
        <f>IF(N($W228)=0,"",IF(AND($S228=MesCiclo,4&gt;SemanaActual),"",MIN(1,SUMIFS(OFFSET($A$1,ROW(),32,1000-ROW(),1),OFFSET($A$1,ROW(),20,1000-ROW(),1),ROW(),OFFSET($A$1,ROW(),21,1000-ROW(),1),"Sub"))))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IF($V228&lt;&gt;"Sub","",N($X228)*IF(AND(ISNUMBER($G228),$G228&lt;=IF($S228=MesCiclo,InicioCiclo,$S228+MOD(2-WEEKDAY($S228),7))+6),1,MIN(1,MAX(0,IF(ISNUMBER(OFFSET($A$1,ROW()-1,8)),OFFSET($A$1,ROW()-1,8),0)))))</f>
        <v/>
      </c>
      <c r="AE228" s="62">
        <f>IF($V228&lt;&gt;"Sub","",N($X228)*IF(AND(ISNUMBER($G228),$G228&lt;=IF($S228=MesCiclo,InicioCiclo,$S228+MOD(2-WEEKDAY($S228),7))+13),1,MIN(1,MAX(0,IF(ISNUMBER(OFFSET($A$1,ROW()-1,9)),OFFSET($A$1,ROW()-1,9),IF(ISNUMBER(OFFSET($A$1,ROW()-1,8)),OFFSET($A$1,ROW()-1,8),0))))))</f>
        <v/>
      </c>
      <c r="AF228" s="62">
        <f>IF($V228&lt;&gt;"Sub","",N($X228)*IF(AND(ISNUMBER($G228),$G228&lt;=IF($S228=MesCiclo,InicioCiclo,$S228+MOD(2-WEEKDAY($S228),7))+20),1,MIN(1,MAX(0,IF(ISNUMBER(OFFSET($A$1,ROW()-1,10)),OFFSET($A$1,ROW()-1,10),IF(ISNUMBER(OFFSET($A$1,ROW()-1,9)),OFFSET($A$1,ROW()-1,9),IF(ISNUMBER(OFFSET($A$1,ROW()-1,8)),OFFSET($A$1,ROW()-1,8),0)))))))</f>
        <v/>
      </c>
      <c r="AG228" s="62">
        <f>IF($V228&lt;&gt;"Sub","",N($X228)*IF(AND(ISNUMBER($G228),$G228&lt;=IF($S228=MesCiclo,InicioCiclo,$S228+MOD(2-WEEKDAY($S228),7))+27),1,MIN(1,MAX(0,IF(ISNUMBER(OFFSET($A$1,ROW()-1,11)),OFFSET($A$1,ROW()-1,11),IF(ISNUMBER(OFFSET($A$1,ROW()-1,10)),OFFSET($A$1,ROW()-1,10),IF(ISNUMBER(OFFSET($A$1,ROW()-1,9)),OFFSET($A$1,ROW()-1,9),IF(ISNUMBER(OFFSET($A$1,ROW()-1,8)),OFFSET($A$1,ROW()-1,8),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",IFERROR(MATCH("Riesgo Operacional|"&amp;MID($C228,12,500),rDname_ADM,0),0),"")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IF(N($W229)=0,"",IF(AND($S229=MesCiclo,1&gt;SemanaActual),"",MIN(1,SUMIFS(OFFSET($A$1,ROW(),29,1000-ROW(),1),OFFSET($A$1,ROW(),20,1000-ROW(),1),ROW(),OFFSET($A$1,ROW(),21,1000-ROW(),1),"Sub"))))</f>
        <v/>
      </c>
      <c r="J229" s="60">
        <f>IF(N($W229)=0,"",IF(AND($S229=MesCiclo,2&gt;SemanaActual),"",MIN(1,SUMIFS(OFFSET($A$1,ROW(),30,1000-ROW(),1),OFFSET($A$1,ROW(),20,1000-ROW(),1),ROW(),OFFSET($A$1,ROW(),21,1000-ROW(),1),"Sub"))))</f>
        <v/>
      </c>
      <c r="K229" s="60">
        <f>IF(N($W229)=0,"",IF(AND($S229=MesCiclo,3&gt;SemanaActual),"",MIN(1,SUMIFS(OFFSET($A$1,ROW(),31,1000-ROW(),1),OFFSET($A$1,ROW(),20,1000-ROW(),1),ROW(),OFFSET($A$1,ROW(),21,1000-ROW(),1),"Sub"))))</f>
        <v/>
      </c>
      <c r="L229" s="60">
        <f>IF(N($W229)=0,"",IF(AND($S229=MesCiclo,4&gt;SemanaActual),"",MIN(1,SUMIFS(OFFSET($A$1,ROW(),32,1000-ROW(),1),OFFSET($A$1,ROW(),20,1000-ROW(),1),ROW(),OFFSET($A$1,ROW(),21,1000-ROW(),1),"Sub"))))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IF($V229&lt;&gt;"Sub","",N($X229)*IF(AND(ISNUMBER($G229),$G229&lt;=IF($S229=MesCiclo,InicioCiclo,$S229+MOD(2-WEEKDAY($S229),7))+6),1,MIN(1,MAX(0,IF(ISNUMBER(OFFSET($A$1,ROW()-1,8)),OFFSET($A$1,ROW()-1,8),0)))))</f>
        <v/>
      </c>
      <c r="AE229" s="62">
        <f>IF($V229&lt;&gt;"Sub","",N($X229)*IF(AND(ISNUMBER($G229),$G229&lt;=IF($S229=MesCiclo,InicioCiclo,$S229+MOD(2-WEEKDAY($S229),7))+13),1,MIN(1,MAX(0,IF(ISNUMBER(OFFSET($A$1,ROW()-1,9)),OFFSET($A$1,ROW()-1,9),IF(ISNUMBER(OFFSET($A$1,ROW()-1,8)),OFFSET($A$1,ROW()-1,8),0))))))</f>
        <v/>
      </c>
      <c r="AF229" s="62">
        <f>IF($V229&lt;&gt;"Sub","",N($X229)*IF(AND(ISNUMBER($G229),$G229&lt;=IF($S229=MesCiclo,InicioCiclo,$S229+MOD(2-WEEKDAY($S229),7))+20),1,MIN(1,MAX(0,IF(ISNUMBER(OFFSET($A$1,ROW()-1,10)),OFFSET($A$1,ROW()-1,10),IF(ISNUMBER(OFFSET($A$1,ROW()-1,9)),OFFSET($A$1,ROW()-1,9),IF(ISNUMBER(OFFSET($A$1,ROW()-1,8)),OFFSET($A$1,ROW()-1,8),0)))))))</f>
        <v/>
      </c>
      <c r="AG229" s="62">
        <f>IF($V229&lt;&gt;"Sub","",N($X229)*IF(AND(ISNUMBER($G229),$G229&lt;=IF($S229=MesCiclo,InicioCiclo,$S229+MOD(2-WEEKDAY($S229),7))+27),1,MIN(1,MAX(0,IF(ISNUMBER(OFFSET($A$1,ROW()-1,11)),OFFSET($A$1,ROW()-1,11),IF(ISNUMBER(OFFSET($A$1,ROW()-1,10)),OFFSET($A$1,ROW()-1,10),IF(ISNUMBER(OFFSET($A$1,ROW()-1,9)),OFFSET($A$1,ROW()-1,9),IF(ISNUMBER(OFFSET($A$1,ROW()-1,8)),OFFSET($A$1,ROW()-1,8),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",IFERROR(MATCH("Riesgo Operacional|"&amp;MID($C229,12,500),rDname_ADM,0),0),"")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IF(N($W230)=0,"",IF(AND($S230=MesCiclo,1&gt;SemanaActual),"",MIN(1,SUMIFS(OFFSET($A$1,ROW(),29,1000-ROW(),1),OFFSET($A$1,ROW(),20,1000-ROW(),1),ROW(),OFFSET($A$1,ROW(),21,1000-ROW(),1),"Sub"))))</f>
        <v/>
      </c>
      <c r="J230" s="60">
        <f>IF(N($W230)=0,"",IF(AND($S230=MesCiclo,2&gt;SemanaActual),"",MIN(1,SUMIFS(OFFSET($A$1,ROW(),30,1000-ROW(),1),OFFSET($A$1,ROW(),20,1000-ROW(),1),ROW(),OFFSET($A$1,ROW(),21,1000-ROW(),1),"Sub"))))</f>
        <v/>
      </c>
      <c r="K230" s="60">
        <f>IF(N($W230)=0,"",IF(AND($S230=MesCiclo,3&gt;SemanaActual),"",MIN(1,SUMIFS(OFFSET($A$1,ROW(),31,1000-ROW(),1),OFFSET($A$1,ROW(),20,1000-ROW(),1),ROW(),OFFSET($A$1,ROW(),21,1000-ROW(),1),"Sub"))))</f>
        <v/>
      </c>
      <c r="L230" s="60">
        <f>IF(N($W230)=0,"",IF(AND($S230=MesCiclo,4&gt;SemanaActual),"",MIN(1,SUMIFS(OFFSET($A$1,ROW(),32,1000-ROW(),1),OFFSET($A$1,ROW(),20,1000-ROW(),1),ROW(),OFFSET($A$1,ROW(),21,1000-ROW(),1),"Sub"))))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IF($V230&lt;&gt;"Sub","",N($X230)*IF(AND(ISNUMBER($G230),$G230&lt;=IF($S230=MesCiclo,InicioCiclo,$S230+MOD(2-WEEKDAY($S230),7))+6),1,MIN(1,MAX(0,IF(ISNUMBER(OFFSET($A$1,ROW()-1,8)),OFFSET($A$1,ROW()-1,8),0)))))</f>
        <v/>
      </c>
      <c r="AE230" s="62">
        <f>IF($V230&lt;&gt;"Sub","",N($X230)*IF(AND(ISNUMBER($G230),$G230&lt;=IF($S230=MesCiclo,InicioCiclo,$S230+MOD(2-WEEKDAY($S230),7))+13),1,MIN(1,MAX(0,IF(ISNUMBER(OFFSET($A$1,ROW()-1,9)),OFFSET($A$1,ROW()-1,9),IF(ISNUMBER(OFFSET($A$1,ROW()-1,8)),OFFSET($A$1,ROW()-1,8),0))))))</f>
        <v/>
      </c>
      <c r="AF230" s="62">
        <f>IF($V230&lt;&gt;"Sub","",N($X230)*IF(AND(ISNUMBER($G230),$G230&lt;=IF($S230=MesCiclo,InicioCiclo,$S230+MOD(2-WEEKDAY($S230),7))+20),1,MIN(1,MAX(0,IF(ISNUMBER(OFFSET($A$1,ROW()-1,10)),OFFSET($A$1,ROW()-1,10),IF(ISNUMBER(OFFSET($A$1,ROW()-1,9)),OFFSET($A$1,ROW()-1,9),IF(ISNUMBER(OFFSET($A$1,ROW()-1,8)),OFFSET($A$1,ROW()-1,8),0)))))))</f>
        <v/>
      </c>
      <c r="AG230" s="62">
        <f>IF($V230&lt;&gt;"Sub","",N($X230)*IF(AND(ISNUMBER($G230),$G230&lt;=IF($S230=MesCiclo,InicioCiclo,$S230+MOD(2-WEEKDAY($S230),7))+27),1,MIN(1,MAX(0,IF(ISNUMBER(OFFSET($A$1,ROW()-1,11)),OFFSET($A$1,ROW()-1,11),IF(ISNUMBER(OFFSET($A$1,ROW()-1,10)),OFFSET($A$1,ROW()-1,10),IF(ISNUMBER(OFFSET($A$1,ROW()-1,9)),OFFSET($A$1,ROW()-1,9),IF(ISNUMBER(OFFSET($A$1,ROW()-1,8)),OFFSET($A$1,ROW()-1,8),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",IFERROR(MATCH("Riesgo Operacional|"&amp;MID($C230,12,500),rDname_ADM,0),0),"")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IF(N($W231)=0,"",IF(AND($S231=MesCiclo,1&gt;SemanaActual),"",MIN(1,SUMIFS(OFFSET($A$1,ROW(),29,1000-ROW(),1),OFFSET($A$1,ROW(),20,1000-ROW(),1),ROW(),OFFSET($A$1,ROW(),21,1000-ROW(),1),"Sub"))))</f>
        <v/>
      </c>
      <c r="J231" s="60">
        <f>IF(N($W231)=0,"",IF(AND($S231=MesCiclo,2&gt;SemanaActual),"",MIN(1,SUMIFS(OFFSET($A$1,ROW(),30,1000-ROW(),1),OFFSET($A$1,ROW(),20,1000-ROW(),1),ROW(),OFFSET($A$1,ROW(),21,1000-ROW(),1),"Sub"))))</f>
        <v/>
      </c>
      <c r="K231" s="60">
        <f>IF(N($W231)=0,"",IF(AND($S231=MesCiclo,3&gt;SemanaActual),"",MIN(1,SUMIFS(OFFSET($A$1,ROW(),31,1000-ROW(),1),OFFSET($A$1,ROW(),20,1000-ROW(),1),ROW(),OFFSET($A$1,ROW(),21,1000-ROW(),1),"Sub"))))</f>
        <v/>
      </c>
      <c r="L231" s="60">
        <f>IF(N($W231)=0,"",IF(AND($S231=MesCiclo,4&gt;SemanaActual),"",MIN(1,SUMIFS(OFFSET($A$1,ROW(),32,1000-ROW(),1),OFFSET($A$1,ROW(),20,1000-ROW(),1),ROW(),OFFSET($A$1,ROW(),21,1000-ROW(),1),"Sub"))))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IF($V231&lt;&gt;"Sub","",N($X231)*IF(AND(ISNUMBER($G231),$G231&lt;=IF($S231=MesCiclo,InicioCiclo,$S231+MOD(2-WEEKDAY($S231),7))+6),1,MIN(1,MAX(0,IF(ISNUMBER(OFFSET($A$1,ROW()-1,8)),OFFSET($A$1,ROW()-1,8),0)))))</f>
        <v/>
      </c>
      <c r="AE231" s="62">
        <f>IF($V231&lt;&gt;"Sub","",N($X231)*IF(AND(ISNUMBER($G231),$G231&lt;=IF($S231=MesCiclo,InicioCiclo,$S231+MOD(2-WEEKDAY($S231),7))+13),1,MIN(1,MAX(0,IF(ISNUMBER(OFFSET($A$1,ROW()-1,9)),OFFSET($A$1,ROW()-1,9),IF(ISNUMBER(OFFSET($A$1,ROW()-1,8)),OFFSET($A$1,ROW()-1,8),0))))))</f>
        <v/>
      </c>
      <c r="AF231" s="62">
        <f>IF($V231&lt;&gt;"Sub","",N($X231)*IF(AND(ISNUMBER($G231),$G231&lt;=IF($S231=MesCiclo,InicioCiclo,$S231+MOD(2-WEEKDAY($S231),7))+20),1,MIN(1,MAX(0,IF(ISNUMBER(OFFSET($A$1,ROW()-1,10)),OFFSET($A$1,ROW()-1,10),IF(ISNUMBER(OFFSET($A$1,ROW()-1,9)),OFFSET($A$1,ROW()-1,9),IF(ISNUMBER(OFFSET($A$1,ROW()-1,8)),OFFSET($A$1,ROW()-1,8),0)))))))</f>
        <v/>
      </c>
      <c r="AG231" s="62">
        <f>IF($V231&lt;&gt;"Sub","",N($X231)*IF(AND(ISNUMBER($G231),$G231&lt;=IF($S231=MesCiclo,InicioCiclo,$S231+MOD(2-WEEKDAY($S231),7))+27),1,MIN(1,MAX(0,IF(ISNUMBER(OFFSET($A$1,ROW()-1,11)),OFFSET($A$1,ROW()-1,11),IF(ISNUMBER(OFFSET($A$1,ROW()-1,10)),OFFSET($A$1,ROW()-1,10),IF(ISNUMBER(OFFSET($A$1,ROW()-1,9)),OFFSET($A$1,ROW()-1,9),IF(ISNUMBER(OFFSET($A$1,ROW()-1,8)),OFFSET($A$1,ROW()-1,8),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",IFERROR(MATCH("Riesgo Operacional|"&amp;MID($C231,12,500),rDname_ADM,0),0),"")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IF(N($W232)=0,"",IF(AND($S232=MesCiclo,1&gt;SemanaActual),"",MIN(1,SUMIFS(OFFSET($A$1,ROW(),29,1000-ROW(),1),OFFSET($A$1,ROW(),20,1000-ROW(),1),ROW(),OFFSET($A$1,ROW(),21,1000-ROW(),1),"Sub"))))</f>
        <v/>
      </c>
      <c r="J232" s="60">
        <f>IF(N($W232)=0,"",IF(AND($S232=MesCiclo,2&gt;SemanaActual),"",MIN(1,SUMIFS(OFFSET($A$1,ROW(),30,1000-ROW(),1),OFFSET($A$1,ROW(),20,1000-ROW(),1),ROW(),OFFSET($A$1,ROW(),21,1000-ROW(),1),"Sub"))))</f>
        <v/>
      </c>
      <c r="K232" s="60">
        <f>IF(N($W232)=0,"",IF(AND($S232=MesCiclo,3&gt;SemanaActual),"",MIN(1,SUMIFS(OFFSET($A$1,ROW(),31,1000-ROW(),1),OFFSET($A$1,ROW(),20,1000-ROW(),1),ROW(),OFFSET($A$1,ROW(),21,1000-ROW(),1),"Sub"))))</f>
        <v/>
      </c>
      <c r="L232" s="60">
        <f>IF(N($W232)=0,"",IF(AND($S232=MesCiclo,4&gt;SemanaActual),"",MIN(1,SUMIFS(OFFSET($A$1,ROW(),32,1000-ROW(),1),OFFSET($A$1,ROW(),20,1000-ROW(),1),ROW(),OFFSET($A$1,ROW(),21,1000-ROW(),1),"Sub"))))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IF($V232&lt;&gt;"Sub","",N($X232)*IF(AND(ISNUMBER($G232),$G232&lt;=IF($S232=MesCiclo,InicioCiclo,$S232+MOD(2-WEEKDAY($S232),7))+6),1,MIN(1,MAX(0,IF(ISNUMBER(OFFSET($A$1,ROW()-1,8)),OFFSET($A$1,ROW()-1,8),0)))))</f>
        <v/>
      </c>
      <c r="AE232" s="62">
        <f>IF($V232&lt;&gt;"Sub","",N($X232)*IF(AND(ISNUMBER($G232),$G232&lt;=IF($S232=MesCiclo,InicioCiclo,$S232+MOD(2-WEEKDAY($S232),7))+13),1,MIN(1,MAX(0,IF(ISNUMBER(OFFSET($A$1,ROW()-1,9)),OFFSET($A$1,ROW()-1,9),IF(ISNUMBER(OFFSET($A$1,ROW()-1,8)),OFFSET($A$1,ROW()-1,8),0))))))</f>
        <v/>
      </c>
      <c r="AF232" s="62">
        <f>IF($V232&lt;&gt;"Sub","",N($X232)*IF(AND(ISNUMBER($G232),$G232&lt;=IF($S232=MesCiclo,InicioCiclo,$S232+MOD(2-WEEKDAY($S232),7))+20),1,MIN(1,MAX(0,IF(ISNUMBER(OFFSET($A$1,ROW()-1,10)),OFFSET($A$1,ROW()-1,10),IF(ISNUMBER(OFFSET($A$1,ROW()-1,9)),OFFSET($A$1,ROW()-1,9),IF(ISNUMBER(OFFSET($A$1,ROW()-1,8)),OFFSET($A$1,ROW()-1,8),0)))))))</f>
        <v/>
      </c>
      <c r="AG232" s="62">
        <f>IF($V232&lt;&gt;"Sub","",N($X232)*IF(AND(ISNUMBER($G232),$G232&lt;=IF($S232=MesCiclo,InicioCiclo,$S232+MOD(2-WEEKDAY($S232),7))+27),1,MIN(1,MAX(0,IF(ISNUMBER(OFFSET($A$1,ROW()-1,11)),OFFSET($A$1,ROW()-1,11),IF(ISNUMBER(OFFSET($A$1,ROW()-1,10)),OFFSET($A$1,ROW()-1,10),IF(ISNUMBER(OFFSET($A$1,ROW()-1,9)),OFFSET($A$1,ROW()-1,9),IF(ISNUMBER(OFFSET($A$1,ROW()-1,8)),OFFSET($A$1,ROW()-1,8),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",IFERROR(MATCH("Riesgo Operacional|"&amp;MID($C232,12,500),rDname_ADM,0),0),"")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IF(N($W233)=0,"",IF(AND($S233=MesCiclo,1&gt;SemanaActual),"",MIN(1,SUMIFS(OFFSET($A$1,ROW(),29,1000-ROW(),1),OFFSET($A$1,ROW(),20,1000-ROW(),1),ROW(),OFFSET($A$1,ROW(),21,1000-ROW(),1),"Sub"))))</f>
        <v/>
      </c>
      <c r="J233" s="60">
        <f>IF(N($W233)=0,"",IF(AND($S233=MesCiclo,2&gt;SemanaActual),"",MIN(1,SUMIFS(OFFSET($A$1,ROW(),30,1000-ROW(),1),OFFSET($A$1,ROW(),20,1000-ROW(),1),ROW(),OFFSET($A$1,ROW(),21,1000-ROW(),1),"Sub"))))</f>
        <v/>
      </c>
      <c r="K233" s="60">
        <f>IF(N($W233)=0,"",IF(AND($S233=MesCiclo,3&gt;SemanaActual),"",MIN(1,SUMIFS(OFFSET($A$1,ROW(),31,1000-ROW(),1),OFFSET($A$1,ROW(),20,1000-ROW(),1),ROW(),OFFSET($A$1,ROW(),21,1000-ROW(),1),"Sub"))))</f>
        <v/>
      </c>
      <c r="L233" s="60">
        <f>IF(N($W233)=0,"",IF(AND($S233=MesCiclo,4&gt;SemanaActual),"",MIN(1,SUMIFS(OFFSET($A$1,ROW(),32,1000-ROW(),1),OFFSET($A$1,ROW(),20,1000-ROW(),1),ROW(),OFFSET($A$1,ROW(),21,1000-ROW(),1),"Sub"))))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IF($V233&lt;&gt;"Sub","",N($X233)*IF(AND(ISNUMBER($G233),$G233&lt;=IF($S233=MesCiclo,InicioCiclo,$S233+MOD(2-WEEKDAY($S233),7))+6),1,MIN(1,MAX(0,IF(ISNUMBER(OFFSET($A$1,ROW()-1,8)),OFFSET($A$1,ROW()-1,8),0)))))</f>
        <v/>
      </c>
      <c r="AE233" s="62">
        <f>IF($V233&lt;&gt;"Sub","",N($X233)*IF(AND(ISNUMBER($G233),$G233&lt;=IF($S233=MesCiclo,InicioCiclo,$S233+MOD(2-WEEKDAY($S233),7))+13),1,MIN(1,MAX(0,IF(ISNUMBER(OFFSET($A$1,ROW()-1,9)),OFFSET($A$1,ROW()-1,9),IF(ISNUMBER(OFFSET($A$1,ROW()-1,8)),OFFSET($A$1,ROW()-1,8),0))))))</f>
        <v/>
      </c>
      <c r="AF233" s="62">
        <f>IF($V233&lt;&gt;"Sub","",N($X233)*IF(AND(ISNUMBER($G233),$G233&lt;=IF($S233=MesCiclo,InicioCiclo,$S233+MOD(2-WEEKDAY($S233),7))+20),1,MIN(1,MAX(0,IF(ISNUMBER(OFFSET($A$1,ROW()-1,10)),OFFSET($A$1,ROW()-1,10),IF(ISNUMBER(OFFSET($A$1,ROW()-1,9)),OFFSET($A$1,ROW()-1,9),IF(ISNUMBER(OFFSET($A$1,ROW()-1,8)),OFFSET($A$1,ROW()-1,8),0)))))))</f>
        <v/>
      </c>
      <c r="AG233" s="62">
        <f>IF($V233&lt;&gt;"Sub","",N($X233)*IF(AND(ISNUMBER($G233),$G233&lt;=IF($S233=MesCiclo,InicioCiclo,$S233+MOD(2-WEEKDAY($S233),7))+27),1,MIN(1,MAX(0,IF(ISNUMBER(OFFSET($A$1,ROW()-1,11)),OFFSET($A$1,ROW()-1,11),IF(ISNUMBER(OFFSET($A$1,ROW()-1,10)),OFFSET($A$1,ROW()-1,10),IF(ISNUMBER(OFFSET($A$1,ROW()-1,9)),OFFSET($A$1,ROW()-1,9),IF(ISNUMBER(OFFSET($A$1,ROW()-1,8)),OFFSET($A$1,ROW()-1,8),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",IFERROR(MATCH("Riesgo Operacional|"&amp;MID($C233,12,500),rDname_ADM,0),0),"")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IF(N($W234)=0,"",IF(AND($S234=MesCiclo,1&gt;SemanaActual),"",MIN(1,SUMIFS(OFFSET($A$1,ROW(),29,1000-ROW(),1),OFFSET($A$1,ROW(),20,1000-ROW(),1),ROW(),OFFSET($A$1,ROW(),21,1000-ROW(),1),"Sub"))))</f>
        <v/>
      </c>
      <c r="J234" s="60">
        <f>IF(N($W234)=0,"",IF(AND($S234=MesCiclo,2&gt;SemanaActual),"",MIN(1,SUMIFS(OFFSET($A$1,ROW(),30,1000-ROW(),1),OFFSET($A$1,ROW(),20,1000-ROW(),1),ROW(),OFFSET($A$1,ROW(),21,1000-ROW(),1),"Sub"))))</f>
        <v/>
      </c>
      <c r="K234" s="60">
        <f>IF(N($W234)=0,"",IF(AND($S234=MesCiclo,3&gt;SemanaActual),"",MIN(1,SUMIFS(OFFSET($A$1,ROW(),31,1000-ROW(),1),OFFSET($A$1,ROW(),20,1000-ROW(),1),ROW(),OFFSET($A$1,ROW(),21,1000-ROW(),1),"Sub"))))</f>
        <v/>
      </c>
      <c r="L234" s="60">
        <f>IF(N($W234)=0,"",IF(AND($S234=MesCiclo,4&gt;SemanaActual),"",MIN(1,SUMIFS(OFFSET($A$1,ROW(),32,1000-ROW(),1),OFFSET($A$1,ROW(),20,1000-ROW(),1),ROW(),OFFSET($A$1,ROW(),21,1000-ROW(),1),"Sub"))))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IF($V234&lt;&gt;"Sub","",N($X234)*IF(AND(ISNUMBER($G234),$G234&lt;=IF($S234=MesCiclo,InicioCiclo,$S234+MOD(2-WEEKDAY($S234),7))+6),1,MIN(1,MAX(0,IF(ISNUMBER(OFFSET($A$1,ROW()-1,8)),OFFSET($A$1,ROW()-1,8),0)))))</f>
        <v/>
      </c>
      <c r="AE234" s="62">
        <f>IF($V234&lt;&gt;"Sub","",N($X234)*IF(AND(ISNUMBER($G234),$G234&lt;=IF($S234=MesCiclo,InicioCiclo,$S234+MOD(2-WEEKDAY($S234),7))+13),1,MIN(1,MAX(0,IF(ISNUMBER(OFFSET($A$1,ROW()-1,9)),OFFSET($A$1,ROW()-1,9),IF(ISNUMBER(OFFSET($A$1,ROW()-1,8)),OFFSET($A$1,ROW()-1,8),0))))))</f>
        <v/>
      </c>
      <c r="AF234" s="62">
        <f>IF($V234&lt;&gt;"Sub","",N($X234)*IF(AND(ISNUMBER($G234),$G234&lt;=IF($S234=MesCiclo,InicioCiclo,$S234+MOD(2-WEEKDAY($S234),7))+20),1,MIN(1,MAX(0,IF(ISNUMBER(OFFSET($A$1,ROW()-1,10)),OFFSET($A$1,ROW()-1,10),IF(ISNUMBER(OFFSET($A$1,ROW()-1,9)),OFFSET($A$1,ROW()-1,9),IF(ISNUMBER(OFFSET($A$1,ROW()-1,8)),OFFSET($A$1,ROW()-1,8),0)))))))</f>
        <v/>
      </c>
      <c r="AG234" s="62">
        <f>IF($V234&lt;&gt;"Sub","",N($X234)*IF(AND(ISNUMBER($G234),$G234&lt;=IF($S234=MesCiclo,InicioCiclo,$S234+MOD(2-WEEKDAY($S234),7))+27),1,MIN(1,MAX(0,IF(ISNUMBER(OFFSET($A$1,ROW()-1,11)),OFFSET($A$1,ROW()-1,11),IF(ISNUMBER(OFFSET($A$1,ROW()-1,10)),OFFSET($A$1,ROW()-1,10),IF(ISNUMBER(OFFSET($A$1,ROW()-1,9)),OFFSET($A$1,ROW()-1,9),IF(ISNUMBER(OFFSET($A$1,ROW()-1,8)),OFFSET($A$1,ROW()-1,8),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",IFERROR(MATCH("Riesgo Operacional|"&amp;MID($C234,12,500),rDname_ADM,0),0),"")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IF(N($W235)=0,"",IF(AND($S235=MesCiclo,1&gt;SemanaActual),"",MIN(1,SUMIFS(OFFSET($A$1,ROW(),29,1000-ROW(),1),OFFSET($A$1,ROW(),20,1000-ROW(),1),ROW(),OFFSET($A$1,ROW(),21,1000-ROW(),1),"Sub"))))</f>
        <v/>
      </c>
      <c r="J235" s="60">
        <f>IF(N($W235)=0,"",IF(AND($S235=MesCiclo,2&gt;SemanaActual),"",MIN(1,SUMIFS(OFFSET($A$1,ROW(),30,1000-ROW(),1),OFFSET($A$1,ROW(),20,1000-ROW(),1),ROW(),OFFSET($A$1,ROW(),21,1000-ROW(),1),"Sub"))))</f>
        <v/>
      </c>
      <c r="K235" s="60">
        <f>IF(N($W235)=0,"",IF(AND($S235=MesCiclo,3&gt;SemanaActual),"",MIN(1,SUMIFS(OFFSET($A$1,ROW(),31,1000-ROW(),1),OFFSET($A$1,ROW(),20,1000-ROW(),1),ROW(),OFFSET($A$1,ROW(),21,1000-ROW(),1),"Sub"))))</f>
        <v/>
      </c>
      <c r="L235" s="60">
        <f>IF(N($W235)=0,"",IF(AND($S235=MesCiclo,4&gt;SemanaActual),"",MIN(1,SUMIFS(OFFSET($A$1,ROW(),32,1000-ROW(),1),OFFSET($A$1,ROW(),20,1000-ROW(),1),ROW(),OFFSET($A$1,ROW(),21,1000-ROW(),1),"Sub"))))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IF($V235&lt;&gt;"Sub","",N($X235)*IF(AND(ISNUMBER($G235),$G235&lt;=IF($S235=MesCiclo,InicioCiclo,$S235+MOD(2-WEEKDAY($S235),7))+6),1,MIN(1,MAX(0,IF(ISNUMBER(OFFSET($A$1,ROW()-1,8)),OFFSET($A$1,ROW()-1,8),0)))))</f>
        <v/>
      </c>
      <c r="AE235" s="62">
        <f>IF($V235&lt;&gt;"Sub","",N($X235)*IF(AND(ISNUMBER($G235),$G235&lt;=IF($S235=MesCiclo,InicioCiclo,$S235+MOD(2-WEEKDAY($S235),7))+13),1,MIN(1,MAX(0,IF(ISNUMBER(OFFSET($A$1,ROW()-1,9)),OFFSET($A$1,ROW()-1,9),IF(ISNUMBER(OFFSET($A$1,ROW()-1,8)),OFFSET($A$1,ROW()-1,8),0))))))</f>
        <v/>
      </c>
      <c r="AF235" s="62">
        <f>IF($V235&lt;&gt;"Sub","",N($X235)*IF(AND(ISNUMBER($G235),$G235&lt;=IF($S235=MesCiclo,InicioCiclo,$S235+MOD(2-WEEKDAY($S235),7))+20),1,MIN(1,MAX(0,IF(ISNUMBER(OFFSET($A$1,ROW()-1,10)),OFFSET($A$1,ROW()-1,10),IF(ISNUMBER(OFFSET($A$1,ROW()-1,9)),OFFSET($A$1,ROW()-1,9),IF(ISNUMBER(OFFSET($A$1,ROW()-1,8)),OFFSET($A$1,ROW()-1,8),0)))))))</f>
        <v/>
      </c>
      <c r="AG235" s="62">
        <f>IF($V235&lt;&gt;"Sub","",N($X235)*IF(AND(ISNUMBER($G235),$G235&lt;=IF($S235=MesCiclo,InicioCiclo,$S235+MOD(2-WEEKDAY($S235),7))+27),1,MIN(1,MAX(0,IF(ISNUMBER(OFFSET($A$1,ROW()-1,11)),OFFSET($A$1,ROW()-1,11),IF(ISNUMBER(OFFSET($A$1,ROW()-1,10)),OFFSET($A$1,ROW()-1,10),IF(ISNUMBER(OFFSET($A$1,ROW()-1,9)),OFFSET($A$1,ROW()-1,9),IF(ISNUMBER(OFFSET($A$1,ROW()-1,8)),OFFSET($A$1,ROW()-1,8),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",IFERROR(MATCH("Riesgo Operacional|"&amp;MID($C235,12,500),rDname_ADM,0),0),"")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IF(N($W236)=0,"",IF(AND($S236=MesCiclo,1&gt;SemanaActual),"",MIN(1,SUMIFS(OFFSET($A$1,ROW(),29,1000-ROW(),1),OFFSET($A$1,ROW(),20,1000-ROW(),1),ROW(),OFFSET($A$1,ROW(),21,1000-ROW(),1),"Sub"))))</f>
        <v/>
      </c>
      <c r="J236" s="60">
        <f>IF(N($W236)=0,"",IF(AND($S236=MesCiclo,2&gt;SemanaActual),"",MIN(1,SUMIFS(OFFSET($A$1,ROW(),30,1000-ROW(),1),OFFSET($A$1,ROW(),20,1000-ROW(),1),ROW(),OFFSET($A$1,ROW(),21,1000-ROW(),1),"Sub"))))</f>
        <v/>
      </c>
      <c r="K236" s="60">
        <f>IF(N($W236)=0,"",IF(AND($S236=MesCiclo,3&gt;SemanaActual),"",MIN(1,SUMIFS(OFFSET($A$1,ROW(),31,1000-ROW(),1),OFFSET($A$1,ROW(),20,1000-ROW(),1),ROW(),OFFSET($A$1,ROW(),21,1000-ROW(),1),"Sub"))))</f>
        <v/>
      </c>
      <c r="L236" s="60">
        <f>IF(N($W236)=0,"",IF(AND($S236=MesCiclo,4&gt;SemanaActual),"",MIN(1,SUMIFS(OFFSET($A$1,ROW(),32,1000-ROW(),1),OFFSET($A$1,ROW(),20,1000-ROW(),1),ROW(),OFFSET($A$1,ROW(),21,1000-ROW(),1),"Sub"))))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IF($V236&lt;&gt;"Sub","",N($X236)*IF(AND(ISNUMBER($G236),$G236&lt;=IF($S236=MesCiclo,InicioCiclo,$S236+MOD(2-WEEKDAY($S236),7))+6),1,MIN(1,MAX(0,IF(ISNUMBER(OFFSET($A$1,ROW()-1,8)),OFFSET($A$1,ROW()-1,8),0)))))</f>
        <v/>
      </c>
      <c r="AE236" s="62">
        <f>IF($V236&lt;&gt;"Sub","",N($X236)*IF(AND(ISNUMBER($G236),$G236&lt;=IF($S236=MesCiclo,InicioCiclo,$S236+MOD(2-WEEKDAY($S236),7))+13),1,MIN(1,MAX(0,IF(ISNUMBER(OFFSET($A$1,ROW()-1,9)),OFFSET($A$1,ROW()-1,9),IF(ISNUMBER(OFFSET($A$1,ROW()-1,8)),OFFSET($A$1,ROW()-1,8),0))))))</f>
        <v/>
      </c>
      <c r="AF236" s="62">
        <f>IF($V236&lt;&gt;"Sub","",N($X236)*IF(AND(ISNUMBER($G236),$G236&lt;=IF($S236=MesCiclo,InicioCiclo,$S236+MOD(2-WEEKDAY($S236),7))+20),1,MIN(1,MAX(0,IF(ISNUMBER(OFFSET($A$1,ROW()-1,10)),OFFSET($A$1,ROW()-1,10),IF(ISNUMBER(OFFSET($A$1,ROW()-1,9)),OFFSET($A$1,ROW()-1,9),IF(ISNUMBER(OFFSET($A$1,ROW()-1,8)),OFFSET($A$1,ROW()-1,8),0)))))))</f>
        <v/>
      </c>
      <c r="AG236" s="62">
        <f>IF($V236&lt;&gt;"Sub","",N($X236)*IF(AND(ISNUMBER($G236),$G236&lt;=IF($S236=MesCiclo,InicioCiclo,$S236+MOD(2-WEEKDAY($S236),7))+27),1,MIN(1,MAX(0,IF(ISNUMBER(OFFSET($A$1,ROW()-1,11)),OFFSET($A$1,ROW()-1,11),IF(ISNUMBER(OFFSET($A$1,ROW()-1,10)),OFFSET($A$1,ROW()-1,10),IF(ISNUMBER(OFFSET($A$1,ROW()-1,9)),OFFSET($A$1,ROW()-1,9),IF(ISNUMBER(OFFSET($A$1,ROW()-1,8)),OFFSET($A$1,ROW()-1,8),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",IFERROR(MATCH("Riesgo Operacional|"&amp;MID($C236,12,500),rDname_ADM,0),0),"")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IF(N($W237)=0,"",IF(AND($S237=MesCiclo,1&gt;SemanaActual),"",MIN(1,SUMIFS(OFFSET($A$1,ROW(),29,1000-ROW(),1),OFFSET($A$1,ROW(),20,1000-ROW(),1),ROW(),OFFSET($A$1,ROW(),21,1000-ROW(),1),"Sub"))))</f>
        <v/>
      </c>
      <c r="J237" s="60">
        <f>IF(N($W237)=0,"",IF(AND($S237=MesCiclo,2&gt;SemanaActual),"",MIN(1,SUMIFS(OFFSET($A$1,ROW(),30,1000-ROW(),1),OFFSET($A$1,ROW(),20,1000-ROW(),1),ROW(),OFFSET($A$1,ROW(),21,1000-ROW(),1),"Sub"))))</f>
        <v/>
      </c>
      <c r="K237" s="60">
        <f>IF(N($W237)=0,"",IF(AND($S237=MesCiclo,3&gt;SemanaActual),"",MIN(1,SUMIFS(OFFSET($A$1,ROW(),31,1000-ROW(),1),OFFSET($A$1,ROW(),20,1000-ROW(),1),ROW(),OFFSET($A$1,ROW(),21,1000-ROW(),1),"Sub"))))</f>
        <v/>
      </c>
      <c r="L237" s="60">
        <f>IF(N($W237)=0,"",IF(AND($S237=MesCiclo,4&gt;SemanaActual),"",MIN(1,SUMIFS(OFFSET($A$1,ROW(),32,1000-ROW(),1),OFFSET($A$1,ROW(),20,1000-ROW(),1),ROW(),OFFSET($A$1,ROW(),21,1000-ROW(),1),"Sub"))))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IF($V237&lt;&gt;"Sub","",N($X237)*IF(AND(ISNUMBER($G237),$G237&lt;=IF($S237=MesCiclo,InicioCiclo,$S237+MOD(2-WEEKDAY($S237),7))+6),1,MIN(1,MAX(0,IF(ISNUMBER(OFFSET($A$1,ROW()-1,8)),OFFSET($A$1,ROW()-1,8),0)))))</f>
        <v/>
      </c>
      <c r="AE237" s="62">
        <f>IF($V237&lt;&gt;"Sub","",N($X237)*IF(AND(ISNUMBER($G237),$G237&lt;=IF($S237=MesCiclo,InicioCiclo,$S237+MOD(2-WEEKDAY($S237),7))+13),1,MIN(1,MAX(0,IF(ISNUMBER(OFFSET($A$1,ROW()-1,9)),OFFSET($A$1,ROW()-1,9),IF(ISNUMBER(OFFSET($A$1,ROW()-1,8)),OFFSET($A$1,ROW()-1,8),0))))))</f>
        <v/>
      </c>
      <c r="AF237" s="62">
        <f>IF($V237&lt;&gt;"Sub","",N($X237)*IF(AND(ISNUMBER($G237),$G237&lt;=IF($S237=MesCiclo,InicioCiclo,$S237+MOD(2-WEEKDAY($S237),7))+20),1,MIN(1,MAX(0,IF(ISNUMBER(OFFSET($A$1,ROW()-1,10)),OFFSET($A$1,ROW()-1,10),IF(ISNUMBER(OFFSET($A$1,ROW()-1,9)),OFFSET($A$1,ROW()-1,9),IF(ISNUMBER(OFFSET($A$1,ROW()-1,8)),OFFSET($A$1,ROW()-1,8),0)))))))</f>
        <v/>
      </c>
      <c r="AG237" s="62">
        <f>IF($V237&lt;&gt;"Sub","",N($X237)*IF(AND(ISNUMBER($G237),$G237&lt;=IF($S237=MesCiclo,InicioCiclo,$S237+MOD(2-WEEKDAY($S237),7))+27),1,MIN(1,MAX(0,IF(ISNUMBER(OFFSET($A$1,ROW()-1,11)),OFFSET($A$1,ROW()-1,11),IF(ISNUMBER(OFFSET($A$1,ROW()-1,10)),OFFSET($A$1,ROW()-1,10),IF(ISNUMBER(OFFSET($A$1,ROW()-1,9)),OFFSET($A$1,ROW()-1,9),IF(ISNUMBER(OFFSET($A$1,ROW()-1,8)),OFFSET($A$1,ROW()-1,8),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",IFERROR(MATCH("Riesgo Operacional|"&amp;MID($C237,12,500),rDname_ADM,0),0),"")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IF(N($W238)=0,"",IF(AND($S238=MesCiclo,1&gt;SemanaActual),"",MIN(1,SUMIFS(OFFSET($A$1,ROW(),29,1000-ROW(),1),OFFSET($A$1,ROW(),20,1000-ROW(),1),ROW(),OFFSET($A$1,ROW(),21,1000-ROW(),1),"Sub"))))</f>
        <v/>
      </c>
      <c r="J238" s="60">
        <f>IF(N($W238)=0,"",IF(AND($S238=MesCiclo,2&gt;SemanaActual),"",MIN(1,SUMIFS(OFFSET($A$1,ROW(),30,1000-ROW(),1),OFFSET($A$1,ROW(),20,1000-ROW(),1),ROW(),OFFSET($A$1,ROW(),21,1000-ROW(),1),"Sub"))))</f>
        <v/>
      </c>
      <c r="K238" s="60">
        <f>IF(N($W238)=0,"",IF(AND($S238=MesCiclo,3&gt;SemanaActual),"",MIN(1,SUMIFS(OFFSET($A$1,ROW(),31,1000-ROW(),1),OFFSET($A$1,ROW(),20,1000-ROW(),1),ROW(),OFFSET($A$1,ROW(),21,1000-ROW(),1),"Sub"))))</f>
        <v/>
      </c>
      <c r="L238" s="60">
        <f>IF(N($W238)=0,"",IF(AND($S238=MesCiclo,4&gt;SemanaActual),"",MIN(1,SUMIFS(OFFSET($A$1,ROW(),32,1000-ROW(),1),OFFSET($A$1,ROW(),20,1000-ROW(),1),ROW(),OFFSET($A$1,ROW(),21,1000-ROW(),1),"Sub"))))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IF($V238&lt;&gt;"Sub","",N($X238)*IF(AND(ISNUMBER($G238),$G238&lt;=IF($S238=MesCiclo,InicioCiclo,$S238+MOD(2-WEEKDAY($S238),7))+6),1,MIN(1,MAX(0,IF(ISNUMBER(OFFSET($A$1,ROW()-1,8)),OFFSET($A$1,ROW()-1,8),0)))))</f>
        <v/>
      </c>
      <c r="AE238" s="62">
        <f>IF($V238&lt;&gt;"Sub","",N($X238)*IF(AND(ISNUMBER($G238),$G238&lt;=IF($S238=MesCiclo,InicioCiclo,$S238+MOD(2-WEEKDAY($S238),7))+13),1,MIN(1,MAX(0,IF(ISNUMBER(OFFSET($A$1,ROW()-1,9)),OFFSET($A$1,ROW()-1,9),IF(ISNUMBER(OFFSET($A$1,ROW()-1,8)),OFFSET($A$1,ROW()-1,8),0))))))</f>
        <v/>
      </c>
      <c r="AF238" s="62">
        <f>IF($V238&lt;&gt;"Sub","",N($X238)*IF(AND(ISNUMBER($G238),$G238&lt;=IF($S238=MesCiclo,InicioCiclo,$S238+MOD(2-WEEKDAY($S238),7))+20),1,MIN(1,MAX(0,IF(ISNUMBER(OFFSET($A$1,ROW()-1,10)),OFFSET($A$1,ROW()-1,10),IF(ISNUMBER(OFFSET($A$1,ROW()-1,9)),OFFSET($A$1,ROW()-1,9),IF(ISNUMBER(OFFSET($A$1,ROW()-1,8)),OFFSET($A$1,ROW()-1,8),0)))))))</f>
        <v/>
      </c>
      <c r="AG238" s="62">
        <f>IF($V238&lt;&gt;"Sub","",N($X238)*IF(AND(ISNUMBER($G238),$G238&lt;=IF($S238=MesCiclo,InicioCiclo,$S238+MOD(2-WEEKDAY($S238),7))+27),1,MIN(1,MAX(0,IF(ISNUMBER(OFFSET($A$1,ROW()-1,11)),OFFSET($A$1,ROW()-1,11),IF(ISNUMBER(OFFSET($A$1,ROW()-1,10)),OFFSET($A$1,ROW()-1,10),IF(ISNUMBER(OFFSET($A$1,ROW()-1,9)),OFFSET($A$1,ROW()-1,9),IF(ISNUMBER(OFFSET($A$1,ROW()-1,8)),OFFSET($A$1,ROW()-1,8),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",IFERROR(MATCH("Riesgo Operacional|"&amp;MID($C238,12,500),rDname_ADM,0),0),"")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IF(N($W239)=0,"",IF(AND($S239=MesCiclo,1&gt;SemanaActual),"",MIN(1,SUMIFS(OFFSET($A$1,ROW(),29,1000-ROW(),1),OFFSET($A$1,ROW(),20,1000-ROW(),1),ROW(),OFFSET($A$1,ROW(),21,1000-ROW(),1),"Sub"))))</f>
        <v/>
      </c>
      <c r="J239" s="60">
        <f>IF(N($W239)=0,"",IF(AND($S239=MesCiclo,2&gt;SemanaActual),"",MIN(1,SUMIFS(OFFSET($A$1,ROW(),30,1000-ROW(),1),OFFSET($A$1,ROW(),20,1000-ROW(),1),ROW(),OFFSET($A$1,ROW(),21,1000-ROW(),1),"Sub"))))</f>
        <v/>
      </c>
      <c r="K239" s="60">
        <f>IF(N($W239)=0,"",IF(AND($S239=MesCiclo,3&gt;SemanaActual),"",MIN(1,SUMIFS(OFFSET($A$1,ROW(),31,1000-ROW(),1),OFFSET($A$1,ROW(),20,1000-ROW(),1),ROW(),OFFSET($A$1,ROW(),21,1000-ROW(),1),"Sub"))))</f>
        <v/>
      </c>
      <c r="L239" s="60">
        <f>IF(N($W239)=0,"",IF(AND($S239=MesCiclo,4&gt;SemanaActual),"",MIN(1,SUMIFS(OFFSET($A$1,ROW(),32,1000-ROW(),1),OFFSET($A$1,ROW(),20,1000-ROW(),1),ROW(),OFFSET($A$1,ROW(),21,1000-ROW(),1),"Sub"))))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IF($V239&lt;&gt;"Sub","",N($X239)*IF(AND(ISNUMBER($G239),$G239&lt;=IF($S239=MesCiclo,InicioCiclo,$S239+MOD(2-WEEKDAY($S239),7))+6),1,MIN(1,MAX(0,IF(ISNUMBER(OFFSET($A$1,ROW()-1,8)),OFFSET($A$1,ROW()-1,8),0)))))</f>
        <v/>
      </c>
      <c r="AE239" s="62">
        <f>IF($V239&lt;&gt;"Sub","",N($X239)*IF(AND(ISNUMBER($G239),$G239&lt;=IF($S239=MesCiclo,InicioCiclo,$S239+MOD(2-WEEKDAY($S239),7))+13),1,MIN(1,MAX(0,IF(ISNUMBER(OFFSET($A$1,ROW()-1,9)),OFFSET($A$1,ROW()-1,9),IF(ISNUMBER(OFFSET($A$1,ROW()-1,8)),OFFSET($A$1,ROW()-1,8),0))))))</f>
        <v/>
      </c>
      <c r="AF239" s="62">
        <f>IF($V239&lt;&gt;"Sub","",N($X239)*IF(AND(ISNUMBER($G239),$G239&lt;=IF($S239=MesCiclo,InicioCiclo,$S239+MOD(2-WEEKDAY($S239),7))+20),1,MIN(1,MAX(0,IF(ISNUMBER(OFFSET($A$1,ROW()-1,10)),OFFSET($A$1,ROW()-1,10),IF(ISNUMBER(OFFSET($A$1,ROW()-1,9)),OFFSET($A$1,ROW()-1,9),IF(ISNUMBER(OFFSET($A$1,ROW()-1,8)),OFFSET($A$1,ROW()-1,8),0)))))))</f>
        <v/>
      </c>
      <c r="AG239" s="62">
        <f>IF($V239&lt;&gt;"Sub","",N($X239)*IF(AND(ISNUMBER($G239),$G239&lt;=IF($S239=MesCiclo,InicioCiclo,$S239+MOD(2-WEEKDAY($S239),7))+27),1,MIN(1,MAX(0,IF(ISNUMBER(OFFSET($A$1,ROW()-1,11)),OFFSET($A$1,ROW()-1,11),IF(ISNUMBER(OFFSET($A$1,ROW()-1,10)),OFFSET($A$1,ROW()-1,10),IF(ISNUMBER(OFFSET($A$1,ROW()-1,9)),OFFSET($A$1,ROW()-1,9),IF(ISNUMBER(OFFSET($A$1,ROW()-1,8)),OFFSET($A$1,ROW()-1,8),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",IFERROR(MATCH("Riesgo Operacional|"&amp;MID($C239,12,500),rDname_ADM,0),0),"")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IF(N($W240)=0,"",IF(AND($S240=MesCiclo,1&gt;SemanaActual),"",MIN(1,SUMIFS(OFFSET($A$1,ROW(),29,1000-ROW(),1),OFFSET($A$1,ROW(),20,1000-ROW(),1),ROW(),OFFSET($A$1,ROW(),21,1000-ROW(),1),"Sub"))))</f>
        <v/>
      </c>
      <c r="J240" s="60">
        <f>IF(N($W240)=0,"",IF(AND($S240=MesCiclo,2&gt;SemanaActual),"",MIN(1,SUMIFS(OFFSET($A$1,ROW(),30,1000-ROW(),1),OFFSET($A$1,ROW(),20,1000-ROW(),1),ROW(),OFFSET($A$1,ROW(),21,1000-ROW(),1),"Sub"))))</f>
        <v/>
      </c>
      <c r="K240" s="60">
        <f>IF(N($W240)=0,"",IF(AND($S240=MesCiclo,3&gt;SemanaActual),"",MIN(1,SUMIFS(OFFSET($A$1,ROW(),31,1000-ROW(),1),OFFSET($A$1,ROW(),20,1000-ROW(),1),ROW(),OFFSET($A$1,ROW(),21,1000-ROW(),1),"Sub"))))</f>
        <v/>
      </c>
      <c r="L240" s="60">
        <f>IF(N($W240)=0,"",IF(AND($S240=MesCiclo,4&gt;SemanaActual),"",MIN(1,SUMIFS(OFFSET($A$1,ROW(),32,1000-ROW(),1),OFFSET($A$1,ROW(),20,1000-ROW(),1),ROW(),OFFSET($A$1,ROW(),21,1000-ROW(),1),"Sub"))))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IF($V240&lt;&gt;"Sub","",N($X240)*IF(AND(ISNUMBER($G240),$G240&lt;=IF($S240=MesCiclo,InicioCiclo,$S240+MOD(2-WEEKDAY($S240),7))+6),1,MIN(1,MAX(0,IF(ISNUMBER(OFFSET($A$1,ROW()-1,8)),OFFSET($A$1,ROW()-1,8),0)))))</f>
        <v/>
      </c>
      <c r="AE240" s="62">
        <f>IF($V240&lt;&gt;"Sub","",N($X240)*IF(AND(ISNUMBER($G240),$G240&lt;=IF($S240=MesCiclo,InicioCiclo,$S240+MOD(2-WEEKDAY($S240),7))+13),1,MIN(1,MAX(0,IF(ISNUMBER(OFFSET($A$1,ROW()-1,9)),OFFSET($A$1,ROW()-1,9),IF(ISNUMBER(OFFSET($A$1,ROW()-1,8)),OFFSET($A$1,ROW()-1,8),0))))))</f>
        <v/>
      </c>
      <c r="AF240" s="62">
        <f>IF($V240&lt;&gt;"Sub","",N($X240)*IF(AND(ISNUMBER($G240),$G240&lt;=IF($S240=MesCiclo,InicioCiclo,$S240+MOD(2-WEEKDAY($S240),7))+20),1,MIN(1,MAX(0,IF(ISNUMBER(OFFSET($A$1,ROW()-1,10)),OFFSET($A$1,ROW()-1,10),IF(ISNUMBER(OFFSET($A$1,ROW()-1,9)),OFFSET($A$1,ROW()-1,9),IF(ISNUMBER(OFFSET($A$1,ROW()-1,8)),OFFSET($A$1,ROW()-1,8),0)))))))</f>
        <v/>
      </c>
      <c r="AG240" s="62">
        <f>IF($V240&lt;&gt;"Sub","",N($X240)*IF(AND(ISNUMBER($G240),$G240&lt;=IF($S240=MesCiclo,InicioCiclo,$S240+MOD(2-WEEKDAY($S240),7))+27),1,MIN(1,MAX(0,IF(ISNUMBER(OFFSET($A$1,ROW()-1,11)),OFFSET($A$1,ROW()-1,11),IF(ISNUMBER(OFFSET($A$1,ROW()-1,10)),OFFSET($A$1,ROW()-1,10),IF(ISNUMBER(OFFSET($A$1,ROW()-1,9)),OFFSET($A$1,ROW()-1,9),IF(ISNUMBER(OFFSET($A$1,ROW()-1,8)),OFFSET($A$1,ROW()-1,8),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",IFERROR(MATCH("Riesgo Operacional|"&amp;MID($C240,12,500),rDname_ADM,0),0),"")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IF(N($W241)=0,"",IF(AND($S241=MesCiclo,1&gt;SemanaActual),"",MIN(1,SUMIFS(OFFSET($A$1,ROW(),29,1000-ROW(),1),OFFSET($A$1,ROW(),20,1000-ROW(),1),ROW(),OFFSET($A$1,ROW(),21,1000-ROW(),1),"Sub"))))</f>
        <v/>
      </c>
      <c r="J241" s="60">
        <f>IF(N($W241)=0,"",IF(AND($S241=MesCiclo,2&gt;SemanaActual),"",MIN(1,SUMIFS(OFFSET($A$1,ROW(),30,1000-ROW(),1),OFFSET($A$1,ROW(),20,1000-ROW(),1),ROW(),OFFSET($A$1,ROW(),21,1000-ROW(),1),"Sub"))))</f>
        <v/>
      </c>
      <c r="K241" s="60">
        <f>IF(N($W241)=0,"",IF(AND($S241=MesCiclo,3&gt;SemanaActual),"",MIN(1,SUMIFS(OFFSET($A$1,ROW(),31,1000-ROW(),1),OFFSET($A$1,ROW(),20,1000-ROW(),1),ROW(),OFFSET($A$1,ROW(),21,1000-ROW(),1),"Sub"))))</f>
        <v/>
      </c>
      <c r="L241" s="60">
        <f>IF(N($W241)=0,"",IF(AND($S241=MesCiclo,4&gt;SemanaActual),"",MIN(1,SUMIFS(OFFSET($A$1,ROW(),32,1000-ROW(),1),OFFSET($A$1,ROW(),20,1000-ROW(),1),ROW(),OFFSET($A$1,ROW(),21,1000-ROW(),1),"Sub"))))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IF($V241&lt;&gt;"Sub","",N($X241)*IF(AND(ISNUMBER($G241),$G241&lt;=IF($S241=MesCiclo,InicioCiclo,$S241+MOD(2-WEEKDAY($S241),7))+6),1,MIN(1,MAX(0,IF(ISNUMBER(OFFSET($A$1,ROW()-1,8)),OFFSET($A$1,ROW()-1,8),0)))))</f>
        <v/>
      </c>
      <c r="AE241" s="62">
        <f>IF($V241&lt;&gt;"Sub","",N($X241)*IF(AND(ISNUMBER($G241),$G241&lt;=IF($S241=MesCiclo,InicioCiclo,$S241+MOD(2-WEEKDAY($S241),7))+13),1,MIN(1,MAX(0,IF(ISNUMBER(OFFSET($A$1,ROW()-1,9)),OFFSET($A$1,ROW()-1,9),IF(ISNUMBER(OFFSET($A$1,ROW()-1,8)),OFFSET($A$1,ROW()-1,8),0))))))</f>
        <v/>
      </c>
      <c r="AF241" s="62">
        <f>IF($V241&lt;&gt;"Sub","",N($X241)*IF(AND(ISNUMBER($G241),$G241&lt;=IF($S241=MesCiclo,InicioCiclo,$S241+MOD(2-WEEKDAY($S241),7))+20),1,MIN(1,MAX(0,IF(ISNUMBER(OFFSET($A$1,ROW()-1,10)),OFFSET($A$1,ROW()-1,10),IF(ISNUMBER(OFFSET($A$1,ROW()-1,9)),OFFSET($A$1,ROW()-1,9),IF(ISNUMBER(OFFSET($A$1,ROW()-1,8)),OFFSET($A$1,ROW()-1,8),0)))))))</f>
        <v/>
      </c>
      <c r="AG241" s="62">
        <f>IF($V241&lt;&gt;"Sub","",N($X241)*IF(AND(ISNUMBER($G241),$G241&lt;=IF($S241=MesCiclo,InicioCiclo,$S241+MOD(2-WEEKDAY($S241),7))+27),1,MIN(1,MAX(0,IF(ISNUMBER(OFFSET($A$1,ROW()-1,11)),OFFSET($A$1,ROW()-1,11),IF(ISNUMBER(OFFSET($A$1,ROW()-1,10)),OFFSET($A$1,ROW()-1,10),IF(ISNUMBER(OFFSET($A$1,ROW()-1,9)),OFFSET($A$1,ROW()-1,9),IF(ISNUMBER(OFFSET($A$1,ROW()-1,8)),OFFSET($A$1,ROW()-1,8),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",IFERROR(MATCH("Riesgo Operacional|"&amp;MID($C241,12,500),rDname_ADM,0),0),"")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IF(N($W242)=0,"",IF(AND($S242=MesCiclo,1&gt;SemanaActual),"",MIN(1,SUMIFS(OFFSET($A$1,ROW(),29,1000-ROW(),1),OFFSET($A$1,ROW(),20,1000-ROW(),1),ROW(),OFFSET($A$1,ROW(),21,1000-ROW(),1),"Sub"))))</f>
        <v/>
      </c>
      <c r="J242" s="60">
        <f>IF(N($W242)=0,"",IF(AND($S242=MesCiclo,2&gt;SemanaActual),"",MIN(1,SUMIFS(OFFSET($A$1,ROW(),30,1000-ROW(),1),OFFSET($A$1,ROW(),20,1000-ROW(),1),ROW(),OFFSET($A$1,ROW(),21,1000-ROW(),1),"Sub"))))</f>
        <v/>
      </c>
      <c r="K242" s="60">
        <f>IF(N($W242)=0,"",IF(AND($S242=MesCiclo,3&gt;SemanaActual),"",MIN(1,SUMIFS(OFFSET($A$1,ROW(),31,1000-ROW(),1),OFFSET($A$1,ROW(),20,1000-ROW(),1),ROW(),OFFSET($A$1,ROW(),21,1000-ROW(),1),"Sub"))))</f>
        <v/>
      </c>
      <c r="L242" s="60">
        <f>IF(N($W242)=0,"",IF(AND($S242=MesCiclo,4&gt;SemanaActual),"",MIN(1,SUMIFS(OFFSET($A$1,ROW(),32,1000-ROW(),1),OFFSET($A$1,ROW(),20,1000-ROW(),1),ROW(),OFFSET($A$1,ROW(),21,1000-ROW(),1),"Sub"))))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IF($V242&lt;&gt;"Sub","",N($X242)*IF(AND(ISNUMBER($G242),$G242&lt;=IF($S242=MesCiclo,InicioCiclo,$S242+MOD(2-WEEKDAY($S242),7))+6),1,MIN(1,MAX(0,IF(ISNUMBER(OFFSET($A$1,ROW()-1,8)),OFFSET($A$1,ROW()-1,8),0)))))</f>
        <v/>
      </c>
      <c r="AE242" s="62">
        <f>IF($V242&lt;&gt;"Sub","",N($X242)*IF(AND(ISNUMBER($G242),$G242&lt;=IF($S242=MesCiclo,InicioCiclo,$S242+MOD(2-WEEKDAY($S242),7))+13),1,MIN(1,MAX(0,IF(ISNUMBER(OFFSET($A$1,ROW()-1,9)),OFFSET($A$1,ROW()-1,9),IF(ISNUMBER(OFFSET($A$1,ROW()-1,8)),OFFSET($A$1,ROW()-1,8),0))))))</f>
        <v/>
      </c>
      <c r="AF242" s="62">
        <f>IF($V242&lt;&gt;"Sub","",N($X242)*IF(AND(ISNUMBER($G242),$G242&lt;=IF($S242=MesCiclo,InicioCiclo,$S242+MOD(2-WEEKDAY($S242),7))+20),1,MIN(1,MAX(0,IF(ISNUMBER(OFFSET($A$1,ROW()-1,10)),OFFSET($A$1,ROW()-1,10),IF(ISNUMBER(OFFSET($A$1,ROW()-1,9)),OFFSET($A$1,ROW()-1,9),IF(ISNUMBER(OFFSET($A$1,ROW()-1,8)),OFFSET($A$1,ROW()-1,8),0)))))))</f>
        <v/>
      </c>
      <c r="AG242" s="62">
        <f>IF($V242&lt;&gt;"Sub","",N($X242)*IF(AND(ISNUMBER($G242),$G242&lt;=IF($S242=MesCiclo,InicioCiclo,$S242+MOD(2-WEEKDAY($S242),7))+27),1,MIN(1,MAX(0,IF(ISNUMBER(OFFSET($A$1,ROW()-1,11)),OFFSET($A$1,ROW()-1,11),IF(ISNUMBER(OFFSET($A$1,ROW()-1,10)),OFFSET($A$1,ROW()-1,10),IF(ISNUMBER(OFFSET($A$1,ROW()-1,9)),OFFSET($A$1,ROW()-1,9),IF(ISNUMBER(OFFSET($A$1,ROW()-1,8)),OFFSET($A$1,ROW()-1,8),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",IFERROR(MATCH("Riesgo Operacional|"&amp;MID($C242,12,500),rDname_ADM,0),0),"")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IF(N($W243)=0,"",IF(AND($S243=MesCiclo,1&gt;SemanaActual),"",MIN(1,SUMIFS(OFFSET($A$1,ROW(),29,1000-ROW(),1),OFFSET($A$1,ROW(),20,1000-ROW(),1),ROW(),OFFSET($A$1,ROW(),21,1000-ROW(),1),"Sub"))))</f>
        <v/>
      </c>
      <c r="J243" s="60">
        <f>IF(N($W243)=0,"",IF(AND($S243=MesCiclo,2&gt;SemanaActual),"",MIN(1,SUMIFS(OFFSET($A$1,ROW(),30,1000-ROW(),1),OFFSET($A$1,ROW(),20,1000-ROW(),1),ROW(),OFFSET($A$1,ROW(),21,1000-ROW(),1),"Sub"))))</f>
        <v/>
      </c>
      <c r="K243" s="60">
        <f>IF(N($W243)=0,"",IF(AND($S243=MesCiclo,3&gt;SemanaActual),"",MIN(1,SUMIFS(OFFSET($A$1,ROW(),31,1000-ROW(),1),OFFSET($A$1,ROW(),20,1000-ROW(),1),ROW(),OFFSET($A$1,ROW(),21,1000-ROW(),1),"Sub"))))</f>
        <v/>
      </c>
      <c r="L243" s="60">
        <f>IF(N($W243)=0,"",IF(AND($S243=MesCiclo,4&gt;SemanaActual),"",MIN(1,SUMIFS(OFFSET($A$1,ROW(),32,1000-ROW(),1),OFFSET($A$1,ROW(),20,1000-ROW(),1),ROW(),OFFSET($A$1,ROW(),21,1000-ROW(),1),"Sub"))))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IF($V243&lt;&gt;"Sub","",N($X243)*IF(AND(ISNUMBER($G243),$G243&lt;=IF($S243=MesCiclo,InicioCiclo,$S243+MOD(2-WEEKDAY($S243),7))+6),1,MIN(1,MAX(0,IF(ISNUMBER(OFFSET($A$1,ROW()-1,8)),OFFSET($A$1,ROW()-1,8),0)))))</f>
        <v/>
      </c>
      <c r="AE243" s="62">
        <f>IF($V243&lt;&gt;"Sub","",N($X243)*IF(AND(ISNUMBER($G243),$G243&lt;=IF($S243=MesCiclo,InicioCiclo,$S243+MOD(2-WEEKDAY($S243),7))+13),1,MIN(1,MAX(0,IF(ISNUMBER(OFFSET($A$1,ROW()-1,9)),OFFSET($A$1,ROW()-1,9),IF(ISNUMBER(OFFSET($A$1,ROW()-1,8)),OFFSET($A$1,ROW()-1,8),0))))))</f>
        <v/>
      </c>
      <c r="AF243" s="62">
        <f>IF($V243&lt;&gt;"Sub","",N($X243)*IF(AND(ISNUMBER($G243),$G243&lt;=IF($S243=MesCiclo,InicioCiclo,$S243+MOD(2-WEEKDAY($S243),7))+20),1,MIN(1,MAX(0,IF(ISNUMBER(OFFSET($A$1,ROW()-1,10)),OFFSET($A$1,ROW()-1,10),IF(ISNUMBER(OFFSET($A$1,ROW()-1,9)),OFFSET($A$1,ROW()-1,9),IF(ISNUMBER(OFFSET($A$1,ROW()-1,8)),OFFSET($A$1,ROW()-1,8),0)))))))</f>
        <v/>
      </c>
      <c r="AG243" s="62">
        <f>IF($V243&lt;&gt;"Sub","",N($X243)*IF(AND(ISNUMBER($G243),$G243&lt;=IF($S243=MesCiclo,InicioCiclo,$S243+MOD(2-WEEKDAY($S243),7))+27),1,MIN(1,MAX(0,IF(ISNUMBER(OFFSET($A$1,ROW()-1,11)),OFFSET($A$1,ROW()-1,11),IF(ISNUMBER(OFFSET($A$1,ROW()-1,10)),OFFSET($A$1,ROW()-1,10),IF(ISNUMBER(OFFSET($A$1,ROW()-1,9)),OFFSET($A$1,ROW()-1,9),IF(ISNUMBER(OFFSET($A$1,ROW()-1,8)),OFFSET($A$1,ROW()-1,8),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",IFERROR(MATCH("Riesgo Operacional|"&amp;MID($C243,12,500),rDname_ADM,0),0),"")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IF(N($W244)=0,"",IF(AND($S244=MesCiclo,1&gt;SemanaActual),"",MIN(1,SUMIFS(OFFSET($A$1,ROW(),29,1000-ROW(),1),OFFSET($A$1,ROW(),20,1000-ROW(),1),ROW(),OFFSET($A$1,ROW(),21,1000-ROW(),1),"Sub"))))</f>
        <v/>
      </c>
      <c r="J244" s="60">
        <f>IF(N($W244)=0,"",IF(AND($S244=MesCiclo,2&gt;SemanaActual),"",MIN(1,SUMIFS(OFFSET($A$1,ROW(),30,1000-ROW(),1),OFFSET($A$1,ROW(),20,1000-ROW(),1),ROW(),OFFSET($A$1,ROW(),21,1000-ROW(),1),"Sub"))))</f>
        <v/>
      </c>
      <c r="K244" s="60">
        <f>IF(N($W244)=0,"",IF(AND($S244=MesCiclo,3&gt;SemanaActual),"",MIN(1,SUMIFS(OFFSET($A$1,ROW(),31,1000-ROW(),1),OFFSET($A$1,ROW(),20,1000-ROW(),1),ROW(),OFFSET($A$1,ROW(),21,1000-ROW(),1),"Sub"))))</f>
        <v/>
      </c>
      <c r="L244" s="60">
        <f>IF(N($W244)=0,"",IF(AND($S244=MesCiclo,4&gt;SemanaActual),"",MIN(1,SUMIFS(OFFSET($A$1,ROW(),32,1000-ROW(),1),OFFSET($A$1,ROW(),20,1000-ROW(),1),ROW(),OFFSET($A$1,ROW(),21,1000-ROW(),1),"Sub"))))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IF($V244&lt;&gt;"Sub","",N($X244)*IF(AND(ISNUMBER($G244),$G244&lt;=IF($S244=MesCiclo,InicioCiclo,$S244+MOD(2-WEEKDAY($S244),7))+6),1,MIN(1,MAX(0,IF(ISNUMBER(OFFSET($A$1,ROW()-1,8)),OFFSET($A$1,ROW()-1,8),0)))))</f>
        <v/>
      </c>
      <c r="AE244" s="62">
        <f>IF($V244&lt;&gt;"Sub","",N($X244)*IF(AND(ISNUMBER($G244),$G244&lt;=IF($S244=MesCiclo,InicioCiclo,$S244+MOD(2-WEEKDAY($S244),7))+13),1,MIN(1,MAX(0,IF(ISNUMBER(OFFSET($A$1,ROW()-1,9)),OFFSET($A$1,ROW()-1,9),IF(ISNUMBER(OFFSET($A$1,ROW()-1,8)),OFFSET($A$1,ROW()-1,8),0))))))</f>
        <v/>
      </c>
      <c r="AF244" s="62">
        <f>IF($V244&lt;&gt;"Sub","",N($X244)*IF(AND(ISNUMBER($G244),$G244&lt;=IF($S244=MesCiclo,InicioCiclo,$S244+MOD(2-WEEKDAY($S244),7))+20),1,MIN(1,MAX(0,IF(ISNUMBER(OFFSET($A$1,ROW()-1,10)),OFFSET($A$1,ROW()-1,10),IF(ISNUMBER(OFFSET($A$1,ROW()-1,9)),OFFSET($A$1,ROW()-1,9),IF(ISNUMBER(OFFSET($A$1,ROW()-1,8)),OFFSET($A$1,ROW()-1,8),0)))))))</f>
        <v/>
      </c>
      <c r="AG244" s="62">
        <f>IF($V244&lt;&gt;"Sub","",N($X244)*IF(AND(ISNUMBER($G244),$G244&lt;=IF($S244=MesCiclo,InicioCiclo,$S244+MOD(2-WEEKDAY($S244),7))+27),1,MIN(1,MAX(0,IF(ISNUMBER(OFFSET($A$1,ROW()-1,11)),OFFSET($A$1,ROW()-1,11),IF(ISNUMBER(OFFSET($A$1,ROW()-1,10)),OFFSET($A$1,ROW()-1,10),IF(ISNUMBER(OFFSET($A$1,ROW()-1,9)),OFFSET($A$1,ROW()-1,9),IF(ISNUMBER(OFFSET($A$1,ROW()-1,8)),OFFSET($A$1,ROW()-1,8),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",IFERROR(MATCH("Riesgo Operacional|"&amp;MID($C244,12,500),rDname_ADM,0),0),"")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IF(N($W245)=0,"",IF(AND($S245=MesCiclo,1&gt;SemanaActual),"",MIN(1,SUMIFS(OFFSET($A$1,ROW(),29,1000-ROW(),1),OFFSET($A$1,ROW(),20,1000-ROW(),1),ROW(),OFFSET($A$1,ROW(),21,1000-ROW(),1),"Sub"))))</f>
        <v/>
      </c>
      <c r="J245" s="60">
        <f>IF(N($W245)=0,"",IF(AND($S245=MesCiclo,2&gt;SemanaActual),"",MIN(1,SUMIFS(OFFSET($A$1,ROW(),30,1000-ROW(),1),OFFSET($A$1,ROW(),20,1000-ROW(),1),ROW(),OFFSET($A$1,ROW(),21,1000-ROW(),1),"Sub"))))</f>
        <v/>
      </c>
      <c r="K245" s="60">
        <f>IF(N($W245)=0,"",IF(AND($S245=MesCiclo,3&gt;SemanaActual),"",MIN(1,SUMIFS(OFFSET($A$1,ROW(),31,1000-ROW(),1),OFFSET($A$1,ROW(),20,1000-ROW(),1),ROW(),OFFSET($A$1,ROW(),21,1000-ROW(),1),"Sub"))))</f>
        <v/>
      </c>
      <c r="L245" s="60">
        <f>IF(N($W245)=0,"",IF(AND($S245=MesCiclo,4&gt;SemanaActual),"",MIN(1,SUMIFS(OFFSET($A$1,ROW(),32,1000-ROW(),1),OFFSET($A$1,ROW(),20,1000-ROW(),1),ROW(),OFFSET($A$1,ROW(),21,1000-ROW(),1),"Sub"))))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IF($V245&lt;&gt;"Sub","",N($X245)*IF(AND(ISNUMBER($G245),$G245&lt;=IF($S245=MesCiclo,InicioCiclo,$S245+MOD(2-WEEKDAY($S245),7))+6),1,MIN(1,MAX(0,IF(ISNUMBER(OFFSET($A$1,ROW()-1,8)),OFFSET($A$1,ROW()-1,8),0)))))</f>
        <v/>
      </c>
      <c r="AE245" s="62">
        <f>IF($V245&lt;&gt;"Sub","",N($X245)*IF(AND(ISNUMBER($G245),$G245&lt;=IF($S245=MesCiclo,InicioCiclo,$S245+MOD(2-WEEKDAY($S245),7))+13),1,MIN(1,MAX(0,IF(ISNUMBER(OFFSET($A$1,ROW()-1,9)),OFFSET($A$1,ROW()-1,9),IF(ISNUMBER(OFFSET($A$1,ROW()-1,8)),OFFSET($A$1,ROW()-1,8),0))))))</f>
        <v/>
      </c>
      <c r="AF245" s="62">
        <f>IF($V245&lt;&gt;"Sub","",N($X245)*IF(AND(ISNUMBER($G245),$G245&lt;=IF($S245=MesCiclo,InicioCiclo,$S245+MOD(2-WEEKDAY($S245),7))+20),1,MIN(1,MAX(0,IF(ISNUMBER(OFFSET($A$1,ROW()-1,10)),OFFSET($A$1,ROW()-1,10),IF(ISNUMBER(OFFSET($A$1,ROW()-1,9)),OFFSET($A$1,ROW()-1,9),IF(ISNUMBER(OFFSET($A$1,ROW()-1,8)),OFFSET($A$1,ROW()-1,8),0)))))))</f>
        <v/>
      </c>
      <c r="AG245" s="62">
        <f>IF($V245&lt;&gt;"Sub","",N($X245)*IF(AND(ISNUMBER($G245),$G245&lt;=IF($S245=MesCiclo,InicioCiclo,$S245+MOD(2-WEEKDAY($S245),7))+27),1,MIN(1,MAX(0,IF(ISNUMBER(OFFSET($A$1,ROW()-1,11)),OFFSET($A$1,ROW()-1,11),IF(ISNUMBER(OFFSET($A$1,ROW()-1,10)),OFFSET($A$1,ROW()-1,10),IF(ISNUMBER(OFFSET($A$1,ROW()-1,9)),OFFSET($A$1,ROW()-1,9),IF(ISNUMBER(OFFSET($A$1,ROW()-1,8)),OFFSET($A$1,ROW()-1,8),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",IFERROR(MATCH("Riesgo Operacional|"&amp;MID($C245,12,500),rDname_ADM,0),0),"")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IF(N($W246)=0,"",IF(AND($S246=MesCiclo,1&gt;SemanaActual),"",MIN(1,SUMIFS(OFFSET($A$1,ROW(),29,1000-ROW(),1),OFFSET($A$1,ROW(),20,1000-ROW(),1),ROW(),OFFSET($A$1,ROW(),21,1000-ROW(),1),"Sub"))))</f>
        <v/>
      </c>
      <c r="J246" s="60">
        <f>IF(N($W246)=0,"",IF(AND($S246=MesCiclo,2&gt;SemanaActual),"",MIN(1,SUMIFS(OFFSET($A$1,ROW(),30,1000-ROW(),1),OFFSET($A$1,ROW(),20,1000-ROW(),1),ROW(),OFFSET($A$1,ROW(),21,1000-ROW(),1),"Sub"))))</f>
        <v/>
      </c>
      <c r="K246" s="60">
        <f>IF(N($W246)=0,"",IF(AND($S246=MesCiclo,3&gt;SemanaActual),"",MIN(1,SUMIFS(OFFSET($A$1,ROW(),31,1000-ROW(),1),OFFSET($A$1,ROW(),20,1000-ROW(),1),ROW(),OFFSET($A$1,ROW(),21,1000-ROW(),1),"Sub"))))</f>
        <v/>
      </c>
      <c r="L246" s="60">
        <f>IF(N($W246)=0,"",IF(AND($S246=MesCiclo,4&gt;SemanaActual),"",MIN(1,SUMIFS(OFFSET($A$1,ROW(),32,1000-ROW(),1),OFFSET($A$1,ROW(),20,1000-ROW(),1),ROW(),OFFSET($A$1,ROW(),21,1000-ROW(),1),"Sub"))))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IF($V246&lt;&gt;"Sub","",N($X246)*IF(AND(ISNUMBER($G246),$G246&lt;=IF($S246=MesCiclo,InicioCiclo,$S246+MOD(2-WEEKDAY($S246),7))+6),1,MIN(1,MAX(0,IF(ISNUMBER(OFFSET($A$1,ROW()-1,8)),OFFSET($A$1,ROW()-1,8),0)))))</f>
        <v/>
      </c>
      <c r="AE246" s="62">
        <f>IF($V246&lt;&gt;"Sub","",N($X246)*IF(AND(ISNUMBER($G246),$G246&lt;=IF($S246=MesCiclo,InicioCiclo,$S246+MOD(2-WEEKDAY($S246),7))+13),1,MIN(1,MAX(0,IF(ISNUMBER(OFFSET($A$1,ROW()-1,9)),OFFSET($A$1,ROW()-1,9),IF(ISNUMBER(OFFSET($A$1,ROW()-1,8)),OFFSET($A$1,ROW()-1,8),0))))))</f>
        <v/>
      </c>
      <c r="AF246" s="62">
        <f>IF($V246&lt;&gt;"Sub","",N($X246)*IF(AND(ISNUMBER($G246),$G246&lt;=IF($S246=MesCiclo,InicioCiclo,$S246+MOD(2-WEEKDAY($S246),7))+20),1,MIN(1,MAX(0,IF(ISNUMBER(OFFSET($A$1,ROW()-1,10)),OFFSET($A$1,ROW()-1,10),IF(ISNUMBER(OFFSET($A$1,ROW()-1,9)),OFFSET($A$1,ROW()-1,9),IF(ISNUMBER(OFFSET($A$1,ROW()-1,8)),OFFSET($A$1,ROW()-1,8),0)))))))</f>
        <v/>
      </c>
      <c r="AG246" s="62">
        <f>IF($V246&lt;&gt;"Sub","",N($X246)*IF(AND(ISNUMBER($G246),$G246&lt;=IF($S246=MesCiclo,InicioCiclo,$S246+MOD(2-WEEKDAY($S246),7))+27),1,MIN(1,MAX(0,IF(ISNUMBER(OFFSET($A$1,ROW()-1,11)),OFFSET($A$1,ROW()-1,11),IF(ISNUMBER(OFFSET($A$1,ROW()-1,10)),OFFSET($A$1,ROW()-1,10),IF(ISNUMBER(OFFSET($A$1,ROW()-1,9)),OFFSET($A$1,ROW()-1,9),IF(ISNUMBER(OFFSET($A$1,ROW()-1,8)),OFFSET($A$1,ROW()-1,8),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",IFERROR(MATCH("Riesgo Operacional|"&amp;MID($C246,12,500),rDname_ADM,0),0),"")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IF(N($W247)=0,"",IF(AND($S247=MesCiclo,1&gt;SemanaActual),"",MIN(1,SUMIFS(OFFSET($A$1,ROW(),29,1000-ROW(),1),OFFSET($A$1,ROW(),20,1000-ROW(),1),ROW(),OFFSET($A$1,ROW(),21,1000-ROW(),1),"Sub"))))</f>
        <v/>
      </c>
      <c r="J247" s="60">
        <f>IF(N($W247)=0,"",IF(AND($S247=MesCiclo,2&gt;SemanaActual),"",MIN(1,SUMIFS(OFFSET($A$1,ROW(),30,1000-ROW(),1),OFFSET($A$1,ROW(),20,1000-ROW(),1),ROW(),OFFSET($A$1,ROW(),21,1000-ROW(),1),"Sub"))))</f>
        <v/>
      </c>
      <c r="K247" s="60">
        <f>IF(N($W247)=0,"",IF(AND($S247=MesCiclo,3&gt;SemanaActual),"",MIN(1,SUMIFS(OFFSET($A$1,ROW(),31,1000-ROW(),1),OFFSET($A$1,ROW(),20,1000-ROW(),1),ROW(),OFFSET($A$1,ROW(),21,1000-ROW(),1),"Sub"))))</f>
        <v/>
      </c>
      <c r="L247" s="60">
        <f>IF(N($W247)=0,"",IF(AND($S247=MesCiclo,4&gt;SemanaActual),"",MIN(1,SUMIFS(OFFSET($A$1,ROW(),32,1000-ROW(),1),OFFSET($A$1,ROW(),20,1000-ROW(),1),ROW(),OFFSET($A$1,ROW(),21,1000-ROW(),1),"Sub"))))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IF($V247&lt;&gt;"Sub","",N($X247)*IF(AND(ISNUMBER($G247),$G247&lt;=IF($S247=MesCiclo,InicioCiclo,$S247+MOD(2-WEEKDAY($S247),7))+6),1,MIN(1,MAX(0,IF(ISNUMBER(OFFSET($A$1,ROW()-1,8)),OFFSET($A$1,ROW()-1,8),0)))))</f>
        <v/>
      </c>
      <c r="AE247" s="62">
        <f>IF($V247&lt;&gt;"Sub","",N($X247)*IF(AND(ISNUMBER($G247),$G247&lt;=IF($S247=MesCiclo,InicioCiclo,$S247+MOD(2-WEEKDAY($S247),7))+13),1,MIN(1,MAX(0,IF(ISNUMBER(OFFSET($A$1,ROW()-1,9)),OFFSET($A$1,ROW()-1,9),IF(ISNUMBER(OFFSET($A$1,ROW()-1,8)),OFFSET($A$1,ROW()-1,8),0))))))</f>
        <v/>
      </c>
      <c r="AF247" s="62">
        <f>IF($V247&lt;&gt;"Sub","",N($X247)*IF(AND(ISNUMBER($G247),$G247&lt;=IF($S247=MesCiclo,InicioCiclo,$S247+MOD(2-WEEKDAY($S247),7))+20),1,MIN(1,MAX(0,IF(ISNUMBER(OFFSET($A$1,ROW()-1,10)),OFFSET($A$1,ROW()-1,10),IF(ISNUMBER(OFFSET($A$1,ROW()-1,9)),OFFSET($A$1,ROW()-1,9),IF(ISNUMBER(OFFSET($A$1,ROW()-1,8)),OFFSET($A$1,ROW()-1,8),0)))))))</f>
        <v/>
      </c>
      <c r="AG247" s="62">
        <f>IF($V247&lt;&gt;"Sub","",N($X247)*IF(AND(ISNUMBER($G247),$G247&lt;=IF($S247=MesCiclo,InicioCiclo,$S247+MOD(2-WEEKDAY($S247),7))+27),1,MIN(1,MAX(0,IF(ISNUMBER(OFFSET($A$1,ROW()-1,11)),OFFSET($A$1,ROW()-1,11),IF(ISNUMBER(OFFSET($A$1,ROW()-1,10)),OFFSET($A$1,ROW()-1,10),IF(ISNUMBER(OFFSET($A$1,ROW()-1,9)),OFFSET($A$1,ROW()-1,9),IF(ISNUMBER(OFFSET($A$1,ROW()-1,8)),OFFSET($A$1,ROW()-1,8),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",IFERROR(MATCH("Riesgo Operacional|"&amp;MID($C247,12,500),rDname_ADM,0),0),"")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IF(N($W248)=0,"",IF(AND($S248=MesCiclo,1&gt;SemanaActual),"",MIN(1,SUMIFS(OFFSET($A$1,ROW(),29,1000-ROW(),1),OFFSET($A$1,ROW(),20,1000-ROW(),1),ROW(),OFFSET($A$1,ROW(),21,1000-ROW(),1),"Sub"))))</f>
        <v/>
      </c>
      <c r="J248" s="60">
        <f>IF(N($W248)=0,"",IF(AND($S248=MesCiclo,2&gt;SemanaActual),"",MIN(1,SUMIFS(OFFSET($A$1,ROW(),30,1000-ROW(),1),OFFSET($A$1,ROW(),20,1000-ROW(),1),ROW(),OFFSET($A$1,ROW(),21,1000-ROW(),1),"Sub"))))</f>
        <v/>
      </c>
      <c r="K248" s="60">
        <f>IF(N($W248)=0,"",IF(AND($S248=MesCiclo,3&gt;SemanaActual),"",MIN(1,SUMIFS(OFFSET($A$1,ROW(),31,1000-ROW(),1),OFFSET($A$1,ROW(),20,1000-ROW(),1),ROW(),OFFSET($A$1,ROW(),21,1000-ROW(),1),"Sub"))))</f>
        <v/>
      </c>
      <c r="L248" s="60">
        <f>IF(N($W248)=0,"",IF(AND($S248=MesCiclo,4&gt;SemanaActual),"",MIN(1,SUMIFS(OFFSET($A$1,ROW(),32,1000-ROW(),1),OFFSET($A$1,ROW(),20,1000-ROW(),1),ROW(),OFFSET($A$1,ROW(),21,1000-ROW(),1),"Sub"))))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IF($V248&lt;&gt;"Sub","",N($X248)*IF(AND(ISNUMBER($G248),$G248&lt;=IF($S248=MesCiclo,InicioCiclo,$S248+MOD(2-WEEKDAY($S248),7))+6),1,MIN(1,MAX(0,IF(ISNUMBER(OFFSET($A$1,ROW()-1,8)),OFFSET($A$1,ROW()-1,8),0)))))</f>
        <v/>
      </c>
      <c r="AE248" s="62">
        <f>IF($V248&lt;&gt;"Sub","",N($X248)*IF(AND(ISNUMBER($G248),$G248&lt;=IF($S248=MesCiclo,InicioCiclo,$S248+MOD(2-WEEKDAY($S248),7))+13),1,MIN(1,MAX(0,IF(ISNUMBER(OFFSET($A$1,ROW()-1,9)),OFFSET($A$1,ROW()-1,9),IF(ISNUMBER(OFFSET($A$1,ROW()-1,8)),OFFSET($A$1,ROW()-1,8),0))))))</f>
        <v/>
      </c>
      <c r="AF248" s="62">
        <f>IF($V248&lt;&gt;"Sub","",N($X248)*IF(AND(ISNUMBER($G248),$G248&lt;=IF($S248=MesCiclo,InicioCiclo,$S248+MOD(2-WEEKDAY($S248),7))+20),1,MIN(1,MAX(0,IF(ISNUMBER(OFFSET($A$1,ROW()-1,10)),OFFSET($A$1,ROW()-1,10),IF(ISNUMBER(OFFSET($A$1,ROW()-1,9)),OFFSET($A$1,ROW()-1,9),IF(ISNUMBER(OFFSET($A$1,ROW()-1,8)),OFFSET($A$1,ROW()-1,8),0)))))))</f>
        <v/>
      </c>
      <c r="AG248" s="62">
        <f>IF($V248&lt;&gt;"Sub","",N($X248)*IF(AND(ISNUMBER($G248),$G248&lt;=IF($S248=MesCiclo,InicioCiclo,$S248+MOD(2-WEEKDAY($S248),7))+27),1,MIN(1,MAX(0,IF(ISNUMBER(OFFSET($A$1,ROW()-1,11)),OFFSET($A$1,ROW()-1,11),IF(ISNUMBER(OFFSET($A$1,ROW()-1,10)),OFFSET($A$1,ROW()-1,10),IF(ISNUMBER(OFFSET($A$1,ROW()-1,9)),OFFSET($A$1,ROW()-1,9),IF(ISNUMBER(OFFSET($A$1,ROW()-1,8)),OFFSET($A$1,ROW()-1,8),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",IFERROR(MATCH("Riesgo Operacional|"&amp;MID($C248,12,500),rDname_ADM,0),0),"")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IF(N($W249)=0,"",IF(AND($S249=MesCiclo,1&gt;SemanaActual),"",MIN(1,SUMIFS(OFFSET($A$1,ROW(),29,1000-ROW(),1),OFFSET($A$1,ROW(),20,1000-ROW(),1),ROW(),OFFSET($A$1,ROW(),21,1000-ROW(),1),"Sub"))))</f>
        <v/>
      </c>
      <c r="J249" s="60">
        <f>IF(N($W249)=0,"",IF(AND($S249=MesCiclo,2&gt;SemanaActual),"",MIN(1,SUMIFS(OFFSET($A$1,ROW(),30,1000-ROW(),1),OFFSET($A$1,ROW(),20,1000-ROW(),1),ROW(),OFFSET($A$1,ROW(),21,1000-ROW(),1),"Sub"))))</f>
        <v/>
      </c>
      <c r="K249" s="60">
        <f>IF(N($W249)=0,"",IF(AND($S249=MesCiclo,3&gt;SemanaActual),"",MIN(1,SUMIFS(OFFSET($A$1,ROW(),31,1000-ROW(),1),OFFSET($A$1,ROW(),20,1000-ROW(),1),ROW(),OFFSET($A$1,ROW(),21,1000-ROW(),1),"Sub"))))</f>
        <v/>
      </c>
      <c r="L249" s="60">
        <f>IF(N($W249)=0,"",IF(AND($S249=MesCiclo,4&gt;SemanaActual),"",MIN(1,SUMIFS(OFFSET($A$1,ROW(),32,1000-ROW(),1),OFFSET($A$1,ROW(),20,1000-ROW(),1),ROW(),OFFSET($A$1,ROW(),21,1000-ROW(),1),"Sub"))))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IF($V249&lt;&gt;"Sub","",N($X249)*IF(AND(ISNUMBER($G249),$G249&lt;=IF($S249=MesCiclo,InicioCiclo,$S249+MOD(2-WEEKDAY($S249),7))+6),1,MIN(1,MAX(0,IF(ISNUMBER(OFFSET($A$1,ROW()-1,8)),OFFSET($A$1,ROW()-1,8),0)))))</f>
        <v/>
      </c>
      <c r="AE249" s="62">
        <f>IF($V249&lt;&gt;"Sub","",N($X249)*IF(AND(ISNUMBER($G249),$G249&lt;=IF($S249=MesCiclo,InicioCiclo,$S249+MOD(2-WEEKDAY($S249),7))+13),1,MIN(1,MAX(0,IF(ISNUMBER(OFFSET($A$1,ROW()-1,9)),OFFSET($A$1,ROW()-1,9),IF(ISNUMBER(OFFSET($A$1,ROW()-1,8)),OFFSET($A$1,ROW()-1,8),0))))))</f>
        <v/>
      </c>
      <c r="AF249" s="62">
        <f>IF($V249&lt;&gt;"Sub","",N($X249)*IF(AND(ISNUMBER($G249),$G249&lt;=IF($S249=MesCiclo,InicioCiclo,$S249+MOD(2-WEEKDAY($S249),7))+20),1,MIN(1,MAX(0,IF(ISNUMBER(OFFSET($A$1,ROW()-1,10)),OFFSET($A$1,ROW()-1,10),IF(ISNUMBER(OFFSET($A$1,ROW()-1,9)),OFFSET($A$1,ROW()-1,9),IF(ISNUMBER(OFFSET($A$1,ROW()-1,8)),OFFSET($A$1,ROW()-1,8),0)))))))</f>
        <v/>
      </c>
      <c r="AG249" s="62">
        <f>IF($V249&lt;&gt;"Sub","",N($X249)*IF(AND(ISNUMBER($G249),$G249&lt;=IF($S249=MesCiclo,InicioCiclo,$S249+MOD(2-WEEKDAY($S249),7))+27),1,MIN(1,MAX(0,IF(ISNUMBER(OFFSET($A$1,ROW()-1,11)),OFFSET($A$1,ROW()-1,11),IF(ISNUMBER(OFFSET($A$1,ROW()-1,10)),OFFSET($A$1,ROW()-1,10),IF(ISNUMBER(OFFSET($A$1,ROW()-1,9)),OFFSET($A$1,ROW()-1,9),IF(ISNUMBER(OFFSET($A$1,ROW()-1,8)),OFFSET($A$1,ROW()-1,8),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",IFERROR(MATCH("Riesgo Operacional|"&amp;MID($C249,12,500),rDname_ADM,0),0),"")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IF(N($W250)=0,"",IF(AND($S250=MesCiclo,1&gt;SemanaActual),"",MIN(1,SUMIFS(OFFSET($A$1,ROW(),29,1000-ROW(),1),OFFSET($A$1,ROW(),20,1000-ROW(),1),ROW(),OFFSET($A$1,ROW(),21,1000-ROW(),1),"Sub"))))</f>
        <v/>
      </c>
      <c r="J250" s="60">
        <f>IF(N($W250)=0,"",IF(AND($S250=MesCiclo,2&gt;SemanaActual),"",MIN(1,SUMIFS(OFFSET($A$1,ROW(),30,1000-ROW(),1),OFFSET($A$1,ROW(),20,1000-ROW(),1),ROW(),OFFSET($A$1,ROW(),21,1000-ROW(),1),"Sub"))))</f>
        <v/>
      </c>
      <c r="K250" s="60">
        <f>IF(N($W250)=0,"",IF(AND($S250=MesCiclo,3&gt;SemanaActual),"",MIN(1,SUMIFS(OFFSET($A$1,ROW(),31,1000-ROW(),1),OFFSET($A$1,ROW(),20,1000-ROW(),1),ROW(),OFFSET($A$1,ROW(),21,1000-ROW(),1),"Sub"))))</f>
        <v/>
      </c>
      <c r="L250" s="60">
        <f>IF(N($W250)=0,"",IF(AND($S250=MesCiclo,4&gt;SemanaActual),"",MIN(1,SUMIFS(OFFSET($A$1,ROW(),32,1000-ROW(),1),OFFSET($A$1,ROW(),20,1000-ROW(),1),ROW(),OFFSET($A$1,ROW(),21,1000-ROW(),1),"Sub"))))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IF($V250&lt;&gt;"Sub","",N($X250)*IF(AND(ISNUMBER($G250),$G250&lt;=IF($S250=MesCiclo,InicioCiclo,$S250+MOD(2-WEEKDAY($S250),7))+6),1,MIN(1,MAX(0,IF(ISNUMBER(OFFSET($A$1,ROW()-1,8)),OFFSET($A$1,ROW()-1,8),0)))))</f>
        <v/>
      </c>
      <c r="AE250" s="62">
        <f>IF($V250&lt;&gt;"Sub","",N($X250)*IF(AND(ISNUMBER($G250),$G250&lt;=IF($S250=MesCiclo,InicioCiclo,$S250+MOD(2-WEEKDAY($S250),7))+13),1,MIN(1,MAX(0,IF(ISNUMBER(OFFSET($A$1,ROW()-1,9)),OFFSET($A$1,ROW()-1,9),IF(ISNUMBER(OFFSET($A$1,ROW()-1,8)),OFFSET($A$1,ROW()-1,8),0))))))</f>
        <v/>
      </c>
      <c r="AF250" s="62">
        <f>IF($V250&lt;&gt;"Sub","",N($X250)*IF(AND(ISNUMBER($G250),$G250&lt;=IF($S250=MesCiclo,InicioCiclo,$S250+MOD(2-WEEKDAY($S250),7))+20),1,MIN(1,MAX(0,IF(ISNUMBER(OFFSET($A$1,ROW()-1,10)),OFFSET($A$1,ROW()-1,10),IF(ISNUMBER(OFFSET($A$1,ROW()-1,9)),OFFSET($A$1,ROW()-1,9),IF(ISNUMBER(OFFSET($A$1,ROW()-1,8)),OFFSET($A$1,ROW()-1,8),0)))))))</f>
        <v/>
      </c>
      <c r="AG250" s="62">
        <f>IF($V250&lt;&gt;"Sub","",N($X250)*IF(AND(ISNUMBER($G250),$G250&lt;=IF($S250=MesCiclo,InicioCiclo,$S250+MOD(2-WEEKDAY($S250),7))+27),1,MIN(1,MAX(0,IF(ISNUMBER(OFFSET($A$1,ROW()-1,11)),OFFSET($A$1,ROW()-1,11),IF(ISNUMBER(OFFSET($A$1,ROW()-1,10)),OFFSET($A$1,ROW()-1,10),IF(ISNUMBER(OFFSET($A$1,ROW()-1,9)),OFFSET($A$1,ROW()-1,9),IF(ISNUMBER(OFFSET($A$1,ROW()-1,8)),OFFSET($A$1,ROW()-1,8),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",IFERROR(MATCH("Riesgo Operacional|"&amp;MID($C250,12,500),rDname_ADM,0),0),"")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IF(N($W251)=0,"",IF(AND($S251=MesCiclo,1&gt;SemanaActual),"",MIN(1,SUMIFS(OFFSET($A$1,ROW(),29,1000-ROW(),1),OFFSET($A$1,ROW(),20,1000-ROW(),1),ROW(),OFFSET($A$1,ROW(),21,1000-ROW(),1),"Sub"))))</f>
        <v/>
      </c>
      <c r="J251" s="60">
        <f>IF(N($W251)=0,"",IF(AND($S251=MesCiclo,2&gt;SemanaActual),"",MIN(1,SUMIFS(OFFSET($A$1,ROW(),30,1000-ROW(),1),OFFSET($A$1,ROW(),20,1000-ROW(),1),ROW(),OFFSET($A$1,ROW(),21,1000-ROW(),1),"Sub"))))</f>
        <v/>
      </c>
      <c r="K251" s="60">
        <f>IF(N($W251)=0,"",IF(AND($S251=MesCiclo,3&gt;SemanaActual),"",MIN(1,SUMIFS(OFFSET($A$1,ROW(),31,1000-ROW(),1),OFFSET($A$1,ROW(),20,1000-ROW(),1),ROW(),OFFSET($A$1,ROW(),21,1000-ROW(),1),"Sub"))))</f>
        <v/>
      </c>
      <c r="L251" s="60">
        <f>IF(N($W251)=0,"",IF(AND($S251=MesCiclo,4&gt;SemanaActual),"",MIN(1,SUMIFS(OFFSET($A$1,ROW(),32,1000-ROW(),1),OFFSET($A$1,ROW(),20,1000-ROW(),1),ROW(),OFFSET($A$1,ROW(),21,1000-ROW(),1),"Sub"))))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IF($V251&lt;&gt;"Sub","",N($X251)*IF(AND(ISNUMBER($G251),$G251&lt;=IF($S251=MesCiclo,InicioCiclo,$S251+MOD(2-WEEKDAY($S251),7))+6),1,MIN(1,MAX(0,IF(ISNUMBER(OFFSET($A$1,ROW()-1,8)),OFFSET($A$1,ROW()-1,8),0)))))</f>
        <v/>
      </c>
      <c r="AE251" s="62">
        <f>IF($V251&lt;&gt;"Sub","",N($X251)*IF(AND(ISNUMBER($G251),$G251&lt;=IF($S251=MesCiclo,InicioCiclo,$S251+MOD(2-WEEKDAY($S251),7))+13),1,MIN(1,MAX(0,IF(ISNUMBER(OFFSET($A$1,ROW()-1,9)),OFFSET($A$1,ROW()-1,9),IF(ISNUMBER(OFFSET($A$1,ROW()-1,8)),OFFSET($A$1,ROW()-1,8),0))))))</f>
        <v/>
      </c>
      <c r="AF251" s="62">
        <f>IF($V251&lt;&gt;"Sub","",N($X251)*IF(AND(ISNUMBER($G251),$G251&lt;=IF($S251=MesCiclo,InicioCiclo,$S251+MOD(2-WEEKDAY($S251),7))+20),1,MIN(1,MAX(0,IF(ISNUMBER(OFFSET($A$1,ROW()-1,10)),OFFSET($A$1,ROW()-1,10),IF(ISNUMBER(OFFSET($A$1,ROW()-1,9)),OFFSET($A$1,ROW()-1,9),IF(ISNUMBER(OFFSET($A$1,ROW()-1,8)),OFFSET($A$1,ROW()-1,8),0)))))))</f>
        <v/>
      </c>
      <c r="AG251" s="62">
        <f>IF($V251&lt;&gt;"Sub","",N($X251)*IF(AND(ISNUMBER($G251),$G251&lt;=IF($S251=MesCiclo,InicioCiclo,$S251+MOD(2-WEEKDAY($S251),7))+27),1,MIN(1,MAX(0,IF(ISNUMBER(OFFSET($A$1,ROW()-1,11)),OFFSET($A$1,ROW()-1,11),IF(ISNUMBER(OFFSET($A$1,ROW()-1,10)),OFFSET($A$1,ROW()-1,10),IF(ISNUMBER(OFFSET($A$1,ROW()-1,9)),OFFSET($A$1,ROW()-1,9),IF(ISNUMBER(OFFSET($A$1,ROW()-1,8)),OFFSET($A$1,ROW()-1,8),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",IFERROR(MATCH("Riesgo Operacional|"&amp;MID($C251,12,500),rDname_ADM,0),0),"")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IF(N($W252)=0,"",IF(AND($S252=MesCiclo,1&gt;SemanaActual),"",MIN(1,SUMIFS(OFFSET($A$1,ROW(),29,1000-ROW(),1),OFFSET($A$1,ROW(),20,1000-ROW(),1),ROW(),OFFSET($A$1,ROW(),21,1000-ROW(),1),"Sub"))))</f>
        <v/>
      </c>
      <c r="J252" s="60">
        <f>IF(N($W252)=0,"",IF(AND($S252=MesCiclo,2&gt;SemanaActual),"",MIN(1,SUMIFS(OFFSET($A$1,ROW(),30,1000-ROW(),1),OFFSET($A$1,ROW(),20,1000-ROW(),1),ROW(),OFFSET($A$1,ROW(),21,1000-ROW(),1),"Sub"))))</f>
        <v/>
      </c>
      <c r="K252" s="60">
        <f>IF(N($W252)=0,"",IF(AND($S252=MesCiclo,3&gt;SemanaActual),"",MIN(1,SUMIFS(OFFSET($A$1,ROW(),31,1000-ROW(),1),OFFSET($A$1,ROW(),20,1000-ROW(),1),ROW(),OFFSET($A$1,ROW(),21,1000-ROW(),1),"Sub"))))</f>
        <v/>
      </c>
      <c r="L252" s="60">
        <f>IF(N($W252)=0,"",IF(AND($S252=MesCiclo,4&gt;SemanaActual),"",MIN(1,SUMIFS(OFFSET($A$1,ROW(),32,1000-ROW(),1),OFFSET($A$1,ROW(),20,1000-ROW(),1),ROW(),OFFSET($A$1,ROW(),21,1000-ROW(),1),"Sub"))))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IF($V252&lt;&gt;"Sub","",N($X252)*IF(AND(ISNUMBER($G252),$G252&lt;=IF($S252=MesCiclo,InicioCiclo,$S252+MOD(2-WEEKDAY($S252),7))+6),1,MIN(1,MAX(0,IF(ISNUMBER(OFFSET($A$1,ROW()-1,8)),OFFSET($A$1,ROW()-1,8),0)))))</f>
        <v/>
      </c>
      <c r="AE252" s="62">
        <f>IF($V252&lt;&gt;"Sub","",N($X252)*IF(AND(ISNUMBER($G252),$G252&lt;=IF($S252=MesCiclo,InicioCiclo,$S252+MOD(2-WEEKDAY($S252),7))+13),1,MIN(1,MAX(0,IF(ISNUMBER(OFFSET($A$1,ROW()-1,9)),OFFSET($A$1,ROW()-1,9),IF(ISNUMBER(OFFSET($A$1,ROW()-1,8)),OFFSET($A$1,ROW()-1,8),0))))))</f>
        <v/>
      </c>
      <c r="AF252" s="62">
        <f>IF($V252&lt;&gt;"Sub","",N($X252)*IF(AND(ISNUMBER($G252),$G252&lt;=IF($S252=MesCiclo,InicioCiclo,$S252+MOD(2-WEEKDAY($S252),7))+20),1,MIN(1,MAX(0,IF(ISNUMBER(OFFSET($A$1,ROW()-1,10)),OFFSET($A$1,ROW()-1,10),IF(ISNUMBER(OFFSET($A$1,ROW()-1,9)),OFFSET($A$1,ROW()-1,9),IF(ISNUMBER(OFFSET($A$1,ROW()-1,8)),OFFSET($A$1,ROW()-1,8),0)))))))</f>
        <v/>
      </c>
      <c r="AG252" s="62">
        <f>IF($V252&lt;&gt;"Sub","",N($X252)*IF(AND(ISNUMBER($G252),$G252&lt;=IF($S252=MesCiclo,InicioCiclo,$S252+MOD(2-WEEKDAY($S252),7))+27),1,MIN(1,MAX(0,IF(ISNUMBER(OFFSET($A$1,ROW()-1,11)),OFFSET($A$1,ROW()-1,11),IF(ISNUMBER(OFFSET($A$1,ROW()-1,10)),OFFSET($A$1,ROW()-1,10),IF(ISNUMBER(OFFSET($A$1,ROW()-1,9)),OFFSET($A$1,ROW()-1,9),IF(ISNUMBER(OFFSET($A$1,ROW()-1,8)),OFFSET($A$1,ROW()-1,8),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",IFERROR(MATCH("Riesgo Operacional|"&amp;MID($C252,12,500),rDname_ADM,0),0),"")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IF(N($W253)=0,"",IF(AND($S253=MesCiclo,1&gt;SemanaActual),"",MIN(1,SUMIFS(OFFSET($A$1,ROW(),29,1000-ROW(),1),OFFSET($A$1,ROW(),20,1000-ROW(),1),ROW(),OFFSET($A$1,ROW(),21,1000-ROW(),1),"Sub"))))</f>
        <v/>
      </c>
      <c r="J253" s="60">
        <f>IF(N($W253)=0,"",IF(AND($S253=MesCiclo,2&gt;SemanaActual),"",MIN(1,SUMIFS(OFFSET($A$1,ROW(),30,1000-ROW(),1),OFFSET($A$1,ROW(),20,1000-ROW(),1),ROW(),OFFSET($A$1,ROW(),21,1000-ROW(),1),"Sub"))))</f>
        <v/>
      </c>
      <c r="K253" s="60">
        <f>IF(N($W253)=0,"",IF(AND($S253=MesCiclo,3&gt;SemanaActual),"",MIN(1,SUMIFS(OFFSET($A$1,ROW(),31,1000-ROW(),1),OFFSET($A$1,ROW(),20,1000-ROW(),1),ROW(),OFFSET($A$1,ROW(),21,1000-ROW(),1),"Sub"))))</f>
        <v/>
      </c>
      <c r="L253" s="60">
        <f>IF(N($W253)=0,"",IF(AND($S253=MesCiclo,4&gt;SemanaActual),"",MIN(1,SUMIFS(OFFSET($A$1,ROW(),32,1000-ROW(),1),OFFSET($A$1,ROW(),20,1000-ROW(),1),ROW(),OFFSET($A$1,ROW(),21,1000-ROW(),1),"Sub"))))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IF($V253&lt;&gt;"Sub","",N($X253)*IF(AND(ISNUMBER($G253),$G253&lt;=IF($S253=MesCiclo,InicioCiclo,$S253+MOD(2-WEEKDAY($S253),7))+6),1,MIN(1,MAX(0,IF(ISNUMBER(OFFSET($A$1,ROW()-1,8)),OFFSET($A$1,ROW()-1,8),0)))))</f>
        <v/>
      </c>
      <c r="AE253" s="62">
        <f>IF($V253&lt;&gt;"Sub","",N($X253)*IF(AND(ISNUMBER($G253),$G253&lt;=IF($S253=MesCiclo,InicioCiclo,$S253+MOD(2-WEEKDAY($S253),7))+13),1,MIN(1,MAX(0,IF(ISNUMBER(OFFSET($A$1,ROW()-1,9)),OFFSET($A$1,ROW()-1,9),IF(ISNUMBER(OFFSET($A$1,ROW()-1,8)),OFFSET($A$1,ROW()-1,8),0))))))</f>
        <v/>
      </c>
      <c r="AF253" s="62">
        <f>IF($V253&lt;&gt;"Sub","",N($X253)*IF(AND(ISNUMBER($G253),$G253&lt;=IF($S253=MesCiclo,InicioCiclo,$S253+MOD(2-WEEKDAY($S253),7))+20),1,MIN(1,MAX(0,IF(ISNUMBER(OFFSET($A$1,ROW()-1,10)),OFFSET($A$1,ROW()-1,10),IF(ISNUMBER(OFFSET($A$1,ROW()-1,9)),OFFSET($A$1,ROW()-1,9),IF(ISNUMBER(OFFSET($A$1,ROW()-1,8)),OFFSET($A$1,ROW()-1,8),0)))))))</f>
        <v/>
      </c>
      <c r="AG253" s="62">
        <f>IF($V253&lt;&gt;"Sub","",N($X253)*IF(AND(ISNUMBER($G253),$G253&lt;=IF($S253=MesCiclo,InicioCiclo,$S253+MOD(2-WEEKDAY($S253),7))+27),1,MIN(1,MAX(0,IF(ISNUMBER(OFFSET($A$1,ROW()-1,11)),OFFSET($A$1,ROW()-1,11),IF(ISNUMBER(OFFSET($A$1,ROW()-1,10)),OFFSET($A$1,ROW()-1,10),IF(ISNUMBER(OFFSET($A$1,ROW()-1,9)),OFFSET($A$1,ROW()-1,9),IF(ISNUMBER(OFFSET($A$1,ROW()-1,8)),OFFSET($A$1,ROW()-1,8),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",IFERROR(MATCH("Riesgo Operacional|"&amp;MID($C253,12,500),rDname_ADM,0),0),"")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IF(N($W254)=0,"",IF(AND($S254=MesCiclo,1&gt;SemanaActual),"",MIN(1,SUMIFS(OFFSET($A$1,ROW(),29,1000-ROW(),1),OFFSET($A$1,ROW(),20,1000-ROW(),1),ROW(),OFFSET($A$1,ROW(),21,1000-ROW(),1),"Sub"))))</f>
        <v/>
      </c>
      <c r="J254" s="60">
        <f>IF(N($W254)=0,"",IF(AND($S254=MesCiclo,2&gt;SemanaActual),"",MIN(1,SUMIFS(OFFSET($A$1,ROW(),30,1000-ROW(),1),OFFSET($A$1,ROW(),20,1000-ROW(),1),ROW(),OFFSET($A$1,ROW(),21,1000-ROW(),1),"Sub"))))</f>
        <v/>
      </c>
      <c r="K254" s="60">
        <f>IF(N($W254)=0,"",IF(AND($S254=MesCiclo,3&gt;SemanaActual),"",MIN(1,SUMIFS(OFFSET($A$1,ROW(),31,1000-ROW(),1),OFFSET($A$1,ROW(),20,1000-ROW(),1),ROW(),OFFSET($A$1,ROW(),21,1000-ROW(),1),"Sub"))))</f>
        <v/>
      </c>
      <c r="L254" s="60">
        <f>IF(N($W254)=0,"",IF(AND($S254=MesCiclo,4&gt;SemanaActual),"",MIN(1,SUMIFS(OFFSET($A$1,ROW(),32,1000-ROW(),1),OFFSET($A$1,ROW(),20,1000-ROW(),1),ROW(),OFFSET($A$1,ROW(),21,1000-ROW(),1),"Sub"))))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IF($V254&lt;&gt;"Sub","",N($X254)*IF(AND(ISNUMBER($G254),$G254&lt;=IF($S254=MesCiclo,InicioCiclo,$S254+MOD(2-WEEKDAY($S254),7))+6),1,MIN(1,MAX(0,IF(ISNUMBER(OFFSET($A$1,ROW()-1,8)),OFFSET($A$1,ROW()-1,8),0)))))</f>
        <v/>
      </c>
      <c r="AE254" s="62">
        <f>IF($V254&lt;&gt;"Sub","",N($X254)*IF(AND(ISNUMBER($G254),$G254&lt;=IF($S254=MesCiclo,InicioCiclo,$S254+MOD(2-WEEKDAY($S254),7))+13),1,MIN(1,MAX(0,IF(ISNUMBER(OFFSET($A$1,ROW()-1,9)),OFFSET($A$1,ROW()-1,9),IF(ISNUMBER(OFFSET($A$1,ROW()-1,8)),OFFSET($A$1,ROW()-1,8),0))))))</f>
        <v/>
      </c>
      <c r="AF254" s="62">
        <f>IF($V254&lt;&gt;"Sub","",N($X254)*IF(AND(ISNUMBER($G254),$G254&lt;=IF($S254=MesCiclo,InicioCiclo,$S254+MOD(2-WEEKDAY($S254),7))+20),1,MIN(1,MAX(0,IF(ISNUMBER(OFFSET($A$1,ROW()-1,10)),OFFSET($A$1,ROW()-1,10),IF(ISNUMBER(OFFSET($A$1,ROW()-1,9)),OFFSET($A$1,ROW()-1,9),IF(ISNUMBER(OFFSET($A$1,ROW()-1,8)),OFFSET($A$1,ROW()-1,8),0)))))))</f>
        <v/>
      </c>
      <c r="AG254" s="62">
        <f>IF($V254&lt;&gt;"Sub","",N($X254)*IF(AND(ISNUMBER($G254),$G254&lt;=IF($S254=MesCiclo,InicioCiclo,$S254+MOD(2-WEEKDAY($S254),7))+27),1,MIN(1,MAX(0,IF(ISNUMBER(OFFSET($A$1,ROW()-1,11)),OFFSET($A$1,ROW()-1,11),IF(ISNUMBER(OFFSET($A$1,ROW()-1,10)),OFFSET($A$1,ROW()-1,10),IF(ISNUMBER(OFFSET($A$1,ROW()-1,9)),OFFSET($A$1,ROW()-1,9),IF(ISNUMBER(OFFSET($A$1,ROW()-1,8)),OFFSET($A$1,ROW()-1,8),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",IFERROR(MATCH("Riesgo Operacional|"&amp;MID($C254,12,500),rDname_ADM,0),0),"")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IF(N($W255)=0,"",IF(AND($S255=MesCiclo,1&gt;SemanaActual),"",MIN(1,SUMIFS(OFFSET($A$1,ROW(),29,1000-ROW(),1),OFFSET($A$1,ROW(),20,1000-ROW(),1),ROW(),OFFSET($A$1,ROW(),21,1000-ROW(),1),"Sub"))))</f>
        <v/>
      </c>
      <c r="J255" s="60">
        <f>IF(N($W255)=0,"",IF(AND($S255=MesCiclo,2&gt;SemanaActual),"",MIN(1,SUMIFS(OFFSET($A$1,ROW(),30,1000-ROW(),1),OFFSET($A$1,ROW(),20,1000-ROW(),1),ROW(),OFFSET($A$1,ROW(),21,1000-ROW(),1),"Sub"))))</f>
        <v/>
      </c>
      <c r="K255" s="60">
        <f>IF(N($W255)=0,"",IF(AND($S255=MesCiclo,3&gt;SemanaActual),"",MIN(1,SUMIFS(OFFSET($A$1,ROW(),31,1000-ROW(),1),OFFSET($A$1,ROW(),20,1000-ROW(),1),ROW(),OFFSET($A$1,ROW(),21,1000-ROW(),1),"Sub"))))</f>
        <v/>
      </c>
      <c r="L255" s="60">
        <f>IF(N($W255)=0,"",IF(AND($S255=MesCiclo,4&gt;SemanaActual),"",MIN(1,SUMIFS(OFFSET($A$1,ROW(),32,1000-ROW(),1),OFFSET($A$1,ROW(),20,1000-ROW(),1),ROW(),OFFSET($A$1,ROW(),21,1000-ROW(),1),"Sub"))))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IF($V255&lt;&gt;"Sub","",N($X255)*IF(AND(ISNUMBER($G255),$G255&lt;=IF($S255=MesCiclo,InicioCiclo,$S255+MOD(2-WEEKDAY($S255),7))+6),1,MIN(1,MAX(0,IF(ISNUMBER(OFFSET($A$1,ROW()-1,8)),OFFSET($A$1,ROW()-1,8),0)))))</f>
        <v/>
      </c>
      <c r="AE255" s="62">
        <f>IF($V255&lt;&gt;"Sub","",N($X255)*IF(AND(ISNUMBER($G255),$G255&lt;=IF($S255=MesCiclo,InicioCiclo,$S255+MOD(2-WEEKDAY($S255),7))+13),1,MIN(1,MAX(0,IF(ISNUMBER(OFFSET($A$1,ROW()-1,9)),OFFSET($A$1,ROW()-1,9),IF(ISNUMBER(OFFSET($A$1,ROW()-1,8)),OFFSET($A$1,ROW()-1,8),0))))))</f>
        <v/>
      </c>
      <c r="AF255" s="62">
        <f>IF($V255&lt;&gt;"Sub","",N($X255)*IF(AND(ISNUMBER($G255),$G255&lt;=IF($S255=MesCiclo,InicioCiclo,$S255+MOD(2-WEEKDAY($S255),7))+20),1,MIN(1,MAX(0,IF(ISNUMBER(OFFSET($A$1,ROW()-1,10)),OFFSET($A$1,ROW()-1,10),IF(ISNUMBER(OFFSET($A$1,ROW()-1,9)),OFFSET($A$1,ROW()-1,9),IF(ISNUMBER(OFFSET($A$1,ROW()-1,8)),OFFSET($A$1,ROW()-1,8),0)))))))</f>
        <v/>
      </c>
      <c r="AG255" s="62">
        <f>IF($V255&lt;&gt;"Sub","",N($X255)*IF(AND(ISNUMBER($G255),$G255&lt;=IF($S255=MesCiclo,InicioCiclo,$S255+MOD(2-WEEKDAY($S255),7))+27),1,MIN(1,MAX(0,IF(ISNUMBER(OFFSET($A$1,ROW()-1,11)),OFFSET($A$1,ROW()-1,11),IF(ISNUMBER(OFFSET($A$1,ROW()-1,10)),OFFSET($A$1,ROW()-1,10),IF(ISNUMBER(OFFSET($A$1,ROW()-1,9)),OFFSET($A$1,ROW()-1,9),IF(ISNUMBER(OFFSET($A$1,ROW()-1,8)),OFFSET($A$1,ROW()-1,8),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",IFERROR(MATCH("Riesgo Operacional|"&amp;MID($C255,12,500),rDname_ADM,0),0),"")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IF(N($W256)=0,"",IF(AND($S256=MesCiclo,1&gt;SemanaActual),"",MIN(1,SUMIFS(OFFSET($A$1,ROW(),29,1000-ROW(),1),OFFSET($A$1,ROW(),20,1000-ROW(),1),ROW(),OFFSET($A$1,ROW(),21,1000-ROW(),1),"Sub"))))</f>
        <v/>
      </c>
      <c r="J256" s="60">
        <f>IF(N($W256)=0,"",IF(AND($S256=MesCiclo,2&gt;SemanaActual),"",MIN(1,SUMIFS(OFFSET($A$1,ROW(),30,1000-ROW(),1),OFFSET($A$1,ROW(),20,1000-ROW(),1),ROW(),OFFSET($A$1,ROW(),21,1000-ROW(),1),"Sub"))))</f>
        <v/>
      </c>
      <c r="K256" s="60">
        <f>IF(N($W256)=0,"",IF(AND($S256=MesCiclo,3&gt;SemanaActual),"",MIN(1,SUMIFS(OFFSET($A$1,ROW(),31,1000-ROW(),1),OFFSET($A$1,ROW(),20,1000-ROW(),1),ROW(),OFFSET($A$1,ROW(),21,1000-ROW(),1),"Sub"))))</f>
        <v/>
      </c>
      <c r="L256" s="60">
        <f>IF(N($W256)=0,"",IF(AND($S256=MesCiclo,4&gt;SemanaActual),"",MIN(1,SUMIFS(OFFSET($A$1,ROW(),32,1000-ROW(),1),OFFSET($A$1,ROW(),20,1000-ROW(),1),ROW(),OFFSET($A$1,ROW(),21,1000-ROW(),1),"Sub"))))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IF($V256&lt;&gt;"Sub","",N($X256)*IF(AND(ISNUMBER($G256),$G256&lt;=IF($S256=MesCiclo,InicioCiclo,$S256+MOD(2-WEEKDAY($S256),7))+6),1,MIN(1,MAX(0,IF(ISNUMBER(OFFSET($A$1,ROW()-1,8)),OFFSET($A$1,ROW()-1,8),0)))))</f>
        <v/>
      </c>
      <c r="AE256" s="62">
        <f>IF($V256&lt;&gt;"Sub","",N($X256)*IF(AND(ISNUMBER($G256),$G256&lt;=IF($S256=MesCiclo,InicioCiclo,$S256+MOD(2-WEEKDAY($S256),7))+13),1,MIN(1,MAX(0,IF(ISNUMBER(OFFSET($A$1,ROW()-1,9)),OFFSET($A$1,ROW()-1,9),IF(ISNUMBER(OFFSET($A$1,ROW()-1,8)),OFFSET($A$1,ROW()-1,8),0))))))</f>
        <v/>
      </c>
      <c r="AF256" s="62">
        <f>IF($V256&lt;&gt;"Sub","",N($X256)*IF(AND(ISNUMBER($G256),$G256&lt;=IF($S256=MesCiclo,InicioCiclo,$S256+MOD(2-WEEKDAY($S256),7))+20),1,MIN(1,MAX(0,IF(ISNUMBER(OFFSET($A$1,ROW()-1,10)),OFFSET($A$1,ROW()-1,10),IF(ISNUMBER(OFFSET($A$1,ROW()-1,9)),OFFSET($A$1,ROW()-1,9),IF(ISNUMBER(OFFSET($A$1,ROW()-1,8)),OFFSET($A$1,ROW()-1,8),0)))))))</f>
        <v/>
      </c>
      <c r="AG256" s="62">
        <f>IF($V256&lt;&gt;"Sub","",N($X256)*IF(AND(ISNUMBER($G256),$G256&lt;=IF($S256=MesCiclo,InicioCiclo,$S256+MOD(2-WEEKDAY($S256),7))+27),1,MIN(1,MAX(0,IF(ISNUMBER(OFFSET($A$1,ROW()-1,11)),OFFSET($A$1,ROW()-1,11),IF(ISNUMBER(OFFSET($A$1,ROW()-1,10)),OFFSET($A$1,ROW()-1,10),IF(ISNUMBER(OFFSET($A$1,ROW()-1,9)),OFFSET($A$1,ROW()-1,9),IF(ISNUMBER(OFFSET($A$1,ROW()-1,8)),OFFSET($A$1,ROW()-1,8),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",IFERROR(MATCH("Riesgo Operacional|"&amp;MID($C256,12,500),rDname_ADM,0),0),"")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IF(N($W257)=0,"",IF(AND($S257=MesCiclo,1&gt;SemanaActual),"",MIN(1,SUMIFS(OFFSET($A$1,ROW(),29,1000-ROW(),1),OFFSET($A$1,ROW(),20,1000-ROW(),1),ROW(),OFFSET($A$1,ROW(),21,1000-ROW(),1),"Sub"))))</f>
        <v/>
      </c>
      <c r="J257" s="60">
        <f>IF(N($W257)=0,"",IF(AND($S257=MesCiclo,2&gt;SemanaActual),"",MIN(1,SUMIFS(OFFSET($A$1,ROW(),30,1000-ROW(),1),OFFSET($A$1,ROW(),20,1000-ROW(),1),ROW(),OFFSET($A$1,ROW(),21,1000-ROW(),1),"Sub"))))</f>
        <v/>
      </c>
      <c r="K257" s="60">
        <f>IF(N($W257)=0,"",IF(AND($S257=MesCiclo,3&gt;SemanaActual),"",MIN(1,SUMIFS(OFFSET($A$1,ROW(),31,1000-ROW(),1),OFFSET($A$1,ROW(),20,1000-ROW(),1),ROW(),OFFSET($A$1,ROW(),21,1000-ROW(),1),"Sub"))))</f>
        <v/>
      </c>
      <c r="L257" s="60">
        <f>IF(N($W257)=0,"",IF(AND($S257=MesCiclo,4&gt;SemanaActual),"",MIN(1,SUMIFS(OFFSET($A$1,ROW(),32,1000-ROW(),1),OFFSET($A$1,ROW(),20,1000-ROW(),1),ROW(),OFFSET($A$1,ROW(),21,1000-ROW(),1),"Sub"))))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IF($V257&lt;&gt;"Sub","",N($X257)*IF(AND(ISNUMBER($G257),$G257&lt;=IF($S257=MesCiclo,InicioCiclo,$S257+MOD(2-WEEKDAY($S257),7))+6),1,MIN(1,MAX(0,IF(ISNUMBER(OFFSET($A$1,ROW()-1,8)),OFFSET($A$1,ROW()-1,8),0)))))</f>
        <v/>
      </c>
      <c r="AE257" s="62">
        <f>IF($V257&lt;&gt;"Sub","",N($X257)*IF(AND(ISNUMBER($G257),$G257&lt;=IF($S257=MesCiclo,InicioCiclo,$S257+MOD(2-WEEKDAY($S257),7))+13),1,MIN(1,MAX(0,IF(ISNUMBER(OFFSET($A$1,ROW()-1,9)),OFFSET($A$1,ROW()-1,9),IF(ISNUMBER(OFFSET($A$1,ROW()-1,8)),OFFSET($A$1,ROW()-1,8),0))))))</f>
        <v/>
      </c>
      <c r="AF257" s="62">
        <f>IF($V257&lt;&gt;"Sub","",N($X257)*IF(AND(ISNUMBER($G257),$G257&lt;=IF($S257=MesCiclo,InicioCiclo,$S257+MOD(2-WEEKDAY($S257),7))+20),1,MIN(1,MAX(0,IF(ISNUMBER(OFFSET($A$1,ROW()-1,10)),OFFSET($A$1,ROW()-1,10),IF(ISNUMBER(OFFSET($A$1,ROW()-1,9)),OFFSET($A$1,ROW()-1,9),IF(ISNUMBER(OFFSET($A$1,ROW()-1,8)),OFFSET($A$1,ROW()-1,8),0)))))))</f>
        <v/>
      </c>
      <c r="AG257" s="62">
        <f>IF($V257&lt;&gt;"Sub","",N($X257)*IF(AND(ISNUMBER($G257),$G257&lt;=IF($S257=MesCiclo,InicioCiclo,$S257+MOD(2-WEEKDAY($S257),7))+27),1,MIN(1,MAX(0,IF(ISNUMBER(OFFSET($A$1,ROW()-1,11)),OFFSET($A$1,ROW()-1,11),IF(ISNUMBER(OFFSET($A$1,ROW()-1,10)),OFFSET($A$1,ROW()-1,10),IF(ISNUMBER(OFFSET($A$1,ROW()-1,9)),OFFSET($A$1,ROW()-1,9),IF(ISNUMBER(OFFSET($A$1,ROW()-1,8)),OFFSET($A$1,ROW()-1,8),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",IFERROR(MATCH("Riesgo Operacional|"&amp;MID($C257,12,500),rDname_ADM,0),0),"")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IF(N($W258)=0,"",IF(AND($S258=MesCiclo,1&gt;SemanaActual),"",MIN(1,SUMIFS(OFFSET($A$1,ROW(),29,1000-ROW(),1),OFFSET($A$1,ROW(),20,1000-ROW(),1),ROW(),OFFSET($A$1,ROW(),21,1000-ROW(),1),"Sub"))))</f>
        <v/>
      </c>
      <c r="J258" s="60">
        <f>IF(N($W258)=0,"",IF(AND($S258=MesCiclo,2&gt;SemanaActual),"",MIN(1,SUMIFS(OFFSET($A$1,ROW(),30,1000-ROW(),1),OFFSET($A$1,ROW(),20,1000-ROW(),1),ROW(),OFFSET($A$1,ROW(),21,1000-ROW(),1),"Sub"))))</f>
        <v/>
      </c>
      <c r="K258" s="60">
        <f>IF(N($W258)=0,"",IF(AND($S258=MesCiclo,3&gt;SemanaActual),"",MIN(1,SUMIFS(OFFSET($A$1,ROW(),31,1000-ROW(),1),OFFSET($A$1,ROW(),20,1000-ROW(),1),ROW(),OFFSET($A$1,ROW(),21,1000-ROW(),1),"Sub"))))</f>
        <v/>
      </c>
      <c r="L258" s="60">
        <f>IF(N($W258)=0,"",IF(AND($S258=MesCiclo,4&gt;SemanaActual),"",MIN(1,SUMIFS(OFFSET($A$1,ROW(),32,1000-ROW(),1),OFFSET($A$1,ROW(),20,1000-ROW(),1),ROW(),OFFSET($A$1,ROW(),21,1000-ROW(),1),"Sub"))))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IF($V258&lt;&gt;"Sub","",N($X258)*IF(AND(ISNUMBER($G258),$G258&lt;=IF($S258=MesCiclo,InicioCiclo,$S258+MOD(2-WEEKDAY($S258),7))+6),1,MIN(1,MAX(0,IF(ISNUMBER(OFFSET($A$1,ROW()-1,8)),OFFSET($A$1,ROW()-1,8),0)))))</f>
        <v/>
      </c>
      <c r="AE258" s="62">
        <f>IF($V258&lt;&gt;"Sub","",N($X258)*IF(AND(ISNUMBER($G258),$G258&lt;=IF($S258=MesCiclo,InicioCiclo,$S258+MOD(2-WEEKDAY($S258),7))+13),1,MIN(1,MAX(0,IF(ISNUMBER(OFFSET($A$1,ROW()-1,9)),OFFSET($A$1,ROW()-1,9),IF(ISNUMBER(OFFSET($A$1,ROW()-1,8)),OFFSET($A$1,ROW()-1,8),0))))))</f>
        <v/>
      </c>
      <c r="AF258" s="62">
        <f>IF($V258&lt;&gt;"Sub","",N($X258)*IF(AND(ISNUMBER($G258),$G258&lt;=IF($S258=MesCiclo,InicioCiclo,$S258+MOD(2-WEEKDAY($S258),7))+20),1,MIN(1,MAX(0,IF(ISNUMBER(OFFSET($A$1,ROW()-1,10)),OFFSET($A$1,ROW()-1,10),IF(ISNUMBER(OFFSET($A$1,ROW()-1,9)),OFFSET($A$1,ROW()-1,9),IF(ISNUMBER(OFFSET($A$1,ROW()-1,8)),OFFSET($A$1,ROW()-1,8),0)))))))</f>
        <v/>
      </c>
      <c r="AG258" s="62">
        <f>IF($V258&lt;&gt;"Sub","",N($X258)*IF(AND(ISNUMBER($G258),$G258&lt;=IF($S258=MesCiclo,InicioCiclo,$S258+MOD(2-WEEKDAY($S258),7))+27),1,MIN(1,MAX(0,IF(ISNUMBER(OFFSET($A$1,ROW()-1,11)),OFFSET($A$1,ROW()-1,11),IF(ISNUMBER(OFFSET($A$1,ROW()-1,10)),OFFSET($A$1,ROW()-1,10),IF(ISNUMBER(OFFSET($A$1,ROW()-1,9)),OFFSET($A$1,ROW()-1,9),IF(ISNUMBER(OFFSET($A$1,ROW()-1,8)),OFFSET($A$1,ROW()-1,8),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",IFERROR(MATCH("Riesgo Operacional|"&amp;MID($C258,12,500),rDname_ADM,0),0),"")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IF(N($W259)=0,"",IF(AND($S259=MesCiclo,1&gt;SemanaActual),"",MIN(1,SUMIFS(OFFSET($A$1,ROW(),29,1000-ROW(),1),OFFSET($A$1,ROW(),20,1000-ROW(),1),ROW(),OFFSET($A$1,ROW(),21,1000-ROW(),1),"Sub"))))</f>
        <v/>
      </c>
      <c r="J259" s="60">
        <f>IF(N($W259)=0,"",IF(AND($S259=MesCiclo,2&gt;SemanaActual),"",MIN(1,SUMIFS(OFFSET($A$1,ROW(),30,1000-ROW(),1),OFFSET($A$1,ROW(),20,1000-ROW(),1),ROW(),OFFSET($A$1,ROW(),21,1000-ROW(),1),"Sub"))))</f>
        <v/>
      </c>
      <c r="K259" s="60">
        <f>IF(N($W259)=0,"",IF(AND($S259=MesCiclo,3&gt;SemanaActual),"",MIN(1,SUMIFS(OFFSET($A$1,ROW(),31,1000-ROW(),1),OFFSET($A$1,ROW(),20,1000-ROW(),1),ROW(),OFFSET($A$1,ROW(),21,1000-ROW(),1),"Sub"))))</f>
        <v/>
      </c>
      <c r="L259" s="60">
        <f>IF(N($W259)=0,"",IF(AND($S259=MesCiclo,4&gt;SemanaActual),"",MIN(1,SUMIFS(OFFSET($A$1,ROW(),32,1000-ROW(),1),OFFSET($A$1,ROW(),20,1000-ROW(),1),ROW(),OFFSET($A$1,ROW(),21,1000-ROW(),1),"Sub"))))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IF($V259&lt;&gt;"Sub","",N($X259)*IF(AND(ISNUMBER($G259),$G259&lt;=IF($S259=MesCiclo,InicioCiclo,$S259+MOD(2-WEEKDAY($S259),7))+6),1,MIN(1,MAX(0,IF(ISNUMBER(OFFSET($A$1,ROW()-1,8)),OFFSET($A$1,ROW()-1,8),0)))))</f>
        <v/>
      </c>
      <c r="AE259" s="62">
        <f>IF($V259&lt;&gt;"Sub","",N($X259)*IF(AND(ISNUMBER($G259),$G259&lt;=IF($S259=MesCiclo,InicioCiclo,$S259+MOD(2-WEEKDAY($S259),7))+13),1,MIN(1,MAX(0,IF(ISNUMBER(OFFSET($A$1,ROW()-1,9)),OFFSET($A$1,ROW()-1,9),IF(ISNUMBER(OFFSET($A$1,ROW()-1,8)),OFFSET($A$1,ROW()-1,8),0))))))</f>
        <v/>
      </c>
      <c r="AF259" s="62">
        <f>IF($V259&lt;&gt;"Sub","",N($X259)*IF(AND(ISNUMBER($G259),$G259&lt;=IF($S259=MesCiclo,InicioCiclo,$S259+MOD(2-WEEKDAY($S259),7))+20),1,MIN(1,MAX(0,IF(ISNUMBER(OFFSET($A$1,ROW()-1,10)),OFFSET($A$1,ROW()-1,10),IF(ISNUMBER(OFFSET($A$1,ROW()-1,9)),OFFSET($A$1,ROW()-1,9),IF(ISNUMBER(OFFSET($A$1,ROW()-1,8)),OFFSET($A$1,ROW()-1,8),0)))))))</f>
        <v/>
      </c>
      <c r="AG259" s="62">
        <f>IF($V259&lt;&gt;"Sub","",N($X259)*IF(AND(ISNUMBER($G259),$G259&lt;=IF($S259=MesCiclo,InicioCiclo,$S259+MOD(2-WEEKDAY($S259),7))+27),1,MIN(1,MAX(0,IF(ISNUMBER(OFFSET($A$1,ROW()-1,11)),OFFSET($A$1,ROW()-1,11),IF(ISNUMBER(OFFSET($A$1,ROW()-1,10)),OFFSET($A$1,ROW()-1,10),IF(ISNUMBER(OFFSET($A$1,ROW()-1,9)),OFFSET($A$1,ROW()-1,9),IF(ISNUMBER(OFFSET($A$1,ROW()-1,8)),OFFSET($A$1,ROW()-1,8),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",IFERROR(MATCH("Riesgo Operacional|"&amp;MID($C259,12,500),rDname_ADM,0),0),"")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IF(N($W260)=0,"",IF(AND($S260=MesCiclo,1&gt;SemanaActual),"",MIN(1,SUMIFS(OFFSET($A$1,ROW(),29,1000-ROW(),1),OFFSET($A$1,ROW(),20,1000-ROW(),1),ROW(),OFFSET($A$1,ROW(),21,1000-ROW(),1),"Sub"))))</f>
        <v/>
      </c>
      <c r="J260" s="60">
        <f>IF(N($W260)=0,"",IF(AND($S260=MesCiclo,2&gt;SemanaActual),"",MIN(1,SUMIFS(OFFSET($A$1,ROW(),30,1000-ROW(),1),OFFSET($A$1,ROW(),20,1000-ROW(),1),ROW(),OFFSET($A$1,ROW(),21,1000-ROW(),1),"Sub"))))</f>
        <v/>
      </c>
      <c r="K260" s="60">
        <f>IF(N($W260)=0,"",IF(AND($S260=MesCiclo,3&gt;SemanaActual),"",MIN(1,SUMIFS(OFFSET($A$1,ROW(),31,1000-ROW(),1),OFFSET($A$1,ROW(),20,1000-ROW(),1),ROW(),OFFSET($A$1,ROW(),21,1000-ROW(),1),"Sub"))))</f>
        <v/>
      </c>
      <c r="L260" s="60">
        <f>IF(N($W260)=0,"",IF(AND($S260=MesCiclo,4&gt;SemanaActual),"",MIN(1,SUMIFS(OFFSET($A$1,ROW(),32,1000-ROW(),1),OFFSET($A$1,ROW(),20,1000-ROW(),1),ROW(),OFFSET($A$1,ROW(),21,1000-ROW(),1),"Sub"))))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IF($V260&lt;&gt;"Sub","",N($X260)*IF(AND(ISNUMBER($G260),$G260&lt;=IF($S260=MesCiclo,InicioCiclo,$S260+MOD(2-WEEKDAY($S260),7))+6),1,MIN(1,MAX(0,IF(ISNUMBER(OFFSET($A$1,ROW()-1,8)),OFFSET($A$1,ROW()-1,8),0)))))</f>
        <v/>
      </c>
      <c r="AE260" s="62">
        <f>IF($V260&lt;&gt;"Sub","",N($X260)*IF(AND(ISNUMBER($G260),$G260&lt;=IF($S260=MesCiclo,InicioCiclo,$S260+MOD(2-WEEKDAY($S260),7))+13),1,MIN(1,MAX(0,IF(ISNUMBER(OFFSET($A$1,ROW()-1,9)),OFFSET($A$1,ROW()-1,9),IF(ISNUMBER(OFFSET($A$1,ROW()-1,8)),OFFSET($A$1,ROW()-1,8),0))))))</f>
        <v/>
      </c>
      <c r="AF260" s="62">
        <f>IF($V260&lt;&gt;"Sub","",N($X260)*IF(AND(ISNUMBER($G260),$G260&lt;=IF($S260=MesCiclo,InicioCiclo,$S260+MOD(2-WEEKDAY($S260),7))+20),1,MIN(1,MAX(0,IF(ISNUMBER(OFFSET($A$1,ROW()-1,10)),OFFSET($A$1,ROW()-1,10),IF(ISNUMBER(OFFSET($A$1,ROW()-1,9)),OFFSET($A$1,ROW()-1,9),IF(ISNUMBER(OFFSET($A$1,ROW()-1,8)),OFFSET($A$1,ROW()-1,8),0)))))))</f>
        <v/>
      </c>
      <c r="AG260" s="62">
        <f>IF($V260&lt;&gt;"Sub","",N($X260)*IF(AND(ISNUMBER($G260),$G260&lt;=IF($S260=MesCiclo,InicioCiclo,$S260+MOD(2-WEEKDAY($S260),7))+27),1,MIN(1,MAX(0,IF(ISNUMBER(OFFSET($A$1,ROW()-1,11)),OFFSET($A$1,ROW()-1,11),IF(ISNUMBER(OFFSET($A$1,ROW()-1,10)),OFFSET($A$1,ROW()-1,10),IF(ISNUMBER(OFFSET($A$1,ROW()-1,9)),OFFSET($A$1,ROW()-1,9),IF(ISNUMBER(OFFSET($A$1,ROW()-1,8)),OFFSET($A$1,ROW()-1,8),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",IFERROR(MATCH("Riesgo Operacional|"&amp;MID($C260,12,500),rDname_ADM,0),0),"")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IF(N($W261)=0,"",IF(AND($S261=MesCiclo,1&gt;SemanaActual),"",MIN(1,SUMIFS(OFFSET($A$1,ROW(),29,1000-ROW(),1),OFFSET($A$1,ROW(),20,1000-ROW(),1),ROW(),OFFSET($A$1,ROW(),21,1000-ROW(),1),"Sub"))))</f>
        <v/>
      </c>
      <c r="J261" s="60">
        <f>IF(N($W261)=0,"",IF(AND($S261=MesCiclo,2&gt;SemanaActual),"",MIN(1,SUMIFS(OFFSET($A$1,ROW(),30,1000-ROW(),1),OFFSET($A$1,ROW(),20,1000-ROW(),1),ROW(),OFFSET($A$1,ROW(),21,1000-ROW(),1),"Sub"))))</f>
        <v/>
      </c>
      <c r="K261" s="60">
        <f>IF(N($W261)=0,"",IF(AND($S261=MesCiclo,3&gt;SemanaActual),"",MIN(1,SUMIFS(OFFSET($A$1,ROW(),31,1000-ROW(),1),OFFSET($A$1,ROW(),20,1000-ROW(),1),ROW(),OFFSET($A$1,ROW(),21,1000-ROW(),1),"Sub"))))</f>
        <v/>
      </c>
      <c r="L261" s="60">
        <f>IF(N($W261)=0,"",IF(AND($S261=MesCiclo,4&gt;SemanaActual),"",MIN(1,SUMIFS(OFFSET($A$1,ROW(),32,1000-ROW(),1),OFFSET($A$1,ROW(),20,1000-ROW(),1),ROW(),OFFSET($A$1,ROW(),21,1000-ROW(),1),"Sub"))))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IF($V261&lt;&gt;"Sub","",N($X261)*IF(AND(ISNUMBER($G261),$G261&lt;=IF($S261=MesCiclo,InicioCiclo,$S261+MOD(2-WEEKDAY($S261),7))+6),1,MIN(1,MAX(0,IF(ISNUMBER(OFFSET($A$1,ROW()-1,8)),OFFSET($A$1,ROW()-1,8),0)))))</f>
        <v/>
      </c>
      <c r="AE261" s="62">
        <f>IF($V261&lt;&gt;"Sub","",N($X261)*IF(AND(ISNUMBER($G261),$G261&lt;=IF($S261=MesCiclo,InicioCiclo,$S261+MOD(2-WEEKDAY($S261),7))+13),1,MIN(1,MAX(0,IF(ISNUMBER(OFFSET($A$1,ROW()-1,9)),OFFSET($A$1,ROW()-1,9),IF(ISNUMBER(OFFSET($A$1,ROW()-1,8)),OFFSET($A$1,ROW()-1,8),0))))))</f>
        <v/>
      </c>
      <c r="AF261" s="62">
        <f>IF($V261&lt;&gt;"Sub","",N($X261)*IF(AND(ISNUMBER($G261),$G261&lt;=IF($S261=MesCiclo,InicioCiclo,$S261+MOD(2-WEEKDAY($S261),7))+20),1,MIN(1,MAX(0,IF(ISNUMBER(OFFSET($A$1,ROW()-1,10)),OFFSET($A$1,ROW()-1,10),IF(ISNUMBER(OFFSET($A$1,ROW()-1,9)),OFFSET($A$1,ROW()-1,9),IF(ISNUMBER(OFFSET($A$1,ROW()-1,8)),OFFSET($A$1,ROW()-1,8),0)))))))</f>
        <v/>
      </c>
      <c r="AG261" s="62">
        <f>IF($V261&lt;&gt;"Sub","",N($X261)*IF(AND(ISNUMBER($G261),$G261&lt;=IF($S261=MesCiclo,InicioCiclo,$S261+MOD(2-WEEKDAY($S261),7))+27),1,MIN(1,MAX(0,IF(ISNUMBER(OFFSET($A$1,ROW()-1,11)),OFFSET($A$1,ROW()-1,11),IF(ISNUMBER(OFFSET($A$1,ROW()-1,10)),OFFSET($A$1,ROW()-1,10),IF(ISNUMBER(OFFSET($A$1,ROW()-1,9)),OFFSET($A$1,ROW()-1,9),IF(ISNUMBER(OFFSET($A$1,ROW()-1,8)),OFFSET($A$1,ROW()-1,8),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",IFERROR(MATCH("Riesgo Operacional|"&amp;MID($C261,12,500),rDname_ADM,0),0),"")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IF(N($W262)=0,"",IF(AND($S262=MesCiclo,1&gt;SemanaActual),"",MIN(1,SUMIFS(OFFSET($A$1,ROW(),29,1000-ROW(),1),OFFSET($A$1,ROW(),20,1000-ROW(),1),ROW(),OFFSET($A$1,ROW(),21,1000-ROW(),1),"Sub"))))</f>
        <v/>
      </c>
      <c r="J262" s="60">
        <f>IF(N($W262)=0,"",IF(AND($S262=MesCiclo,2&gt;SemanaActual),"",MIN(1,SUMIFS(OFFSET($A$1,ROW(),30,1000-ROW(),1),OFFSET($A$1,ROW(),20,1000-ROW(),1),ROW(),OFFSET($A$1,ROW(),21,1000-ROW(),1),"Sub"))))</f>
        <v/>
      </c>
      <c r="K262" s="60">
        <f>IF(N($W262)=0,"",IF(AND($S262=MesCiclo,3&gt;SemanaActual),"",MIN(1,SUMIFS(OFFSET($A$1,ROW(),31,1000-ROW(),1),OFFSET($A$1,ROW(),20,1000-ROW(),1),ROW(),OFFSET($A$1,ROW(),21,1000-ROW(),1),"Sub"))))</f>
        <v/>
      </c>
      <c r="L262" s="60">
        <f>IF(N($W262)=0,"",IF(AND($S262=MesCiclo,4&gt;SemanaActual),"",MIN(1,SUMIFS(OFFSET($A$1,ROW(),32,1000-ROW(),1),OFFSET($A$1,ROW(),20,1000-ROW(),1),ROW(),OFFSET($A$1,ROW(),21,1000-ROW(),1),"Sub"))))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IF($V262&lt;&gt;"Sub","",N($X262)*IF(AND(ISNUMBER($G262),$G262&lt;=IF($S262=MesCiclo,InicioCiclo,$S262+MOD(2-WEEKDAY($S262),7))+6),1,MIN(1,MAX(0,IF(ISNUMBER(OFFSET($A$1,ROW()-1,8)),OFFSET($A$1,ROW()-1,8),0)))))</f>
        <v/>
      </c>
      <c r="AE262" s="62">
        <f>IF($V262&lt;&gt;"Sub","",N($X262)*IF(AND(ISNUMBER($G262),$G262&lt;=IF($S262=MesCiclo,InicioCiclo,$S262+MOD(2-WEEKDAY($S262),7))+13),1,MIN(1,MAX(0,IF(ISNUMBER(OFFSET($A$1,ROW()-1,9)),OFFSET($A$1,ROW()-1,9),IF(ISNUMBER(OFFSET($A$1,ROW()-1,8)),OFFSET($A$1,ROW()-1,8),0))))))</f>
        <v/>
      </c>
      <c r="AF262" s="62">
        <f>IF($V262&lt;&gt;"Sub","",N($X262)*IF(AND(ISNUMBER($G262),$G262&lt;=IF($S262=MesCiclo,InicioCiclo,$S262+MOD(2-WEEKDAY($S262),7))+20),1,MIN(1,MAX(0,IF(ISNUMBER(OFFSET($A$1,ROW()-1,10)),OFFSET($A$1,ROW()-1,10),IF(ISNUMBER(OFFSET($A$1,ROW()-1,9)),OFFSET($A$1,ROW()-1,9),IF(ISNUMBER(OFFSET($A$1,ROW()-1,8)),OFFSET($A$1,ROW()-1,8),0)))))))</f>
        <v/>
      </c>
      <c r="AG262" s="62">
        <f>IF($V262&lt;&gt;"Sub","",N($X262)*IF(AND(ISNUMBER($G262),$G262&lt;=IF($S262=MesCiclo,InicioCiclo,$S262+MOD(2-WEEKDAY($S262),7))+27),1,MIN(1,MAX(0,IF(ISNUMBER(OFFSET($A$1,ROW()-1,11)),OFFSET($A$1,ROW()-1,11),IF(ISNUMBER(OFFSET($A$1,ROW()-1,10)),OFFSET($A$1,ROW()-1,10),IF(ISNUMBER(OFFSET($A$1,ROW()-1,9)),OFFSET($A$1,ROW()-1,9),IF(ISNUMBER(OFFSET($A$1,ROW()-1,8)),OFFSET($A$1,ROW()-1,8),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",IFERROR(MATCH("Riesgo Operacional|"&amp;MID($C262,12,500),rDname_ADM,0),0),"")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IF(N($W263)=0,"",IF(AND($S263=MesCiclo,1&gt;SemanaActual),"",MIN(1,SUMIFS(OFFSET($A$1,ROW(),29,1000-ROW(),1),OFFSET($A$1,ROW(),20,1000-ROW(),1),ROW(),OFFSET($A$1,ROW(),21,1000-ROW(),1),"Sub"))))</f>
        <v/>
      </c>
      <c r="J263" s="60">
        <f>IF(N($W263)=0,"",IF(AND($S263=MesCiclo,2&gt;SemanaActual),"",MIN(1,SUMIFS(OFFSET($A$1,ROW(),30,1000-ROW(),1),OFFSET($A$1,ROW(),20,1000-ROW(),1),ROW(),OFFSET($A$1,ROW(),21,1000-ROW(),1),"Sub"))))</f>
        <v/>
      </c>
      <c r="K263" s="60">
        <f>IF(N($W263)=0,"",IF(AND($S263=MesCiclo,3&gt;SemanaActual),"",MIN(1,SUMIFS(OFFSET($A$1,ROW(),31,1000-ROW(),1),OFFSET($A$1,ROW(),20,1000-ROW(),1),ROW(),OFFSET($A$1,ROW(),21,1000-ROW(),1),"Sub"))))</f>
        <v/>
      </c>
      <c r="L263" s="60">
        <f>IF(N($W263)=0,"",IF(AND($S263=MesCiclo,4&gt;SemanaActual),"",MIN(1,SUMIFS(OFFSET($A$1,ROW(),32,1000-ROW(),1),OFFSET($A$1,ROW(),20,1000-ROW(),1),ROW(),OFFSET($A$1,ROW(),21,1000-ROW(),1),"Sub"))))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IF($V263&lt;&gt;"Sub","",N($X263)*IF(AND(ISNUMBER($G263),$G263&lt;=IF($S263=MesCiclo,InicioCiclo,$S263+MOD(2-WEEKDAY($S263),7))+6),1,MIN(1,MAX(0,IF(ISNUMBER(OFFSET($A$1,ROW()-1,8)),OFFSET($A$1,ROW()-1,8),0)))))</f>
        <v/>
      </c>
      <c r="AE263" s="62">
        <f>IF($V263&lt;&gt;"Sub","",N($X263)*IF(AND(ISNUMBER($G263),$G263&lt;=IF($S263=MesCiclo,InicioCiclo,$S263+MOD(2-WEEKDAY($S263),7))+13),1,MIN(1,MAX(0,IF(ISNUMBER(OFFSET($A$1,ROW()-1,9)),OFFSET($A$1,ROW()-1,9),IF(ISNUMBER(OFFSET($A$1,ROW()-1,8)),OFFSET($A$1,ROW()-1,8),0))))))</f>
        <v/>
      </c>
      <c r="AF263" s="62">
        <f>IF($V263&lt;&gt;"Sub","",N($X263)*IF(AND(ISNUMBER($G263),$G263&lt;=IF($S263=MesCiclo,InicioCiclo,$S263+MOD(2-WEEKDAY($S263),7))+20),1,MIN(1,MAX(0,IF(ISNUMBER(OFFSET($A$1,ROW()-1,10)),OFFSET($A$1,ROW()-1,10),IF(ISNUMBER(OFFSET($A$1,ROW()-1,9)),OFFSET($A$1,ROW()-1,9),IF(ISNUMBER(OFFSET($A$1,ROW()-1,8)),OFFSET($A$1,ROW()-1,8),0)))))))</f>
        <v/>
      </c>
      <c r="AG263" s="62">
        <f>IF($V263&lt;&gt;"Sub","",N($X263)*IF(AND(ISNUMBER($G263),$G263&lt;=IF($S263=MesCiclo,InicioCiclo,$S263+MOD(2-WEEKDAY($S263),7))+27),1,MIN(1,MAX(0,IF(ISNUMBER(OFFSET($A$1,ROW()-1,11)),OFFSET($A$1,ROW()-1,11),IF(ISNUMBER(OFFSET($A$1,ROW()-1,10)),OFFSET($A$1,ROW()-1,10),IF(ISNUMBER(OFFSET($A$1,ROW()-1,9)),OFFSET($A$1,ROW()-1,9),IF(ISNUMBER(OFFSET($A$1,ROW()-1,8)),OFFSET($A$1,ROW()-1,8),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",IFERROR(MATCH("Riesgo Operacional|"&amp;MID($C263,12,500),rDname_ADM,0),0),"")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IF(N($W264)=0,"",IF(AND($S264=MesCiclo,1&gt;SemanaActual),"",MIN(1,SUMIFS(OFFSET($A$1,ROW(),29,1000-ROW(),1),OFFSET($A$1,ROW(),20,1000-ROW(),1),ROW(),OFFSET($A$1,ROW(),21,1000-ROW(),1),"Sub"))))</f>
        <v/>
      </c>
      <c r="J264" s="60">
        <f>IF(N($W264)=0,"",IF(AND($S264=MesCiclo,2&gt;SemanaActual),"",MIN(1,SUMIFS(OFFSET($A$1,ROW(),30,1000-ROW(),1),OFFSET($A$1,ROW(),20,1000-ROW(),1),ROW(),OFFSET($A$1,ROW(),21,1000-ROW(),1),"Sub"))))</f>
        <v/>
      </c>
      <c r="K264" s="60">
        <f>IF(N($W264)=0,"",IF(AND($S264=MesCiclo,3&gt;SemanaActual),"",MIN(1,SUMIFS(OFFSET($A$1,ROW(),31,1000-ROW(),1),OFFSET($A$1,ROW(),20,1000-ROW(),1),ROW(),OFFSET($A$1,ROW(),21,1000-ROW(),1),"Sub"))))</f>
        <v/>
      </c>
      <c r="L264" s="60">
        <f>IF(N($W264)=0,"",IF(AND($S264=MesCiclo,4&gt;SemanaActual),"",MIN(1,SUMIFS(OFFSET($A$1,ROW(),32,1000-ROW(),1),OFFSET($A$1,ROW(),20,1000-ROW(),1),ROW(),OFFSET($A$1,ROW(),21,1000-ROW(),1),"Sub"))))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IF($V264&lt;&gt;"Sub","",N($X264)*IF(AND(ISNUMBER($G264),$G264&lt;=IF($S264=MesCiclo,InicioCiclo,$S264+MOD(2-WEEKDAY($S264),7))+6),1,MIN(1,MAX(0,IF(ISNUMBER(OFFSET($A$1,ROW()-1,8)),OFFSET($A$1,ROW()-1,8),0)))))</f>
        <v/>
      </c>
      <c r="AE264" s="62">
        <f>IF($V264&lt;&gt;"Sub","",N($X264)*IF(AND(ISNUMBER($G264),$G264&lt;=IF($S264=MesCiclo,InicioCiclo,$S264+MOD(2-WEEKDAY($S264),7))+13),1,MIN(1,MAX(0,IF(ISNUMBER(OFFSET($A$1,ROW()-1,9)),OFFSET($A$1,ROW()-1,9),IF(ISNUMBER(OFFSET($A$1,ROW()-1,8)),OFFSET($A$1,ROW()-1,8),0))))))</f>
        <v/>
      </c>
      <c r="AF264" s="62">
        <f>IF($V264&lt;&gt;"Sub","",N($X264)*IF(AND(ISNUMBER($G264),$G264&lt;=IF($S264=MesCiclo,InicioCiclo,$S264+MOD(2-WEEKDAY($S264),7))+20),1,MIN(1,MAX(0,IF(ISNUMBER(OFFSET($A$1,ROW()-1,10)),OFFSET($A$1,ROW()-1,10),IF(ISNUMBER(OFFSET($A$1,ROW()-1,9)),OFFSET($A$1,ROW()-1,9),IF(ISNUMBER(OFFSET($A$1,ROW()-1,8)),OFFSET($A$1,ROW()-1,8),0)))))))</f>
        <v/>
      </c>
      <c r="AG264" s="62">
        <f>IF($V264&lt;&gt;"Sub","",N($X264)*IF(AND(ISNUMBER($G264),$G264&lt;=IF($S264=MesCiclo,InicioCiclo,$S264+MOD(2-WEEKDAY($S264),7))+27),1,MIN(1,MAX(0,IF(ISNUMBER(OFFSET($A$1,ROW()-1,11)),OFFSET($A$1,ROW()-1,11),IF(ISNUMBER(OFFSET($A$1,ROW()-1,10)),OFFSET($A$1,ROW()-1,10),IF(ISNUMBER(OFFSET($A$1,ROW()-1,9)),OFFSET($A$1,ROW()-1,9),IF(ISNUMBER(OFFSET($A$1,ROW()-1,8)),OFFSET($A$1,ROW()-1,8),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",IFERROR(MATCH("Riesgo Operacional|"&amp;MID($C264,12,500),rDname_ADM,0),0),"")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IF(N($W265)=0,"",IF(AND($S265=MesCiclo,1&gt;SemanaActual),"",MIN(1,SUMIFS(OFFSET($A$1,ROW(),29,1000-ROW(),1),OFFSET($A$1,ROW(),20,1000-ROW(),1),ROW(),OFFSET($A$1,ROW(),21,1000-ROW(),1),"Sub"))))</f>
        <v/>
      </c>
      <c r="J265" s="60">
        <f>IF(N($W265)=0,"",IF(AND($S265=MesCiclo,2&gt;SemanaActual),"",MIN(1,SUMIFS(OFFSET($A$1,ROW(),30,1000-ROW(),1),OFFSET($A$1,ROW(),20,1000-ROW(),1),ROW(),OFFSET($A$1,ROW(),21,1000-ROW(),1),"Sub"))))</f>
        <v/>
      </c>
      <c r="K265" s="60">
        <f>IF(N($W265)=0,"",IF(AND($S265=MesCiclo,3&gt;SemanaActual),"",MIN(1,SUMIFS(OFFSET($A$1,ROW(),31,1000-ROW(),1),OFFSET($A$1,ROW(),20,1000-ROW(),1),ROW(),OFFSET($A$1,ROW(),21,1000-ROW(),1),"Sub"))))</f>
        <v/>
      </c>
      <c r="L265" s="60">
        <f>IF(N($W265)=0,"",IF(AND($S265=MesCiclo,4&gt;SemanaActual),"",MIN(1,SUMIFS(OFFSET($A$1,ROW(),32,1000-ROW(),1),OFFSET($A$1,ROW(),20,1000-ROW(),1),ROW(),OFFSET($A$1,ROW(),21,1000-ROW(),1),"Sub"))))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IF($V265&lt;&gt;"Sub","",N($X265)*IF(AND(ISNUMBER($G265),$G265&lt;=IF($S265=MesCiclo,InicioCiclo,$S265+MOD(2-WEEKDAY($S265),7))+6),1,MIN(1,MAX(0,IF(ISNUMBER(OFFSET($A$1,ROW()-1,8)),OFFSET($A$1,ROW()-1,8),0)))))</f>
        <v/>
      </c>
      <c r="AE265" s="62">
        <f>IF($V265&lt;&gt;"Sub","",N($X265)*IF(AND(ISNUMBER($G265),$G265&lt;=IF($S265=MesCiclo,InicioCiclo,$S265+MOD(2-WEEKDAY($S265),7))+13),1,MIN(1,MAX(0,IF(ISNUMBER(OFFSET($A$1,ROW()-1,9)),OFFSET($A$1,ROW()-1,9),IF(ISNUMBER(OFFSET($A$1,ROW()-1,8)),OFFSET($A$1,ROW()-1,8),0))))))</f>
        <v/>
      </c>
      <c r="AF265" s="62">
        <f>IF($V265&lt;&gt;"Sub","",N($X265)*IF(AND(ISNUMBER($G265),$G265&lt;=IF($S265=MesCiclo,InicioCiclo,$S265+MOD(2-WEEKDAY($S265),7))+20),1,MIN(1,MAX(0,IF(ISNUMBER(OFFSET($A$1,ROW()-1,10)),OFFSET($A$1,ROW()-1,10),IF(ISNUMBER(OFFSET($A$1,ROW()-1,9)),OFFSET($A$1,ROW()-1,9),IF(ISNUMBER(OFFSET($A$1,ROW()-1,8)),OFFSET($A$1,ROW()-1,8),0)))))))</f>
        <v/>
      </c>
      <c r="AG265" s="62">
        <f>IF($V265&lt;&gt;"Sub","",N($X265)*IF(AND(ISNUMBER($G265),$G265&lt;=IF($S265=MesCiclo,InicioCiclo,$S265+MOD(2-WEEKDAY($S265),7))+27),1,MIN(1,MAX(0,IF(ISNUMBER(OFFSET($A$1,ROW()-1,11)),OFFSET($A$1,ROW()-1,11),IF(ISNUMBER(OFFSET($A$1,ROW()-1,10)),OFFSET($A$1,ROW()-1,10),IF(ISNUMBER(OFFSET($A$1,ROW()-1,9)),OFFSET($A$1,ROW()-1,9),IF(ISNUMBER(OFFSET($A$1,ROW()-1,8)),OFFSET($A$1,ROW()-1,8),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",IFERROR(MATCH("Riesgo Operacional|"&amp;MID($C265,12,500),rDname_ADM,0),0),"")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IF(N($W266)=0,"",IF(AND($S266=MesCiclo,1&gt;SemanaActual),"",MIN(1,SUMIFS(OFFSET($A$1,ROW(),29,1000-ROW(),1),OFFSET($A$1,ROW(),20,1000-ROW(),1),ROW(),OFFSET($A$1,ROW(),21,1000-ROW(),1),"Sub"))))</f>
        <v/>
      </c>
      <c r="J266" s="60">
        <f>IF(N($W266)=0,"",IF(AND($S266=MesCiclo,2&gt;SemanaActual),"",MIN(1,SUMIFS(OFFSET($A$1,ROW(),30,1000-ROW(),1),OFFSET($A$1,ROW(),20,1000-ROW(),1),ROW(),OFFSET($A$1,ROW(),21,1000-ROW(),1),"Sub"))))</f>
        <v/>
      </c>
      <c r="K266" s="60">
        <f>IF(N($W266)=0,"",IF(AND($S266=MesCiclo,3&gt;SemanaActual),"",MIN(1,SUMIFS(OFFSET($A$1,ROW(),31,1000-ROW(),1),OFFSET($A$1,ROW(),20,1000-ROW(),1),ROW(),OFFSET($A$1,ROW(),21,1000-ROW(),1),"Sub"))))</f>
        <v/>
      </c>
      <c r="L266" s="60">
        <f>IF(N($W266)=0,"",IF(AND($S266=MesCiclo,4&gt;SemanaActual),"",MIN(1,SUMIFS(OFFSET($A$1,ROW(),32,1000-ROW(),1),OFFSET($A$1,ROW(),20,1000-ROW(),1),ROW(),OFFSET($A$1,ROW(),21,1000-ROW(),1),"Sub"))))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IF($V266&lt;&gt;"Sub","",N($X266)*IF(AND(ISNUMBER($G266),$G266&lt;=IF($S266=MesCiclo,InicioCiclo,$S266+MOD(2-WEEKDAY($S266),7))+6),1,MIN(1,MAX(0,IF(ISNUMBER(OFFSET($A$1,ROW()-1,8)),OFFSET($A$1,ROW()-1,8),0)))))</f>
        <v/>
      </c>
      <c r="AE266" s="62">
        <f>IF($V266&lt;&gt;"Sub","",N($X266)*IF(AND(ISNUMBER($G266),$G266&lt;=IF($S266=MesCiclo,InicioCiclo,$S266+MOD(2-WEEKDAY($S266),7))+13),1,MIN(1,MAX(0,IF(ISNUMBER(OFFSET($A$1,ROW()-1,9)),OFFSET($A$1,ROW()-1,9),IF(ISNUMBER(OFFSET($A$1,ROW()-1,8)),OFFSET($A$1,ROW()-1,8),0))))))</f>
        <v/>
      </c>
      <c r="AF266" s="62">
        <f>IF($V266&lt;&gt;"Sub","",N($X266)*IF(AND(ISNUMBER($G266),$G266&lt;=IF($S266=MesCiclo,InicioCiclo,$S266+MOD(2-WEEKDAY($S266),7))+20),1,MIN(1,MAX(0,IF(ISNUMBER(OFFSET($A$1,ROW()-1,10)),OFFSET($A$1,ROW()-1,10),IF(ISNUMBER(OFFSET($A$1,ROW()-1,9)),OFFSET($A$1,ROW()-1,9),IF(ISNUMBER(OFFSET($A$1,ROW()-1,8)),OFFSET($A$1,ROW()-1,8),0)))))))</f>
        <v/>
      </c>
      <c r="AG266" s="62">
        <f>IF($V266&lt;&gt;"Sub","",N($X266)*IF(AND(ISNUMBER($G266),$G266&lt;=IF($S266=MesCiclo,InicioCiclo,$S266+MOD(2-WEEKDAY($S266),7))+27),1,MIN(1,MAX(0,IF(ISNUMBER(OFFSET($A$1,ROW()-1,11)),OFFSET($A$1,ROW()-1,11),IF(ISNUMBER(OFFSET($A$1,ROW()-1,10)),OFFSET($A$1,ROW()-1,10),IF(ISNUMBER(OFFSET($A$1,ROW()-1,9)),OFFSET($A$1,ROW()-1,9),IF(ISNUMBER(OFFSET($A$1,ROW()-1,8)),OFFSET($A$1,ROW()-1,8),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",IFERROR(MATCH("Riesgo Operacional|"&amp;MID($C266,12,500),rDname_ADM,0),0),"")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IF(N($W267)=0,"",IF(AND($S267=MesCiclo,1&gt;SemanaActual),"",MIN(1,SUMIFS(OFFSET($A$1,ROW(),29,1000-ROW(),1),OFFSET($A$1,ROW(),20,1000-ROW(),1),ROW(),OFFSET($A$1,ROW(),21,1000-ROW(),1),"Sub"))))</f>
        <v/>
      </c>
      <c r="J267" s="60">
        <f>IF(N($W267)=0,"",IF(AND($S267=MesCiclo,2&gt;SemanaActual),"",MIN(1,SUMIFS(OFFSET($A$1,ROW(),30,1000-ROW(),1),OFFSET($A$1,ROW(),20,1000-ROW(),1),ROW(),OFFSET($A$1,ROW(),21,1000-ROW(),1),"Sub"))))</f>
        <v/>
      </c>
      <c r="K267" s="60">
        <f>IF(N($W267)=0,"",IF(AND($S267=MesCiclo,3&gt;SemanaActual),"",MIN(1,SUMIFS(OFFSET($A$1,ROW(),31,1000-ROW(),1),OFFSET($A$1,ROW(),20,1000-ROW(),1),ROW(),OFFSET($A$1,ROW(),21,1000-ROW(),1),"Sub"))))</f>
        <v/>
      </c>
      <c r="L267" s="60">
        <f>IF(N($W267)=0,"",IF(AND($S267=MesCiclo,4&gt;SemanaActual),"",MIN(1,SUMIFS(OFFSET($A$1,ROW(),32,1000-ROW(),1),OFFSET($A$1,ROW(),20,1000-ROW(),1),ROW(),OFFSET($A$1,ROW(),21,1000-ROW(),1),"Sub"))))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IF($V267&lt;&gt;"Sub","",N($X267)*IF(AND(ISNUMBER($G267),$G267&lt;=IF($S267=MesCiclo,InicioCiclo,$S267+MOD(2-WEEKDAY($S267),7))+6),1,MIN(1,MAX(0,IF(ISNUMBER(OFFSET($A$1,ROW()-1,8)),OFFSET($A$1,ROW()-1,8),0)))))</f>
        <v/>
      </c>
      <c r="AE267" s="62">
        <f>IF($V267&lt;&gt;"Sub","",N($X267)*IF(AND(ISNUMBER($G267),$G267&lt;=IF($S267=MesCiclo,InicioCiclo,$S267+MOD(2-WEEKDAY($S267),7))+13),1,MIN(1,MAX(0,IF(ISNUMBER(OFFSET($A$1,ROW()-1,9)),OFFSET($A$1,ROW()-1,9),IF(ISNUMBER(OFFSET($A$1,ROW()-1,8)),OFFSET($A$1,ROW()-1,8),0))))))</f>
        <v/>
      </c>
      <c r="AF267" s="62">
        <f>IF($V267&lt;&gt;"Sub","",N($X267)*IF(AND(ISNUMBER($G267),$G267&lt;=IF($S267=MesCiclo,InicioCiclo,$S267+MOD(2-WEEKDAY($S267),7))+20),1,MIN(1,MAX(0,IF(ISNUMBER(OFFSET($A$1,ROW()-1,10)),OFFSET($A$1,ROW()-1,10),IF(ISNUMBER(OFFSET($A$1,ROW()-1,9)),OFFSET($A$1,ROW()-1,9),IF(ISNUMBER(OFFSET($A$1,ROW()-1,8)),OFFSET($A$1,ROW()-1,8),0)))))))</f>
        <v/>
      </c>
      <c r="AG267" s="62">
        <f>IF($V267&lt;&gt;"Sub","",N($X267)*IF(AND(ISNUMBER($G267),$G267&lt;=IF($S267=MesCiclo,InicioCiclo,$S267+MOD(2-WEEKDAY($S267),7))+27),1,MIN(1,MAX(0,IF(ISNUMBER(OFFSET($A$1,ROW()-1,11)),OFFSET($A$1,ROW()-1,11),IF(ISNUMBER(OFFSET($A$1,ROW()-1,10)),OFFSET($A$1,ROW()-1,10),IF(ISNUMBER(OFFSET($A$1,ROW()-1,9)),OFFSET($A$1,ROW()-1,9),IF(ISNUMBER(OFFSET($A$1,ROW()-1,8)),OFFSET($A$1,ROW()-1,8),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",IFERROR(MATCH("Riesgo Operacional|"&amp;MID($C267,12,500),rDname_ADM,0),0),"")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IF(N($W268)=0,"",IF(AND($S268=MesCiclo,1&gt;SemanaActual),"",MIN(1,SUMIFS(OFFSET($A$1,ROW(),29,1000-ROW(),1),OFFSET($A$1,ROW(),20,1000-ROW(),1),ROW(),OFFSET($A$1,ROW(),21,1000-ROW(),1),"Sub"))))</f>
        <v/>
      </c>
      <c r="J268" s="60">
        <f>IF(N($W268)=0,"",IF(AND($S268=MesCiclo,2&gt;SemanaActual),"",MIN(1,SUMIFS(OFFSET($A$1,ROW(),30,1000-ROW(),1),OFFSET($A$1,ROW(),20,1000-ROW(),1),ROW(),OFFSET($A$1,ROW(),21,1000-ROW(),1),"Sub"))))</f>
        <v/>
      </c>
      <c r="K268" s="60">
        <f>IF(N($W268)=0,"",IF(AND($S268=MesCiclo,3&gt;SemanaActual),"",MIN(1,SUMIFS(OFFSET($A$1,ROW(),31,1000-ROW(),1),OFFSET($A$1,ROW(),20,1000-ROW(),1),ROW(),OFFSET($A$1,ROW(),21,1000-ROW(),1),"Sub"))))</f>
        <v/>
      </c>
      <c r="L268" s="60">
        <f>IF(N($W268)=0,"",IF(AND($S268=MesCiclo,4&gt;SemanaActual),"",MIN(1,SUMIFS(OFFSET($A$1,ROW(),32,1000-ROW(),1),OFFSET($A$1,ROW(),20,1000-ROW(),1),ROW(),OFFSET($A$1,ROW(),21,1000-ROW(),1),"Sub"))))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IF($V268&lt;&gt;"Sub","",N($X268)*IF(AND(ISNUMBER($G268),$G268&lt;=IF($S268=MesCiclo,InicioCiclo,$S268+MOD(2-WEEKDAY($S268),7))+6),1,MIN(1,MAX(0,IF(ISNUMBER(OFFSET($A$1,ROW()-1,8)),OFFSET($A$1,ROW()-1,8),0)))))</f>
        <v/>
      </c>
      <c r="AE268" s="62">
        <f>IF($V268&lt;&gt;"Sub","",N($X268)*IF(AND(ISNUMBER($G268),$G268&lt;=IF($S268=MesCiclo,InicioCiclo,$S268+MOD(2-WEEKDAY($S268),7))+13),1,MIN(1,MAX(0,IF(ISNUMBER(OFFSET($A$1,ROW()-1,9)),OFFSET($A$1,ROW()-1,9),IF(ISNUMBER(OFFSET($A$1,ROW()-1,8)),OFFSET($A$1,ROW()-1,8),0))))))</f>
        <v/>
      </c>
      <c r="AF268" s="62">
        <f>IF($V268&lt;&gt;"Sub","",N($X268)*IF(AND(ISNUMBER($G268),$G268&lt;=IF($S268=MesCiclo,InicioCiclo,$S268+MOD(2-WEEKDAY($S268),7))+20),1,MIN(1,MAX(0,IF(ISNUMBER(OFFSET($A$1,ROW()-1,10)),OFFSET($A$1,ROW()-1,10),IF(ISNUMBER(OFFSET($A$1,ROW()-1,9)),OFFSET($A$1,ROW()-1,9),IF(ISNUMBER(OFFSET($A$1,ROW()-1,8)),OFFSET($A$1,ROW()-1,8),0)))))))</f>
        <v/>
      </c>
      <c r="AG268" s="62">
        <f>IF($V268&lt;&gt;"Sub","",N($X268)*IF(AND(ISNUMBER($G268),$G268&lt;=IF($S268=MesCiclo,InicioCiclo,$S268+MOD(2-WEEKDAY($S268),7))+27),1,MIN(1,MAX(0,IF(ISNUMBER(OFFSET($A$1,ROW()-1,11)),OFFSET($A$1,ROW()-1,11),IF(ISNUMBER(OFFSET($A$1,ROW()-1,10)),OFFSET($A$1,ROW()-1,10),IF(ISNUMBER(OFFSET($A$1,ROW()-1,9)),OFFSET($A$1,ROW()-1,9),IF(ISNUMBER(OFFSET($A$1,ROW()-1,8)),OFFSET($A$1,ROW()-1,8),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",IFERROR(MATCH("Riesgo Operacional|"&amp;MID($C268,12,500),rDname_ADM,0),0),"")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IF(N($W269)=0,"",IF(AND($S269=MesCiclo,1&gt;SemanaActual),"",MIN(1,SUMIFS(OFFSET($A$1,ROW(),29,1000-ROW(),1),OFFSET($A$1,ROW(),20,1000-ROW(),1),ROW(),OFFSET($A$1,ROW(),21,1000-ROW(),1),"Sub"))))</f>
        <v/>
      </c>
      <c r="J269" s="60">
        <f>IF(N($W269)=0,"",IF(AND($S269=MesCiclo,2&gt;SemanaActual),"",MIN(1,SUMIFS(OFFSET($A$1,ROW(),30,1000-ROW(),1),OFFSET($A$1,ROW(),20,1000-ROW(),1),ROW(),OFFSET($A$1,ROW(),21,1000-ROW(),1),"Sub"))))</f>
        <v/>
      </c>
      <c r="K269" s="60">
        <f>IF(N($W269)=0,"",IF(AND($S269=MesCiclo,3&gt;SemanaActual),"",MIN(1,SUMIFS(OFFSET($A$1,ROW(),31,1000-ROW(),1),OFFSET($A$1,ROW(),20,1000-ROW(),1),ROW(),OFFSET($A$1,ROW(),21,1000-ROW(),1),"Sub"))))</f>
        <v/>
      </c>
      <c r="L269" s="60">
        <f>IF(N($W269)=0,"",IF(AND($S269=MesCiclo,4&gt;SemanaActual),"",MIN(1,SUMIFS(OFFSET($A$1,ROW(),32,1000-ROW(),1),OFFSET($A$1,ROW(),20,1000-ROW(),1),ROW(),OFFSET($A$1,ROW(),21,1000-ROW(),1),"Sub"))))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IF($V269&lt;&gt;"Sub","",N($X269)*IF(AND(ISNUMBER($G269),$G269&lt;=IF($S269=MesCiclo,InicioCiclo,$S269+MOD(2-WEEKDAY($S269),7))+6),1,MIN(1,MAX(0,IF(ISNUMBER(OFFSET($A$1,ROW()-1,8)),OFFSET($A$1,ROW()-1,8),0)))))</f>
        <v/>
      </c>
      <c r="AE269" s="62">
        <f>IF($V269&lt;&gt;"Sub","",N($X269)*IF(AND(ISNUMBER($G269),$G269&lt;=IF($S269=MesCiclo,InicioCiclo,$S269+MOD(2-WEEKDAY($S269),7))+13),1,MIN(1,MAX(0,IF(ISNUMBER(OFFSET($A$1,ROW()-1,9)),OFFSET($A$1,ROW()-1,9),IF(ISNUMBER(OFFSET($A$1,ROW()-1,8)),OFFSET($A$1,ROW()-1,8),0))))))</f>
        <v/>
      </c>
      <c r="AF269" s="62">
        <f>IF($V269&lt;&gt;"Sub","",N($X269)*IF(AND(ISNUMBER($G269),$G269&lt;=IF($S269=MesCiclo,InicioCiclo,$S269+MOD(2-WEEKDAY($S269),7))+20),1,MIN(1,MAX(0,IF(ISNUMBER(OFFSET($A$1,ROW()-1,10)),OFFSET($A$1,ROW()-1,10),IF(ISNUMBER(OFFSET($A$1,ROW()-1,9)),OFFSET($A$1,ROW()-1,9),IF(ISNUMBER(OFFSET($A$1,ROW()-1,8)),OFFSET($A$1,ROW()-1,8),0)))))))</f>
        <v/>
      </c>
      <c r="AG269" s="62">
        <f>IF($V269&lt;&gt;"Sub","",N($X269)*IF(AND(ISNUMBER($G269),$G269&lt;=IF($S269=MesCiclo,InicioCiclo,$S269+MOD(2-WEEKDAY($S269),7))+27),1,MIN(1,MAX(0,IF(ISNUMBER(OFFSET($A$1,ROW()-1,11)),OFFSET($A$1,ROW()-1,11),IF(ISNUMBER(OFFSET($A$1,ROW()-1,10)),OFFSET($A$1,ROW()-1,10),IF(ISNUMBER(OFFSET($A$1,ROW()-1,9)),OFFSET($A$1,ROW()-1,9),IF(ISNUMBER(OFFSET($A$1,ROW()-1,8)),OFFSET($A$1,ROW()-1,8),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",IFERROR(MATCH("Riesgo Operacional|"&amp;MID($C269,12,500),rDname_ADM,0),0),"")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IF(N($W270)=0,"",IF(AND($S270=MesCiclo,1&gt;SemanaActual),"",MIN(1,SUMIFS(OFFSET($A$1,ROW(),29,1000-ROW(),1),OFFSET($A$1,ROW(),20,1000-ROW(),1),ROW(),OFFSET($A$1,ROW(),21,1000-ROW(),1),"Sub"))))</f>
        <v/>
      </c>
      <c r="J270" s="60">
        <f>IF(N($W270)=0,"",IF(AND($S270=MesCiclo,2&gt;SemanaActual),"",MIN(1,SUMIFS(OFFSET($A$1,ROW(),30,1000-ROW(),1),OFFSET($A$1,ROW(),20,1000-ROW(),1),ROW(),OFFSET($A$1,ROW(),21,1000-ROW(),1),"Sub"))))</f>
        <v/>
      </c>
      <c r="K270" s="60">
        <f>IF(N($W270)=0,"",IF(AND($S270=MesCiclo,3&gt;SemanaActual),"",MIN(1,SUMIFS(OFFSET($A$1,ROW(),31,1000-ROW(),1),OFFSET($A$1,ROW(),20,1000-ROW(),1),ROW(),OFFSET($A$1,ROW(),21,1000-ROW(),1),"Sub"))))</f>
        <v/>
      </c>
      <c r="L270" s="60">
        <f>IF(N($W270)=0,"",IF(AND($S270=MesCiclo,4&gt;SemanaActual),"",MIN(1,SUMIFS(OFFSET($A$1,ROW(),32,1000-ROW(),1),OFFSET($A$1,ROW(),20,1000-ROW(),1),ROW(),OFFSET($A$1,ROW(),21,1000-ROW(),1),"Sub"))))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IF($V270&lt;&gt;"Sub","",N($X270)*IF(AND(ISNUMBER($G270),$G270&lt;=IF($S270=MesCiclo,InicioCiclo,$S270+MOD(2-WEEKDAY($S270),7))+6),1,MIN(1,MAX(0,IF(ISNUMBER(OFFSET($A$1,ROW()-1,8)),OFFSET($A$1,ROW()-1,8),0)))))</f>
        <v/>
      </c>
      <c r="AE270" s="62">
        <f>IF($V270&lt;&gt;"Sub","",N($X270)*IF(AND(ISNUMBER($G270),$G270&lt;=IF($S270=MesCiclo,InicioCiclo,$S270+MOD(2-WEEKDAY($S270),7))+13),1,MIN(1,MAX(0,IF(ISNUMBER(OFFSET($A$1,ROW()-1,9)),OFFSET($A$1,ROW()-1,9),IF(ISNUMBER(OFFSET($A$1,ROW()-1,8)),OFFSET($A$1,ROW()-1,8),0))))))</f>
        <v/>
      </c>
      <c r="AF270" s="62">
        <f>IF($V270&lt;&gt;"Sub","",N($X270)*IF(AND(ISNUMBER($G270),$G270&lt;=IF($S270=MesCiclo,InicioCiclo,$S270+MOD(2-WEEKDAY($S270),7))+20),1,MIN(1,MAX(0,IF(ISNUMBER(OFFSET($A$1,ROW()-1,10)),OFFSET($A$1,ROW()-1,10),IF(ISNUMBER(OFFSET($A$1,ROW()-1,9)),OFFSET($A$1,ROW()-1,9),IF(ISNUMBER(OFFSET($A$1,ROW()-1,8)),OFFSET($A$1,ROW()-1,8),0)))))))</f>
        <v/>
      </c>
      <c r="AG270" s="62">
        <f>IF($V270&lt;&gt;"Sub","",N($X270)*IF(AND(ISNUMBER($G270),$G270&lt;=IF($S270=MesCiclo,InicioCiclo,$S270+MOD(2-WEEKDAY($S270),7))+27),1,MIN(1,MAX(0,IF(ISNUMBER(OFFSET($A$1,ROW()-1,11)),OFFSET($A$1,ROW()-1,11),IF(ISNUMBER(OFFSET($A$1,ROW()-1,10)),OFFSET($A$1,ROW()-1,10),IF(ISNUMBER(OFFSET($A$1,ROW()-1,9)),OFFSET($A$1,ROW()-1,9),IF(ISNUMBER(OFFSET($A$1,ROW()-1,8)),OFFSET($A$1,ROW()-1,8),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",IFERROR(MATCH("Riesgo Operacional|"&amp;MID($C270,12,500),rDname_ADM,0),0),"")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IF(N($W271)=0,"",IF(AND($S271=MesCiclo,1&gt;SemanaActual),"",MIN(1,SUMIFS(OFFSET($A$1,ROW(),29,1000-ROW(),1),OFFSET($A$1,ROW(),20,1000-ROW(),1),ROW(),OFFSET($A$1,ROW(),21,1000-ROW(),1),"Sub"))))</f>
        <v/>
      </c>
      <c r="J271" s="60">
        <f>IF(N($W271)=0,"",IF(AND($S271=MesCiclo,2&gt;SemanaActual),"",MIN(1,SUMIFS(OFFSET($A$1,ROW(),30,1000-ROW(),1),OFFSET($A$1,ROW(),20,1000-ROW(),1),ROW(),OFFSET($A$1,ROW(),21,1000-ROW(),1),"Sub"))))</f>
        <v/>
      </c>
      <c r="K271" s="60">
        <f>IF(N($W271)=0,"",IF(AND($S271=MesCiclo,3&gt;SemanaActual),"",MIN(1,SUMIFS(OFFSET($A$1,ROW(),31,1000-ROW(),1),OFFSET($A$1,ROW(),20,1000-ROW(),1),ROW(),OFFSET($A$1,ROW(),21,1000-ROW(),1),"Sub"))))</f>
        <v/>
      </c>
      <c r="L271" s="60">
        <f>IF(N($W271)=0,"",IF(AND($S271=MesCiclo,4&gt;SemanaActual),"",MIN(1,SUMIFS(OFFSET($A$1,ROW(),32,1000-ROW(),1),OFFSET($A$1,ROW(),20,1000-ROW(),1),ROW(),OFFSET($A$1,ROW(),21,1000-ROW(),1),"Sub"))))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IF($V271&lt;&gt;"Sub","",N($X271)*IF(AND(ISNUMBER($G271),$G271&lt;=IF($S271=MesCiclo,InicioCiclo,$S271+MOD(2-WEEKDAY($S271),7))+6),1,MIN(1,MAX(0,IF(ISNUMBER(OFFSET($A$1,ROW()-1,8)),OFFSET($A$1,ROW()-1,8),0)))))</f>
        <v/>
      </c>
      <c r="AE271" s="62">
        <f>IF($V271&lt;&gt;"Sub","",N($X271)*IF(AND(ISNUMBER($G271),$G271&lt;=IF($S271=MesCiclo,InicioCiclo,$S271+MOD(2-WEEKDAY($S271),7))+13),1,MIN(1,MAX(0,IF(ISNUMBER(OFFSET($A$1,ROW()-1,9)),OFFSET($A$1,ROW()-1,9),IF(ISNUMBER(OFFSET($A$1,ROW()-1,8)),OFFSET($A$1,ROW()-1,8),0))))))</f>
        <v/>
      </c>
      <c r="AF271" s="62">
        <f>IF($V271&lt;&gt;"Sub","",N($X271)*IF(AND(ISNUMBER($G271),$G271&lt;=IF($S271=MesCiclo,InicioCiclo,$S271+MOD(2-WEEKDAY($S271),7))+20),1,MIN(1,MAX(0,IF(ISNUMBER(OFFSET($A$1,ROW()-1,10)),OFFSET($A$1,ROW()-1,10),IF(ISNUMBER(OFFSET($A$1,ROW()-1,9)),OFFSET($A$1,ROW()-1,9),IF(ISNUMBER(OFFSET($A$1,ROW()-1,8)),OFFSET($A$1,ROW()-1,8),0)))))))</f>
        <v/>
      </c>
      <c r="AG271" s="62">
        <f>IF($V271&lt;&gt;"Sub","",N($X271)*IF(AND(ISNUMBER($G271),$G271&lt;=IF($S271=MesCiclo,InicioCiclo,$S271+MOD(2-WEEKDAY($S271),7))+27),1,MIN(1,MAX(0,IF(ISNUMBER(OFFSET($A$1,ROW()-1,11)),OFFSET($A$1,ROW()-1,11),IF(ISNUMBER(OFFSET($A$1,ROW()-1,10)),OFFSET($A$1,ROW()-1,10),IF(ISNUMBER(OFFSET($A$1,ROW()-1,9)),OFFSET($A$1,ROW()-1,9),IF(ISNUMBER(OFFSET($A$1,ROW()-1,8)),OFFSET($A$1,ROW()-1,8),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",IFERROR(MATCH("Riesgo Operacional|"&amp;MID($C271,12,500),rDname_ADM,0),0),"")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IF(N($W272)=0,"",IF(AND($S272=MesCiclo,1&gt;SemanaActual),"",MIN(1,SUMIFS(OFFSET($A$1,ROW(),29,1000-ROW(),1),OFFSET($A$1,ROW(),20,1000-ROW(),1),ROW(),OFFSET($A$1,ROW(),21,1000-ROW(),1),"Sub"))))</f>
        <v/>
      </c>
      <c r="J272" s="60">
        <f>IF(N($W272)=0,"",IF(AND($S272=MesCiclo,2&gt;SemanaActual),"",MIN(1,SUMIFS(OFFSET($A$1,ROW(),30,1000-ROW(),1),OFFSET($A$1,ROW(),20,1000-ROW(),1),ROW(),OFFSET($A$1,ROW(),21,1000-ROW(),1),"Sub"))))</f>
        <v/>
      </c>
      <c r="K272" s="60">
        <f>IF(N($W272)=0,"",IF(AND($S272=MesCiclo,3&gt;SemanaActual),"",MIN(1,SUMIFS(OFFSET($A$1,ROW(),31,1000-ROW(),1),OFFSET($A$1,ROW(),20,1000-ROW(),1),ROW(),OFFSET($A$1,ROW(),21,1000-ROW(),1),"Sub"))))</f>
        <v/>
      </c>
      <c r="L272" s="60">
        <f>IF(N($W272)=0,"",IF(AND($S272=MesCiclo,4&gt;SemanaActual),"",MIN(1,SUMIFS(OFFSET($A$1,ROW(),32,1000-ROW(),1),OFFSET($A$1,ROW(),20,1000-ROW(),1),ROW(),OFFSET($A$1,ROW(),21,1000-ROW(),1),"Sub"))))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IF($V272&lt;&gt;"Sub","",N($X272)*IF(AND(ISNUMBER($G272),$G272&lt;=IF($S272=MesCiclo,InicioCiclo,$S272+MOD(2-WEEKDAY($S272),7))+6),1,MIN(1,MAX(0,IF(ISNUMBER(OFFSET($A$1,ROW()-1,8)),OFFSET($A$1,ROW()-1,8),0)))))</f>
        <v/>
      </c>
      <c r="AE272" s="62">
        <f>IF($V272&lt;&gt;"Sub","",N($X272)*IF(AND(ISNUMBER($G272),$G272&lt;=IF($S272=MesCiclo,InicioCiclo,$S272+MOD(2-WEEKDAY($S272),7))+13),1,MIN(1,MAX(0,IF(ISNUMBER(OFFSET($A$1,ROW()-1,9)),OFFSET($A$1,ROW()-1,9),IF(ISNUMBER(OFFSET($A$1,ROW()-1,8)),OFFSET($A$1,ROW()-1,8),0))))))</f>
        <v/>
      </c>
      <c r="AF272" s="62">
        <f>IF($V272&lt;&gt;"Sub","",N($X272)*IF(AND(ISNUMBER($G272),$G272&lt;=IF($S272=MesCiclo,InicioCiclo,$S272+MOD(2-WEEKDAY($S272),7))+20),1,MIN(1,MAX(0,IF(ISNUMBER(OFFSET($A$1,ROW()-1,10)),OFFSET($A$1,ROW()-1,10),IF(ISNUMBER(OFFSET($A$1,ROW()-1,9)),OFFSET($A$1,ROW()-1,9),IF(ISNUMBER(OFFSET($A$1,ROW()-1,8)),OFFSET($A$1,ROW()-1,8),0)))))))</f>
        <v/>
      </c>
      <c r="AG272" s="62">
        <f>IF($V272&lt;&gt;"Sub","",N($X272)*IF(AND(ISNUMBER($G272),$G272&lt;=IF($S272=MesCiclo,InicioCiclo,$S272+MOD(2-WEEKDAY($S272),7))+27),1,MIN(1,MAX(0,IF(ISNUMBER(OFFSET($A$1,ROW()-1,11)),OFFSET($A$1,ROW()-1,11),IF(ISNUMBER(OFFSET($A$1,ROW()-1,10)),OFFSET($A$1,ROW()-1,10),IF(ISNUMBER(OFFSET($A$1,ROW()-1,9)),OFFSET($A$1,ROW()-1,9),IF(ISNUMBER(OFFSET($A$1,ROW()-1,8)),OFFSET($A$1,ROW()-1,8),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",IFERROR(MATCH("Riesgo Operacional|"&amp;MID($C272,12,500),rDname_ADM,0),0),"")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IF(N($W273)=0,"",IF(AND($S273=MesCiclo,1&gt;SemanaActual),"",MIN(1,SUMIFS(OFFSET($A$1,ROW(),29,1000-ROW(),1),OFFSET($A$1,ROW(),20,1000-ROW(),1),ROW(),OFFSET($A$1,ROW(),21,1000-ROW(),1),"Sub"))))</f>
        <v/>
      </c>
      <c r="J273" s="60">
        <f>IF(N($W273)=0,"",IF(AND($S273=MesCiclo,2&gt;SemanaActual),"",MIN(1,SUMIFS(OFFSET($A$1,ROW(),30,1000-ROW(),1),OFFSET($A$1,ROW(),20,1000-ROW(),1),ROW(),OFFSET($A$1,ROW(),21,1000-ROW(),1),"Sub"))))</f>
        <v/>
      </c>
      <c r="K273" s="60">
        <f>IF(N($W273)=0,"",IF(AND($S273=MesCiclo,3&gt;SemanaActual),"",MIN(1,SUMIFS(OFFSET($A$1,ROW(),31,1000-ROW(),1),OFFSET($A$1,ROW(),20,1000-ROW(),1),ROW(),OFFSET($A$1,ROW(),21,1000-ROW(),1),"Sub"))))</f>
        <v/>
      </c>
      <c r="L273" s="60">
        <f>IF(N($W273)=0,"",IF(AND($S273=MesCiclo,4&gt;SemanaActual),"",MIN(1,SUMIFS(OFFSET($A$1,ROW(),32,1000-ROW(),1),OFFSET($A$1,ROW(),20,1000-ROW(),1),ROW(),OFFSET($A$1,ROW(),21,1000-ROW(),1),"Sub"))))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IF($V273&lt;&gt;"Sub","",N($X273)*IF(AND(ISNUMBER($G273),$G273&lt;=IF($S273=MesCiclo,InicioCiclo,$S273+MOD(2-WEEKDAY($S273),7))+6),1,MIN(1,MAX(0,IF(ISNUMBER(OFFSET($A$1,ROW()-1,8)),OFFSET($A$1,ROW()-1,8),0)))))</f>
        <v/>
      </c>
      <c r="AE273" s="62">
        <f>IF($V273&lt;&gt;"Sub","",N($X273)*IF(AND(ISNUMBER($G273),$G273&lt;=IF($S273=MesCiclo,InicioCiclo,$S273+MOD(2-WEEKDAY($S273),7))+13),1,MIN(1,MAX(0,IF(ISNUMBER(OFFSET($A$1,ROW()-1,9)),OFFSET($A$1,ROW()-1,9),IF(ISNUMBER(OFFSET($A$1,ROW()-1,8)),OFFSET($A$1,ROW()-1,8),0))))))</f>
        <v/>
      </c>
      <c r="AF273" s="62">
        <f>IF($V273&lt;&gt;"Sub","",N($X273)*IF(AND(ISNUMBER($G273),$G273&lt;=IF($S273=MesCiclo,InicioCiclo,$S273+MOD(2-WEEKDAY($S273),7))+20),1,MIN(1,MAX(0,IF(ISNUMBER(OFFSET($A$1,ROW()-1,10)),OFFSET($A$1,ROW()-1,10),IF(ISNUMBER(OFFSET($A$1,ROW()-1,9)),OFFSET($A$1,ROW()-1,9),IF(ISNUMBER(OFFSET($A$1,ROW()-1,8)),OFFSET($A$1,ROW()-1,8),0)))))))</f>
        <v/>
      </c>
      <c r="AG273" s="62">
        <f>IF($V273&lt;&gt;"Sub","",N($X273)*IF(AND(ISNUMBER($G273),$G273&lt;=IF($S273=MesCiclo,InicioCiclo,$S273+MOD(2-WEEKDAY($S273),7))+27),1,MIN(1,MAX(0,IF(ISNUMBER(OFFSET($A$1,ROW()-1,11)),OFFSET($A$1,ROW()-1,11),IF(ISNUMBER(OFFSET($A$1,ROW()-1,10)),OFFSET($A$1,ROW()-1,10),IF(ISNUMBER(OFFSET($A$1,ROW()-1,9)),OFFSET($A$1,ROW()-1,9),IF(ISNUMBER(OFFSET($A$1,ROW()-1,8)),OFFSET($A$1,ROW()-1,8),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",IFERROR(MATCH("Riesgo Operacional|"&amp;MID($C273,12,500),rDname_ADM,0),0),"")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IF(N($W274)=0,"",IF(AND($S274=MesCiclo,1&gt;SemanaActual),"",MIN(1,SUMIFS(OFFSET($A$1,ROW(),29,1000-ROW(),1),OFFSET($A$1,ROW(),20,1000-ROW(),1),ROW(),OFFSET($A$1,ROW(),21,1000-ROW(),1),"Sub"))))</f>
        <v/>
      </c>
      <c r="J274" s="60">
        <f>IF(N($W274)=0,"",IF(AND($S274=MesCiclo,2&gt;SemanaActual),"",MIN(1,SUMIFS(OFFSET($A$1,ROW(),30,1000-ROW(),1),OFFSET($A$1,ROW(),20,1000-ROW(),1),ROW(),OFFSET($A$1,ROW(),21,1000-ROW(),1),"Sub"))))</f>
        <v/>
      </c>
      <c r="K274" s="60">
        <f>IF(N($W274)=0,"",IF(AND($S274=MesCiclo,3&gt;SemanaActual),"",MIN(1,SUMIFS(OFFSET($A$1,ROW(),31,1000-ROW(),1),OFFSET($A$1,ROW(),20,1000-ROW(),1),ROW(),OFFSET($A$1,ROW(),21,1000-ROW(),1),"Sub"))))</f>
        <v/>
      </c>
      <c r="L274" s="60">
        <f>IF(N($W274)=0,"",IF(AND($S274=MesCiclo,4&gt;SemanaActual),"",MIN(1,SUMIFS(OFFSET($A$1,ROW(),32,1000-ROW(),1),OFFSET($A$1,ROW(),20,1000-ROW(),1),ROW(),OFFSET($A$1,ROW(),21,1000-ROW(),1),"Sub"))))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IF($V274&lt;&gt;"Sub","",N($X274)*IF(AND(ISNUMBER($G274),$G274&lt;=IF($S274=MesCiclo,InicioCiclo,$S274+MOD(2-WEEKDAY($S274),7))+6),1,MIN(1,MAX(0,IF(ISNUMBER(OFFSET($A$1,ROW()-1,8)),OFFSET($A$1,ROW()-1,8),0)))))</f>
        <v/>
      </c>
      <c r="AE274" s="62">
        <f>IF($V274&lt;&gt;"Sub","",N($X274)*IF(AND(ISNUMBER($G274),$G274&lt;=IF($S274=MesCiclo,InicioCiclo,$S274+MOD(2-WEEKDAY($S274),7))+13),1,MIN(1,MAX(0,IF(ISNUMBER(OFFSET($A$1,ROW()-1,9)),OFFSET($A$1,ROW()-1,9),IF(ISNUMBER(OFFSET($A$1,ROW()-1,8)),OFFSET($A$1,ROW()-1,8),0))))))</f>
        <v/>
      </c>
      <c r="AF274" s="62">
        <f>IF($V274&lt;&gt;"Sub","",N($X274)*IF(AND(ISNUMBER($G274),$G274&lt;=IF($S274=MesCiclo,InicioCiclo,$S274+MOD(2-WEEKDAY($S274),7))+20),1,MIN(1,MAX(0,IF(ISNUMBER(OFFSET($A$1,ROW()-1,10)),OFFSET($A$1,ROW()-1,10),IF(ISNUMBER(OFFSET($A$1,ROW()-1,9)),OFFSET($A$1,ROW()-1,9),IF(ISNUMBER(OFFSET($A$1,ROW()-1,8)),OFFSET($A$1,ROW()-1,8),0)))))))</f>
        <v/>
      </c>
      <c r="AG274" s="62">
        <f>IF($V274&lt;&gt;"Sub","",N($X274)*IF(AND(ISNUMBER($G274),$G274&lt;=IF($S274=MesCiclo,InicioCiclo,$S274+MOD(2-WEEKDAY($S274),7))+27),1,MIN(1,MAX(0,IF(ISNUMBER(OFFSET($A$1,ROW()-1,11)),OFFSET($A$1,ROW()-1,11),IF(ISNUMBER(OFFSET($A$1,ROW()-1,10)),OFFSET($A$1,ROW()-1,10),IF(ISNUMBER(OFFSET($A$1,ROW()-1,9)),OFFSET($A$1,ROW()-1,9),IF(ISNUMBER(OFFSET($A$1,ROW()-1,8)),OFFSET($A$1,ROW()-1,8),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",IFERROR(MATCH("Riesgo Operacional|"&amp;MID($C274,12,500),rDname_ADM,0),0),"")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IF(N($W275)=0,"",IF(AND($S275=MesCiclo,1&gt;SemanaActual),"",MIN(1,SUMIFS(OFFSET($A$1,ROW(),29,1000-ROW(),1),OFFSET($A$1,ROW(),20,1000-ROW(),1),ROW(),OFFSET($A$1,ROW(),21,1000-ROW(),1),"Sub"))))</f>
        <v/>
      </c>
      <c r="J275" s="60">
        <f>IF(N($W275)=0,"",IF(AND($S275=MesCiclo,2&gt;SemanaActual),"",MIN(1,SUMIFS(OFFSET($A$1,ROW(),30,1000-ROW(),1),OFFSET($A$1,ROW(),20,1000-ROW(),1),ROW(),OFFSET($A$1,ROW(),21,1000-ROW(),1),"Sub"))))</f>
        <v/>
      </c>
      <c r="K275" s="60">
        <f>IF(N($W275)=0,"",IF(AND($S275=MesCiclo,3&gt;SemanaActual),"",MIN(1,SUMIFS(OFFSET($A$1,ROW(),31,1000-ROW(),1),OFFSET($A$1,ROW(),20,1000-ROW(),1),ROW(),OFFSET($A$1,ROW(),21,1000-ROW(),1),"Sub"))))</f>
        <v/>
      </c>
      <c r="L275" s="60">
        <f>IF(N($W275)=0,"",IF(AND($S275=MesCiclo,4&gt;SemanaActual),"",MIN(1,SUMIFS(OFFSET($A$1,ROW(),32,1000-ROW(),1),OFFSET($A$1,ROW(),20,1000-ROW(),1),ROW(),OFFSET($A$1,ROW(),21,1000-ROW(),1),"Sub"))))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IF($V275&lt;&gt;"Sub","",N($X275)*IF(AND(ISNUMBER($G275),$G275&lt;=IF($S275=MesCiclo,InicioCiclo,$S275+MOD(2-WEEKDAY($S275),7))+6),1,MIN(1,MAX(0,IF(ISNUMBER(OFFSET($A$1,ROW()-1,8)),OFFSET($A$1,ROW()-1,8),0)))))</f>
        <v/>
      </c>
      <c r="AE275" s="62">
        <f>IF($V275&lt;&gt;"Sub","",N($X275)*IF(AND(ISNUMBER($G275),$G275&lt;=IF($S275=MesCiclo,InicioCiclo,$S275+MOD(2-WEEKDAY($S275),7))+13),1,MIN(1,MAX(0,IF(ISNUMBER(OFFSET($A$1,ROW()-1,9)),OFFSET($A$1,ROW()-1,9),IF(ISNUMBER(OFFSET($A$1,ROW()-1,8)),OFFSET($A$1,ROW()-1,8),0))))))</f>
        <v/>
      </c>
      <c r="AF275" s="62">
        <f>IF($V275&lt;&gt;"Sub","",N($X275)*IF(AND(ISNUMBER($G275),$G275&lt;=IF($S275=MesCiclo,InicioCiclo,$S275+MOD(2-WEEKDAY($S275),7))+20),1,MIN(1,MAX(0,IF(ISNUMBER(OFFSET($A$1,ROW()-1,10)),OFFSET($A$1,ROW()-1,10),IF(ISNUMBER(OFFSET($A$1,ROW()-1,9)),OFFSET($A$1,ROW()-1,9),IF(ISNUMBER(OFFSET($A$1,ROW()-1,8)),OFFSET($A$1,ROW()-1,8),0)))))))</f>
        <v/>
      </c>
      <c r="AG275" s="62">
        <f>IF($V275&lt;&gt;"Sub","",N($X275)*IF(AND(ISNUMBER($G275),$G275&lt;=IF($S275=MesCiclo,InicioCiclo,$S275+MOD(2-WEEKDAY($S275),7))+27),1,MIN(1,MAX(0,IF(ISNUMBER(OFFSET($A$1,ROW()-1,11)),OFFSET($A$1,ROW()-1,11),IF(ISNUMBER(OFFSET($A$1,ROW()-1,10)),OFFSET($A$1,ROW()-1,10),IF(ISNUMBER(OFFSET($A$1,ROW()-1,9)),OFFSET($A$1,ROW()-1,9),IF(ISNUMBER(OFFSET($A$1,ROW()-1,8)),OFFSET($A$1,ROW()-1,8),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",IFERROR(MATCH("Riesgo Operacional|"&amp;MID($C275,12,500),rDname_ADM,0),0),"")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IF(N($W276)=0,"",IF(AND($S276=MesCiclo,1&gt;SemanaActual),"",MIN(1,SUMIFS(OFFSET($A$1,ROW(),29,1000-ROW(),1),OFFSET($A$1,ROW(),20,1000-ROW(),1),ROW(),OFFSET($A$1,ROW(),21,1000-ROW(),1),"Sub"))))</f>
        <v/>
      </c>
      <c r="J276" s="60">
        <f>IF(N($W276)=0,"",IF(AND($S276=MesCiclo,2&gt;SemanaActual),"",MIN(1,SUMIFS(OFFSET($A$1,ROW(),30,1000-ROW(),1),OFFSET($A$1,ROW(),20,1000-ROW(),1),ROW(),OFFSET($A$1,ROW(),21,1000-ROW(),1),"Sub"))))</f>
        <v/>
      </c>
      <c r="K276" s="60">
        <f>IF(N($W276)=0,"",IF(AND($S276=MesCiclo,3&gt;SemanaActual),"",MIN(1,SUMIFS(OFFSET($A$1,ROW(),31,1000-ROW(),1),OFFSET($A$1,ROW(),20,1000-ROW(),1),ROW(),OFFSET($A$1,ROW(),21,1000-ROW(),1),"Sub"))))</f>
        <v/>
      </c>
      <c r="L276" s="60">
        <f>IF(N($W276)=0,"",IF(AND($S276=MesCiclo,4&gt;SemanaActual),"",MIN(1,SUMIFS(OFFSET($A$1,ROW(),32,1000-ROW(),1),OFFSET($A$1,ROW(),20,1000-ROW(),1),ROW(),OFFSET($A$1,ROW(),21,1000-ROW(),1),"Sub"))))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IF($V276&lt;&gt;"Sub","",N($X276)*IF(AND(ISNUMBER($G276),$G276&lt;=IF($S276=MesCiclo,InicioCiclo,$S276+MOD(2-WEEKDAY($S276),7))+6),1,MIN(1,MAX(0,IF(ISNUMBER(OFFSET($A$1,ROW()-1,8)),OFFSET($A$1,ROW()-1,8),0)))))</f>
        <v/>
      </c>
      <c r="AE276" s="62">
        <f>IF($V276&lt;&gt;"Sub","",N($X276)*IF(AND(ISNUMBER($G276),$G276&lt;=IF($S276=MesCiclo,InicioCiclo,$S276+MOD(2-WEEKDAY($S276),7))+13),1,MIN(1,MAX(0,IF(ISNUMBER(OFFSET($A$1,ROW()-1,9)),OFFSET($A$1,ROW()-1,9),IF(ISNUMBER(OFFSET($A$1,ROW()-1,8)),OFFSET($A$1,ROW()-1,8),0))))))</f>
        <v/>
      </c>
      <c r="AF276" s="62">
        <f>IF($V276&lt;&gt;"Sub","",N($X276)*IF(AND(ISNUMBER($G276),$G276&lt;=IF($S276=MesCiclo,InicioCiclo,$S276+MOD(2-WEEKDAY($S276),7))+20),1,MIN(1,MAX(0,IF(ISNUMBER(OFFSET($A$1,ROW()-1,10)),OFFSET($A$1,ROW()-1,10),IF(ISNUMBER(OFFSET($A$1,ROW()-1,9)),OFFSET($A$1,ROW()-1,9),IF(ISNUMBER(OFFSET($A$1,ROW()-1,8)),OFFSET($A$1,ROW()-1,8),0)))))))</f>
        <v/>
      </c>
      <c r="AG276" s="62">
        <f>IF($V276&lt;&gt;"Sub","",N($X276)*IF(AND(ISNUMBER($G276),$G276&lt;=IF($S276=MesCiclo,InicioCiclo,$S276+MOD(2-WEEKDAY($S276),7))+27),1,MIN(1,MAX(0,IF(ISNUMBER(OFFSET($A$1,ROW()-1,11)),OFFSET($A$1,ROW()-1,11),IF(ISNUMBER(OFFSET($A$1,ROW()-1,10)),OFFSET($A$1,ROW()-1,10),IF(ISNUMBER(OFFSET($A$1,ROW()-1,9)),OFFSET($A$1,ROW()-1,9),IF(ISNUMBER(OFFSET($A$1,ROW()-1,8)),OFFSET($A$1,ROW()-1,8),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",IFERROR(MATCH("Riesgo Operacional|"&amp;MID($C276,12,500),rDname_ADM,0),0),"")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IF(N($W277)=0,"",IF(AND($S277=MesCiclo,1&gt;SemanaActual),"",MIN(1,SUMIFS(OFFSET($A$1,ROW(),29,1000-ROW(),1),OFFSET($A$1,ROW(),20,1000-ROW(),1),ROW(),OFFSET($A$1,ROW(),21,1000-ROW(),1),"Sub"))))</f>
        <v/>
      </c>
      <c r="J277" s="60">
        <f>IF(N($W277)=0,"",IF(AND($S277=MesCiclo,2&gt;SemanaActual),"",MIN(1,SUMIFS(OFFSET($A$1,ROW(),30,1000-ROW(),1),OFFSET($A$1,ROW(),20,1000-ROW(),1),ROW(),OFFSET($A$1,ROW(),21,1000-ROW(),1),"Sub"))))</f>
        <v/>
      </c>
      <c r="K277" s="60">
        <f>IF(N($W277)=0,"",IF(AND($S277=MesCiclo,3&gt;SemanaActual),"",MIN(1,SUMIFS(OFFSET($A$1,ROW(),31,1000-ROW(),1),OFFSET($A$1,ROW(),20,1000-ROW(),1),ROW(),OFFSET($A$1,ROW(),21,1000-ROW(),1),"Sub"))))</f>
        <v/>
      </c>
      <c r="L277" s="60">
        <f>IF(N($W277)=0,"",IF(AND($S277=MesCiclo,4&gt;SemanaActual),"",MIN(1,SUMIFS(OFFSET($A$1,ROW(),32,1000-ROW(),1),OFFSET($A$1,ROW(),20,1000-ROW(),1),ROW(),OFFSET($A$1,ROW(),21,1000-ROW(),1),"Sub"))))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IF($V277&lt;&gt;"Sub","",N($X277)*IF(AND(ISNUMBER($G277),$G277&lt;=IF($S277=MesCiclo,InicioCiclo,$S277+MOD(2-WEEKDAY($S277),7))+6),1,MIN(1,MAX(0,IF(ISNUMBER(OFFSET($A$1,ROW()-1,8)),OFFSET($A$1,ROW()-1,8),0)))))</f>
        <v/>
      </c>
      <c r="AE277" s="62">
        <f>IF($V277&lt;&gt;"Sub","",N($X277)*IF(AND(ISNUMBER($G277),$G277&lt;=IF($S277=MesCiclo,InicioCiclo,$S277+MOD(2-WEEKDAY($S277),7))+13),1,MIN(1,MAX(0,IF(ISNUMBER(OFFSET($A$1,ROW()-1,9)),OFFSET($A$1,ROW()-1,9),IF(ISNUMBER(OFFSET($A$1,ROW()-1,8)),OFFSET($A$1,ROW()-1,8),0))))))</f>
        <v/>
      </c>
      <c r="AF277" s="62">
        <f>IF($V277&lt;&gt;"Sub","",N($X277)*IF(AND(ISNUMBER($G277),$G277&lt;=IF($S277=MesCiclo,InicioCiclo,$S277+MOD(2-WEEKDAY($S277),7))+20),1,MIN(1,MAX(0,IF(ISNUMBER(OFFSET($A$1,ROW()-1,10)),OFFSET($A$1,ROW()-1,10),IF(ISNUMBER(OFFSET($A$1,ROW()-1,9)),OFFSET($A$1,ROW()-1,9),IF(ISNUMBER(OFFSET($A$1,ROW()-1,8)),OFFSET($A$1,ROW()-1,8),0)))))))</f>
        <v/>
      </c>
      <c r="AG277" s="62">
        <f>IF($V277&lt;&gt;"Sub","",N($X277)*IF(AND(ISNUMBER($G277),$G277&lt;=IF($S277=MesCiclo,InicioCiclo,$S277+MOD(2-WEEKDAY($S277),7))+27),1,MIN(1,MAX(0,IF(ISNUMBER(OFFSET($A$1,ROW()-1,11)),OFFSET($A$1,ROW()-1,11),IF(ISNUMBER(OFFSET($A$1,ROW()-1,10)),OFFSET($A$1,ROW()-1,10),IF(ISNUMBER(OFFSET($A$1,ROW()-1,9)),OFFSET($A$1,ROW()-1,9),IF(ISNUMBER(OFFSET($A$1,ROW()-1,8)),OFFSET($A$1,ROW()-1,8),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",IFERROR(MATCH("Riesgo Operacional|"&amp;MID($C277,12,500),rDname_ADM,0),0),"")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IF(N($W278)=0,"",IF(AND($S278=MesCiclo,1&gt;SemanaActual),"",MIN(1,SUMIFS(OFFSET($A$1,ROW(),29,1000-ROW(),1),OFFSET($A$1,ROW(),20,1000-ROW(),1),ROW(),OFFSET($A$1,ROW(),21,1000-ROW(),1),"Sub"))))</f>
        <v/>
      </c>
      <c r="J278" s="60">
        <f>IF(N($W278)=0,"",IF(AND($S278=MesCiclo,2&gt;SemanaActual),"",MIN(1,SUMIFS(OFFSET($A$1,ROW(),30,1000-ROW(),1),OFFSET($A$1,ROW(),20,1000-ROW(),1),ROW(),OFFSET($A$1,ROW(),21,1000-ROW(),1),"Sub"))))</f>
        <v/>
      </c>
      <c r="K278" s="60">
        <f>IF(N($W278)=0,"",IF(AND($S278=MesCiclo,3&gt;SemanaActual),"",MIN(1,SUMIFS(OFFSET($A$1,ROW(),31,1000-ROW(),1),OFFSET($A$1,ROW(),20,1000-ROW(),1),ROW(),OFFSET($A$1,ROW(),21,1000-ROW(),1),"Sub"))))</f>
        <v/>
      </c>
      <c r="L278" s="60">
        <f>IF(N($W278)=0,"",IF(AND($S278=MesCiclo,4&gt;SemanaActual),"",MIN(1,SUMIFS(OFFSET($A$1,ROW(),32,1000-ROW(),1),OFFSET($A$1,ROW(),20,1000-ROW(),1),ROW(),OFFSET($A$1,ROW(),21,1000-ROW(),1),"Sub"))))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IF($V278&lt;&gt;"Sub","",N($X278)*IF(AND(ISNUMBER($G278),$G278&lt;=IF($S278=MesCiclo,InicioCiclo,$S278+MOD(2-WEEKDAY($S278),7))+6),1,MIN(1,MAX(0,IF(ISNUMBER(OFFSET($A$1,ROW()-1,8)),OFFSET($A$1,ROW()-1,8),0)))))</f>
        <v/>
      </c>
      <c r="AE278" s="62">
        <f>IF($V278&lt;&gt;"Sub","",N($X278)*IF(AND(ISNUMBER($G278),$G278&lt;=IF($S278=MesCiclo,InicioCiclo,$S278+MOD(2-WEEKDAY($S278),7))+13),1,MIN(1,MAX(0,IF(ISNUMBER(OFFSET($A$1,ROW()-1,9)),OFFSET($A$1,ROW()-1,9),IF(ISNUMBER(OFFSET($A$1,ROW()-1,8)),OFFSET($A$1,ROW()-1,8),0))))))</f>
        <v/>
      </c>
      <c r="AF278" s="62">
        <f>IF($V278&lt;&gt;"Sub","",N($X278)*IF(AND(ISNUMBER($G278),$G278&lt;=IF($S278=MesCiclo,InicioCiclo,$S278+MOD(2-WEEKDAY($S278),7))+20),1,MIN(1,MAX(0,IF(ISNUMBER(OFFSET($A$1,ROW()-1,10)),OFFSET($A$1,ROW()-1,10),IF(ISNUMBER(OFFSET($A$1,ROW()-1,9)),OFFSET($A$1,ROW()-1,9),IF(ISNUMBER(OFFSET($A$1,ROW()-1,8)),OFFSET($A$1,ROW()-1,8),0)))))))</f>
        <v/>
      </c>
      <c r="AG278" s="62">
        <f>IF($V278&lt;&gt;"Sub","",N($X278)*IF(AND(ISNUMBER($G278),$G278&lt;=IF($S278=MesCiclo,InicioCiclo,$S278+MOD(2-WEEKDAY($S278),7))+27),1,MIN(1,MAX(0,IF(ISNUMBER(OFFSET($A$1,ROW()-1,11)),OFFSET($A$1,ROW()-1,11),IF(ISNUMBER(OFFSET($A$1,ROW()-1,10)),OFFSET($A$1,ROW()-1,10),IF(ISNUMBER(OFFSET($A$1,ROW()-1,9)),OFFSET($A$1,ROW()-1,9),IF(ISNUMBER(OFFSET($A$1,ROW()-1,8)),OFFSET($A$1,ROW()-1,8),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",IFERROR(MATCH("Riesgo Operacional|"&amp;MID($C278,12,500),rDname_ADM,0),0),"")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IF(N($W279)=0,"",IF(AND($S279=MesCiclo,1&gt;SemanaActual),"",MIN(1,SUMIFS(OFFSET($A$1,ROW(),29,1000-ROW(),1),OFFSET($A$1,ROW(),20,1000-ROW(),1),ROW(),OFFSET($A$1,ROW(),21,1000-ROW(),1),"Sub"))))</f>
        <v/>
      </c>
      <c r="J279" s="60">
        <f>IF(N($W279)=0,"",IF(AND($S279=MesCiclo,2&gt;SemanaActual),"",MIN(1,SUMIFS(OFFSET($A$1,ROW(),30,1000-ROW(),1),OFFSET($A$1,ROW(),20,1000-ROW(),1),ROW(),OFFSET($A$1,ROW(),21,1000-ROW(),1),"Sub"))))</f>
        <v/>
      </c>
      <c r="K279" s="60">
        <f>IF(N($W279)=0,"",IF(AND($S279=MesCiclo,3&gt;SemanaActual),"",MIN(1,SUMIFS(OFFSET($A$1,ROW(),31,1000-ROW(),1),OFFSET($A$1,ROW(),20,1000-ROW(),1),ROW(),OFFSET($A$1,ROW(),21,1000-ROW(),1),"Sub"))))</f>
        <v/>
      </c>
      <c r="L279" s="60">
        <f>IF(N($W279)=0,"",IF(AND($S279=MesCiclo,4&gt;SemanaActual),"",MIN(1,SUMIFS(OFFSET($A$1,ROW(),32,1000-ROW(),1),OFFSET($A$1,ROW(),20,1000-ROW(),1),ROW(),OFFSET($A$1,ROW(),21,1000-ROW(),1),"Sub"))))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IF($V279&lt;&gt;"Sub","",N($X279)*IF(AND(ISNUMBER($G279),$G279&lt;=IF($S279=MesCiclo,InicioCiclo,$S279+MOD(2-WEEKDAY($S279),7))+6),1,MIN(1,MAX(0,IF(ISNUMBER(OFFSET($A$1,ROW()-1,8)),OFFSET($A$1,ROW()-1,8),0)))))</f>
        <v/>
      </c>
      <c r="AE279" s="62">
        <f>IF($V279&lt;&gt;"Sub","",N($X279)*IF(AND(ISNUMBER($G279),$G279&lt;=IF($S279=MesCiclo,InicioCiclo,$S279+MOD(2-WEEKDAY($S279),7))+13),1,MIN(1,MAX(0,IF(ISNUMBER(OFFSET($A$1,ROW()-1,9)),OFFSET($A$1,ROW()-1,9),IF(ISNUMBER(OFFSET($A$1,ROW()-1,8)),OFFSET($A$1,ROW()-1,8),0))))))</f>
        <v/>
      </c>
      <c r="AF279" s="62">
        <f>IF($V279&lt;&gt;"Sub","",N($X279)*IF(AND(ISNUMBER($G279),$G279&lt;=IF($S279=MesCiclo,InicioCiclo,$S279+MOD(2-WEEKDAY($S279),7))+20),1,MIN(1,MAX(0,IF(ISNUMBER(OFFSET($A$1,ROW()-1,10)),OFFSET($A$1,ROW()-1,10),IF(ISNUMBER(OFFSET($A$1,ROW()-1,9)),OFFSET($A$1,ROW()-1,9),IF(ISNUMBER(OFFSET($A$1,ROW()-1,8)),OFFSET($A$1,ROW()-1,8),0)))))))</f>
        <v/>
      </c>
      <c r="AG279" s="62">
        <f>IF($V279&lt;&gt;"Sub","",N($X279)*IF(AND(ISNUMBER($G279),$G279&lt;=IF($S279=MesCiclo,InicioCiclo,$S279+MOD(2-WEEKDAY($S279),7))+27),1,MIN(1,MAX(0,IF(ISNUMBER(OFFSET($A$1,ROW()-1,11)),OFFSET($A$1,ROW()-1,11),IF(ISNUMBER(OFFSET($A$1,ROW()-1,10)),OFFSET($A$1,ROW()-1,10),IF(ISNUMBER(OFFSET($A$1,ROW()-1,9)),OFFSET($A$1,ROW()-1,9),IF(ISNUMBER(OFFSET($A$1,ROW()-1,8)),OFFSET($A$1,ROW()-1,8),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",IFERROR(MATCH("Riesgo Operacional|"&amp;MID($C279,12,500),rDname_ADM,0),0),"")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IF(N($W280)=0,"",IF(AND($S280=MesCiclo,1&gt;SemanaActual),"",MIN(1,SUMIFS(OFFSET($A$1,ROW(),29,1000-ROW(),1),OFFSET($A$1,ROW(),20,1000-ROW(),1),ROW(),OFFSET($A$1,ROW(),21,1000-ROW(),1),"Sub"))))</f>
        <v/>
      </c>
      <c r="J280" s="60">
        <f>IF(N($W280)=0,"",IF(AND($S280=MesCiclo,2&gt;SemanaActual),"",MIN(1,SUMIFS(OFFSET($A$1,ROW(),30,1000-ROW(),1),OFFSET($A$1,ROW(),20,1000-ROW(),1),ROW(),OFFSET($A$1,ROW(),21,1000-ROW(),1),"Sub"))))</f>
        <v/>
      </c>
      <c r="K280" s="60">
        <f>IF(N($W280)=0,"",IF(AND($S280=MesCiclo,3&gt;SemanaActual),"",MIN(1,SUMIFS(OFFSET($A$1,ROW(),31,1000-ROW(),1),OFFSET($A$1,ROW(),20,1000-ROW(),1),ROW(),OFFSET($A$1,ROW(),21,1000-ROW(),1),"Sub"))))</f>
        <v/>
      </c>
      <c r="L280" s="60">
        <f>IF(N($W280)=0,"",IF(AND($S280=MesCiclo,4&gt;SemanaActual),"",MIN(1,SUMIFS(OFFSET($A$1,ROW(),32,1000-ROW(),1),OFFSET($A$1,ROW(),20,1000-ROW(),1),ROW(),OFFSET($A$1,ROW(),21,1000-ROW(),1),"Sub"))))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IF($V280&lt;&gt;"Sub","",N($X280)*IF(AND(ISNUMBER($G280),$G280&lt;=IF($S280=MesCiclo,InicioCiclo,$S280+MOD(2-WEEKDAY($S280),7))+6),1,MIN(1,MAX(0,IF(ISNUMBER(OFFSET($A$1,ROW()-1,8)),OFFSET($A$1,ROW()-1,8),0)))))</f>
        <v/>
      </c>
      <c r="AE280" s="62">
        <f>IF($V280&lt;&gt;"Sub","",N($X280)*IF(AND(ISNUMBER($G280),$G280&lt;=IF($S280=MesCiclo,InicioCiclo,$S280+MOD(2-WEEKDAY($S280),7))+13),1,MIN(1,MAX(0,IF(ISNUMBER(OFFSET($A$1,ROW()-1,9)),OFFSET($A$1,ROW()-1,9),IF(ISNUMBER(OFFSET($A$1,ROW()-1,8)),OFFSET($A$1,ROW()-1,8),0))))))</f>
        <v/>
      </c>
      <c r="AF280" s="62">
        <f>IF($V280&lt;&gt;"Sub","",N($X280)*IF(AND(ISNUMBER($G280),$G280&lt;=IF($S280=MesCiclo,InicioCiclo,$S280+MOD(2-WEEKDAY($S280),7))+20),1,MIN(1,MAX(0,IF(ISNUMBER(OFFSET($A$1,ROW()-1,10)),OFFSET($A$1,ROW()-1,10),IF(ISNUMBER(OFFSET($A$1,ROW()-1,9)),OFFSET($A$1,ROW()-1,9),IF(ISNUMBER(OFFSET($A$1,ROW()-1,8)),OFFSET($A$1,ROW()-1,8),0)))))))</f>
        <v/>
      </c>
      <c r="AG280" s="62">
        <f>IF($V280&lt;&gt;"Sub","",N($X280)*IF(AND(ISNUMBER($G280),$G280&lt;=IF($S280=MesCiclo,InicioCiclo,$S280+MOD(2-WEEKDAY($S280),7))+27),1,MIN(1,MAX(0,IF(ISNUMBER(OFFSET($A$1,ROW()-1,11)),OFFSET($A$1,ROW()-1,11),IF(ISNUMBER(OFFSET($A$1,ROW()-1,10)),OFFSET($A$1,ROW()-1,10),IF(ISNUMBER(OFFSET($A$1,ROW()-1,9)),OFFSET($A$1,ROW()-1,9),IF(ISNUMBER(OFFSET($A$1,ROW()-1,8)),OFFSET($A$1,ROW()-1,8),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",IFERROR(MATCH("Riesgo Operacional|"&amp;MID($C280,12,500),rDname_ADM,0),0),"")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IF(N($W281)=0,"",IF(AND($S281=MesCiclo,1&gt;SemanaActual),"",MIN(1,SUMIFS(OFFSET($A$1,ROW(),29,1000-ROW(),1),OFFSET($A$1,ROW(),20,1000-ROW(),1),ROW(),OFFSET($A$1,ROW(),21,1000-ROW(),1),"Sub"))))</f>
        <v/>
      </c>
      <c r="J281" s="60">
        <f>IF(N($W281)=0,"",IF(AND($S281=MesCiclo,2&gt;SemanaActual),"",MIN(1,SUMIFS(OFFSET($A$1,ROW(),30,1000-ROW(),1),OFFSET($A$1,ROW(),20,1000-ROW(),1),ROW(),OFFSET($A$1,ROW(),21,1000-ROW(),1),"Sub"))))</f>
        <v/>
      </c>
      <c r="K281" s="60">
        <f>IF(N($W281)=0,"",IF(AND($S281=MesCiclo,3&gt;SemanaActual),"",MIN(1,SUMIFS(OFFSET($A$1,ROW(),31,1000-ROW(),1),OFFSET($A$1,ROW(),20,1000-ROW(),1),ROW(),OFFSET($A$1,ROW(),21,1000-ROW(),1),"Sub"))))</f>
        <v/>
      </c>
      <c r="L281" s="60">
        <f>IF(N($W281)=0,"",IF(AND($S281=MesCiclo,4&gt;SemanaActual),"",MIN(1,SUMIFS(OFFSET($A$1,ROW(),32,1000-ROW(),1),OFFSET($A$1,ROW(),20,1000-ROW(),1),ROW(),OFFSET($A$1,ROW(),21,1000-ROW(),1),"Sub"))))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IF($V281&lt;&gt;"Sub","",N($X281)*IF(AND(ISNUMBER($G281),$G281&lt;=IF($S281=MesCiclo,InicioCiclo,$S281+MOD(2-WEEKDAY($S281),7))+6),1,MIN(1,MAX(0,IF(ISNUMBER(OFFSET($A$1,ROW()-1,8)),OFFSET($A$1,ROW()-1,8),0)))))</f>
        <v/>
      </c>
      <c r="AE281" s="62">
        <f>IF($V281&lt;&gt;"Sub","",N($X281)*IF(AND(ISNUMBER($G281),$G281&lt;=IF($S281=MesCiclo,InicioCiclo,$S281+MOD(2-WEEKDAY($S281),7))+13),1,MIN(1,MAX(0,IF(ISNUMBER(OFFSET($A$1,ROW()-1,9)),OFFSET($A$1,ROW()-1,9),IF(ISNUMBER(OFFSET($A$1,ROW()-1,8)),OFFSET($A$1,ROW()-1,8),0))))))</f>
        <v/>
      </c>
      <c r="AF281" s="62">
        <f>IF($V281&lt;&gt;"Sub","",N($X281)*IF(AND(ISNUMBER($G281),$G281&lt;=IF($S281=MesCiclo,InicioCiclo,$S281+MOD(2-WEEKDAY($S281),7))+20),1,MIN(1,MAX(0,IF(ISNUMBER(OFFSET($A$1,ROW()-1,10)),OFFSET($A$1,ROW()-1,10),IF(ISNUMBER(OFFSET($A$1,ROW()-1,9)),OFFSET($A$1,ROW()-1,9),IF(ISNUMBER(OFFSET($A$1,ROW()-1,8)),OFFSET($A$1,ROW()-1,8),0)))))))</f>
        <v/>
      </c>
      <c r="AG281" s="62">
        <f>IF($V281&lt;&gt;"Sub","",N($X281)*IF(AND(ISNUMBER($G281),$G281&lt;=IF($S281=MesCiclo,InicioCiclo,$S281+MOD(2-WEEKDAY($S281),7))+27),1,MIN(1,MAX(0,IF(ISNUMBER(OFFSET($A$1,ROW()-1,11)),OFFSET($A$1,ROW()-1,11),IF(ISNUMBER(OFFSET($A$1,ROW()-1,10)),OFFSET($A$1,ROW()-1,10),IF(ISNUMBER(OFFSET($A$1,ROW()-1,9)),OFFSET($A$1,ROW()-1,9),IF(ISNUMBER(OFFSET($A$1,ROW()-1,8)),OFFSET($A$1,ROW()-1,8),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",IFERROR(MATCH("Riesgo Operacional|"&amp;MID($C281,12,500),rDname_ADM,0),0),"")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IF(N($W282)=0,"",IF(AND($S282=MesCiclo,1&gt;SemanaActual),"",MIN(1,SUMIFS(OFFSET($A$1,ROW(),29,1000-ROW(),1),OFFSET($A$1,ROW(),20,1000-ROW(),1),ROW(),OFFSET($A$1,ROW(),21,1000-ROW(),1),"Sub"))))</f>
        <v/>
      </c>
      <c r="J282" s="60">
        <f>IF(N($W282)=0,"",IF(AND($S282=MesCiclo,2&gt;SemanaActual),"",MIN(1,SUMIFS(OFFSET($A$1,ROW(),30,1000-ROW(),1),OFFSET($A$1,ROW(),20,1000-ROW(),1),ROW(),OFFSET($A$1,ROW(),21,1000-ROW(),1),"Sub"))))</f>
        <v/>
      </c>
      <c r="K282" s="60">
        <f>IF(N($W282)=0,"",IF(AND($S282=MesCiclo,3&gt;SemanaActual),"",MIN(1,SUMIFS(OFFSET($A$1,ROW(),31,1000-ROW(),1),OFFSET($A$1,ROW(),20,1000-ROW(),1),ROW(),OFFSET($A$1,ROW(),21,1000-ROW(),1),"Sub"))))</f>
        <v/>
      </c>
      <c r="L282" s="60">
        <f>IF(N($W282)=0,"",IF(AND($S282=MesCiclo,4&gt;SemanaActual),"",MIN(1,SUMIFS(OFFSET($A$1,ROW(),32,1000-ROW(),1),OFFSET($A$1,ROW(),20,1000-ROW(),1),ROW(),OFFSET($A$1,ROW(),21,1000-ROW(),1),"Sub"))))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IF($V282&lt;&gt;"Sub","",N($X282)*IF(AND(ISNUMBER($G282),$G282&lt;=IF($S282=MesCiclo,InicioCiclo,$S282+MOD(2-WEEKDAY($S282),7))+6),1,MIN(1,MAX(0,IF(ISNUMBER(OFFSET($A$1,ROW()-1,8)),OFFSET($A$1,ROW()-1,8),0)))))</f>
        <v/>
      </c>
      <c r="AE282" s="62">
        <f>IF($V282&lt;&gt;"Sub","",N($X282)*IF(AND(ISNUMBER($G282),$G282&lt;=IF($S282=MesCiclo,InicioCiclo,$S282+MOD(2-WEEKDAY($S282),7))+13),1,MIN(1,MAX(0,IF(ISNUMBER(OFFSET($A$1,ROW()-1,9)),OFFSET($A$1,ROW()-1,9),IF(ISNUMBER(OFFSET($A$1,ROW()-1,8)),OFFSET($A$1,ROW()-1,8),0))))))</f>
        <v/>
      </c>
      <c r="AF282" s="62">
        <f>IF($V282&lt;&gt;"Sub","",N($X282)*IF(AND(ISNUMBER($G282),$G282&lt;=IF($S282=MesCiclo,InicioCiclo,$S282+MOD(2-WEEKDAY($S282),7))+20),1,MIN(1,MAX(0,IF(ISNUMBER(OFFSET($A$1,ROW()-1,10)),OFFSET($A$1,ROW()-1,10),IF(ISNUMBER(OFFSET($A$1,ROW()-1,9)),OFFSET($A$1,ROW()-1,9),IF(ISNUMBER(OFFSET($A$1,ROW()-1,8)),OFFSET($A$1,ROW()-1,8),0)))))))</f>
        <v/>
      </c>
      <c r="AG282" s="62">
        <f>IF($V282&lt;&gt;"Sub","",N($X282)*IF(AND(ISNUMBER($G282),$G282&lt;=IF($S282=MesCiclo,InicioCiclo,$S282+MOD(2-WEEKDAY($S282),7))+27),1,MIN(1,MAX(0,IF(ISNUMBER(OFFSET($A$1,ROW()-1,11)),OFFSET($A$1,ROW()-1,11),IF(ISNUMBER(OFFSET($A$1,ROW()-1,10)),OFFSET($A$1,ROW()-1,10),IF(ISNUMBER(OFFSET($A$1,ROW()-1,9)),OFFSET($A$1,ROW()-1,9),IF(ISNUMBER(OFFSET($A$1,ROW()-1,8)),OFFSET($A$1,ROW()-1,8),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",IFERROR(MATCH("Riesgo Operacional|"&amp;MID($C282,12,500),rDname_ADM,0),0),"")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IF(N($W283)=0,"",IF(AND($S283=MesCiclo,1&gt;SemanaActual),"",MIN(1,SUMIFS(OFFSET($A$1,ROW(),29,1000-ROW(),1),OFFSET($A$1,ROW(),20,1000-ROW(),1),ROW(),OFFSET($A$1,ROW(),21,1000-ROW(),1),"Sub"))))</f>
        <v/>
      </c>
      <c r="J283" s="60">
        <f>IF(N($W283)=0,"",IF(AND($S283=MesCiclo,2&gt;SemanaActual),"",MIN(1,SUMIFS(OFFSET($A$1,ROW(),30,1000-ROW(),1),OFFSET($A$1,ROW(),20,1000-ROW(),1),ROW(),OFFSET($A$1,ROW(),21,1000-ROW(),1),"Sub"))))</f>
        <v/>
      </c>
      <c r="K283" s="60">
        <f>IF(N($W283)=0,"",IF(AND($S283=MesCiclo,3&gt;SemanaActual),"",MIN(1,SUMIFS(OFFSET($A$1,ROW(),31,1000-ROW(),1),OFFSET($A$1,ROW(),20,1000-ROW(),1),ROW(),OFFSET($A$1,ROW(),21,1000-ROW(),1),"Sub"))))</f>
        <v/>
      </c>
      <c r="L283" s="60">
        <f>IF(N($W283)=0,"",IF(AND($S283=MesCiclo,4&gt;SemanaActual),"",MIN(1,SUMIFS(OFFSET($A$1,ROW(),32,1000-ROW(),1),OFFSET($A$1,ROW(),20,1000-ROW(),1),ROW(),OFFSET($A$1,ROW(),21,1000-ROW(),1),"Sub"))))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IF($V283&lt;&gt;"Sub","",N($X283)*IF(AND(ISNUMBER($G283),$G283&lt;=IF($S283=MesCiclo,InicioCiclo,$S283+MOD(2-WEEKDAY($S283),7))+6),1,MIN(1,MAX(0,IF(ISNUMBER(OFFSET($A$1,ROW()-1,8)),OFFSET($A$1,ROW()-1,8),0)))))</f>
        <v/>
      </c>
      <c r="AE283" s="62">
        <f>IF($V283&lt;&gt;"Sub","",N($X283)*IF(AND(ISNUMBER($G283),$G283&lt;=IF($S283=MesCiclo,InicioCiclo,$S283+MOD(2-WEEKDAY($S283),7))+13),1,MIN(1,MAX(0,IF(ISNUMBER(OFFSET($A$1,ROW()-1,9)),OFFSET($A$1,ROW()-1,9),IF(ISNUMBER(OFFSET($A$1,ROW()-1,8)),OFFSET($A$1,ROW()-1,8),0))))))</f>
        <v/>
      </c>
      <c r="AF283" s="62">
        <f>IF($V283&lt;&gt;"Sub","",N($X283)*IF(AND(ISNUMBER($G283),$G283&lt;=IF($S283=MesCiclo,InicioCiclo,$S283+MOD(2-WEEKDAY($S283),7))+20),1,MIN(1,MAX(0,IF(ISNUMBER(OFFSET($A$1,ROW()-1,10)),OFFSET($A$1,ROW()-1,10),IF(ISNUMBER(OFFSET($A$1,ROW()-1,9)),OFFSET($A$1,ROW()-1,9),IF(ISNUMBER(OFFSET($A$1,ROW()-1,8)),OFFSET($A$1,ROW()-1,8),0)))))))</f>
        <v/>
      </c>
      <c r="AG283" s="62">
        <f>IF($V283&lt;&gt;"Sub","",N($X283)*IF(AND(ISNUMBER($G283),$G283&lt;=IF($S283=MesCiclo,InicioCiclo,$S283+MOD(2-WEEKDAY($S283),7))+27),1,MIN(1,MAX(0,IF(ISNUMBER(OFFSET($A$1,ROW()-1,11)),OFFSET($A$1,ROW()-1,11),IF(ISNUMBER(OFFSET($A$1,ROW()-1,10)),OFFSET($A$1,ROW()-1,10),IF(ISNUMBER(OFFSET($A$1,ROW()-1,9)),OFFSET($A$1,ROW()-1,9),IF(ISNUMBER(OFFSET($A$1,ROW()-1,8)),OFFSET($A$1,ROW()-1,8),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",IFERROR(MATCH("Riesgo Operacional|"&amp;MID($C283,12,500),rDname_ADM,0),0),"")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IF(N($W284)=0,"",IF(AND($S284=MesCiclo,1&gt;SemanaActual),"",MIN(1,SUMIFS(OFFSET($A$1,ROW(),29,1000-ROW(),1),OFFSET($A$1,ROW(),20,1000-ROW(),1),ROW(),OFFSET($A$1,ROW(),21,1000-ROW(),1),"Sub"))))</f>
        <v/>
      </c>
      <c r="J284" s="60">
        <f>IF(N($W284)=0,"",IF(AND($S284=MesCiclo,2&gt;SemanaActual),"",MIN(1,SUMIFS(OFFSET($A$1,ROW(),30,1000-ROW(),1),OFFSET($A$1,ROW(),20,1000-ROW(),1),ROW(),OFFSET($A$1,ROW(),21,1000-ROW(),1),"Sub"))))</f>
        <v/>
      </c>
      <c r="K284" s="60">
        <f>IF(N($W284)=0,"",IF(AND($S284=MesCiclo,3&gt;SemanaActual),"",MIN(1,SUMIFS(OFFSET($A$1,ROW(),31,1000-ROW(),1),OFFSET($A$1,ROW(),20,1000-ROW(),1),ROW(),OFFSET($A$1,ROW(),21,1000-ROW(),1),"Sub"))))</f>
        <v/>
      </c>
      <c r="L284" s="60">
        <f>IF(N($W284)=0,"",IF(AND($S284=MesCiclo,4&gt;SemanaActual),"",MIN(1,SUMIFS(OFFSET($A$1,ROW(),32,1000-ROW(),1),OFFSET($A$1,ROW(),20,1000-ROW(),1),ROW(),OFFSET($A$1,ROW(),21,1000-ROW(),1),"Sub"))))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IF($V284&lt;&gt;"Sub","",N($X284)*IF(AND(ISNUMBER($G284),$G284&lt;=IF($S284=MesCiclo,InicioCiclo,$S284+MOD(2-WEEKDAY($S284),7))+6),1,MIN(1,MAX(0,IF(ISNUMBER(OFFSET($A$1,ROW()-1,8)),OFFSET($A$1,ROW()-1,8),0)))))</f>
        <v/>
      </c>
      <c r="AE284" s="62">
        <f>IF($V284&lt;&gt;"Sub","",N($X284)*IF(AND(ISNUMBER($G284),$G284&lt;=IF($S284=MesCiclo,InicioCiclo,$S284+MOD(2-WEEKDAY($S284),7))+13),1,MIN(1,MAX(0,IF(ISNUMBER(OFFSET($A$1,ROW()-1,9)),OFFSET($A$1,ROW()-1,9),IF(ISNUMBER(OFFSET($A$1,ROW()-1,8)),OFFSET($A$1,ROW()-1,8),0))))))</f>
        <v/>
      </c>
      <c r="AF284" s="62">
        <f>IF($V284&lt;&gt;"Sub","",N($X284)*IF(AND(ISNUMBER($G284),$G284&lt;=IF($S284=MesCiclo,InicioCiclo,$S284+MOD(2-WEEKDAY($S284),7))+20),1,MIN(1,MAX(0,IF(ISNUMBER(OFFSET($A$1,ROW()-1,10)),OFFSET($A$1,ROW()-1,10),IF(ISNUMBER(OFFSET($A$1,ROW()-1,9)),OFFSET($A$1,ROW()-1,9),IF(ISNUMBER(OFFSET($A$1,ROW()-1,8)),OFFSET($A$1,ROW()-1,8),0)))))))</f>
        <v/>
      </c>
      <c r="AG284" s="62">
        <f>IF($V284&lt;&gt;"Sub","",N($X284)*IF(AND(ISNUMBER($G284),$G284&lt;=IF($S284=MesCiclo,InicioCiclo,$S284+MOD(2-WEEKDAY($S284),7))+27),1,MIN(1,MAX(0,IF(ISNUMBER(OFFSET($A$1,ROW()-1,11)),OFFSET($A$1,ROW()-1,11),IF(ISNUMBER(OFFSET($A$1,ROW()-1,10)),OFFSET($A$1,ROW()-1,10),IF(ISNUMBER(OFFSET($A$1,ROW()-1,9)),OFFSET($A$1,ROW()-1,9),IF(ISNUMBER(OFFSET($A$1,ROW()-1,8)),OFFSET($A$1,ROW()-1,8),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",IFERROR(MATCH("Riesgo Operacional|"&amp;MID($C284,12,500),rDname_ADM,0),0),"")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IF(N($W285)=0,"",IF(AND($S285=MesCiclo,1&gt;SemanaActual),"",MIN(1,SUMIFS(OFFSET($A$1,ROW(),29,1000-ROW(),1),OFFSET($A$1,ROW(),20,1000-ROW(),1),ROW(),OFFSET($A$1,ROW(),21,1000-ROW(),1),"Sub"))))</f>
        <v/>
      </c>
      <c r="J285" s="60">
        <f>IF(N($W285)=0,"",IF(AND($S285=MesCiclo,2&gt;SemanaActual),"",MIN(1,SUMIFS(OFFSET($A$1,ROW(),30,1000-ROW(),1),OFFSET($A$1,ROW(),20,1000-ROW(),1),ROW(),OFFSET($A$1,ROW(),21,1000-ROW(),1),"Sub"))))</f>
        <v/>
      </c>
      <c r="K285" s="60">
        <f>IF(N($W285)=0,"",IF(AND($S285=MesCiclo,3&gt;SemanaActual),"",MIN(1,SUMIFS(OFFSET($A$1,ROW(),31,1000-ROW(),1),OFFSET($A$1,ROW(),20,1000-ROW(),1),ROW(),OFFSET($A$1,ROW(),21,1000-ROW(),1),"Sub"))))</f>
        <v/>
      </c>
      <c r="L285" s="60">
        <f>IF(N($W285)=0,"",IF(AND($S285=MesCiclo,4&gt;SemanaActual),"",MIN(1,SUMIFS(OFFSET($A$1,ROW(),32,1000-ROW(),1),OFFSET($A$1,ROW(),20,1000-ROW(),1),ROW(),OFFSET($A$1,ROW(),21,1000-ROW(),1),"Sub"))))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IF($V285&lt;&gt;"Sub","",N($X285)*IF(AND(ISNUMBER($G285),$G285&lt;=IF($S285=MesCiclo,InicioCiclo,$S285+MOD(2-WEEKDAY($S285),7))+6),1,MIN(1,MAX(0,IF(ISNUMBER(OFFSET($A$1,ROW()-1,8)),OFFSET($A$1,ROW()-1,8),0)))))</f>
        <v/>
      </c>
      <c r="AE285" s="62">
        <f>IF($V285&lt;&gt;"Sub","",N($X285)*IF(AND(ISNUMBER($G285),$G285&lt;=IF($S285=MesCiclo,InicioCiclo,$S285+MOD(2-WEEKDAY($S285),7))+13),1,MIN(1,MAX(0,IF(ISNUMBER(OFFSET($A$1,ROW()-1,9)),OFFSET($A$1,ROW()-1,9),IF(ISNUMBER(OFFSET($A$1,ROW()-1,8)),OFFSET($A$1,ROW()-1,8),0))))))</f>
        <v/>
      </c>
      <c r="AF285" s="62">
        <f>IF($V285&lt;&gt;"Sub","",N($X285)*IF(AND(ISNUMBER($G285),$G285&lt;=IF($S285=MesCiclo,InicioCiclo,$S285+MOD(2-WEEKDAY($S285),7))+20),1,MIN(1,MAX(0,IF(ISNUMBER(OFFSET($A$1,ROW()-1,10)),OFFSET($A$1,ROW()-1,10),IF(ISNUMBER(OFFSET($A$1,ROW()-1,9)),OFFSET($A$1,ROW()-1,9),IF(ISNUMBER(OFFSET($A$1,ROW()-1,8)),OFFSET($A$1,ROW()-1,8),0)))))))</f>
        <v/>
      </c>
      <c r="AG285" s="62">
        <f>IF($V285&lt;&gt;"Sub","",N($X285)*IF(AND(ISNUMBER($G285),$G285&lt;=IF($S285=MesCiclo,InicioCiclo,$S285+MOD(2-WEEKDAY($S285),7))+27),1,MIN(1,MAX(0,IF(ISNUMBER(OFFSET($A$1,ROW()-1,11)),OFFSET($A$1,ROW()-1,11),IF(ISNUMBER(OFFSET($A$1,ROW()-1,10)),OFFSET($A$1,ROW()-1,10),IF(ISNUMBER(OFFSET($A$1,ROW()-1,9)),OFFSET($A$1,ROW()-1,9),IF(ISNUMBER(OFFSET($A$1,ROW()-1,8)),OFFSET($A$1,ROW()-1,8),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",IFERROR(MATCH("Riesgo Operacional|"&amp;MID($C285,12,500),rDname_ADM,0),0),"")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IF(N($W286)=0,"",IF(AND($S286=MesCiclo,1&gt;SemanaActual),"",MIN(1,SUMIFS(OFFSET($A$1,ROW(),29,1000-ROW(),1),OFFSET($A$1,ROW(),20,1000-ROW(),1),ROW(),OFFSET($A$1,ROW(),21,1000-ROW(),1),"Sub"))))</f>
        <v/>
      </c>
      <c r="J286" s="60">
        <f>IF(N($W286)=0,"",IF(AND($S286=MesCiclo,2&gt;SemanaActual),"",MIN(1,SUMIFS(OFFSET($A$1,ROW(),30,1000-ROW(),1),OFFSET($A$1,ROW(),20,1000-ROW(),1),ROW(),OFFSET($A$1,ROW(),21,1000-ROW(),1),"Sub"))))</f>
        <v/>
      </c>
      <c r="K286" s="60">
        <f>IF(N($W286)=0,"",IF(AND($S286=MesCiclo,3&gt;SemanaActual),"",MIN(1,SUMIFS(OFFSET($A$1,ROW(),31,1000-ROW(),1),OFFSET($A$1,ROW(),20,1000-ROW(),1),ROW(),OFFSET($A$1,ROW(),21,1000-ROW(),1),"Sub"))))</f>
        <v/>
      </c>
      <c r="L286" s="60">
        <f>IF(N($W286)=0,"",IF(AND($S286=MesCiclo,4&gt;SemanaActual),"",MIN(1,SUMIFS(OFFSET($A$1,ROW(),32,1000-ROW(),1),OFFSET($A$1,ROW(),20,1000-ROW(),1),ROW(),OFFSET($A$1,ROW(),21,1000-ROW(),1),"Sub"))))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IF($V286&lt;&gt;"Sub","",N($X286)*IF(AND(ISNUMBER($G286),$G286&lt;=IF($S286=MesCiclo,InicioCiclo,$S286+MOD(2-WEEKDAY($S286),7))+6),1,MIN(1,MAX(0,IF(ISNUMBER(OFFSET($A$1,ROW()-1,8)),OFFSET($A$1,ROW()-1,8),0)))))</f>
        <v/>
      </c>
      <c r="AE286" s="62">
        <f>IF($V286&lt;&gt;"Sub","",N($X286)*IF(AND(ISNUMBER($G286),$G286&lt;=IF($S286=MesCiclo,InicioCiclo,$S286+MOD(2-WEEKDAY($S286),7))+13),1,MIN(1,MAX(0,IF(ISNUMBER(OFFSET($A$1,ROW()-1,9)),OFFSET($A$1,ROW()-1,9),IF(ISNUMBER(OFFSET($A$1,ROW()-1,8)),OFFSET($A$1,ROW()-1,8),0))))))</f>
        <v/>
      </c>
      <c r="AF286" s="62">
        <f>IF($V286&lt;&gt;"Sub","",N($X286)*IF(AND(ISNUMBER($G286),$G286&lt;=IF($S286=MesCiclo,InicioCiclo,$S286+MOD(2-WEEKDAY($S286),7))+20),1,MIN(1,MAX(0,IF(ISNUMBER(OFFSET($A$1,ROW()-1,10)),OFFSET($A$1,ROW()-1,10),IF(ISNUMBER(OFFSET($A$1,ROW()-1,9)),OFFSET($A$1,ROW()-1,9),IF(ISNUMBER(OFFSET($A$1,ROW()-1,8)),OFFSET($A$1,ROW()-1,8),0)))))))</f>
        <v/>
      </c>
      <c r="AG286" s="62">
        <f>IF($V286&lt;&gt;"Sub","",N($X286)*IF(AND(ISNUMBER($G286),$G286&lt;=IF($S286=MesCiclo,InicioCiclo,$S286+MOD(2-WEEKDAY($S286),7))+27),1,MIN(1,MAX(0,IF(ISNUMBER(OFFSET($A$1,ROW()-1,11)),OFFSET($A$1,ROW()-1,11),IF(ISNUMBER(OFFSET($A$1,ROW()-1,10)),OFFSET($A$1,ROW()-1,10),IF(ISNUMBER(OFFSET($A$1,ROW()-1,9)),OFFSET($A$1,ROW()-1,9),IF(ISNUMBER(OFFSET($A$1,ROW()-1,8)),OFFSET($A$1,ROW()-1,8),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",IFERROR(MATCH("Riesgo Operacional|"&amp;MID($C286,12,500),rDname_ADM,0),0),"")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IF(N($W287)=0,"",IF(AND($S287=MesCiclo,1&gt;SemanaActual),"",MIN(1,SUMIFS(OFFSET($A$1,ROW(),29,1000-ROW(),1),OFFSET($A$1,ROW(),20,1000-ROW(),1),ROW(),OFFSET($A$1,ROW(),21,1000-ROW(),1),"Sub"))))</f>
        <v/>
      </c>
      <c r="J287" s="60">
        <f>IF(N($W287)=0,"",IF(AND($S287=MesCiclo,2&gt;SemanaActual),"",MIN(1,SUMIFS(OFFSET($A$1,ROW(),30,1000-ROW(),1),OFFSET($A$1,ROW(),20,1000-ROW(),1),ROW(),OFFSET($A$1,ROW(),21,1000-ROW(),1),"Sub"))))</f>
        <v/>
      </c>
      <c r="K287" s="60">
        <f>IF(N($W287)=0,"",IF(AND($S287=MesCiclo,3&gt;SemanaActual),"",MIN(1,SUMIFS(OFFSET($A$1,ROW(),31,1000-ROW(),1),OFFSET($A$1,ROW(),20,1000-ROW(),1),ROW(),OFFSET($A$1,ROW(),21,1000-ROW(),1),"Sub"))))</f>
        <v/>
      </c>
      <c r="L287" s="60">
        <f>IF(N($W287)=0,"",IF(AND($S287=MesCiclo,4&gt;SemanaActual),"",MIN(1,SUMIFS(OFFSET($A$1,ROW(),32,1000-ROW(),1),OFFSET($A$1,ROW(),20,1000-ROW(),1),ROW(),OFFSET($A$1,ROW(),21,1000-ROW(),1),"Sub"))))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IF($V287&lt;&gt;"Sub","",N($X287)*IF(AND(ISNUMBER($G287),$G287&lt;=IF($S287=MesCiclo,InicioCiclo,$S287+MOD(2-WEEKDAY($S287),7))+6),1,MIN(1,MAX(0,IF(ISNUMBER(OFFSET($A$1,ROW()-1,8)),OFFSET($A$1,ROW()-1,8),0)))))</f>
        <v/>
      </c>
      <c r="AE287" s="62">
        <f>IF($V287&lt;&gt;"Sub","",N($X287)*IF(AND(ISNUMBER($G287),$G287&lt;=IF($S287=MesCiclo,InicioCiclo,$S287+MOD(2-WEEKDAY($S287),7))+13),1,MIN(1,MAX(0,IF(ISNUMBER(OFFSET($A$1,ROW()-1,9)),OFFSET($A$1,ROW()-1,9),IF(ISNUMBER(OFFSET($A$1,ROW()-1,8)),OFFSET($A$1,ROW()-1,8),0))))))</f>
        <v/>
      </c>
      <c r="AF287" s="62">
        <f>IF($V287&lt;&gt;"Sub","",N($X287)*IF(AND(ISNUMBER($G287),$G287&lt;=IF($S287=MesCiclo,InicioCiclo,$S287+MOD(2-WEEKDAY($S287),7))+20),1,MIN(1,MAX(0,IF(ISNUMBER(OFFSET($A$1,ROW()-1,10)),OFFSET($A$1,ROW()-1,10),IF(ISNUMBER(OFFSET($A$1,ROW()-1,9)),OFFSET($A$1,ROW()-1,9),IF(ISNUMBER(OFFSET($A$1,ROW()-1,8)),OFFSET($A$1,ROW()-1,8),0)))))))</f>
        <v/>
      </c>
      <c r="AG287" s="62">
        <f>IF($V287&lt;&gt;"Sub","",N($X287)*IF(AND(ISNUMBER($G287),$G287&lt;=IF($S287=MesCiclo,InicioCiclo,$S287+MOD(2-WEEKDAY($S287),7))+27),1,MIN(1,MAX(0,IF(ISNUMBER(OFFSET($A$1,ROW()-1,11)),OFFSET($A$1,ROW()-1,11),IF(ISNUMBER(OFFSET($A$1,ROW()-1,10)),OFFSET($A$1,ROW()-1,10),IF(ISNUMBER(OFFSET($A$1,ROW()-1,9)),OFFSET($A$1,ROW()-1,9),IF(ISNUMBER(OFFSET($A$1,ROW()-1,8)),OFFSET($A$1,ROW()-1,8),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",IFERROR(MATCH("Riesgo Operacional|"&amp;MID($C287,12,500),rDname_ADM,0),0),"")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IF(N($W288)=0,"",IF(AND($S288=MesCiclo,1&gt;SemanaActual),"",MIN(1,SUMIFS(OFFSET($A$1,ROW(),29,1000-ROW(),1),OFFSET($A$1,ROW(),20,1000-ROW(),1),ROW(),OFFSET($A$1,ROW(),21,1000-ROW(),1),"Sub"))))</f>
        <v/>
      </c>
      <c r="J288" s="60">
        <f>IF(N($W288)=0,"",IF(AND($S288=MesCiclo,2&gt;SemanaActual),"",MIN(1,SUMIFS(OFFSET($A$1,ROW(),30,1000-ROW(),1),OFFSET($A$1,ROW(),20,1000-ROW(),1),ROW(),OFFSET($A$1,ROW(),21,1000-ROW(),1),"Sub"))))</f>
        <v/>
      </c>
      <c r="K288" s="60">
        <f>IF(N($W288)=0,"",IF(AND($S288=MesCiclo,3&gt;SemanaActual),"",MIN(1,SUMIFS(OFFSET($A$1,ROW(),31,1000-ROW(),1),OFFSET($A$1,ROW(),20,1000-ROW(),1),ROW(),OFFSET($A$1,ROW(),21,1000-ROW(),1),"Sub"))))</f>
        <v/>
      </c>
      <c r="L288" s="60">
        <f>IF(N($W288)=0,"",IF(AND($S288=MesCiclo,4&gt;SemanaActual),"",MIN(1,SUMIFS(OFFSET($A$1,ROW(),32,1000-ROW(),1),OFFSET($A$1,ROW(),20,1000-ROW(),1),ROW(),OFFSET($A$1,ROW(),21,1000-ROW(),1),"Sub"))))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IF($V288&lt;&gt;"Sub","",N($X288)*IF(AND(ISNUMBER($G288),$G288&lt;=IF($S288=MesCiclo,InicioCiclo,$S288+MOD(2-WEEKDAY($S288),7))+6),1,MIN(1,MAX(0,IF(ISNUMBER(OFFSET($A$1,ROW()-1,8)),OFFSET($A$1,ROW()-1,8),0)))))</f>
        <v/>
      </c>
      <c r="AE288" s="62">
        <f>IF($V288&lt;&gt;"Sub","",N($X288)*IF(AND(ISNUMBER($G288),$G288&lt;=IF($S288=MesCiclo,InicioCiclo,$S288+MOD(2-WEEKDAY($S288),7))+13),1,MIN(1,MAX(0,IF(ISNUMBER(OFFSET($A$1,ROW()-1,9)),OFFSET($A$1,ROW()-1,9),IF(ISNUMBER(OFFSET($A$1,ROW()-1,8)),OFFSET($A$1,ROW()-1,8),0))))))</f>
        <v/>
      </c>
      <c r="AF288" s="62">
        <f>IF($V288&lt;&gt;"Sub","",N($X288)*IF(AND(ISNUMBER($G288),$G288&lt;=IF($S288=MesCiclo,InicioCiclo,$S288+MOD(2-WEEKDAY($S288),7))+20),1,MIN(1,MAX(0,IF(ISNUMBER(OFFSET($A$1,ROW()-1,10)),OFFSET($A$1,ROW()-1,10),IF(ISNUMBER(OFFSET($A$1,ROW()-1,9)),OFFSET($A$1,ROW()-1,9),IF(ISNUMBER(OFFSET($A$1,ROW()-1,8)),OFFSET($A$1,ROW()-1,8),0)))))))</f>
        <v/>
      </c>
      <c r="AG288" s="62">
        <f>IF($V288&lt;&gt;"Sub","",N($X288)*IF(AND(ISNUMBER($G288),$G288&lt;=IF($S288=MesCiclo,InicioCiclo,$S288+MOD(2-WEEKDAY($S288),7))+27),1,MIN(1,MAX(0,IF(ISNUMBER(OFFSET($A$1,ROW()-1,11)),OFFSET($A$1,ROW()-1,11),IF(ISNUMBER(OFFSET($A$1,ROW()-1,10)),OFFSET($A$1,ROW()-1,10),IF(ISNUMBER(OFFSET($A$1,ROW()-1,9)),OFFSET($A$1,ROW()-1,9),IF(ISNUMBER(OFFSET($A$1,ROW()-1,8)),OFFSET($A$1,ROW()-1,8),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",IFERROR(MATCH("Riesgo Operacional|"&amp;MID($C288,12,500),rDname_ADM,0),0),"")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IF(N($W289)=0,"",IF(AND($S289=MesCiclo,1&gt;SemanaActual),"",MIN(1,SUMIFS(OFFSET($A$1,ROW(),29,1000-ROW(),1),OFFSET($A$1,ROW(),20,1000-ROW(),1),ROW(),OFFSET($A$1,ROW(),21,1000-ROW(),1),"Sub"))))</f>
        <v/>
      </c>
      <c r="J289" s="60">
        <f>IF(N($W289)=0,"",IF(AND($S289=MesCiclo,2&gt;SemanaActual),"",MIN(1,SUMIFS(OFFSET($A$1,ROW(),30,1000-ROW(),1),OFFSET($A$1,ROW(),20,1000-ROW(),1),ROW(),OFFSET($A$1,ROW(),21,1000-ROW(),1),"Sub"))))</f>
        <v/>
      </c>
      <c r="K289" s="60">
        <f>IF(N($W289)=0,"",IF(AND($S289=MesCiclo,3&gt;SemanaActual),"",MIN(1,SUMIFS(OFFSET($A$1,ROW(),31,1000-ROW(),1),OFFSET($A$1,ROW(),20,1000-ROW(),1),ROW(),OFFSET($A$1,ROW(),21,1000-ROW(),1),"Sub"))))</f>
        <v/>
      </c>
      <c r="L289" s="60">
        <f>IF(N($W289)=0,"",IF(AND($S289=MesCiclo,4&gt;SemanaActual),"",MIN(1,SUMIFS(OFFSET($A$1,ROW(),32,1000-ROW(),1),OFFSET($A$1,ROW(),20,1000-ROW(),1),ROW(),OFFSET($A$1,ROW(),21,1000-ROW(),1),"Sub"))))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IF($V289&lt;&gt;"Sub","",N($X289)*IF(AND(ISNUMBER($G289),$G289&lt;=IF($S289=MesCiclo,InicioCiclo,$S289+MOD(2-WEEKDAY($S289),7))+6),1,MIN(1,MAX(0,IF(ISNUMBER(OFFSET($A$1,ROW()-1,8)),OFFSET($A$1,ROW()-1,8),0)))))</f>
        <v/>
      </c>
      <c r="AE289" s="62">
        <f>IF($V289&lt;&gt;"Sub","",N($X289)*IF(AND(ISNUMBER($G289),$G289&lt;=IF($S289=MesCiclo,InicioCiclo,$S289+MOD(2-WEEKDAY($S289),7))+13),1,MIN(1,MAX(0,IF(ISNUMBER(OFFSET($A$1,ROW()-1,9)),OFFSET($A$1,ROW()-1,9),IF(ISNUMBER(OFFSET($A$1,ROW()-1,8)),OFFSET($A$1,ROW()-1,8),0))))))</f>
        <v/>
      </c>
      <c r="AF289" s="62">
        <f>IF($V289&lt;&gt;"Sub","",N($X289)*IF(AND(ISNUMBER($G289),$G289&lt;=IF($S289=MesCiclo,InicioCiclo,$S289+MOD(2-WEEKDAY($S289),7))+20),1,MIN(1,MAX(0,IF(ISNUMBER(OFFSET($A$1,ROW()-1,10)),OFFSET($A$1,ROW()-1,10),IF(ISNUMBER(OFFSET($A$1,ROW()-1,9)),OFFSET($A$1,ROW()-1,9),IF(ISNUMBER(OFFSET($A$1,ROW()-1,8)),OFFSET($A$1,ROW()-1,8),0)))))))</f>
        <v/>
      </c>
      <c r="AG289" s="62">
        <f>IF($V289&lt;&gt;"Sub","",N($X289)*IF(AND(ISNUMBER($G289),$G289&lt;=IF($S289=MesCiclo,InicioCiclo,$S289+MOD(2-WEEKDAY($S289),7))+27),1,MIN(1,MAX(0,IF(ISNUMBER(OFFSET($A$1,ROW()-1,11)),OFFSET($A$1,ROW()-1,11),IF(ISNUMBER(OFFSET($A$1,ROW()-1,10)),OFFSET($A$1,ROW()-1,10),IF(ISNUMBER(OFFSET($A$1,ROW()-1,9)),OFFSET($A$1,ROW()-1,9),IF(ISNUMBER(OFFSET($A$1,ROW()-1,8)),OFFSET($A$1,ROW()-1,8),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",IFERROR(MATCH("Riesgo Operacional|"&amp;MID($C289,12,500),rDname_ADM,0),0),"")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IF(N($W290)=0,"",IF(AND($S290=MesCiclo,1&gt;SemanaActual),"",MIN(1,SUMIFS(OFFSET($A$1,ROW(),29,1000-ROW(),1),OFFSET($A$1,ROW(),20,1000-ROW(),1),ROW(),OFFSET($A$1,ROW(),21,1000-ROW(),1),"Sub"))))</f>
        <v/>
      </c>
      <c r="J290" s="60">
        <f>IF(N($W290)=0,"",IF(AND($S290=MesCiclo,2&gt;SemanaActual),"",MIN(1,SUMIFS(OFFSET($A$1,ROW(),30,1000-ROW(),1),OFFSET($A$1,ROW(),20,1000-ROW(),1),ROW(),OFFSET($A$1,ROW(),21,1000-ROW(),1),"Sub"))))</f>
        <v/>
      </c>
      <c r="K290" s="60">
        <f>IF(N($W290)=0,"",IF(AND($S290=MesCiclo,3&gt;SemanaActual),"",MIN(1,SUMIFS(OFFSET($A$1,ROW(),31,1000-ROW(),1),OFFSET($A$1,ROW(),20,1000-ROW(),1),ROW(),OFFSET($A$1,ROW(),21,1000-ROW(),1),"Sub"))))</f>
        <v/>
      </c>
      <c r="L290" s="60">
        <f>IF(N($W290)=0,"",IF(AND($S290=MesCiclo,4&gt;SemanaActual),"",MIN(1,SUMIFS(OFFSET($A$1,ROW(),32,1000-ROW(),1),OFFSET($A$1,ROW(),20,1000-ROW(),1),ROW(),OFFSET($A$1,ROW(),21,1000-ROW(),1),"Sub"))))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IF($V290&lt;&gt;"Sub","",N($X290)*IF(AND(ISNUMBER($G290),$G290&lt;=IF($S290=MesCiclo,InicioCiclo,$S290+MOD(2-WEEKDAY($S290),7))+6),1,MIN(1,MAX(0,IF(ISNUMBER(OFFSET($A$1,ROW()-1,8)),OFFSET($A$1,ROW()-1,8),0)))))</f>
        <v/>
      </c>
      <c r="AE290" s="62">
        <f>IF($V290&lt;&gt;"Sub","",N($X290)*IF(AND(ISNUMBER($G290),$G290&lt;=IF($S290=MesCiclo,InicioCiclo,$S290+MOD(2-WEEKDAY($S290),7))+13),1,MIN(1,MAX(0,IF(ISNUMBER(OFFSET($A$1,ROW()-1,9)),OFFSET($A$1,ROW()-1,9),IF(ISNUMBER(OFFSET($A$1,ROW()-1,8)),OFFSET($A$1,ROW()-1,8),0))))))</f>
        <v/>
      </c>
      <c r="AF290" s="62">
        <f>IF($V290&lt;&gt;"Sub","",N($X290)*IF(AND(ISNUMBER($G290),$G290&lt;=IF($S290=MesCiclo,InicioCiclo,$S290+MOD(2-WEEKDAY($S290),7))+20),1,MIN(1,MAX(0,IF(ISNUMBER(OFFSET($A$1,ROW()-1,10)),OFFSET($A$1,ROW()-1,10),IF(ISNUMBER(OFFSET($A$1,ROW()-1,9)),OFFSET($A$1,ROW()-1,9),IF(ISNUMBER(OFFSET($A$1,ROW()-1,8)),OFFSET($A$1,ROW()-1,8),0)))))))</f>
        <v/>
      </c>
      <c r="AG290" s="62">
        <f>IF($V290&lt;&gt;"Sub","",N($X290)*IF(AND(ISNUMBER($G290),$G290&lt;=IF($S290=MesCiclo,InicioCiclo,$S290+MOD(2-WEEKDAY($S290),7))+27),1,MIN(1,MAX(0,IF(ISNUMBER(OFFSET($A$1,ROW()-1,11)),OFFSET($A$1,ROW()-1,11),IF(ISNUMBER(OFFSET($A$1,ROW()-1,10)),OFFSET($A$1,ROW()-1,10),IF(ISNUMBER(OFFSET($A$1,ROW()-1,9)),OFFSET($A$1,ROW()-1,9),IF(ISNUMBER(OFFSET($A$1,ROW()-1,8)),OFFSET($A$1,ROW()-1,8),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",IFERROR(MATCH("Riesgo Operacional|"&amp;MID($C290,12,500),rDname_ADM,0),0),"")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IF(N($W291)=0,"",IF(AND($S291=MesCiclo,1&gt;SemanaActual),"",MIN(1,SUMIFS(OFFSET($A$1,ROW(),29,1000-ROW(),1),OFFSET($A$1,ROW(),20,1000-ROW(),1),ROW(),OFFSET($A$1,ROW(),21,1000-ROW(),1),"Sub"))))</f>
        <v/>
      </c>
      <c r="J291" s="60">
        <f>IF(N($W291)=0,"",IF(AND($S291=MesCiclo,2&gt;SemanaActual),"",MIN(1,SUMIFS(OFFSET($A$1,ROW(),30,1000-ROW(),1),OFFSET($A$1,ROW(),20,1000-ROW(),1),ROW(),OFFSET($A$1,ROW(),21,1000-ROW(),1),"Sub"))))</f>
        <v/>
      </c>
      <c r="K291" s="60">
        <f>IF(N($W291)=0,"",IF(AND($S291=MesCiclo,3&gt;SemanaActual),"",MIN(1,SUMIFS(OFFSET($A$1,ROW(),31,1000-ROW(),1),OFFSET($A$1,ROW(),20,1000-ROW(),1),ROW(),OFFSET($A$1,ROW(),21,1000-ROW(),1),"Sub"))))</f>
        <v/>
      </c>
      <c r="L291" s="60">
        <f>IF(N($W291)=0,"",IF(AND($S291=MesCiclo,4&gt;SemanaActual),"",MIN(1,SUMIFS(OFFSET($A$1,ROW(),32,1000-ROW(),1),OFFSET($A$1,ROW(),20,1000-ROW(),1),ROW(),OFFSET($A$1,ROW(),21,1000-ROW(),1),"Sub"))))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IF($V291&lt;&gt;"Sub","",N($X291)*IF(AND(ISNUMBER($G291),$G291&lt;=IF($S291=MesCiclo,InicioCiclo,$S291+MOD(2-WEEKDAY($S291),7))+6),1,MIN(1,MAX(0,IF(ISNUMBER(OFFSET($A$1,ROW()-1,8)),OFFSET($A$1,ROW()-1,8),0)))))</f>
        <v/>
      </c>
      <c r="AE291" s="62">
        <f>IF($V291&lt;&gt;"Sub","",N($X291)*IF(AND(ISNUMBER($G291),$G291&lt;=IF($S291=MesCiclo,InicioCiclo,$S291+MOD(2-WEEKDAY($S291),7))+13),1,MIN(1,MAX(0,IF(ISNUMBER(OFFSET($A$1,ROW()-1,9)),OFFSET($A$1,ROW()-1,9),IF(ISNUMBER(OFFSET($A$1,ROW()-1,8)),OFFSET($A$1,ROW()-1,8),0))))))</f>
        <v/>
      </c>
      <c r="AF291" s="62">
        <f>IF($V291&lt;&gt;"Sub","",N($X291)*IF(AND(ISNUMBER($G291),$G291&lt;=IF($S291=MesCiclo,InicioCiclo,$S291+MOD(2-WEEKDAY($S291),7))+20),1,MIN(1,MAX(0,IF(ISNUMBER(OFFSET($A$1,ROW()-1,10)),OFFSET($A$1,ROW()-1,10),IF(ISNUMBER(OFFSET($A$1,ROW()-1,9)),OFFSET($A$1,ROW()-1,9),IF(ISNUMBER(OFFSET($A$1,ROW()-1,8)),OFFSET($A$1,ROW()-1,8),0)))))))</f>
        <v/>
      </c>
      <c r="AG291" s="62">
        <f>IF($V291&lt;&gt;"Sub","",N($X291)*IF(AND(ISNUMBER($G291),$G291&lt;=IF($S291=MesCiclo,InicioCiclo,$S291+MOD(2-WEEKDAY($S291),7))+27),1,MIN(1,MAX(0,IF(ISNUMBER(OFFSET($A$1,ROW()-1,11)),OFFSET($A$1,ROW()-1,11),IF(ISNUMBER(OFFSET($A$1,ROW()-1,10)),OFFSET($A$1,ROW()-1,10),IF(ISNUMBER(OFFSET($A$1,ROW()-1,9)),OFFSET($A$1,ROW()-1,9),IF(ISNUMBER(OFFSET($A$1,ROW()-1,8)),OFFSET($A$1,ROW()-1,8),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",IFERROR(MATCH("Riesgo Operacional|"&amp;MID($C291,12,500),rDname_ADM,0),0),"")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IF(N($W292)=0,"",IF(AND($S292=MesCiclo,1&gt;SemanaActual),"",MIN(1,SUMIFS(OFFSET($A$1,ROW(),29,1000-ROW(),1),OFFSET($A$1,ROW(),20,1000-ROW(),1),ROW(),OFFSET($A$1,ROW(),21,1000-ROW(),1),"Sub"))))</f>
        <v/>
      </c>
      <c r="J292" s="60">
        <f>IF(N($W292)=0,"",IF(AND($S292=MesCiclo,2&gt;SemanaActual),"",MIN(1,SUMIFS(OFFSET($A$1,ROW(),30,1000-ROW(),1),OFFSET($A$1,ROW(),20,1000-ROW(),1),ROW(),OFFSET($A$1,ROW(),21,1000-ROW(),1),"Sub"))))</f>
        <v/>
      </c>
      <c r="K292" s="60">
        <f>IF(N($W292)=0,"",IF(AND($S292=MesCiclo,3&gt;SemanaActual),"",MIN(1,SUMIFS(OFFSET($A$1,ROW(),31,1000-ROW(),1),OFFSET($A$1,ROW(),20,1000-ROW(),1),ROW(),OFFSET($A$1,ROW(),21,1000-ROW(),1),"Sub"))))</f>
        <v/>
      </c>
      <c r="L292" s="60">
        <f>IF(N($W292)=0,"",IF(AND($S292=MesCiclo,4&gt;SemanaActual),"",MIN(1,SUMIFS(OFFSET($A$1,ROW(),32,1000-ROW(),1),OFFSET($A$1,ROW(),20,1000-ROW(),1),ROW(),OFFSET($A$1,ROW(),21,1000-ROW(),1),"Sub"))))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IF($V292&lt;&gt;"Sub","",N($X292)*IF(AND(ISNUMBER($G292),$G292&lt;=IF($S292=MesCiclo,InicioCiclo,$S292+MOD(2-WEEKDAY($S292),7))+6),1,MIN(1,MAX(0,IF(ISNUMBER(OFFSET($A$1,ROW()-1,8)),OFFSET($A$1,ROW()-1,8),0)))))</f>
        <v/>
      </c>
      <c r="AE292" s="62">
        <f>IF($V292&lt;&gt;"Sub","",N($X292)*IF(AND(ISNUMBER($G292),$G292&lt;=IF($S292=MesCiclo,InicioCiclo,$S292+MOD(2-WEEKDAY($S292),7))+13),1,MIN(1,MAX(0,IF(ISNUMBER(OFFSET($A$1,ROW()-1,9)),OFFSET($A$1,ROW()-1,9),IF(ISNUMBER(OFFSET($A$1,ROW()-1,8)),OFFSET($A$1,ROW()-1,8),0))))))</f>
        <v/>
      </c>
      <c r="AF292" s="62">
        <f>IF($V292&lt;&gt;"Sub","",N($X292)*IF(AND(ISNUMBER($G292),$G292&lt;=IF($S292=MesCiclo,InicioCiclo,$S292+MOD(2-WEEKDAY($S292),7))+20),1,MIN(1,MAX(0,IF(ISNUMBER(OFFSET($A$1,ROW()-1,10)),OFFSET($A$1,ROW()-1,10),IF(ISNUMBER(OFFSET($A$1,ROW()-1,9)),OFFSET($A$1,ROW()-1,9),IF(ISNUMBER(OFFSET($A$1,ROW()-1,8)),OFFSET($A$1,ROW()-1,8),0)))))))</f>
        <v/>
      </c>
      <c r="AG292" s="62">
        <f>IF($V292&lt;&gt;"Sub","",N($X292)*IF(AND(ISNUMBER($G292),$G292&lt;=IF($S292=MesCiclo,InicioCiclo,$S292+MOD(2-WEEKDAY($S292),7))+27),1,MIN(1,MAX(0,IF(ISNUMBER(OFFSET($A$1,ROW()-1,11)),OFFSET($A$1,ROW()-1,11),IF(ISNUMBER(OFFSET($A$1,ROW()-1,10)),OFFSET($A$1,ROW()-1,10),IF(ISNUMBER(OFFSET($A$1,ROW()-1,9)),OFFSET($A$1,ROW()-1,9),IF(ISNUMBER(OFFSET($A$1,ROW()-1,8)),OFFSET($A$1,ROW()-1,8),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",IFERROR(MATCH("Riesgo Operacional|"&amp;MID($C292,12,500),rDname_ADM,0),0),"")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IF(N($W293)=0,"",IF(AND($S293=MesCiclo,1&gt;SemanaActual),"",MIN(1,SUMIFS(OFFSET($A$1,ROW(),29,1000-ROW(),1),OFFSET($A$1,ROW(),20,1000-ROW(),1),ROW(),OFFSET($A$1,ROW(),21,1000-ROW(),1),"Sub"))))</f>
        <v/>
      </c>
      <c r="J293" s="60">
        <f>IF(N($W293)=0,"",IF(AND($S293=MesCiclo,2&gt;SemanaActual),"",MIN(1,SUMIFS(OFFSET($A$1,ROW(),30,1000-ROW(),1),OFFSET($A$1,ROW(),20,1000-ROW(),1),ROW(),OFFSET($A$1,ROW(),21,1000-ROW(),1),"Sub"))))</f>
        <v/>
      </c>
      <c r="K293" s="60">
        <f>IF(N($W293)=0,"",IF(AND($S293=MesCiclo,3&gt;SemanaActual),"",MIN(1,SUMIFS(OFFSET($A$1,ROW(),31,1000-ROW(),1),OFFSET($A$1,ROW(),20,1000-ROW(),1),ROW(),OFFSET($A$1,ROW(),21,1000-ROW(),1),"Sub"))))</f>
        <v/>
      </c>
      <c r="L293" s="60">
        <f>IF(N($W293)=0,"",IF(AND($S293=MesCiclo,4&gt;SemanaActual),"",MIN(1,SUMIFS(OFFSET($A$1,ROW(),32,1000-ROW(),1),OFFSET($A$1,ROW(),20,1000-ROW(),1),ROW(),OFFSET($A$1,ROW(),21,1000-ROW(),1),"Sub"))))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IF($V293&lt;&gt;"Sub","",N($X293)*IF(AND(ISNUMBER($G293),$G293&lt;=IF($S293=MesCiclo,InicioCiclo,$S293+MOD(2-WEEKDAY($S293),7))+6),1,MIN(1,MAX(0,IF(ISNUMBER(OFFSET($A$1,ROW()-1,8)),OFFSET($A$1,ROW()-1,8),0)))))</f>
        <v/>
      </c>
      <c r="AE293" s="62">
        <f>IF($V293&lt;&gt;"Sub","",N($X293)*IF(AND(ISNUMBER($G293),$G293&lt;=IF($S293=MesCiclo,InicioCiclo,$S293+MOD(2-WEEKDAY($S293),7))+13),1,MIN(1,MAX(0,IF(ISNUMBER(OFFSET($A$1,ROW()-1,9)),OFFSET($A$1,ROW()-1,9),IF(ISNUMBER(OFFSET($A$1,ROW()-1,8)),OFFSET($A$1,ROW()-1,8),0))))))</f>
        <v/>
      </c>
      <c r="AF293" s="62">
        <f>IF($V293&lt;&gt;"Sub","",N($X293)*IF(AND(ISNUMBER($G293),$G293&lt;=IF($S293=MesCiclo,InicioCiclo,$S293+MOD(2-WEEKDAY($S293),7))+20),1,MIN(1,MAX(0,IF(ISNUMBER(OFFSET($A$1,ROW()-1,10)),OFFSET($A$1,ROW()-1,10),IF(ISNUMBER(OFFSET($A$1,ROW()-1,9)),OFFSET($A$1,ROW()-1,9),IF(ISNUMBER(OFFSET($A$1,ROW()-1,8)),OFFSET($A$1,ROW()-1,8),0)))))))</f>
        <v/>
      </c>
      <c r="AG293" s="62">
        <f>IF($V293&lt;&gt;"Sub","",N($X293)*IF(AND(ISNUMBER($G293),$G293&lt;=IF($S293=MesCiclo,InicioCiclo,$S293+MOD(2-WEEKDAY($S293),7))+27),1,MIN(1,MAX(0,IF(ISNUMBER(OFFSET($A$1,ROW()-1,11)),OFFSET($A$1,ROW()-1,11),IF(ISNUMBER(OFFSET($A$1,ROW()-1,10)),OFFSET($A$1,ROW()-1,10),IF(ISNUMBER(OFFSET($A$1,ROW()-1,9)),OFFSET($A$1,ROW()-1,9),IF(ISNUMBER(OFFSET($A$1,ROW()-1,8)),OFFSET($A$1,ROW()-1,8),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",IFERROR(MATCH("Riesgo Operacional|"&amp;MID($C293,12,500),rDname_ADM,0),0),"")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IF(N($W294)=0,"",IF(AND($S294=MesCiclo,1&gt;SemanaActual),"",MIN(1,SUMIFS(OFFSET($A$1,ROW(),29,1000-ROW(),1),OFFSET($A$1,ROW(),20,1000-ROW(),1),ROW(),OFFSET($A$1,ROW(),21,1000-ROW(),1),"Sub"))))</f>
        <v/>
      </c>
      <c r="J294" s="60">
        <f>IF(N($W294)=0,"",IF(AND($S294=MesCiclo,2&gt;SemanaActual),"",MIN(1,SUMIFS(OFFSET($A$1,ROW(),30,1000-ROW(),1),OFFSET($A$1,ROW(),20,1000-ROW(),1),ROW(),OFFSET($A$1,ROW(),21,1000-ROW(),1),"Sub"))))</f>
        <v/>
      </c>
      <c r="K294" s="60">
        <f>IF(N($W294)=0,"",IF(AND($S294=MesCiclo,3&gt;SemanaActual),"",MIN(1,SUMIFS(OFFSET($A$1,ROW(),31,1000-ROW(),1),OFFSET($A$1,ROW(),20,1000-ROW(),1),ROW(),OFFSET($A$1,ROW(),21,1000-ROW(),1),"Sub"))))</f>
        <v/>
      </c>
      <c r="L294" s="60">
        <f>IF(N($W294)=0,"",IF(AND($S294=MesCiclo,4&gt;SemanaActual),"",MIN(1,SUMIFS(OFFSET($A$1,ROW(),32,1000-ROW(),1),OFFSET($A$1,ROW(),20,1000-ROW(),1),ROW(),OFFSET($A$1,ROW(),21,1000-ROW(),1),"Sub"))))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IF($V294&lt;&gt;"Sub","",N($X294)*IF(AND(ISNUMBER($G294),$G294&lt;=IF($S294=MesCiclo,InicioCiclo,$S294+MOD(2-WEEKDAY($S294),7))+6),1,MIN(1,MAX(0,IF(ISNUMBER(OFFSET($A$1,ROW()-1,8)),OFFSET($A$1,ROW()-1,8),0)))))</f>
        <v/>
      </c>
      <c r="AE294" s="62">
        <f>IF($V294&lt;&gt;"Sub","",N($X294)*IF(AND(ISNUMBER($G294),$G294&lt;=IF($S294=MesCiclo,InicioCiclo,$S294+MOD(2-WEEKDAY($S294),7))+13),1,MIN(1,MAX(0,IF(ISNUMBER(OFFSET($A$1,ROW()-1,9)),OFFSET($A$1,ROW()-1,9),IF(ISNUMBER(OFFSET($A$1,ROW()-1,8)),OFFSET($A$1,ROW()-1,8),0))))))</f>
        <v/>
      </c>
      <c r="AF294" s="62">
        <f>IF($V294&lt;&gt;"Sub","",N($X294)*IF(AND(ISNUMBER($G294),$G294&lt;=IF($S294=MesCiclo,InicioCiclo,$S294+MOD(2-WEEKDAY($S294),7))+20),1,MIN(1,MAX(0,IF(ISNUMBER(OFFSET($A$1,ROW()-1,10)),OFFSET($A$1,ROW()-1,10),IF(ISNUMBER(OFFSET($A$1,ROW()-1,9)),OFFSET($A$1,ROW()-1,9),IF(ISNUMBER(OFFSET($A$1,ROW()-1,8)),OFFSET($A$1,ROW()-1,8),0)))))))</f>
        <v/>
      </c>
      <c r="AG294" s="62">
        <f>IF($V294&lt;&gt;"Sub","",N($X294)*IF(AND(ISNUMBER($G294),$G294&lt;=IF($S294=MesCiclo,InicioCiclo,$S294+MOD(2-WEEKDAY($S294),7))+27),1,MIN(1,MAX(0,IF(ISNUMBER(OFFSET($A$1,ROW()-1,11)),OFFSET($A$1,ROW()-1,11),IF(ISNUMBER(OFFSET($A$1,ROW()-1,10)),OFFSET($A$1,ROW()-1,10),IF(ISNUMBER(OFFSET($A$1,ROW()-1,9)),OFFSET($A$1,ROW()-1,9),IF(ISNUMBER(OFFSET($A$1,ROW()-1,8)),OFFSET($A$1,ROW()-1,8),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",IFERROR(MATCH("Riesgo Operacional|"&amp;MID($C294,12,500),rDname_ADM,0),0),"")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IF(N($W295)=0,"",IF(AND($S295=MesCiclo,1&gt;SemanaActual),"",MIN(1,SUMIFS(OFFSET($A$1,ROW(),29,1000-ROW(),1),OFFSET($A$1,ROW(),20,1000-ROW(),1),ROW(),OFFSET($A$1,ROW(),21,1000-ROW(),1),"Sub"))))</f>
        <v/>
      </c>
      <c r="J295" s="60">
        <f>IF(N($W295)=0,"",IF(AND($S295=MesCiclo,2&gt;SemanaActual),"",MIN(1,SUMIFS(OFFSET($A$1,ROW(),30,1000-ROW(),1),OFFSET($A$1,ROW(),20,1000-ROW(),1),ROW(),OFFSET($A$1,ROW(),21,1000-ROW(),1),"Sub"))))</f>
        <v/>
      </c>
      <c r="K295" s="60">
        <f>IF(N($W295)=0,"",IF(AND($S295=MesCiclo,3&gt;SemanaActual),"",MIN(1,SUMIFS(OFFSET($A$1,ROW(),31,1000-ROW(),1),OFFSET($A$1,ROW(),20,1000-ROW(),1),ROW(),OFFSET($A$1,ROW(),21,1000-ROW(),1),"Sub"))))</f>
        <v/>
      </c>
      <c r="L295" s="60">
        <f>IF(N($W295)=0,"",IF(AND($S295=MesCiclo,4&gt;SemanaActual),"",MIN(1,SUMIFS(OFFSET($A$1,ROW(),32,1000-ROW(),1),OFFSET($A$1,ROW(),20,1000-ROW(),1),ROW(),OFFSET($A$1,ROW(),21,1000-ROW(),1),"Sub"))))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IF($V295&lt;&gt;"Sub","",N($X295)*IF(AND(ISNUMBER($G295),$G295&lt;=IF($S295=MesCiclo,InicioCiclo,$S295+MOD(2-WEEKDAY($S295),7))+6),1,MIN(1,MAX(0,IF(ISNUMBER(OFFSET($A$1,ROW()-1,8)),OFFSET($A$1,ROW()-1,8),0)))))</f>
        <v/>
      </c>
      <c r="AE295" s="62">
        <f>IF($V295&lt;&gt;"Sub","",N($X295)*IF(AND(ISNUMBER($G295),$G295&lt;=IF($S295=MesCiclo,InicioCiclo,$S295+MOD(2-WEEKDAY($S295),7))+13),1,MIN(1,MAX(0,IF(ISNUMBER(OFFSET($A$1,ROW()-1,9)),OFFSET($A$1,ROW()-1,9),IF(ISNUMBER(OFFSET($A$1,ROW()-1,8)),OFFSET($A$1,ROW()-1,8),0))))))</f>
        <v/>
      </c>
      <c r="AF295" s="62">
        <f>IF($V295&lt;&gt;"Sub","",N($X295)*IF(AND(ISNUMBER($G295),$G295&lt;=IF($S295=MesCiclo,InicioCiclo,$S295+MOD(2-WEEKDAY($S295),7))+20),1,MIN(1,MAX(0,IF(ISNUMBER(OFFSET($A$1,ROW()-1,10)),OFFSET($A$1,ROW()-1,10),IF(ISNUMBER(OFFSET($A$1,ROW()-1,9)),OFFSET($A$1,ROW()-1,9),IF(ISNUMBER(OFFSET($A$1,ROW()-1,8)),OFFSET($A$1,ROW()-1,8),0)))))))</f>
        <v/>
      </c>
      <c r="AG295" s="62">
        <f>IF($V295&lt;&gt;"Sub","",N($X295)*IF(AND(ISNUMBER($G295),$G295&lt;=IF($S295=MesCiclo,InicioCiclo,$S295+MOD(2-WEEKDAY($S295),7))+27),1,MIN(1,MAX(0,IF(ISNUMBER(OFFSET($A$1,ROW()-1,11)),OFFSET($A$1,ROW()-1,11),IF(ISNUMBER(OFFSET($A$1,ROW()-1,10)),OFFSET($A$1,ROW()-1,10),IF(ISNUMBER(OFFSET($A$1,ROW()-1,9)),OFFSET($A$1,ROW()-1,9),IF(ISNUMBER(OFFSET($A$1,ROW()-1,8)),OFFSET($A$1,ROW()-1,8),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",IFERROR(MATCH("Riesgo Operacional|"&amp;MID($C295,12,500),rDname_ADM,0),0),"")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IF(N($W296)=0,"",IF(AND($S296=MesCiclo,1&gt;SemanaActual),"",MIN(1,SUMIFS(OFFSET($A$1,ROW(),29,1000-ROW(),1),OFFSET($A$1,ROW(),20,1000-ROW(),1),ROW(),OFFSET($A$1,ROW(),21,1000-ROW(),1),"Sub"))))</f>
        <v/>
      </c>
      <c r="J296" s="60">
        <f>IF(N($W296)=0,"",IF(AND($S296=MesCiclo,2&gt;SemanaActual),"",MIN(1,SUMIFS(OFFSET($A$1,ROW(),30,1000-ROW(),1),OFFSET($A$1,ROW(),20,1000-ROW(),1),ROW(),OFFSET($A$1,ROW(),21,1000-ROW(),1),"Sub"))))</f>
        <v/>
      </c>
      <c r="K296" s="60">
        <f>IF(N($W296)=0,"",IF(AND($S296=MesCiclo,3&gt;SemanaActual),"",MIN(1,SUMIFS(OFFSET($A$1,ROW(),31,1000-ROW(),1),OFFSET($A$1,ROW(),20,1000-ROW(),1),ROW(),OFFSET($A$1,ROW(),21,1000-ROW(),1),"Sub"))))</f>
        <v/>
      </c>
      <c r="L296" s="60">
        <f>IF(N($W296)=0,"",IF(AND($S296=MesCiclo,4&gt;SemanaActual),"",MIN(1,SUMIFS(OFFSET($A$1,ROW(),32,1000-ROW(),1),OFFSET($A$1,ROW(),20,1000-ROW(),1),ROW(),OFFSET($A$1,ROW(),21,1000-ROW(),1),"Sub"))))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IF($V296&lt;&gt;"Sub","",N($X296)*IF(AND(ISNUMBER($G296),$G296&lt;=IF($S296=MesCiclo,InicioCiclo,$S296+MOD(2-WEEKDAY($S296),7))+6),1,MIN(1,MAX(0,IF(ISNUMBER(OFFSET($A$1,ROW()-1,8)),OFFSET($A$1,ROW()-1,8),0)))))</f>
        <v/>
      </c>
      <c r="AE296" s="62">
        <f>IF($V296&lt;&gt;"Sub","",N($X296)*IF(AND(ISNUMBER($G296),$G296&lt;=IF($S296=MesCiclo,InicioCiclo,$S296+MOD(2-WEEKDAY($S296),7))+13),1,MIN(1,MAX(0,IF(ISNUMBER(OFFSET($A$1,ROW()-1,9)),OFFSET($A$1,ROW()-1,9),IF(ISNUMBER(OFFSET($A$1,ROW()-1,8)),OFFSET($A$1,ROW()-1,8),0))))))</f>
        <v/>
      </c>
      <c r="AF296" s="62">
        <f>IF($V296&lt;&gt;"Sub","",N($X296)*IF(AND(ISNUMBER($G296),$G296&lt;=IF($S296=MesCiclo,InicioCiclo,$S296+MOD(2-WEEKDAY($S296),7))+20),1,MIN(1,MAX(0,IF(ISNUMBER(OFFSET($A$1,ROW()-1,10)),OFFSET($A$1,ROW()-1,10),IF(ISNUMBER(OFFSET($A$1,ROW()-1,9)),OFFSET($A$1,ROW()-1,9),IF(ISNUMBER(OFFSET($A$1,ROW()-1,8)),OFFSET($A$1,ROW()-1,8),0)))))))</f>
        <v/>
      </c>
      <c r="AG296" s="62">
        <f>IF($V296&lt;&gt;"Sub","",N($X296)*IF(AND(ISNUMBER($G296),$G296&lt;=IF($S296=MesCiclo,InicioCiclo,$S296+MOD(2-WEEKDAY($S296),7))+27),1,MIN(1,MAX(0,IF(ISNUMBER(OFFSET($A$1,ROW()-1,11)),OFFSET($A$1,ROW()-1,11),IF(ISNUMBER(OFFSET($A$1,ROW()-1,10)),OFFSET($A$1,ROW()-1,10),IF(ISNUMBER(OFFSET($A$1,ROW()-1,9)),OFFSET($A$1,ROW()-1,9),IF(ISNUMBER(OFFSET($A$1,ROW()-1,8)),OFFSET($A$1,ROW()-1,8),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",IFERROR(MATCH("Riesgo Operacional|"&amp;MID($C296,12,500),rDname_ADM,0),0),"")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IF(N($W297)=0,"",IF(AND($S297=MesCiclo,1&gt;SemanaActual),"",MIN(1,SUMIFS(OFFSET($A$1,ROW(),29,1000-ROW(),1),OFFSET($A$1,ROW(),20,1000-ROW(),1),ROW(),OFFSET($A$1,ROW(),21,1000-ROW(),1),"Sub"))))</f>
        <v/>
      </c>
      <c r="J297" s="60">
        <f>IF(N($W297)=0,"",IF(AND($S297=MesCiclo,2&gt;SemanaActual),"",MIN(1,SUMIFS(OFFSET($A$1,ROW(),30,1000-ROW(),1),OFFSET($A$1,ROW(),20,1000-ROW(),1),ROW(),OFFSET($A$1,ROW(),21,1000-ROW(),1),"Sub"))))</f>
        <v/>
      </c>
      <c r="K297" s="60">
        <f>IF(N($W297)=0,"",IF(AND($S297=MesCiclo,3&gt;SemanaActual),"",MIN(1,SUMIFS(OFFSET($A$1,ROW(),31,1000-ROW(),1),OFFSET($A$1,ROW(),20,1000-ROW(),1),ROW(),OFFSET($A$1,ROW(),21,1000-ROW(),1),"Sub"))))</f>
        <v/>
      </c>
      <c r="L297" s="60">
        <f>IF(N($W297)=0,"",IF(AND($S297=MesCiclo,4&gt;SemanaActual),"",MIN(1,SUMIFS(OFFSET($A$1,ROW(),32,1000-ROW(),1),OFFSET($A$1,ROW(),20,1000-ROW(),1),ROW(),OFFSET($A$1,ROW(),21,1000-ROW(),1),"Sub"))))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IF($V297&lt;&gt;"Sub","",N($X297)*IF(AND(ISNUMBER($G297),$G297&lt;=IF($S297=MesCiclo,InicioCiclo,$S297+MOD(2-WEEKDAY($S297),7))+6),1,MIN(1,MAX(0,IF(ISNUMBER(OFFSET($A$1,ROW()-1,8)),OFFSET($A$1,ROW()-1,8),0)))))</f>
        <v/>
      </c>
      <c r="AE297" s="62">
        <f>IF($V297&lt;&gt;"Sub","",N($X297)*IF(AND(ISNUMBER($G297),$G297&lt;=IF($S297=MesCiclo,InicioCiclo,$S297+MOD(2-WEEKDAY($S297),7))+13),1,MIN(1,MAX(0,IF(ISNUMBER(OFFSET($A$1,ROW()-1,9)),OFFSET($A$1,ROW()-1,9),IF(ISNUMBER(OFFSET($A$1,ROW()-1,8)),OFFSET($A$1,ROW()-1,8),0))))))</f>
        <v/>
      </c>
      <c r="AF297" s="62">
        <f>IF($V297&lt;&gt;"Sub","",N($X297)*IF(AND(ISNUMBER($G297),$G297&lt;=IF($S297=MesCiclo,InicioCiclo,$S297+MOD(2-WEEKDAY($S297),7))+20),1,MIN(1,MAX(0,IF(ISNUMBER(OFFSET($A$1,ROW()-1,10)),OFFSET($A$1,ROW()-1,10),IF(ISNUMBER(OFFSET($A$1,ROW()-1,9)),OFFSET($A$1,ROW()-1,9),IF(ISNUMBER(OFFSET($A$1,ROW()-1,8)),OFFSET($A$1,ROW()-1,8),0)))))))</f>
        <v/>
      </c>
      <c r="AG297" s="62">
        <f>IF($V297&lt;&gt;"Sub","",N($X297)*IF(AND(ISNUMBER($G297),$G297&lt;=IF($S297=MesCiclo,InicioCiclo,$S297+MOD(2-WEEKDAY($S297),7))+27),1,MIN(1,MAX(0,IF(ISNUMBER(OFFSET($A$1,ROW()-1,11)),OFFSET($A$1,ROW()-1,11),IF(ISNUMBER(OFFSET($A$1,ROW()-1,10)),OFFSET($A$1,ROW()-1,10),IF(ISNUMBER(OFFSET($A$1,ROW()-1,9)),OFFSET($A$1,ROW()-1,9),IF(ISNUMBER(OFFSET($A$1,ROW()-1,8)),OFFSET($A$1,ROW()-1,8),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",IFERROR(MATCH("Riesgo Operacional|"&amp;MID($C297,12,500),rDname_ADM,0),0),"")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IF(N($W298)=0,"",IF(AND($S298=MesCiclo,1&gt;SemanaActual),"",MIN(1,SUMIFS(OFFSET($A$1,ROW(),29,1000-ROW(),1),OFFSET($A$1,ROW(),20,1000-ROW(),1),ROW(),OFFSET($A$1,ROW(),21,1000-ROW(),1),"Sub"))))</f>
        <v/>
      </c>
      <c r="J298" s="60">
        <f>IF(N($W298)=0,"",IF(AND($S298=MesCiclo,2&gt;SemanaActual),"",MIN(1,SUMIFS(OFFSET($A$1,ROW(),30,1000-ROW(),1),OFFSET($A$1,ROW(),20,1000-ROW(),1),ROW(),OFFSET($A$1,ROW(),21,1000-ROW(),1),"Sub"))))</f>
        <v/>
      </c>
      <c r="K298" s="60">
        <f>IF(N($W298)=0,"",IF(AND($S298=MesCiclo,3&gt;SemanaActual),"",MIN(1,SUMIFS(OFFSET($A$1,ROW(),31,1000-ROW(),1),OFFSET($A$1,ROW(),20,1000-ROW(),1),ROW(),OFFSET($A$1,ROW(),21,1000-ROW(),1),"Sub"))))</f>
        <v/>
      </c>
      <c r="L298" s="60">
        <f>IF(N($W298)=0,"",IF(AND($S298=MesCiclo,4&gt;SemanaActual),"",MIN(1,SUMIFS(OFFSET($A$1,ROW(),32,1000-ROW(),1),OFFSET($A$1,ROW(),20,1000-ROW(),1),ROW(),OFFSET($A$1,ROW(),21,1000-ROW(),1),"Sub"))))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IF($V298&lt;&gt;"Sub","",N($X298)*IF(AND(ISNUMBER($G298),$G298&lt;=IF($S298=MesCiclo,InicioCiclo,$S298+MOD(2-WEEKDAY($S298),7))+6),1,MIN(1,MAX(0,IF(ISNUMBER(OFFSET($A$1,ROW()-1,8)),OFFSET($A$1,ROW()-1,8),0)))))</f>
        <v/>
      </c>
      <c r="AE298" s="62">
        <f>IF($V298&lt;&gt;"Sub","",N($X298)*IF(AND(ISNUMBER($G298),$G298&lt;=IF($S298=MesCiclo,InicioCiclo,$S298+MOD(2-WEEKDAY($S298),7))+13),1,MIN(1,MAX(0,IF(ISNUMBER(OFFSET($A$1,ROW()-1,9)),OFFSET($A$1,ROW()-1,9),IF(ISNUMBER(OFFSET($A$1,ROW()-1,8)),OFFSET($A$1,ROW()-1,8),0))))))</f>
        <v/>
      </c>
      <c r="AF298" s="62">
        <f>IF($V298&lt;&gt;"Sub","",N($X298)*IF(AND(ISNUMBER($G298),$G298&lt;=IF($S298=MesCiclo,InicioCiclo,$S298+MOD(2-WEEKDAY($S298),7))+20),1,MIN(1,MAX(0,IF(ISNUMBER(OFFSET($A$1,ROW()-1,10)),OFFSET($A$1,ROW()-1,10),IF(ISNUMBER(OFFSET($A$1,ROW()-1,9)),OFFSET($A$1,ROW()-1,9),IF(ISNUMBER(OFFSET($A$1,ROW()-1,8)),OFFSET($A$1,ROW()-1,8),0)))))))</f>
        <v/>
      </c>
      <c r="AG298" s="62">
        <f>IF($V298&lt;&gt;"Sub","",N($X298)*IF(AND(ISNUMBER($G298),$G298&lt;=IF($S298=MesCiclo,InicioCiclo,$S298+MOD(2-WEEKDAY($S298),7))+27),1,MIN(1,MAX(0,IF(ISNUMBER(OFFSET($A$1,ROW()-1,11)),OFFSET($A$1,ROW()-1,11),IF(ISNUMBER(OFFSET($A$1,ROW()-1,10)),OFFSET($A$1,ROW()-1,10),IF(ISNUMBER(OFFSET($A$1,ROW()-1,9)),OFFSET($A$1,ROW()-1,9),IF(ISNUMBER(OFFSET($A$1,ROW()-1,8)),OFFSET($A$1,ROW()-1,8),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",IFERROR(MATCH("Riesgo Operacional|"&amp;MID($C298,12,500),rDname_ADM,0),0),"")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IF(N($W299)=0,"",IF(AND($S299=MesCiclo,1&gt;SemanaActual),"",MIN(1,SUMIFS(OFFSET($A$1,ROW(),29,1000-ROW(),1),OFFSET($A$1,ROW(),20,1000-ROW(),1),ROW(),OFFSET($A$1,ROW(),21,1000-ROW(),1),"Sub"))))</f>
        <v/>
      </c>
      <c r="J299" s="60">
        <f>IF(N($W299)=0,"",IF(AND($S299=MesCiclo,2&gt;SemanaActual),"",MIN(1,SUMIFS(OFFSET($A$1,ROW(),30,1000-ROW(),1),OFFSET($A$1,ROW(),20,1000-ROW(),1),ROW(),OFFSET($A$1,ROW(),21,1000-ROW(),1),"Sub"))))</f>
        <v/>
      </c>
      <c r="K299" s="60">
        <f>IF(N($W299)=0,"",IF(AND($S299=MesCiclo,3&gt;SemanaActual),"",MIN(1,SUMIFS(OFFSET($A$1,ROW(),31,1000-ROW(),1),OFFSET($A$1,ROW(),20,1000-ROW(),1),ROW(),OFFSET($A$1,ROW(),21,1000-ROW(),1),"Sub"))))</f>
        <v/>
      </c>
      <c r="L299" s="60">
        <f>IF(N($W299)=0,"",IF(AND($S299=MesCiclo,4&gt;SemanaActual),"",MIN(1,SUMIFS(OFFSET($A$1,ROW(),32,1000-ROW(),1),OFFSET($A$1,ROW(),20,1000-ROW(),1),ROW(),OFFSET($A$1,ROW(),21,1000-ROW(),1),"Sub"))))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IF($V299&lt;&gt;"Sub","",N($X299)*IF(AND(ISNUMBER($G299),$G299&lt;=IF($S299=MesCiclo,InicioCiclo,$S299+MOD(2-WEEKDAY($S299),7))+6),1,MIN(1,MAX(0,IF(ISNUMBER(OFFSET($A$1,ROW()-1,8)),OFFSET($A$1,ROW()-1,8),0)))))</f>
        <v/>
      </c>
      <c r="AE299" s="62">
        <f>IF($V299&lt;&gt;"Sub","",N($X299)*IF(AND(ISNUMBER($G299),$G299&lt;=IF($S299=MesCiclo,InicioCiclo,$S299+MOD(2-WEEKDAY($S299),7))+13),1,MIN(1,MAX(0,IF(ISNUMBER(OFFSET($A$1,ROW()-1,9)),OFFSET($A$1,ROW()-1,9),IF(ISNUMBER(OFFSET($A$1,ROW()-1,8)),OFFSET($A$1,ROW()-1,8),0))))))</f>
        <v/>
      </c>
      <c r="AF299" s="62">
        <f>IF($V299&lt;&gt;"Sub","",N($X299)*IF(AND(ISNUMBER($G299),$G299&lt;=IF($S299=MesCiclo,InicioCiclo,$S299+MOD(2-WEEKDAY($S299),7))+20),1,MIN(1,MAX(0,IF(ISNUMBER(OFFSET($A$1,ROW()-1,10)),OFFSET($A$1,ROW()-1,10),IF(ISNUMBER(OFFSET($A$1,ROW()-1,9)),OFFSET($A$1,ROW()-1,9),IF(ISNUMBER(OFFSET($A$1,ROW()-1,8)),OFFSET($A$1,ROW()-1,8),0)))))))</f>
        <v/>
      </c>
      <c r="AG299" s="62">
        <f>IF($V299&lt;&gt;"Sub","",N($X299)*IF(AND(ISNUMBER($G299),$G299&lt;=IF($S299=MesCiclo,InicioCiclo,$S299+MOD(2-WEEKDAY($S299),7))+27),1,MIN(1,MAX(0,IF(ISNUMBER(OFFSET($A$1,ROW()-1,11)),OFFSET($A$1,ROW()-1,11),IF(ISNUMBER(OFFSET($A$1,ROW()-1,10)),OFFSET($A$1,ROW()-1,10),IF(ISNUMBER(OFFSET($A$1,ROW()-1,9)),OFFSET($A$1,ROW()-1,9),IF(ISNUMBER(OFFSET($A$1,ROW()-1,8)),OFFSET($A$1,ROW()-1,8),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",IFERROR(MATCH("Riesgo Operacional|"&amp;MID($C299,12,500),rDname_ADM,0),0),"")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IF(N($W300)=0,"",IF(AND($S300=MesCiclo,1&gt;SemanaActual),"",MIN(1,SUMIFS(OFFSET($A$1,ROW(),29,1000-ROW(),1),OFFSET($A$1,ROW(),20,1000-ROW(),1),ROW(),OFFSET($A$1,ROW(),21,1000-ROW(),1),"Sub"))))</f>
        <v/>
      </c>
      <c r="J300" s="60">
        <f>IF(N($W300)=0,"",IF(AND($S300=MesCiclo,2&gt;SemanaActual),"",MIN(1,SUMIFS(OFFSET($A$1,ROW(),30,1000-ROW(),1),OFFSET($A$1,ROW(),20,1000-ROW(),1),ROW(),OFFSET($A$1,ROW(),21,1000-ROW(),1),"Sub"))))</f>
        <v/>
      </c>
      <c r="K300" s="60">
        <f>IF(N($W300)=0,"",IF(AND($S300=MesCiclo,3&gt;SemanaActual),"",MIN(1,SUMIFS(OFFSET($A$1,ROW(),31,1000-ROW(),1),OFFSET($A$1,ROW(),20,1000-ROW(),1),ROW(),OFFSET($A$1,ROW(),21,1000-ROW(),1),"Sub"))))</f>
        <v/>
      </c>
      <c r="L300" s="60">
        <f>IF(N($W300)=0,"",IF(AND($S300=MesCiclo,4&gt;SemanaActual),"",MIN(1,SUMIFS(OFFSET($A$1,ROW(),32,1000-ROW(),1),OFFSET($A$1,ROW(),20,1000-ROW(),1),ROW(),OFFSET($A$1,ROW(),21,1000-ROW(),1),"Sub"))))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IF($V300&lt;&gt;"Sub","",N($X300)*IF(AND(ISNUMBER($G300),$G300&lt;=IF($S300=MesCiclo,InicioCiclo,$S300+MOD(2-WEEKDAY($S300),7))+6),1,MIN(1,MAX(0,IF(ISNUMBER(OFFSET($A$1,ROW()-1,8)),OFFSET($A$1,ROW()-1,8),0)))))</f>
        <v/>
      </c>
      <c r="AE300" s="62">
        <f>IF($V300&lt;&gt;"Sub","",N($X300)*IF(AND(ISNUMBER($G300),$G300&lt;=IF($S300=MesCiclo,InicioCiclo,$S300+MOD(2-WEEKDAY($S300),7))+13),1,MIN(1,MAX(0,IF(ISNUMBER(OFFSET($A$1,ROW()-1,9)),OFFSET($A$1,ROW()-1,9),IF(ISNUMBER(OFFSET($A$1,ROW()-1,8)),OFFSET($A$1,ROW()-1,8),0))))))</f>
        <v/>
      </c>
      <c r="AF300" s="62">
        <f>IF($V300&lt;&gt;"Sub","",N($X300)*IF(AND(ISNUMBER($G300),$G300&lt;=IF($S300=MesCiclo,InicioCiclo,$S300+MOD(2-WEEKDAY($S300),7))+20),1,MIN(1,MAX(0,IF(ISNUMBER(OFFSET($A$1,ROW()-1,10)),OFFSET($A$1,ROW()-1,10),IF(ISNUMBER(OFFSET($A$1,ROW()-1,9)),OFFSET($A$1,ROW()-1,9),IF(ISNUMBER(OFFSET($A$1,ROW()-1,8)),OFFSET($A$1,ROW()-1,8),0)))))))</f>
        <v/>
      </c>
      <c r="AG300" s="62">
        <f>IF($V300&lt;&gt;"Sub","",N($X300)*IF(AND(ISNUMBER($G300),$G300&lt;=IF($S300=MesCiclo,InicioCiclo,$S300+MOD(2-WEEKDAY($S300),7))+27),1,MIN(1,MAX(0,IF(ISNUMBER(OFFSET($A$1,ROW()-1,11)),OFFSET($A$1,ROW()-1,11),IF(ISNUMBER(OFFSET($A$1,ROW()-1,10)),OFFSET($A$1,ROW()-1,10),IF(ISNUMBER(OFFSET($A$1,ROW()-1,9)),OFFSET($A$1,ROW()-1,9),IF(ISNUMBER(OFFSET($A$1,ROW()-1,8)),OFFSET($A$1,ROW()-1,8),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",IFERROR(MATCH("Riesgo Operacional|"&amp;MID($C300,12,500),rDname_ADM,0),0),"")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IF(N($W301)=0,"",IF(AND($S301=MesCiclo,1&gt;SemanaActual),"",MIN(1,SUMIFS(OFFSET($A$1,ROW(),29,1000-ROW(),1),OFFSET($A$1,ROW(),20,1000-ROW(),1),ROW(),OFFSET($A$1,ROW(),21,1000-ROW(),1),"Sub"))))</f>
        <v/>
      </c>
      <c r="J301" s="60">
        <f>IF(N($W301)=0,"",IF(AND($S301=MesCiclo,2&gt;SemanaActual),"",MIN(1,SUMIFS(OFFSET($A$1,ROW(),30,1000-ROW(),1),OFFSET($A$1,ROW(),20,1000-ROW(),1),ROW(),OFFSET($A$1,ROW(),21,1000-ROW(),1),"Sub"))))</f>
        <v/>
      </c>
      <c r="K301" s="60">
        <f>IF(N($W301)=0,"",IF(AND($S301=MesCiclo,3&gt;SemanaActual),"",MIN(1,SUMIFS(OFFSET($A$1,ROW(),31,1000-ROW(),1),OFFSET($A$1,ROW(),20,1000-ROW(),1),ROW(),OFFSET($A$1,ROW(),21,1000-ROW(),1),"Sub"))))</f>
        <v/>
      </c>
      <c r="L301" s="60">
        <f>IF(N($W301)=0,"",IF(AND($S301=MesCiclo,4&gt;SemanaActual),"",MIN(1,SUMIFS(OFFSET($A$1,ROW(),32,1000-ROW(),1),OFFSET($A$1,ROW(),20,1000-ROW(),1),ROW(),OFFSET($A$1,ROW(),21,1000-ROW(),1),"Sub"))))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IF($V301&lt;&gt;"Sub","",N($X301)*IF(AND(ISNUMBER($G301),$G301&lt;=IF($S301=MesCiclo,InicioCiclo,$S301+MOD(2-WEEKDAY($S301),7))+6),1,MIN(1,MAX(0,IF(ISNUMBER(OFFSET($A$1,ROW()-1,8)),OFFSET($A$1,ROW()-1,8),0)))))</f>
        <v/>
      </c>
      <c r="AE301" s="62">
        <f>IF($V301&lt;&gt;"Sub","",N($X301)*IF(AND(ISNUMBER($G301),$G301&lt;=IF($S301=MesCiclo,InicioCiclo,$S301+MOD(2-WEEKDAY($S301),7))+13),1,MIN(1,MAX(0,IF(ISNUMBER(OFFSET($A$1,ROW()-1,9)),OFFSET($A$1,ROW()-1,9),IF(ISNUMBER(OFFSET($A$1,ROW()-1,8)),OFFSET($A$1,ROW()-1,8),0))))))</f>
        <v/>
      </c>
      <c r="AF301" s="62">
        <f>IF($V301&lt;&gt;"Sub","",N($X301)*IF(AND(ISNUMBER($G301),$G301&lt;=IF($S301=MesCiclo,InicioCiclo,$S301+MOD(2-WEEKDAY($S301),7))+20),1,MIN(1,MAX(0,IF(ISNUMBER(OFFSET($A$1,ROW()-1,10)),OFFSET($A$1,ROW()-1,10),IF(ISNUMBER(OFFSET($A$1,ROW()-1,9)),OFFSET($A$1,ROW()-1,9),IF(ISNUMBER(OFFSET($A$1,ROW()-1,8)),OFFSET($A$1,ROW()-1,8),0)))))))</f>
        <v/>
      </c>
      <c r="AG301" s="62">
        <f>IF($V301&lt;&gt;"Sub","",N($X301)*IF(AND(ISNUMBER($G301),$G301&lt;=IF($S301=MesCiclo,InicioCiclo,$S301+MOD(2-WEEKDAY($S301),7))+27),1,MIN(1,MAX(0,IF(ISNUMBER(OFFSET($A$1,ROW()-1,11)),OFFSET($A$1,ROW()-1,11),IF(ISNUMBER(OFFSET($A$1,ROW()-1,10)),OFFSET($A$1,ROW()-1,10),IF(ISNUMBER(OFFSET($A$1,ROW()-1,9)),OFFSET($A$1,ROW()-1,9),IF(ISNUMBER(OFFSET($A$1,ROW()-1,8)),OFFSET($A$1,ROW()-1,8),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",IFERROR(MATCH("Riesgo Operacional|"&amp;MID($C301,12,500),rDname_ADM,0),0),"")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IF(N($W302)=0,"",IF(AND($S302=MesCiclo,1&gt;SemanaActual),"",MIN(1,SUMIFS(OFFSET($A$1,ROW(),29,1000-ROW(),1),OFFSET($A$1,ROW(),20,1000-ROW(),1),ROW(),OFFSET($A$1,ROW(),21,1000-ROW(),1),"Sub"))))</f>
        <v/>
      </c>
      <c r="J302" s="60">
        <f>IF(N($W302)=0,"",IF(AND($S302=MesCiclo,2&gt;SemanaActual),"",MIN(1,SUMIFS(OFFSET($A$1,ROW(),30,1000-ROW(),1),OFFSET($A$1,ROW(),20,1000-ROW(),1),ROW(),OFFSET($A$1,ROW(),21,1000-ROW(),1),"Sub"))))</f>
        <v/>
      </c>
      <c r="K302" s="60">
        <f>IF(N($W302)=0,"",IF(AND($S302=MesCiclo,3&gt;SemanaActual),"",MIN(1,SUMIFS(OFFSET($A$1,ROW(),31,1000-ROW(),1),OFFSET($A$1,ROW(),20,1000-ROW(),1),ROW(),OFFSET($A$1,ROW(),21,1000-ROW(),1),"Sub"))))</f>
        <v/>
      </c>
      <c r="L302" s="60">
        <f>IF(N($W302)=0,"",IF(AND($S302=MesCiclo,4&gt;SemanaActual),"",MIN(1,SUMIFS(OFFSET($A$1,ROW(),32,1000-ROW(),1),OFFSET($A$1,ROW(),20,1000-ROW(),1),ROW(),OFFSET($A$1,ROW(),21,1000-ROW(),1),"Sub"))))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IF($V302&lt;&gt;"Sub","",N($X302)*IF(AND(ISNUMBER($G302),$G302&lt;=IF($S302=MesCiclo,InicioCiclo,$S302+MOD(2-WEEKDAY($S302),7))+6),1,MIN(1,MAX(0,IF(ISNUMBER(OFFSET($A$1,ROW()-1,8)),OFFSET($A$1,ROW()-1,8),0)))))</f>
        <v/>
      </c>
      <c r="AE302" s="62">
        <f>IF($V302&lt;&gt;"Sub","",N($X302)*IF(AND(ISNUMBER($G302),$G302&lt;=IF($S302=MesCiclo,InicioCiclo,$S302+MOD(2-WEEKDAY($S302),7))+13),1,MIN(1,MAX(0,IF(ISNUMBER(OFFSET($A$1,ROW()-1,9)),OFFSET($A$1,ROW()-1,9),IF(ISNUMBER(OFFSET($A$1,ROW()-1,8)),OFFSET($A$1,ROW()-1,8),0))))))</f>
        <v/>
      </c>
      <c r="AF302" s="62">
        <f>IF($V302&lt;&gt;"Sub","",N($X302)*IF(AND(ISNUMBER($G302),$G302&lt;=IF($S302=MesCiclo,InicioCiclo,$S302+MOD(2-WEEKDAY($S302),7))+20),1,MIN(1,MAX(0,IF(ISNUMBER(OFFSET($A$1,ROW()-1,10)),OFFSET($A$1,ROW()-1,10),IF(ISNUMBER(OFFSET($A$1,ROW()-1,9)),OFFSET($A$1,ROW()-1,9),IF(ISNUMBER(OFFSET($A$1,ROW()-1,8)),OFFSET($A$1,ROW()-1,8),0)))))))</f>
        <v/>
      </c>
      <c r="AG302" s="62">
        <f>IF($V302&lt;&gt;"Sub","",N($X302)*IF(AND(ISNUMBER($G302),$G302&lt;=IF($S302=MesCiclo,InicioCiclo,$S302+MOD(2-WEEKDAY($S302),7))+27),1,MIN(1,MAX(0,IF(ISNUMBER(OFFSET($A$1,ROW()-1,11)),OFFSET($A$1,ROW()-1,11),IF(ISNUMBER(OFFSET($A$1,ROW()-1,10)),OFFSET($A$1,ROW()-1,10),IF(ISNUMBER(OFFSET($A$1,ROW()-1,9)),OFFSET($A$1,ROW()-1,9),IF(ISNUMBER(OFFSET($A$1,ROW()-1,8)),OFFSET($A$1,ROW()-1,8),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",IFERROR(MATCH("Riesgo Operacional|"&amp;MID($C302,12,500),rDname_ADM,0),0),"")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IF(N($W303)=0,"",IF(AND($S303=MesCiclo,1&gt;SemanaActual),"",MIN(1,SUMIFS(OFFSET($A$1,ROW(),29,1000-ROW(),1),OFFSET($A$1,ROW(),20,1000-ROW(),1),ROW(),OFFSET($A$1,ROW(),21,1000-ROW(),1),"Sub"))))</f>
        <v/>
      </c>
      <c r="J303" s="60">
        <f>IF(N($W303)=0,"",IF(AND($S303=MesCiclo,2&gt;SemanaActual),"",MIN(1,SUMIFS(OFFSET($A$1,ROW(),30,1000-ROW(),1),OFFSET($A$1,ROW(),20,1000-ROW(),1),ROW(),OFFSET($A$1,ROW(),21,1000-ROW(),1),"Sub"))))</f>
        <v/>
      </c>
      <c r="K303" s="60">
        <f>IF(N($W303)=0,"",IF(AND($S303=MesCiclo,3&gt;SemanaActual),"",MIN(1,SUMIFS(OFFSET($A$1,ROW(),31,1000-ROW(),1),OFFSET($A$1,ROW(),20,1000-ROW(),1),ROW(),OFFSET($A$1,ROW(),21,1000-ROW(),1),"Sub"))))</f>
        <v/>
      </c>
      <c r="L303" s="60">
        <f>IF(N($W303)=0,"",IF(AND($S303=MesCiclo,4&gt;SemanaActual),"",MIN(1,SUMIFS(OFFSET($A$1,ROW(),32,1000-ROW(),1),OFFSET($A$1,ROW(),20,1000-ROW(),1),ROW(),OFFSET($A$1,ROW(),21,1000-ROW(),1),"Sub"))))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IF($V303&lt;&gt;"Sub","",N($X303)*IF(AND(ISNUMBER($G303),$G303&lt;=IF($S303=MesCiclo,InicioCiclo,$S303+MOD(2-WEEKDAY($S303),7))+6),1,MIN(1,MAX(0,IF(ISNUMBER(OFFSET($A$1,ROW()-1,8)),OFFSET($A$1,ROW()-1,8),0)))))</f>
        <v/>
      </c>
      <c r="AE303" s="62">
        <f>IF($V303&lt;&gt;"Sub","",N($X303)*IF(AND(ISNUMBER($G303),$G303&lt;=IF($S303=MesCiclo,InicioCiclo,$S303+MOD(2-WEEKDAY($S303),7))+13),1,MIN(1,MAX(0,IF(ISNUMBER(OFFSET($A$1,ROW()-1,9)),OFFSET($A$1,ROW()-1,9),IF(ISNUMBER(OFFSET($A$1,ROW()-1,8)),OFFSET($A$1,ROW()-1,8),0))))))</f>
        <v/>
      </c>
      <c r="AF303" s="62">
        <f>IF($V303&lt;&gt;"Sub","",N($X303)*IF(AND(ISNUMBER($G303),$G303&lt;=IF($S303=MesCiclo,InicioCiclo,$S303+MOD(2-WEEKDAY($S303),7))+20),1,MIN(1,MAX(0,IF(ISNUMBER(OFFSET($A$1,ROW()-1,10)),OFFSET($A$1,ROW()-1,10),IF(ISNUMBER(OFFSET($A$1,ROW()-1,9)),OFFSET($A$1,ROW()-1,9),IF(ISNUMBER(OFFSET($A$1,ROW()-1,8)),OFFSET($A$1,ROW()-1,8),0)))))))</f>
        <v/>
      </c>
      <c r="AG303" s="62">
        <f>IF($V303&lt;&gt;"Sub","",N($X303)*IF(AND(ISNUMBER($G303),$G303&lt;=IF($S303=MesCiclo,InicioCiclo,$S303+MOD(2-WEEKDAY($S303),7))+27),1,MIN(1,MAX(0,IF(ISNUMBER(OFFSET($A$1,ROW()-1,11)),OFFSET($A$1,ROW()-1,11),IF(ISNUMBER(OFFSET($A$1,ROW()-1,10)),OFFSET($A$1,ROW()-1,10),IF(ISNUMBER(OFFSET($A$1,ROW()-1,9)),OFFSET($A$1,ROW()-1,9),IF(ISNUMBER(OFFSET($A$1,ROW()-1,8)),OFFSET($A$1,ROW()-1,8),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",IFERROR(MATCH("Riesgo Operacional|"&amp;MID($C303,12,500),rDname_ADM,0),0),"")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IF(N($W304)=0,"",IF(AND($S304=MesCiclo,1&gt;SemanaActual),"",MIN(1,SUMIFS(OFFSET($A$1,ROW(),29,1000-ROW(),1),OFFSET($A$1,ROW(),20,1000-ROW(),1),ROW(),OFFSET($A$1,ROW(),21,1000-ROW(),1),"Sub"))))</f>
        <v/>
      </c>
      <c r="J304" s="60">
        <f>IF(N($W304)=0,"",IF(AND($S304=MesCiclo,2&gt;SemanaActual),"",MIN(1,SUMIFS(OFFSET($A$1,ROW(),30,1000-ROW(),1),OFFSET($A$1,ROW(),20,1000-ROW(),1),ROW(),OFFSET($A$1,ROW(),21,1000-ROW(),1),"Sub"))))</f>
        <v/>
      </c>
      <c r="K304" s="60">
        <f>IF(N($W304)=0,"",IF(AND($S304=MesCiclo,3&gt;SemanaActual),"",MIN(1,SUMIFS(OFFSET($A$1,ROW(),31,1000-ROW(),1),OFFSET($A$1,ROW(),20,1000-ROW(),1),ROW(),OFFSET($A$1,ROW(),21,1000-ROW(),1),"Sub"))))</f>
        <v/>
      </c>
      <c r="L304" s="60">
        <f>IF(N($W304)=0,"",IF(AND($S304=MesCiclo,4&gt;SemanaActual),"",MIN(1,SUMIFS(OFFSET($A$1,ROW(),32,1000-ROW(),1),OFFSET($A$1,ROW(),20,1000-ROW(),1),ROW(),OFFSET($A$1,ROW(),21,1000-ROW(),1),"Sub"))))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IF($V304&lt;&gt;"Sub","",N($X304)*IF(AND(ISNUMBER($G304),$G304&lt;=IF($S304=MesCiclo,InicioCiclo,$S304+MOD(2-WEEKDAY($S304),7))+6),1,MIN(1,MAX(0,IF(ISNUMBER(OFFSET($A$1,ROW()-1,8)),OFFSET($A$1,ROW()-1,8),0)))))</f>
        <v/>
      </c>
      <c r="AE304" s="62">
        <f>IF($V304&lt;&gt;"Sub","",N($X304)*IF(AND(ISNUMBER($G304),$G304&lt;=IF($S304=MesCiclo,InicioCiclo,$S304+MOD(2-WEEKDAY($S304),7))+13),1,MIN(1,MAX(0,IF(ISNUMBER(OFFSET($A$1,ROW()-1,9)),OFFSET($A$1,ROW()-1,9),IF(ISNUMBER(OFFSET($A$1,ROW()-1,8)),OFFSET($A$1,ROW()-1,8),0))))))</f>
        <v/>
      </c>
      <c r="AF304" s="62">
        <f>IF($V304&lt;&gt;"Sub","",N($X304)*IF(AND(ISNUMBER($G304),$G304&lt;=IF($S304=MesCiclo,InicioCiclo,$S304+MOD(2-WEEKDAY($S304),7))+20),1,MIN(1,MAX(0,IF(ISNUMBER(OFFSET($A$1,ROW()-1,10)),OFFSET($A$1,ROW()-1,10),IF(ISNUMBER(OFFSET($A$1,ROW()-1,9)),OFFSET($A$1,ROW()-1,9),IF(ISNUMBER(OFFSET($A$1,ROW()-1,8)),OFFSET($A$1,ROW()-1,8),0)))))))</f>
        <v/>
      </c>
      <c r="AG304" s="62">
        <f>IF($V304&lt;&gt;"Sub","",N($X304)*IF(AND(ISNUMBER($G304),$G304&lt;=IF($S304=MesCiclo,InicioCiclo,$S304+MOD(2-WEEKDAY($S304),7))+27),1,MIN(1,MAX(0,IF(ISNUMBER(OFFSET($A$1,ROW()-1,11)),OFFSET($A$1,ROW()-1,11),IF(ISNUMBER(OFFSET($A$1,ROW()-1,10)),OFFSET($A$1,ROW()-1,10),IF(ISNUMBER(OFFSET($A$1,ROW()-1,9)),OFFSET($A$1,ROW()-1,9),IF(ISNUMBER(OFFSET($A$1,ROW()-1,8)),OFFSET($A$1,ROW()-1,8),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",IFERROR(MATCH("Riesgo Operacional|"&amp;MID($C304,12,500),rDname_ADM,0),0),"")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(COUNTIFS('Administración'!$D$5:$D$1000,"Riesgo Operacional",'Administración'!$S$5:$S$1000,MesCiclo,'Administración'!$V$5:$V$1000,"Macro")-COUNTIFS('Administración'!$D$5:$D$1000,"Riesgo Operacional",'Administración'!$S$5:$S$1000,MesCiclo,'Administración'!$V$5:$V$1000,"Macro",'Administración'!$AM$5:$AM$1000,"&gt;0"))&gt;0</formula>
    </cfRule>
    <cfRule type="expression" priority="5" dxfId="0">
      <formula>COUNTIFS('Administración'!$D$5:$D$1000,"Riesgo Operacional",'Administración'!$S$5:$S$1000,MesCiclo,'Administración'!$V$5:$V$1000,"Macro")&gt;0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stopIfTrue="1">
      <formula>AND($V5="Sub",LEN($C5)&lt;=255)</formula>
    </cfRule>
    <cfRule type="expression" priority="11" dxfId="12">
      <formula>$V5="Sub"</formula>
    </cfRule>
  </conditionalFormatting>
  <conditionalFormatting sqref="A5:C1000">
    <cfRule type="expression" priority="8" dxfId="5" stopIfTrue="1">
      <formula>AND($V5="Macro",$C5="")</formula>
    </cfRule>
    <cfRule type="expression" priority="9" dxfId="20">
      <formula>$V5="Macro"</formula>
    </cfRule>
  </conditionalFormatting>
  <conditionalFormatting sqref="N5:N1000">
    <cfRule type="expression" priority="12" dxfId="0">
      <formula>$N5="Completado"</formula>
    </cfRule>
    <cfRule type="expression" priority="13" dxfId="4">
      <formula>$N5="En curso"</formula>
    </cfRule>
    <cfRule type="expression" priority="14" dxfId="5">
      <formula>$N5="Pendiente"</formula>
    </cfRule>
  </conditionalFormatting>
  <conditionalFormatting sqref="O5:O1000">
    <cfRule type="expression" priority="15" dxfId="8" stopIfTrue="1">
      <formula>LEFT($O5,7)="Vencida"</formula>
    </cfRule>
    <cfRule type="expression" priority="16" dxfId="9" stopIfTrue="1">
      <formula>LEFT($O5,5)="Vence"</formula>
    </cfRule>
    <cfRule type="expression" priority="17" dxfId="0" stopIfTrue="1">
      <formula>LEFT($O5,8)="Cumplida"</formula>
    </cfRule>
    <cfRule type="expression" priority="18" dxfId="14" stopIfTrue="1">
      <formula>$O5="En plazo"</formula>
    </cfRule>
    <cfRule type="expression" priority="19" dxfId="5">
      <formula>$O5="Sin fecha límite"</formula>
    </cfRule>
  </conditionalFormatting>
  <conditionalFormatting sqref="I5:L1000">
    <cfRule type="expression" priority="20" dxfId="15" stopIfTrue="1">
      <formula>AND($V5="Sub",ISNUMBER($G5),MIN(4,MAX(1,INT(($G5-InicioCiclo)/7)+1))=COLUMN(I5)-8)</formula>
    </cfRule>
    <cfRule type="expression" priority="29" dxfId="5" stopIfTrue="1">
      <formula>AND(N($W5)&gt;0,I5&lt;&gt;"")</formula>
    </cfRule>
    <cfRule type="expression" priority="30" dxfId="16" stopIfTrue="1">
      <formula>OR(N($W5)&gt;0,ISNUMBER($G5))</formula>
    </cfRule>
    <cfRule type="expression" priority="31" dxfId="5" stopIfTrue="1">
      <formula>AND(I5&lt;&gt;"",OR(NOT(ISNUMBER(I5)),I5&gt;1,I5&lt;0))</formula>
    </cfRule>
  </conditionalFormatting>
  <conditionalFormatting sqref="M5:M1000">
    <cfRule type="expression" priority="21" dxfId="0">
      <formula>AND(ISNUMBER($M5),$M5&gt;=1)</formula>
    </cfRule>
    <cfRule type="dataBar" priority="22">
      <dataBar showValue="1">
        <cfvo type="num" val="0"/>
        <cfvo type="num" val="1"/>
        <color rgb="005B9BD5"/>
      </dataBar>
    </cfRule>
  </conditionalFormatting>
  <conditionalFormatting sqref="G5:G1000">
    <cfRule type="expression" priority="23" dxfId="0">
      <formula>ISNUMBER($G5)</formula>
    </cfRule>
  </conditionalFormatting>
  <conditionalFormatting sqref="F5:F1000">
    <cfRule type="expression" priority="24" dxfId="6" stopIfTrue="1">
      <formula>AND(ISNUMBER($AS5),$AS5&lt;FechaRef,IF($V5="Sub",1,N($M5))&lt;1)</formula>
    </cfRule>
    <cfRule type="expression" priority="25" dxfId="7">
      <formula>AND(ISNUMBER($AS5),$AS5&gt;=FechaRef,$AS5-FechaRef&lt;=DiasAlerta,IF($V5="Sub",1,N($M5))&lt;1)</formula>
    </cfRule>
  </conditionalFormatting>
  <conditionalFormatting sqref="E5:F1000">
    <cfRule type="expression" priority="26" dxfId="10" stopIfTrue="1">
      <formula>AND(N($AQ5)&gt;0)</formula>
    </cfRule>
    <cfRule type="expression" priority="27" dxfId="5" stopIfTrue="1">
      <formula>AND((COUNTA($B5:$D5)+COUNTA($G5:$H5)+COUNTA($Q5))&gt;0,$AR5="")</formula>
    </cfRule>
    <cfRule type="expression" priority="28" dxfId="6">
      <formula>AND(ISNUMBER($E5),ISNUMBER($F5),$E5&gt;$F5)</formula>
    </cfRule>
  </conditionalFormatting>
  <conditionalFormatting sqref="J5:L1000">
    <cfRule type="expression" priority="32" dxfId="6">
      <formula>AND(J5&lt;&gt;"",J5&lt;MAX($I5:I5))</formula>
    </cfRule>
  </conditionalFormatting>
  <conditionalFormatting sqref="Q5:Q1000">
    <cfRule type="expression" priority="33" dxfId="5">
      <formula>AND(ObsObligatoria="Sí",ISNUMBER($F5),$F5&lt;FechaRef,IF($V5="Sub",1,N($M5))&lt;1,$Q5="")</formula>
    </cfRule>
  </conditionalFormatting>
  <conditionalFormatting sqref="R5:R1000">
    <cfRule type="expression" priority="34" dxfId="5">
      <formula>LEFT($R5,1)="⚠"</formula>
    </cfRule>
    <cfRule type="expression" priority="35" dxfId="17">
      <formula>LEFT($R5,1)="✔"</formula>
    </cfRule>
  </conditionalFormatting>
  <conditionalFormatting sqref="S5:S1000">
    <cfRule type="expression" priority="36"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C5:C1000" showDropDown="0" showInputMessage="1" showErrorMessage="0" allowBlank="1" promptTitle="Actividad" prompt="Escriba el nombre, o elija en la lista una actividad delegada por la jefatura." type="list">
      <formula1>ListaDeleg_RO</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C55A11"/>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72" t="inlineStr">
        <is>
          <t>Actividades del mes por semana – Riesgo Operacional</t>
        </is>
      </c>
      <c r="B1" s="72" t="n"/>
      <c r="C1" s="72" t="n"/>
      <c r="D1" s="72" t="n"/>
      <c r="E1" s="72" t="n"/>
      <c r="F1" s="72" t="n"/>
      <c r="G1" s="72" t="n"/>
      <c r="H1" s="72" t="n"/>
      <c r="I1" s="72" t="n"/>
      <c r="J1" s="72" t="n"/>
      <c r="K1" s="72" t="n"/>
      <c r="L1" s="72" t="n"/>
      <c r="M1" s="72" t="n"/>
    </row>
    <row r="2" ht="34" customHeight="1">
      <c r="A2" s="74" t="inlineStr">
        <is>
          <t>HOJA AUTOMÁTICA Y BLOQUEADA: muestra solo las actividades del mes indicado abajo, tomadas de «Cronograma R. Operacional».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67" t="inlineStr">
        <is>
          <t>Semana 1</t>
        </is>
      </c>
      <c r="G4" s="67" t="inlineStr">
        <is>
          <t>Semana 2</t>
        </is>
      </c>
      <c r="H4" s="67" t="inlineStr">
        <is>
          <t>Semana 3</t>
        </is>
      </c>
      <c r="I4" s="67"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R. Operacional'!$A$5:$A$1000,$N5))</f>
        <v/>
      </c>
      <c r="B5" s="62">
        <f>IF($N5="","",IF($O5="Sub","      ↳  "&amp;INDEX('Cronograma R. Operacional'!$C$5:$C$1000,$N5),INDEX('Cronograma R. Operacional'!$C$5:$C$1000,$N5)&amp;""))</f>
        <v/>
      </c>
      <c r="C5" s="79">
        <f>IF($N5="","",IF(INDEX('Cronograma R. Operacional'!$AR$5:$AR$1000,$N5)="","",INDEX('Cronograma R. Operacional'!$AR$5:$AR$1000,$N5)))</f>
        <v/>
      </c>
      <c r="D5" s="79">
        <f>IF($N5="","",IF(INDEX('Cronograma R. Operacional'!$AS$5:$AS$1000,$N5)="","",INDEX('Cronograma R. Operacional'!$AS$5:$AS$1000,$N5)))</f>
        <v/>
      </c>
      <c r="E5" s="56">
        <f>IF($N5="","",IF(NOT(ISNUMBER($D5)),"",IF($D5&lt;InicioCiclo,"Antes del ciclo",IF($D5&gt;=InicioCiclo+28,"Después del ciclo","Semana "&amp;(INT(($D5-InicioCiclo)/7)+1)))))</f>
        <v/>
      </c>
      <c r="F5" s="61">
        <f>IF($N5="","",IF($P5&gt;0,IF(1&lt;=SemanaActual,INDEX('Cronograma R. Operacional'!$AH$5:$AH$1000,$N5),""),IF(INDEX('Cronograma R. Operacional'!$I$5:$I$1000,$N5)="","",INDEX('Cronograma R. Operacional'!$I$5:$I$1000,$N5))))</f>
        <v/>
      </c>
      <c r="G5" s="61">
        <f>IF($N5="","",IF($P5&gt;0,IF(2&lt;=SemanaActual,INDEX('Cronograma R. Operacional'!$AI$5:$AI$1000,$N5),""),IF(INDEX('Cronograma R. Operacional'!$J$5:$J$1000,$N5)="","",INDEX('Cronograma R. Operacional'!$J$5:$J$1000,$N5))))</f>
        <v/>
      </c>
      <c r="H5" s="61">
        <f>IF($N5="","",IF($P5&gt;0,IF(3&lt;=SemanaActual,INDEX('Cronograma R. Operacional'!$AJ$5:$AJ$1000,$N5),""),IF(INDEX('Cronograma R. Operacional'!$K$5:$K$1000,$N5)="","",INDEX('Cronograma R. Operacional'!$K$5:$K$1000,$N5))))</f>
        <v/>
      </c>
      <c r="I5" s="61">
        <f>IF($N5="","",IF($P5&gt;0,IF(4&lt;=SemanaActual,INDEX('Cronograma R. Operacional'!$AK$5:$AK$1000,$N5),""),IF(INDEX('Cronograma R. Operacional'!$L$5:$L$1000,$N5)="","",INDEX('Cronograma R. Operacional'!$L$5:$L$1000,$N5))))</f>
        <v/>
      </c>
      <c r="J5" s="61">
        <f>IF($N5="","",INDEX('Cronograma R. Operacional'!$M$5:$M$1000,$N5))</f>
        <v/>
      </c>
      <c r="K5" s="56">
        <f>IF($N5="","",IF(N($J5)&gt;=1,"Completado",IF(AND(ISNUMBER($D5),$D5&lt;FechaRef),"Vencida",IF(N($J5)&gt;0,"En curso","Pendiente"))))</f>
        <v/>
      </c>
      <c r="L5" s="56">
        <f>IF($N5="","",INDEX('Cronograma R. Operacional'!$O$5:$O$1000,$N5)&amp;"")</f>
        <v/>
      </c>
      <c r="M5" s="62">
        <f>IF($N5="","",INDEX('Cronograma R. Operacional'!$Q$5:$Q$1000,$N5)&amp;"")</f>
        <v/>
      </c>
      <c r="N5">
        <f>IFERROR(MATCH(ROW()-4,rOrden_RO,0),"")</f>
        <v/>
      </c>
      <c r="O5">
        <f>IF($N5="","",INDEX('Cronograma R. Operacional'!$V$5:$V$1000,$N5))</f>
        <v/>
      </c>
      <c r="P5">
        <f>IF($N5="","",N(INDEX('Cronograma R. Operacional'!$W$5:$W$1000,$N5)))</f>
        <v/>
      </c>
      <c r="Q5">
        <f>IF(OR(LEFT($L5,7)="Vencida",LEFT($L5,5)="Vence"),SUMPRODUCT(--(LEFT($L$5:$L5,7)="Vencida"))+SUMPRODUCT(--(LEFT($L$5:$L5,5)="Vence")),"")</f>
        <v/>
      </c>
    </row>
    <row r="6">
      <c r="A6" s="56">
        <f>IF($N6="","",INDEX('Cronograma R. Operacional'!$A$5:$A$1000,$N6))</f>
        <v/>
      </c>
      <c r="B6" s="62">
        <f>IF($N6="","",IF($O6="Sub","      ↳  "&amp;INDEX('Cronograma R. Operacional'!$C$5:$C$1000,$N6),INDEX('Cronograma R. Operacional'!$C$5:$C$1000,$N6)&amp;""))</f>
        <v/>
      </c>
      <c r="C6" s="79">
        <f>IF($N6="","",IF(INDEX('Cronograma R. Operacional'!$AR$5:$AR$1000,$N6)="","",INDEX('Cronograma R. Operacional'!$AR$5:$AR$1000,$N6)))</f>
        <v/>
      </c>
      <c r="D6" s="79">
        <f>IF($N6="","",IF(INDEX('Cronograma R. Operacional'!$AS$5:$AS$1000,$N6)="","",INDEX('Cronograma R. Operacional'!$AS$5:$AS$1000,$N6)))</f>
        <v/>
      </c>
      <c r="E6" s="56">
        <f>IF($N6="","",IF(NOT(ISNUMBER($D6)),"",IF($D6&lt;InicioCiclo,"Antes del ciclo",IF($D6&gt;=InicioCiclo+28,"Después del ciclo","Semana "&amp;(INT(($D6-InicioCiclo)/7)+1)))))</f>
        <v/>
      </c>
      <c r="F6" s="61">
        <f>IF($N6="","",IF($P6&gt;0,IF(1&lt;=SemanaActual,INDEX('Cronograma R. Operacional'!$AH$5:$AH$1000,$N6),""),IF(INDEX('Cronograma R. Operacional'!$I$5:$I$1000,$N6)="","",INDEX('Cronograma R. Operacional'!$I$5:$I$1000,$N6))))</f>
        <v/>
      </c>
      <c r="G6" s="61">
        <f>IF($N6="","",IF($P6&gt;0,IF(2&lt;=SemanaActual,INDEX('Cronograma R. Operacional'!$AI$5:$AI$1000,$N6),""),IF(INDEX('Cronograma R. Operacional'!$J$5:$J$1000,$N6)="","",INDEX('Cronograma R. Operacional'!$J$5:$J$1000,$N6))))</f>
        <v/>
      </c>
      <c r="H6" s="61">
        <f>IF($N6="","",IF($P6&gt;0,IF(3&lt;=SemanaActual,INDEX('Cronograma R. Operacional'!$AJ$5:$AJ$1000,$N6),""),IF(INDEX('Cronograma R. Operacional'!$K$5:$K$1000,$N6)="","",INDEX('Cronograma R. Operacional'!$K$5:$K$1000,$N6))))</f>
        <v/>
      </c>
      <c r="I6" s="61">
        <f>IF($N6="","",IF($P6&gt;0,IF(4&lt;=SemanaActual,INDEX('Cronograma R. Operacional'!$AK$5:$AK$1000,$N6),""),IF(INDEX('Cronograma R. Operacional'!$L$5:$L$1000,$N6)="","",INDEX('Cronograma R. Operacional'!$L$5:$L$1000,$N6))))</f>
        <v/>
      </c>
      <c r="J6" s="61">
        <f>IF($N6="","",INDEX('Cronograma R. Operacional'!$M$5:$M$1000,$N6))</f>
        <v/>
      </c>
      <c r="K6" s="56">
        <f>IF($N6="","",IF(N($J6)&gt;=1,"Completado",IF(AND(ISNUMBER($D6),$D6&lt;FechaRef),"Vencida",IF(N($J6)&gt;0,"En curso","Pendiente"))))</f>
        <v/>
      </c>
      <c r="L6" s="56">
        <f>IF($N6="","",INDEX('Cronograma R. Operacional'!$O$5:$O$1000,$N6)&amp;"")</f>
        <v/>
      </c>
      <c r="M6" s="62">
        <f>IF($N6="","",INDEX('Cronograma R. Operacional'!$Q$5:$Q$1000,$N6)&amp;"")</f>
        <v/>
      </c>
      <c r="N6">
        <f>IFERROR(MATCH(ROW()-4,rOrden_RO,0),"")</f>
        <v/>
      </c>
      <c r="O6">
        <f>IF($N6="","",INDEX('Cronograma R. Operacional'!$V$5:$V$1000,$N6))</f>
        <v/>
      </c>
      <c r="P6">
        <f>IF($N6="","",N(INDEX('Cronograma R. Operacional'!$W$5:$W$1000,$N6)))</f>
        <v/>
      </c>
      <c r="Q6">
        <f>IF(OR(LEFT($L6,7)="Vencida",LEFT($L6,5)="Vence"),SUMPRODUCT(--(LEFT($L$5:$L6,7)="Vencida"))+SUMPRODUCT(--(LEFT($L$5:$L6,5)="Vence")),"")</f>
        <v/>
      </c>
    </row>
    <row r="7">
      <c r="A7" s="56">
        <f>IF($N7="","",INDEX('Cronograma R. Operacional'!$A$5:$A$1000,$N7))</f>
        <v/>
      </c>
      <c r="B7" s="62">
        <f>IF($N7="","",IF($O7="Sub","      ↳  "&amp;INDEX('Cronograma R. Operacional'!$C$5:$C$1000,$N7),INDEX('Cronograma R. Operacional'!$C$5:$C$1000,$N7)&amp;""))</f>
        <v/>
      </c>
      <c r="C7" s="79">
        <f>IF($N7="","",IF(INDEX('Cronograma R. Operacional'!$AR$5:$AR$1000,$N7)="","",INDEX('Cronograma R. Operacional'!$AR$5:$AR$1000,$N7)))</f>
        <v/>
      </c>
      <c r="D7" s="79">
        <f>IF($N7="","",IF(INDEX('Cronograma R. Operacional'!$AS$5:$AS$1000,$N7)="","",INDEX('Cronograma R. Operacional'!$AS$5:$AS$1000,$N7)))</f>
        <v/>
      </c>
      <c r="E7" s="56">
        <f>IF($N7="","",IF(NOT(ISNUMBER($D7)),"",IF($D7&lt;InicioCiclo,"Antes del ciclo",IF($D7&gt;=InicioCiclo+28,"Después del ciclo","Semana "&amp;(INT(($D7-InicioCiclo)/7)+1)))))</f>
        <v/>
      </c>
      <c r="F7" s="61">
        <f>IF($N7="","",IF($P7&gt;0,IF(1&lt;=SemanaActual,INDEX('Cronograma R. Operacional'!$AH$5:$AH$1000,$N7),""),IF(INDEX('Cronograma R. Operacional'!$I$5:$I$1000,$N7)="","",INDEX('Cronograma R. Operacional'!$I$5:$I$1000,$N7))))</f>
        <v/>
      </c>
      <c r="G7" s="61">
        <f>IF($N7="","",IF($P7&gt;0,IF(2&lt;=SemanaActual,INDEX('Cronograma R. Operacional'!$AI$5:$AI$1000,$N7),""),IF(INDEX('Cronograma R. Operacional'!$J$5:$J$1000,$N7)="","",INDEX('Cronograma R. Operacional'!$J$5:$J$1000,$N7))))</f>
        <v/>
      </c>
      <c r="H7" s="61">
        <f>IF($N7="","",IF($P7&gt;0,IF(3&lt;=SemanaActual,INDEX('Cronograma R. Operacional'!$AJ$5:$AJ$1000,$N7),""),IF(INDEX('Cronograma R. Operacional'!$K$5:$K$1000,$N7)="","",INDEX('Cronograma R. Operacional'!$K$5:$K$1000,$N7))))</f>
        <v/>
      </c>
      <c r="I7" s="61">
        <f>IF($N7="","",IF($P7&gt;0,IF(4&lt;=SemanaActual,INDEX('Cronograma R. Operacional'!$AK$5:$AK$1000,$N7),""),IF(INDEX('Cronograma R. Operacional'!$L$5:$L$1000,$N7)="","",INDEX('Cronograma R. Operacional'!$L$5:$L$1000,$N7))))</f>
        <v/>
      </c>
      <c r="J7" s="61">
        <f>IF($N7="","",INDEX('Cronograma R. Operacional'!$M$5:$M$1000,$N7))</f>
        <v/>
      </c>
      <c r="K7" s="56">
        <f>IF($N7="","",IF(N($J7)&gt;=1,"Completado",IF(AND(ISNUMBER($D7),$D7&lt;FechaRef),"Vencida",IF(N($J7)&gt;0,"En curso","Pendiente"))))</f>
        <v/>
      </c>
      <c r="L7" s="56">
        <f>IF($N7="","",INDEX('Cronograma R. Operacional'!$O$5:$O$1000,$N7)&amp;"")</f>
        <v/>
      </c>
      <c r="M7" s="62">
        <f>IF($N7="","",INDEX('Cronograma R. Operacional'!$Q$5:$Q$1000,$N7)&amp;"")</f>
        <v/>
      </c>
      <c r="N7">
        <f>IFERROR(MATCH(ROW()-4,rOrden_RO,0),"")</f>
        <v/>
      </c>
      <c r="O7">
        <f>IF($N7="","",INDEX('Cronograma R. Operacional'!$V$5:$V$1000,$N7))</f>
        <v/>
      </c>
      <c r="P7">
        <f>IF($N7="","",N(INDEX('Cronograma R. Operacional'!$W$5:$W$1000,$N7)))</f>
        <v/>
      </c>
      <c r="Q7">
        <f>IF(OR(LEFT($L7,7)="Vencida",LEFT($L7,5)="Vence"),SUMPRODUCT(--(LEFT($L$5:$L7,7)="Vencida"))+SUMPRODUCT(--(LEFT($L$5:$L7,5)="Vence")),"")</f>
        <v/>
      </c>
    </row>
    <row r="8">
      <c r="A8" s="56">
        <f>IF($N8="","",INDEX('Cronograma R. Operacional'!$A$5:$A$1000,$N8))</f>
        <v/>
      </c>
      <c r="B8" s="62">
        <f>IF($N8="","",IF($O8="Sub","      ↳  "&amp;INDEX('Cronograma R. Operacional'!$C$5:$C$1000,$N8),INDEX('Cronograma R. Operacional'!$C$5:$C$1000,$N8)&amp;""))</f>
        <v/>
      </c>
      <c r="C8" s="79">
        <f>IF($N8="","",IF(INDEX('Cronograma R. Operacional'!$AR$5:$AR$1000,$N8)="","",INDEX('Cronograma R. Operacional'!$AR$5:$AR$1000,$N8)))</f>
        <v/>
      </c>
      <c r="D8" s="79">
        <f>IF($N8="","",IF(INDEX('Cronograma R. Operacional'!$AS$5:$AS$1000,$N8)="","",INDEX('Cronograma R. Operacional'!$AS$5:$AS$1000,$N8)))</f>
        <v/>
      </c>
      <c r="E8" s="56">
        <f>IF($N8="","",IF(NOT(ISNUMBER($D8)),"",IF($D8&lt;InicioCiclo,"Antes del ciclo",IF($D8&gt;=InicioCiclo+28,"Después del ciclo","Semana "&amp;(INT(($D8-InicioCiclo)/7)+1)))))</f>
        <v/>
      </c>
      <c r="F8" s="61">
        <f>IF($N8="","",IF($P8&gt;0,IF(1&lt;=SemanaActual,INDEX('Cronograma R. Operacional'!$AH$5:$AH$1000,$N8),""),IF(INDEX('Cronograma R. Operacional'!$I$5:$I$1000,$N8)="","",INDEX('Cronograma R. Operacional'!$I$5:$I$1000,$N8))))</f>
        <v/>
      </c>
      <c r="G8" s="61">
        <f>IF($N8="","",IF($P8&gt;0,IF(2&lt;=SemanaActual,INDEX('Cronograma R. Operacional'!$AI$5:$AI$1000,$N8),""),IF(INDEX('Cronograma R. Operacional'!$J$5:$J$1000,$N8)="","",INDEX('Cronograma R. Operacional'!$J$5:$J$1000,$N8))))</f>
        <v/>
      </c>
      <c r="H8" s="61">
        <f>IF($N8="","",IF($P8&gt;0,IF(3&lt;=SemanaActual,INDEX('Cronograma R. Operacional'!$AJ$5:$AJ$1000,$N8),""),IF(INDEX('Cronograma R. Operacional'!$K$5:$K$1000,$N8)="","",INDEX('Cronograma R. Operacional'!$K$5:$K$1000,$N8))))</f>
        <v/>
      </c>
      <c r="I8" s="61">
        <f>IF($N8="","",IF($P8&gt;0,IF(4&lt;=SemanaActual,INDEX('Cronograma R. Operacional'!$AK$5:$AK$1000,$N8),""),IF(INDEX('Cronograma R. Operacional'!$L$5:$L$1000,$N8)="","",INDEX('Cronograma R. Operacional'!$L$5:$L$1000,$N8))))</f>
        <v/>
      </c>
      <c r="J8" s="61">
        <f>IF($N8="","",INDEX('Cronograma R. Operacional'!$M$5:$M$1000,$N8))</f>
        <v/>
      </c>
      <c r="K8" s="56">
        <f>IF($N8="","",IF(N($J8)&gt;=1,"Completado",IF(AND(ISNUMBER($D8),$D8&lt;FechaRef),"Vencida",IF(N($J8)&gt;0,"En curso","Pendiente"))))</f>
        <v/>
      </c>
      <c r="L8" s="56">
        <f>IF($N8="","",INDEX('Cronograma R. Operacional'!$O$5:$O$1000,$N8)&amp;"")</f>
        <v/>
      </c>
      <c r="M8" s="62">
        <f>IF($N8="","",INDEX('Cronograma R. Operacional'!$Q$5:$Q$1000,$N8)&amp;"")</f>
        <v/>
      </c>
      <c r="N8">
        <f>IFERROR(MATCH(ROW()-4,rOrden_RO,0),"")</f>
        <v/>
      </c>
      <c r="O8">
        <f>IF($N8="","",INDEX('Cronograma R. Operacional'!$V$5:$V$1000,$N8))</f>
        <v/>
      </c>
      <c r="P8">
        <f>IF($N8="","",N(INDEX('Cronograma R. Operacional'!$W$5:$W$1000,$N8)))</f>
        <v/>
      </c>
      <c r="Q8">
        <f>IF(OR(LEFT($L8,7)="Vencida",LEFT($L8,5)="Vence"),SUMPRODUCT(--(LEFT($L$5:$L8,7)="Vencida"))+SUMPRODUCT(--(LEFT($L$5:$L8,5)="Vence")),"")</f>
        <v/>
      </c>
    </row>
    <row r="9">
      <c r="A9" s="56">
        <f>IF($N9="","",INDEX('Cronograma R. Operacional'!$A$5:$A$1000,$N9))</f>
        <v/>
      </c>
      <c r="B9" s="62">
        <f>IF($N9="","",IF($O9="Sub","      ↳  "&amp;INDEX('Cronograma R. Operacional'!$C$5:$C$1000,$N9),INDEX('Cronograma R. Operacional'!$C$5:$C$1000,$N9)&amp;""))</f>
        <v/>
      </c>
      <c r="C9" s="79">
        <f>IF($N9="","",IF(INDEX('Cronograma R. Operacional'!$AR$5:$AR$1000,$N9)="","",INDEX('Cronograma R. Operacional'!$AR$5:$AR$1000,$N9)))</f>
        <v/>
      </c>
      <c r="D9" s="79">
        <f>IF($N9="","",IF(INDEX('Cronograma R. Operacional'!$AS$5:$AS$1000,$N9)="","",INDEX('Cronograma R. Operacional'!$AS$5:$AS$1000,$N9)))</f>
        <v/>
      </c>
      <c r="E9" s="56">
        <f>IF($N9="","",IF(NOT(ISNUMBER($D9)),"",IF($D9&lt;InicioCiclo,"Antes del ciclo",IF($D9&gt;=InicioCiclo+28,"Después del ciclo","Semana "&amp;(INT(($D9-InicioCiclo)/7)+1)))))</f>
        <v/>
      </c>
      <c r="F9" s="61">
        <f>IF($N9="","",IF($P9&gt;0,IF(1&lt;=SemanaActual,INDEX('Cronograma R. Operacional'!$AH$5:$AH$1000,$N9),""),IF(INDEX('Cronograma R. Operacional'!$I$5:$I$1000,$N9)="","",INDEX('Cronograma R. Operacional'!$I$5:$I$1000,$N9))))</f>
        <v/>
      </c>
      <c r="G9" s="61">
        <f>IF($N9="","",IF($P9&gt;0,IF(2&lt;=SemanaActual,INDEX('Cronograma R. Operacional'!$AI$5:$AI$1000,$N9),""),IF(INDEX('Cronograma R. Operacional'!$J$5:$J$1000,$N9)="","",INDEX('Cronograma R. Operacional'!$J$5:$J$1000,$N9))))</f>
        <v/>
      </c>
      <c r="H9" s="61">
        <f>IF($N9="","",IF($P9&gt;0,IF(3&lt;=SemanaActual,INDEX('Cronograma R. Operacional'!$AJ$5:$AJ$1000,$N9),""),IF(INDEX('Cronograma R. Operacional'!$K$5:$K$1000,$N9)="","",INDEX('Cronograma R. Operacional'!$K$5:$K$1000,$N9))))</f>
        <v/>
      </c>
      <c r="I9" s="61">
        <f>IF($N9="","",IF($P9&gt;0,IF(4&lt;=SemanaActual,INDEX('Cronograma R. Operacional'!$AK$5:$AK$1000,$N9),""),IF(INDEX('Cronograma R. Operacional'!$L$5:$L$1000,$N9)="","",INDEX('Cronograma R. Operacional'!$L$5:$L$1000,$N9))))</f>
        <v/>
      </c>
      <c r="J9" s="61">
        <f>IF($N9="","",INDEX('Cronograma R. Operacional'!$M$5:$M$1000,$N9))</f>
        <v/>
      </c>
      <c r="K9" s="56">
        <f>IF($N9="","",IF(N($J9)&gt;=1,"Completado",IF(AND(ISNUMBER($D9),$D9&lt;FechaRef),"Vencida",IF(N($J9)&gt;0,"En curso","Pendiente"))))</f>
        <v/>
      </c>
      <c r="L9" s="56">
        <f>IF($N9="","",INDEX('Cronograma R. Operacional'!$O$5:$O$1000,$N9)&amp;"")</f>
        <v/>
      </c>
      <c r="M9" s="62">
        <f>IF($N9="","",INDEX('Cronograma R. Operacional'!$Q$5:$Q$1000,$N9)&amp;"")</f>
        <v/>
      </c>
      <c r="N9">
        <f>IFERROR(MATCH(ROW()-4,rOrden_RO,0),"")</f>
        <v/>
      </c>
      <c r="O9">
        <f>IF($N9="","",INDEX('Cronograma R. Operacional'!$V$5:$V$1000,$N9))</f>
        <v/>
      </c>
      <c r="P9">
        <f>IF($N9="","",N(INDEX('Cronograma R. Operacional'!$W$5:$W$1000,$N9)))</f>
        <v/>
      </c>
      <c r="Q9">
        <f>IF(OR(LEFT($L9,7)="Vencida",LEFT($L9,5)="Vence"),SUMPRODUCT(--(LEFT($L$5:$L9,7)="Vencida"))+SUMPRODUCT(--(LEFT($L$5:$L9,5)="Vence")),"")</f>
        <v/>
      </c>
    </row>
    <row r="10">
      <c r="A10" s="56">
        <f>IF($N10="","",INDEX('Cronograma R. Operacional'!$A$5:$A$1000,$N10))</f>
        <v/>
      </c>
      <c r="B10" s="62">
        <f>IF($N10="","",IF($O10="Sub","      ↳  "&amp;INDEX('Cronograma R. Operacional'!$C$5:$C$1000,$N10),INDEX('Cronograma R. Operacional'!$C$5:$C$1000,$N10)&amp;""))</f>
        <v/>
      </c>
      <c r="C10" s="79">
        <f>IF($N10="","",IF(INDEX('Cronograma R. Operacional'!$AR$5:$AR$1000,$N10)="","",INDEX('Cronograma R. Operacional'!$AR$5:$AR$1000,$N10)))</f>
        <v/>
      </c>
      <c r="D10" s="79">
        <f>IF($N10="","",IF(INDEX('Cronograma R. Operacional'!$AS$5:$AS$1000,$N10)="","",INDEX('Cronograma R. Operacional'!$AS$5:$AS$1000,$N10)))</f>
        <v/>
      </c>
      <c r="E10" s="56">
        <f>IF($N10="","",IF(NOT(ISNUMBER($D10)),"",IF($D10&lt;InicioCiclo,"Antes del ciclo",IF($D10&gt;=InicioCiclo+28,"Después del ciclo","Semana "&amp;(INT(($D10-InicioCiclo)/7)+1)))))</f>
        <v/>
      </c>
      <c r="F10" s="61">
        <f>IF($N10="","",IF($P10&gt;0,IF(1&lt;=SemanaActual,INDEX('Cronograma R. Operacional'!$AH$5:$AH$1000,$N10),""),IF(INDEX('Cronograma R. Operacional'!$I$5:$I$1000,$N10)="","",INDEX('Cronograma R. Operacional'!$I$5:$I$1000,$N10))))</f>
        <v/>
      </c>
      <c r="G10" s="61">
        <f>IF($N10="","",IF($P10&gt;0,IF(2&lt;=SemanaActual,INDEX('Cronograma R. Operacional'!$AI$5:$AI$1000,$N10),""),IF(INDEX('Cronograma R. Operacional'!$J$5:$J$1000,$N10)="","",INDEX('Cronograma R. Operacional'!$J$5:$J$1000,$N10))))</f>
        <v/>
      </c>
      <c r="H10" s="61">
        <f>IF($N10="","",IF($P10&gt;0,IF(3&lt;=SemanaActual,INDEX('Cronograma R. Operacional'!$AJ$5:$AJ$1000,$N10),""),IF(INDEX('Cronograma R. Operacional'!$K$5:$K$1000,$N10)="","",INDEX('Cronograma R. Operacional'!$K$5:$K$1000,$N10))))</f>
        <v/>
      </c>
      <c r="I10" s="61">
        <f>IF($N10="","",IF($P10&gt;0,IF(4&lt;=SemanaActual,INDEX('Cronograma R. Operacional'!$AK$5:$AK$1000,$N10),""),IF(INDEX('Cronograma R. Operacional'!$L$5:$L$1000,$N10)="","",INDEX('Cronograma R. Operacional'!$L$5:$L$1000,$N10))))</f>
        <v/>
      </c>
      <c r="J10" s="61">
        <f>IF($N10="","",INDEX('Cronograma R. Operacional'!$M$5:$M$1000,$N10))</f>
        <v/>
      </c>
      <c r="K10" s="56">
        <f>IF($N10="","",IF(N($J10)&gt;=1,"Completado",IF(AND(ISNUMBER($D10),$D10&lt;FechaRef),"Vencida",IF(N($J10)&gt;0,"En curso","Pendiente"))))</f>
        <v/>
      </c>
      <c r="L10" s="56">
        <f>IF($N10="","",INDEX('Cronograma R. Operacional'!$O$5:$O$1000,$N10)&amp;"")</f>
        <v/>
      </c>
      <c r="M10" s="62">
        <f>IF($N10="","",INDEX('Cronograma R. Operacional'!$Q$5:$Q$1000,$N10)&amp;"")</f>
        <v/>
      </c>
      <c r="N10">
        <f>IFERROR(MATCH(ROW()-4,rOrden_RO,0),"")</f>
        <v/>
      </c>
      <c r="O10">
        <f>IF($N10="","",INDEX('Cronograma R. Operacional'!$V$5:$V$1000,$N10))</f>
        <v/>
      </c>
      <c r="P10">
        <f>IF($N10="","",N(INDEX('Cronograma R. Operacional'!$W$5:$W$1000,$N10)))</f>
        <v/>
      </c>
      <c r="Q10">
        <f>IF(OR(LEFT($L10,7)="Vencida",LEFT($L10,5)="Vence"),SUMPRODUCT(--(LEFT($L$5:$L10,7)="Vencida"))+SUMPRODUCT(--(LEFT($L$5:$L10,5)="Vence")),"")</f>
        <v/>
      </c>
    </row>
    <row r="11">
      <c r="A11" s="56">
        <f>IF($N11="","",INDEX('Cronograma R. Operacional'!$A$5:$A$1000,$N11))</f>
        <v/>
      </c>
      <c r="B11" s="62">
        <f>IF($N11="","",IF($O11="Sub","      ↳  "&amp;INDEX('Cronograma R. Operacional'!$C$5:$C$1000,$N11),INDEX('Cronograma R. Operacional'!$C$5:$C$1000,$N11)&amp;""))</f>
        <v/>
      </c>
      <c r="C11" s="79">
        <f>IF($N11="","",IF(INDEX('Cronograma R. Operacional'!$AR$5:$AR$1000,$N11)="","",INDEX('Cronograma R. Operacional'!$AR$5:$AR$1000,$N11)))</f>
        <v/>
      </c>
      <c r="D11" s="79">
        <f>IF($N11="","",IF(INDEX('Cronograma R. Operacional'!$AS$5:$AS$1000,$N11)="","",INDEX('Cronograma R. Operacional'!$AS$5:$AS$1000,$N11)))</f>
        <v/>
      </c>
      <c r="E11" s="56">
        <f>IF($N11="","",IF(NOT(ISNUMBER($D11)),"",IF($D11&lt;InicioCiclo,"Antes del ciclo",IF($D11&gt;=InicioCiclo+28,"Después del ciclo","Semana "&amp;(INT(($D11-InicioCiclo)/7)+1)))))</f>
        <v/>
      </c>
      <c r="F11" s="61">
        <f>IF($N11="","",IF($P11&gt;0,IF(1&lt;=SemanaActual,INDEX('Cronograma R. Operacional'!$AH$5:$AH$1000,$N11),""),IF(INDEX('Cronograma R. Operacional'!$I$5:$I$1000,$N11)="","",INDEX('Cronograma R. Operacional'!$I$5:$I$1000,$N11))))</f>
        <v/>
      </c>
      <c r="G11" s="61">
        <f>IF($N11="","",IF($P11&gt;0,IF(2&lt;=SemanaActual,INDEX('Cronograma R. Operacional'!$AI$5:$AI$1000,$N11),""),IF(INDEX('Cronograma R. Operacional'!$J$5:$J$1000,$N11)="","",INDEX('Cronograma R. Operacional'!$J$5:$J$1000,$N11))))</f>
        <v/>
      </c>
      <c r="H11" s="61">
        <f>IF($N11="","",IF($P11&gt;0,IF(3&lt;=SemanaActual,INDEX('Cronograma R. Operacional'!$AJ$5:$AJ$1000,$N11),""),IF(INDEX('Cronograma R. Operacional'!$K$5:$K$1000,$N11)="","",INDEX('Cronograma R. Operacional'!$K$5:$K$1000,$N11))))</f>
        <v/>
      </c>
      <c r="I11" s="61">
        <f>IF($N11="","",IF($P11&gt;0,IF(4&lt;=SemanaActual,INDEX('Cronograma R. Operacional'!$AK$5:$AK$1000,$N11),""),IF(INDEX('Cronograma R. Operacional'!$L$5:$L$1000,$N11)="","",INDEX('Cronograma R. Operacional'!$L$5:$L$1000,$N11))))</f>
        <v/>
      </c>
      <c r="J11" s="61">
        <f>IF($N11="","",INDEX('Cronograma R. Operacional'!$M$5:$M$1000,$N11))</f>
        <v/>
      </c>
      <c r="K11" s="56">
        <f>IF($N11="","",IF(N($J11)&gt;=1,"Completado",IF(AND(ISNUMBER($D11),$D11&lt;FechaRef),"Vencida",IF(N($J11)&gt;0,"En curso","Pendiente"))))</f>
        <v/>
      </c>
      <c r="L11" s="56">
        <f>IF($N11="","",INDEX('Cronograma R. Operacional'!$O$5:$O$1000,$N11)&amp;"")</f>
        <v/>
      </c>
      <c r="M11" s="62">
        <f>IF($N11="","",INDEX('Cronograma R. Operacional'!$Q$5:$Q$1000,$N11)&amp;"")</f>
        <v/>
      </c>
      <c r="N11">
        <f>IFERROR(MATCH(ROW()-4,rOrden_RO,0),"")</f>
        <v/>
      </c>
      <c r="O11">
        <f>IF($N11="","",INDEX('Cronograma R. Operacional'!$V$5:$V$1000,$N11))</f>
        <v/>
      </c>
      <c r="P11">
        <f>IF($N11="","",N(INDEX('Cronograma R. Operacional'!$W$5:$W$1000,$N11)))</f>
        <v/>
      </c>
      <c r="Q11">
        <f>IF(OR(LEFT($L11,7)="Vencida",LEFT($L11,5)="Vence"),SUMPRODUCT(--(LEFT($L$5:$L11,7)="Vencida"))+SUMPRODUCT(--(LEFT($L$5:$L11,5)="Vence")),"")</f>
        <v/>
      </c>
    </row>
    <row r="12">
      <c r="A12" s="56">
        <f>IF($N12="","",INDEX('Cronograma R. Operacional'!$A$5:$A$1000,$N12))</f>
        <v/>
      </c>
      <c r="B12" s="62">
        <f>IF($N12="","",IF($O12="Sub","      ↳  "&amp;INDEX('Cronograma R. Operacional'!$C$5:$C$1000,$N12),INDEX('Cronograma R. Operacional'!$C$5:$C$1000,$N12)&amp;""))</f>
        <v/>
      </c>
      <c r="C12" s="79">
        <f>IF($N12="","",IF(INDEX('Cronograma R. Operacional'!$AR$5:$AR$1000,$N12)="","",INDEX('Cronograma R. Operacional'!$AR$5:$AR$1000,$N12)))</f>
        <v/>
      </c>
      <c r="D12" s="79">
        <f>IF($N12="","",IF(INDEX('Cronograma R. Operacional'!$AS$5:$AS$1000,$N12)="","",INDEX('Cronograma R. Operacional'!$AS$5:$AS$1000,$N12)))</f>
        <v/>
      </c>
      <c r="E12" s="56">
        <f>IF($N12="","",IF(NOT(ISNUMBER($D12)),"",IF($D12&lt;InicioCiclo,"Antes del ciclo",IF($D12&gt;=InicioCiclo+28,"Después del ciclo","Semana "&amp;(INT(($D12-InicioCiclo)/7)+1)))))</f>
        <v/>
      </c>
      <c r="F12" s="61">
        <f>IF($N12="","",IF($P12&gt;0,IF(1&lt;=SemanaActual,INDEX('Cronograma R. Operacional'!$AH$5:$AH$1000,$N12),""),IF(INDEX('Cronograma R. Operacional'!$I$5:$I$1000,$N12)="","",INDEX('Cronograma R. Operacional'!$I$5:$I$1000,$N12))))</f>
        <v/>
      </c>
      <c r="G12" s="61">
        <f>IF($N12="","",IF($P12&gt;0,IF(2&lt;=SemanaActual,INDEX('Cronograma R. Operacional'!$AI$5:$AI$1000,$N12),""),IF(INDEX('Cronograma R. Operacional'!$J$5:$J$1000,$N12)="","",INDEX('Cronograma R. Operacional'!$J$5:$J$1000,$N12))))</f>
        <v/>
      </c>
      <c r="H12" s="61">
        <f>IF($N12="","",IF($P12&gt;0,IF(3&lt;=SemanaActual,INDEX('Cronograma R. Operacional'!$AJ$5:$AJ$1000,$N12),""),IF(INDEX('Cronograma R. Operacional'!$K$5:$K$1000,$N12)="","",INDEX('Cronograma R. Operacional'!$K$5:$K$1000,$N12))))</f>
        <v/>
      </c>
      <c r="I12" s="61">
        <f>IF($N12="","",IF($P12&gt;0,IF(4&lt;=SemanaActual,INDEX('Cronograma R. Operacional'!$AK$5:$AK$1000,$N12),""),IF(INDEX('Cronograma R. Operacional'!$L$5:$L$1000,$N12)="","",INDEX('Cronograma R. Operacional'!$L$5:$L$1000,$N12))))</f>
        <v/>
      </c>
      <c r="J12" s="61">
        <f>IF($N12="","",INDEX('Cronograma R. Operacional'!$M$5:$M$1000,$N12))</f>
        <v/>
      </c>
      <c r="K12" s="56">
        <f>IF($N12="","",IF(N($J12)&gt;=1,"Completado",IF(AND(ISNUMBER($D12),$D12&lt;FechaRef),"Vencida",IF(N($J12)&gt;0,"En curso","Pendiente"))))</f>
        <v/>
      </c>
      <c r="L12" s="56">
        <f>IF($N12="","",INDEX('Cronograma R. Operacional'!$O$5:$O$1000,$N12)&amp;"")</f>
        <v/>
      </c>
      <c r="M12" s="62">
        <f>IF($N12="","",INDEX('Cronograma R. Operacional'!$Q$5:$Q$1000,$N12)&amp;"")</f>
        <v/>
      </c>
      <c r="N12">
        <f>IFERROR(MATCH(ROW()-4,rOrden_RO,0),"")</f>
        <v/>
      </c>
      <c r="O12">
        <f>IF($N12="","",INDEX('Cronograma R. Operacional'!$V$5:$V$1000,$N12))</f>
        <v/>
      </c>
      <c r="P12">
        <f>IF($N12="","",N(INDEX('Cronograma R. Operacional'!$W$5:$W$1000,$N12)))</f>
        <v/>
      </c>
      <c r="Q12">
        <f>IF(OR(LEFT($L12,7)="Vencida",LEFT($L12,5)="Vence"),SUMPRODUCT(--(LEFT($L$5:$L12,7)="Vencida"))+SUMPRODUCT(--(LEFT($L$5:$L12,5)="Vence")),"")</f>
        <v/>
      </c>
    </row>
    <row r="13">
      <c r="A13" s="56">
        <f>IF($N13="","",INDEX('Cronograma R. Operacional'!$A$5:$A$1000,$N13))</f>
        <v/>
      </c>
      <c r="B13" s="62">
        <f>IF($N13="","",IF($O13="Sub","      ↳  "&amp;INDEX('Cronograma R. Operacional'!$C$5:$C$1000,$N13),INDEX('Cronograma R. Operacional'!$C$5:$C$1000,$N13)&amp;""))</f>
        <v/>
      </c>
      <c r="C13" s="79">
        <f>IF($N13="","",IF(INDEX('Cronograma R. Operacional'!$AR$5:$AR$1000,$N13)="","",INDEX('Cronograma R. Operacional'!$AR$5:$AR$1000,$N13)))</f>
        <v/>
      </c>
      <c r="D13" s="79">
        <f>IF($N13="","",IF(INDEX('Cronograma R. Operacional'!$AS$5:$AS$1000,$N13)="","",INDEX('Cronograma R. Operacional'!$AS$5:$AS$1000,$N13)))</f>
        <v/>
      </c>
      <c r="E13" s="56">
        <f>IF($N13="","",IF(NOT(ISNUMBER($D13)),"",IF($D13&lt;InicioCiclo,"Antes del ciclo",IF($D13&gt;=InicioCiclo+28,"Después del ciclo","Semana "&amp;(INT(($D13-InicioCiclo)/7)+1)))))</f>
        <v/>
      </c>
      <c r="F13" s="61">
        <f>IF($N13="","",IF($P13&gt;0,IF(1&lt;=SemanaActual,INDEX('Cronograma R. Operacional'!$AH$5:$AH$1000,$N13),""),IF(INDEX('Cronograma R. Operacional'!$I$5:$I$1000,$N13)="","",INDEX('Cronograma R. Operacional'!$I$5:$I$1000,$N13))))</f>
        <v/>
      </c>
      <c r="G13" s="61">
        <f>IF($N13="","",IF($P13&gt;0,IF(2&lt;=SemanaActual,INDEX('Cronograma R. Operacional'!$AI$5:$AI$1000,$N13),""),IF(INDEX('Cronograma R. Operacional'!$J$5:$J$1000,$N13)="","",INDEX('Cronograma R. Operacional'!$J$5:$J$1000,$N13))))</f>
        <v/>
      </c>
      <c r="H13" s="61">
        <f>IF($N13="","",IF($P13&gt;0,IF(3&lt;=SemanaActual,INDEX('Cronograma R. Operacional'!$AJ$5:$AJ$1000,$N13),""),IF(INDEX('Cronograma R. Operacional'!$K$5:$K$1000,$N13)="","",INDEX('Cronograma R. Operacional'!$K$5:$K$1000,$N13))))</f>
        <v/>
      </c>
      <c r="I13" s="61">
        <f>IF($N13="","",IF($P13&gt;0,IF(4&lt;=SemanaActual,INDEX('Cronograma R. Operacional'!$AK$5:$AK$1000,$N13),""),IF(INDEX('Cronograma R. Operacional'!$L$5:$L$1000,$N13)="","",INDEX('Cronograma R. Operacional'!$L$5:$L$1000,$N13))))</f>
        <v/>
      </c>
      <c r="J13" s="61">
        <f>IF($N13="","",INDEX('Cronograma R. Operacional'!$M$5:$M$1000,$N13))</f>
        <v/>
      </c>
      <c r="K13" s="56">
        <f>IF($N13="","",IF(N($J13)&gt;=1,"Completado",IF(AND(ISNUMBER($D13),$D13&lt;FechaRef),"Vencida",IF(N($J13)&gt;0,"En curso","Pendiente"))))</f>
        <v/>
      </c>
      <c r="L13" s="56">
        <f>IF($N13="","",INDEX('Cronograma R. Operacional'!$O$5:$O$1000,$N13)&amp;"")</f>
        <v/>
      </c>
      <c r="M13" s="62">
        <f>IF($N13="","",INDEX('Cronograma R. Operacional'!$Q$5:$Q$1000,$N13)&amp;"")</f>
        <v/>
      </c>
      <c r="N13">
        <f>IFERROR(MATCH(ROW()-4,rOrden_RO,0),"")</f>
        <v/>
      </c>
      <c r="O13">
        <f>IF($N13="","",INDEX('Cronograma R. Operacional'!$V$5:$V$1000,$N13))</f>
        <v/>
      </c>
      <c r="P13">
        <f>IF($N13="","",N(INDEX('Cronograma R. Operacional'!$W$5:$W$1000,$N13)))</f>
        <v/>
      </c>
      <c r="Q13">
        <f>IF(OR(LEFT($L13,7)="Vencida",LEFT($L13,5)="Vence"),SUMPRODUCT(--(LEFT($L$5:$L13,7)="Vencida"))+SUMPRODUCT(--(LEFT($L$5:$L13,5)="Vence")),"")</f>
        <v/>
      </c>
    </row>
    <row r="14">
      <c r="A14" s="56">
        <f>IF($N14="","",INDEX('Cronograma R. Operacional'!$A$5:$A$1000,$N14))</f>
        <v/>
      </c>
      <c r="B14" s="62">
        <f>IF($N14="","",IF($O14="Sub","      ↳  "&amp;INDEX('Cronograma R. Operacional'!$C$5:$C$1000,$N14),INDEX('Cronograma R. Operacional'!$C$5:$C$1000,$N14)&amp;""))</f>
        <v/>
      </c>
      <c r="C14" s="79">
        <f>IF($N14="","",IF(INDEX('Cronograma R. Operacional'!$AR$5:$AR$1000,$N14)="","",INDEX('Cronograma R. Operacional'!$AR$5:$AR$1000,$N14)))</f>
        <v/>
      </c>
      <c r="D14" s="79">
        <f>IF($N14="","",IF(INDEX('Cronograma R. Operacional'!$AS$5:$AS$1000,$N14)="","",INDEX('Cronograma R. Operacional'!$AS$5:$AS$1000,$N14)))</f>
        <v/>
      </c>
      <c r="E14" s="56">
        <f>IF($N14="","",IF(NOT(ISNUMBER($D14)),"",IF($D14&lt;InicioCiclo,"Antes del ciclo",IF($D14&gt;=InicioCiclo+28,"Después del ciclo","Semana "&amp;(INT(($D14-InicioCiclo)/7)+1)))))</f>
        <v/>
      </c>
      <c r="F14" s="61">
        <f>IF($N14="","",IF($P14&gt;0,IF(1&lt;=SemanaActual,INDEX('Cronograma R. Operacional'!$AH$5:$AH$1000,$N14),""),IF(INDEX('Cronograma R. Operacional'!$I$5:$I$1000,$N14)="","",INDEX('Cronograma R. Operacional'!$I$5:$I$1000,$N14))))</f>
        <v/>
      </c>
      <c r="G14" s="61">
        <f>IF($N14="","",IF($P14&gt;0,IF(2&lt;=SemanaActual,INDEX('Cronograma R. Operacional'!$AI$5:$AI$1000,$N14),""),IF(INDEX('Cronograma R. Operacional'!$J$5:$J$1000,$N14)="","",INDEX('Cronograma R. Operacional'!$J$5:$J$1000,$N14))))</f>
        <v/>
      </c>
      <c r="H14" s="61">
        <f>IF($N14="","",IF($P14&gt;0,IF(3&lt;=SemanaActual,INDEX('Cronograma R. Operacional'!$AJ$5:$AJ$1000,$N14),""),IF(INDEX('Cronograma R. Operacional'!$K$5:$K$1000,$N14)="","",INDEX('Cronograma R. Operacional'!$K$5:$K$1000,$N14))))</f>
        <v/>
      </c>
      <c r="I14" s="61">
        <f>IF($N14="","",IF($P14&gt;0,IF(4&lt;=SemanaActual,INDEX('Cronograma R. Operacional'!$AK$5:$AK$1000,$N14),""),IF(INDEX('Cronograma R. Operacional'!$L$5:$L$1000,$N14)="","",INDEX('Cronograma R. Operacional'!$L$5:$L$1000,$N14))))</f>
        <v/>
      </c>
      <c r="J14" s="61">
        <f>IF($N14="","",INDEX('Cronograma R. Operacional'!$M$5:$M$1000,$N14))</f>
        <v/>
      </c>
      <c r="K14" s="56">
        <f>IF($N14="","",IF(N($J14)&gt;=1,"Completado",IF(AND(ISNUMBER($D14),$D14&lt;FechaRef),"Vencida",IF(N($J14)&gt;0,"En curso","Pendiente"))))</f>
        <v/>
      </c>
      <c r="L14" s="56">
        <f>IF($N14="","",INDEX('Cronograma R. Operacional'!$O$5:$O$1000,$N14)&amp;"")</f>
        <v/>
      </c>
      <c r="M14" s="62">
        <f>IF($N14="","",INDEX('Cronograma R. Operacional'!$Q$5:$Q$1000,$N14)&amp;"")</f>
        <v/>
      </c>
      <c r="N14">
        <f>IFERROR(MATCH(ROW()-4,rOrden_RO,0),"")</f>
        <v/>
      </c>
      <c r="O14">
        <f>IF($N14="","",INDEX('Cronograma R. Operacional'!$V$5:$V$1000,$N14))</f>
        <v/>
      </c>
      <c r="P14">
        <f>IF($N14="","",N(INDEX('Cronograma R. Operacional'!$W$5:$W$1000,$N14)))</f>
        <v/>
      </c>
      <c r="Q14">
        <f>IF(OR(LEFT($L14,7)="Vencida",LEFT($L14,5)="Vence"),SUMPRODUCT(--(LEFT($L$5:$L14,7)="Vencida"))+SUMPRODUCT(--(LEFT($L$5:$L14,5)="Vence")),"")</f>
        <v/>
      </c>
    </row>
    <row r="15">
      <c r="A15" s="56">
        <f>IF($N15="","",INDEX('Cronograma R. Operacional'!$A$5:$A$1000,$N15))</f>
        <v/>
      </c>
      <c r="B15" s="62">
        <f>IF($N15="","",IF($O15="Sub","      ↳  "&amp;INDEX('Cronograma R. Operacional'!$C$5:$C$1000,$N15),INDEX('Cronograma R. Operacional'!$C$5:$C$1000,$N15)&amp;""))</f>
        <v/>
      </c>
      <c r="C15" s="79">
        <f>IF($N15="","",IF(INDEX('Cronograma R. Operacional'!$AR$5:$AR$1000,$N15)="","",INDEX('Cronograma R. Operacional'!$AR$5:$AR$1000,$N15)))</f>
        <v/>
      </c>
      <c r="D15" s="79">
        <f>IF($N15="","",IF(INDEX('Cronograma R. Operacional'!$AS$5:$AS$1000,$N15)="","",INDEX('Cronograma R. Operacional'!$AS$5:$AS$1000,$N15)))</f>
        <v/>
      </c>
      <c r="E15" s="56">
        <f>IF($N15="","",IF(NOT(ISNUMBER($D15)),"",IF($D15&lt;InicioCiclo,"Antes del ciclo",IF($D15&gt;=InicioCiclo+28,"Después del ciclo","Semana "&amp;(INT(($D15-InicioCiclo)/7)+1)))))</f>
        <v/>
      </c>
      <c r="F15" s="61">
        <f>IF($N15="","",IF($P15&gt;0,IF(1&lt;=SemanaActual,INDEX('Cronograma R. Operacional'!$AH$5:$AH$1000,$N15),""),IF(INDEX('Cronograma R. Operacional'!$I$5:$I$1000,$N15)="","",INDEX('Cronograma R. Operacional'!$I$5:$I$1000,$N15))))</f>
        <v/>
      </c>
      <c r="G15" s="61">
        <f>IF($N15="","",IF($P15&gt;0,IF(2&lt;=SemanaActual,INDEX('Cronograma R. Operacional'!$AI$5:$AI$1000,$N15),""),IF(INDEX('Cronograma R. Operacional'!$J$5:$J$1000,$N15)="","",INDEX('Cronograma R. Operacional'!$J$5:$J$1000,$N15))))</f>
        <v/>
      </c>
      <c r="H15" s="61">
        <f>IF($N15="","",IF($P15&gt;0,IF(3&lt;=SemanaActual,INDEX('Cronograma R. Operacional'!$AJ$5:$AJ$1000,$N15),""),IF(INDEX('Cronograma R. Operacional'!$K$5:$K$1000,$N15)="","",INDEX('Cronograma R. Operacional'!$K$5:$K$1000,$N15))))</f>
        <v/>
      </c>
      <c r="I15" s="61">
        <f>IF($N15="","",IF($P15&gt;0,IF(4&lt;=SemanaActual,INDEX('Cronograma R. Operacional'!$AK$5:$AK$1000,$N15),""),IF(INDEX('Cronograma R. Operacional'!$L$5:$L$1000,$N15)="","",INDEX('Cronograma R. Operacional'!$L$5:$L$1000,$N15))))</f>
        <v/>
      </c>
      <c r="J15" s="61">
        <f>IF($N15="","",INDEX('Cronograma R. Operacional'!$M$5:$M$1000,$N15))</f>
        <v/>
      </c>
      <c r="K15" s="56">
        <f>IF($N15="","",IF(N($J15)&gt;=1,"Completado",IF(AND(ISNUMBER($D15),$D15&lt;FechaRef),"Vencida",IF(N($J15)&gt;0,"En curso","Pendiente"))))</f>
        <v/>
      </c>
      <c r="L15" s="56">
        <f>IF($N15="","",INDEX('Cronograma R. Operacional'!$O$5:$O$1000,$N15)&amp;"")</f>
        <v/>
      </c>
      <c r="M15" s="62">
        <f>IF($N15="","",INDEX('Cronograma R. Operacional'!$Q$5:$Q$1000,$N15)&amp;"")</f>
        <v/>
      </c>
      <c r="N15">
        <f>IFERROR(MATCH(ROW()-4,rOrden_RO,0),"")</f>
        <v/>
      </c>
      <c r="O15">
        <f>IF($N15="","",INDEX('Cronograma R. Operacional'!$V$5:$V$1000,$N15))</f>
        <v/>
      </c>
      <c r="P15">
        <f>IF($N15="","",N(INDEX('Cronograma R. Operacional'!$W$5:$W$1000,$N15)))</f>
        <v/>
      </c>
      <c r="Q15">
        <f>IF(OR(LEFT($L15,7)="Vencida",LEFT($L15,5)="Vence"),SUMPRODUCT(--(LEFT($L$5:$L15,7)="Vencida"))+SUMPRODUCT(--(LEFT($L$5:$L15,5)="Vence")),"")</f>
        <v/>
      </c>
    </row>
    <row r="16">
      <c r="A16" s="56">
        <f>IF($N16="","",INDEX('Cronograma R. Operacional'!$A$5:$A$1000,$N16))</f>
        <v/>
      </c>
      <c r="B16" s="62">
        <f>IF($N16="","",IF($O16="Sub","      ↳  "&amp;INDEX('Cronograma R. Operacional'!$C$5:$C$1000,$N16),INDEX('Cronograma R. Operacional'!$C$5:$C$1000,$N16)&amp;""))</f>
        <v/>
      </c>
      <c r="C16" s="79">
        <f>IF($N16="","",IF(INDEX('Cronograma R. Operacional'!$AR$5:$AR$1000,$N16)="","",INDEX('Cronograma R. Operacional'!$AR$5:$AR$1000,$N16)))</f>
        <v/>
      </c>
      <c r="D16" s="79">
        <f>IF($N16="","",IF(INDEX('Cronograma R. Operacional'!$AS$5:$AS$1000,$N16)="","",INDEX('Cronograma R. Operacional'!$AS$5:$AS$1000,$N16)))</f>
        <v/>
      </c>
      <c r="E16" s="56">
        <f>IF($N16="","",IF(NOT(ISNUMBER($D16)),"",IF($D16&lt;InicioCiclo,"Antes del ciclo",IF($D16&gt;=InicioCiclo+28,"Después del ciclo","Semana "&amp;(INT(($D16-InicioCiclo)/7)+1)))))</f>
        <v/>
      </c>
      <c r="F16" s="61">
        <f>IF($N16="","",IF($P16&gt;0,IF(1&lt;=SemanaActual,INDEX('Cronograma R. Operacional'!$AH$5:$AH$1000,$N16),""),IF(INDEX('Cronograma R. Operacional'!$I$5:$I$1000,$N16)="","",INDEX('Cronograma R. Operacional'!$I$5:$I$1000,$N16))))</f>
        <v/>
      </c>
      <c r="G16" s="61">
        <f>IF($N16="","",IF($P16&gt;0,IF(2&lt;=SemanaActual,INDEX('Cronograma R. Operacional'!$AI$5:$AI$1000,$N16),""),IF(INDEX('Cronograma R. Operacional'!$J$5:$J$1000,$N16)="","",INDEX('Cronograma R. Operacional'!$J$5:$J$1000,$N16))))</f>
        <v/>
      </c>
      <c r="H16" s="61">
        <f>IF($N16="","",IF($P16&gt;0,IF(3&lt;=SemanaActual,INDEX('Cronograma R. Operacional'!$AJ$5:$AJ$1000,$N16),""),IF(INDEX('Cronograma R. Operacional'!$K$5:$K$1000,$N16)="","",INDEX('Cronograma R. Operacional'!$K$5:$K$1000,$N16))))</f>
        <v/>
      </c>
      <c r="I16" s="61">
        <f>IF($N16="","",IF($P16&gt;0,IF(4&lt;=SemanaActual,INDEX('Cronograma R. Operacional'!$AK$5:$AK$1000,$N16),""),IF(INDEX('Cronograma R. Operacional'!$L$5:$L$1000,$N16)="","",INDEX('Cronograma R. Operacional'!$L$5:$L$1000,$N16))))</f>
        <v/>
      </c>
      <c r="J16" s="61">
        <f>IF($N16="","",INDEX('Cronograma R. Operacional'!$M$5:$M$1000,$N16))</f>
        <v/>
      </c>
      <c r="K16" s="56">
        <f>IF($N16="","",IF(N($J16)&gt;=1,"Completado",IF(AND(ISNUMBER($D16),$D16&lt;FechaRef),"Vencida",IF(N($J16)&gt;0,"En curso","Pendiente"))))</f>
        <v/>
      </c>
      <c r="L16" s="56">
        <f>IF($N16="","",INDEX('Cronograma R. Operacional'!$O$5:$O$1000,$N16)&amp;"")</f>
        <v/>
      </c>
      <c r="M16" s="62">
        <f>IF($N16="","",INDEX('Cronograma R. Operacional'!$Q$5:$Q$1000,$N16)&amp;"")</f>
        <v/>
      </c>
      <c r="N16">
        <f>IFERROR(MATCH(ROW()-4,rOrden_RO,0),"")</f>
        <v/>
      </c>
      <c r="O16">
        <f>IF($N16="","",INDEX('Cronograma R. Operacional'!$V$5:$V$1000,$N16))</f>
        <v/>
      </c>
      <c r="P16">
        <f>IF($N16="","",N(INDEX('Cronograma R. Operacional'!$W$5:$W$1000,$N16)))</f>
        <v/>
      </c>
      <c r="Q16">
        <f>IF(OR(LEFT($L16,7)="Vencida",LEFT($L16,5)="Vence"),SUMPRODUCT(--(LEFT($L$5:$L16,7)="Vencida"))+SUMPRODUCT(--(LEFT($L$5:$L16,5)="Vence")),"")</f>
        <v/>
      </c>
    </row>
    <row r="17">
      <c r="A17" s="56">
        <f>IF($N17="","",INDEX('Cronograma R. Operacional'!$A$5:$A$1000,$N17))</f>
        <v/>
      </c>
      <c r="B17" s="62">
        <f>IF($N17="","",IF($O17="Sub","      ↳  "&amp;INDEX('Cronograma R. Operacional'!$C$5:$C$1000,$N17),INDEX('Cronograma R. Operacional'!$C$5:$C$1000,$N17)&amp;""))</f>
        <v/>
      </c>
      <c r="C17" s="79">
        <f>IF($N17="","",IF(INDEX('Cronograma R. Operacional'!$AR$5:$AR$1000,$N17)="","",INDEX('Cronograma R. Operacional'!$AR$5:$AR$1000,$N17)))</f>
        <v/>
      </c>
      <c r="D17" s="79">
        <f>IF($N17="","",IF(INDEX('Cronograma R. Operacional'!$AS$5:$AS$1000,$N17)="","",INDEX('Cronograma R. Operacional'!$AS$5:$AS$1000,$N17)))</f>
        <v/>
      </c>
      <c r="E17" s="56">
        <f>IF($N17="","",IF(NOT(ISNUMBER($D17)),"",IF($D17&lt;InicioCiclo,"Antes del ciclo",IF($D17&gt;=InicioCiclo+28,"Después del ciclo","Semana "&amp;(INT(($D17-InicioCiclo)/7)+1)))))</f>
        <v/>
      </c>
      <c r="F17" s="61">
        <f>IF($N17="","",IF($P17&gt;0,IF(1&lt;=SemanaActual,INDEX('Cronograma R. Operacional'!$AH$5:$AH$1000,$N17),""),IF(INDEX('Cronograma R. Operacional'!$I$5:$I$1000,$N17)="","",INDEX('Cronograma R. Operacional'!$I$5:$I$1000,$N17))))</f>
        <v/>
      </c>
      <c r="G17" s="61">
        <f>IF($N17="","",IF($P17&gt;0,IF(2&lt;=SemanaActual,INDEX('Cronograma R. Operacional'!$AI$5:$AI$1000,$N17),""),IF(INDEX('Cronograma R. Operacional'!$J$5:$J$1000,$N17)="","",INDEX('Cronograma R. Operacional'!$J$5:$J$1000,$N17))))</f>
        <v/>
      </c>
      <c r="H17" s="61">
        <f>IF($N17="","",IF($P17&gt;0,IF(3&lt;=SemanaActual,INDEX('Cronograma R. Operacional'!$AJ$5:$AJ$1000,$N17),""),IF(INDEX('Cronograma R. Operacional'!$K$5:$K$1000,$N17)="","",INDEX('Cronograma R. Operacional'!$K$5:$K$1000,$N17))))</f>
        <v/>
      </c>
      <c r="I17" s="61">
        <f>IF($N17="","",IF($P17&gt;0,IF(4&lt;=SemanaActual,INDEX('Cronograma R. Operacional'!$AK$5:$AK$1000,$N17),""),IF(INDEX('Cronograma R. Operacional'!$L$5:$L$1000,$N17)="","",INDEX('Cronograma R. Operacional'!$L$5:$L$1000,$N17))))</f>
        <v/>
      </c>
      <c r="J17" s="61">
        <f>IF($N17="","",INDEX('Cronograma R. Operacional'!$M$5:$M$1000,$N17))</f>
        <v/>
      </c>
      <c r="K17" s="56">
        <f>IF($N17="","",IF(N($J17)&gt;=1,"Completado",IF(AND(ISNUMBER($D17),$D17&lt;FechaRef),"Vencida",IF(N($J17)&gt;0,"En curso","Pendiente"))))</f>
        <v/>
      </c>
      <c r="L17" s="56">
        <f>IF($N17="","",INDEX('Cronograma R. Operacional'!$O$5:$O$1000,$N17)&amp;"")</f>
        <v/>
      </c>
      <c r="M17" s="62">
        <f>IF($N17="","",INDEX('Cronograma R. Operacional'!$Q$5:$Q$1000,$N17)&amp;"")</f>
        <v/>
      </c>
      <c r="N17">
        <f>IFERROR(MATCH(ROW()-4,rOrden_RO,0),"")</f>
        <v/>
      </c>
      <c r="O17">
        <f>IF($N17="","",INDEX('Cronograma R. Operacional'!$V$5:$V$1000,$N17))</f>
        <v/>
      </c>
      <c r="P17">
        <f>IF($N17="","",N(INDEX('Cronograma R. Operacional'!$W$5:$W$1000,$N17)))</f>
        <v/>
      </c>
      <c r="Q17">
        <f>IF(OR(LEFT($L17,7)="Vencida",LEFT($L17,5)="Vence"),SUMPRODUCT(--(LEFT($L$5:$L17,7)="Vencida"))+SUMPRODUCT(--(LEFT($L$5:$L17,5)="Vence")),"")</f>
        <v/>
      </c>
    </row>
    <row r="18">
      <c r="A18" s="56">
        <f>IF($N18="","",INDEX('Cronograma R. Operacional'!$A$5:$A$1000,$N18))</f>
        <v/>
      </c>
      <c r="B18" s="62">
        <f>IF($N18="","",IF($O18="Sub","      ↳  "&amp;INDEX('Cronograma R. Operacional'!$C$5:$C$1000,$N18),INDEX('Cronograma R. Operacional'!$C$5:$C$1000,$N18)&amp;""))</f>
        <v/>
      </c>
      <c r="C18" s="79">
        <f>IF($N18="","",IF(INDEX('Cronograma R. Operacional'!$AR$5:$AR$1000,$N18)="","",INDEX('Cronograma R. Operacional'!$AR$5:$AR$1000,$N18)))</f>
        <v/>
      </c>
      <c r="D18" s="79">
        <f>IF($N18="","",IF(INDEX('Cronograma R. Operacional'!$AS$5:$AS$1000,$N18)="","",INDEX('Cronograma R. Operacional'!$AS$5:$AS$1000,$N18)))</f>
        <v/>
      </c>
      <c r="E18" s="56">
        <f>IF($N18="","",IF(NOT(ISNUMBER($D18)),"",IF($D18&lt;InicioCiclo,"Antes del ciclo",IF($D18&gt;=InicioCiclo+28,"Después del ciclo","Semana "&amp;(INT(($D18-InicioCiclo)/7)+1)))))</f>
        <v/>
      </c>
      <c r="F18" s="61">
        <f>IF($N18="","",IF($P18&gt;0,IF(1&lt;=SemanaActual,INDEX('Cronograma R. Operacional'!$AH$5:$AH$1000,$N18),""),IF(INDEX('Cronograma R. Operacional'!$I$5:$I$1000,$N18)="","",INDEX('Cronograma R. Operacional'!$I$5:$I$1000,$N18))))</f>
        <v/>
      </c>
      <c r="G18" s="61">
        <f>IF($N18="","",IF($P18&gt;0,IF(2&lt;=SemanaActual,INDEX('Cronograma R. Operacional'!$AI$5:$AI$1000,$N18),""),IF(INDEX('Cronograma R. Operacional'!$J$5:$J$1000,$N18)="","",INDEX('Cronograma R. Operacional'!$J$5:$J$1000,$N18))))</f>
        <v/>
      </c>
      <c r="H18" s="61">
        <f>IF($N18="","",IF($P18&gt;0,IF(3&lt;=SemanaActual,INDEX('Cronograma R. Operacional'!$AJ$5:$AJ$1000,$N18),""),IF(INDEX('Cronograma R. Operacional'!$K$5:$K$1000,$N18)="","",INDEX('Cronograma R. Operacional'!$K$5:$K$1000,$N18))))</f>
        <v/>
      </c>
      <c r="I18" s="61">
        <f>IF($N18="","",IF($P18&gt;0,IF(4&lt;=SemanaActual,INDEX('Cronograma R. Operacional'!$AK$5:$AK$1000,$N18),""),IF(INDEX('Cronograma R. Operacional'!$L$5:$L$1000,$N18)="","",INDEX('Cronograma R. Operacional'!$L$5:$L$1000,$N18))))</f>
        <v/>
      </c>
      <c r="J18" s="61">
        <f>IF($N18="","",INDEX('Cronograma R. Operacional'!$M$5:$M$1000,$N18))</f>
        <v/>
      </c>
      <c r="K18" s="56">
        <f>IF($N18="","",IF(N($J18)&gt;=1,"Completado",IF(AND(ISNUMBER($D18),$D18&lt;FechaRef),"Vencida",IF(N($J18)&gt;0,"En curso","Pendiente"))))</f>
        <v/>
      </c>
      <c r="L18" s="56">
        <f>IF($N18="","",INDEX('Cronograma R. Operacional'!$O$5:$O$1000,$N18)&amp;"")</f>
        <v/>
      </c>
      <c r="M18" s="62">
        <f>IF($N18="","",INDEX('Cronograma R. Operacional'!$Q$5:$Q$1000,$N18)&amp;"")</f>
        <v/>
      </c>
      <c r="N18">
        <f>IFERROR(MATCH(ROW()-4,rOrden_RO,0),"")</f>
        <v/>
      </c>
      <c r="O18">
        <f>IF($N18="","",INDEX('Cronograma R. Operacional'!$V$5:$V$1000,$N18))</f>
        <v/>
      </c>
      <c r="P18">
        <f>IF($N18="","",N(INDEX('Cronograma R. Operacional'!$W$5:$W$1000,$N18)))</f>
        <v/>
      </c>
      <c r="Q18">
        <f>IF(OR(LEFT($L18,7)="Vencida",LEFT($L18,5)="Vence"),SUMPRODUCT(--(LEFT($L$5:$L18,7)="Vencida"))+SUMPRODUCT(--(LEFT($L$5:$L18,5)="Vence")),"")</f>
        <v/>
      </c>
    </row>
    <row r="19">
      <c r="A19" s="56">
        <f>IF($N19="","",INDEX('Cronograma R. Operacional'!$A$5:$A$1000,$N19))</f>
        <v/>
      </c>
      <c r="B19" s="62">
        <f>IF($N19="","",IF($O19="Sub","      ↳  "&amp;INDEX('Cronograma R. Operacional'!$C$5:$C$1000,$N19),INDEX('Cronograma R. Operacional'!$C$5:$C$1000,$N19)&amp;""))</f>
        <v/>
      </c>
      <c r="C19" s="79">
        <f>IF($N19="","",IF(INDEX('Cronograma R. Operacional'!$AR$5:$AR$1000,$N19)="","",INDEX('Cronograma R. Operacional'!$AR$5:$AR$1000,$N19)))</f>
        <v/>
      </c>
      <c r="D19" s="79">
        <f>IF($N19="","",IF(INDEX('Cronograma R. Operacional'!$AS$5:$AS$1000,$N19)="","",INDEX('Cronograma R. Operacional'!$AS$5:$AS$1000,$N19)))</f>
        <v/>
      </c>
      <c r="E19" s="56">
        <f>IF($N19="","",IF(NOT(ISNUMBER($D19)),"",IF($D19&lt;InicioCiclo,"Antes del ciclo",IF($D19&gt;=InicioCiclo+28,"Después del ciclo","Semana "&amp;(INT(($D19-InicioCiclo)/7)+1)))))</f>
        <v/>
      </c>
      <c r="F19" s="61">
        <f>IF($N19="","",IF($P19&gt;0,IF(1&lt;=SemanaActual,INDEX('Cronograma R. Operacional'!$AH$5:$AH$1000,$N19),""),IF(INDEX('Cronograma R. Operacional'!$I$5:$I$1000,$N19)="","",INDEX('Cronograma R. Operacional'!$I$5:$I$1000,$N19))))</f>
        <v/>
      </c>
      <c r="G19" s="61">
        <f>IF($N19="","",IF($P19&gt;0,IF(2&lt;=SemanaActual,INDEX('Cronograma R. Operacional'!$AI$5:$AI$1000,$N19),""),IF(INDEX('Cronograma R. Operacional'!$J$5:$J$1000,$N19)="","",INDEX('Cronograma R. Operacional'!$J$5:$J$1000,$N19))))</f>
        <v/>
      </c>
      <c r="H19" s="61">
        <f>IF($N19="","",IF($P19&gt;0,IF(3&lt;=SemanaActual,INDEX('Cronograma R. Operacional'!$AJ$5:$AJ$1000,$N19),""),IF(INDEX('Cronograma R. Operacional'!$K$5:$K$1000,$N19)="","",INDEX('Cronograma R. Operacional'!$K$5:$K$1000,$N19))))</f>
        <v/>
      </c>
      <c r="I19" s="61">
        <f>IF($N19="","",IF($P19&gt;0,IF(4&lt;=SemanaActual,INDEX('Cronograma R. Operacional'!$AK$5:$AK$1000,$N19),""),IF(INDEX('Cronograma R. Operacional'!$L$5:$L$1000,$N19)="","",INDEX('Cronograma R. Operacional'!$L$5:$L$1000,$N19))))</f>
        <v/>
      </c>
      <c r="J19" s="61">
        <f>IF($N19="","",INDEX('Cronograma R. Operacional'!$M$5:$M$1000,$N19))</f>
        <v/>
      </c>
      <c r="K19" s="56">
        <f>IF($N19="","",IF(N($J19)&gt;=1,"Completado",IF(AND(ISNUMBER($D19),$D19&lt;FechaRef),"Vencida",IF(N($J19)&gt;0,"En curso","Pendiente"))))</f>
        <v/>
      </c>
      <c r="L19" s="56">
        <f>IF($N19="","",INDEX('Cronograma R. Operacional'!$O$5:$O$1000,$N19)&amp;"")</f>
        <v/>
      </c>
      <c r="M19" s="62">
        <f>IF($N19="","",INDEX('Cronograma R. Operacional'!$Q$5:$Q$1000,$N19)&amp;"")</f>
        <v/>
      </c>
      <c r="N19">
        <f>IFERROR(MATCH(ROW()-4,rOrden_RO,0),"")</f>
        <v/>
      </c>
      <c r="O19">
        <f>IF($N19="","",INDEX('Cronograma R. Operacional'!$V$5:$V$1000,$N19))</f>
        <v/>
      </c>
      <c r="P19">
        <f>IF($N19="","",N(INDEX('Cronograma R. Operacional'!$W$5:$W$1000,$N19)))</f>
        <v/>
      </c>
      <c r="Q19">
        <f>IF(OR(LEFT($L19,7)="Vencida",LEFT($L19,5)="Vence"),SUMPRODUCT(--(LEFT($L$5:$L19,7)="Vencida"))+SUMPRODUCT(--(LEFT($L$5:$L19,5)="Vence")),"")</f>
        <v/>
      </c>
    </row>
    <row r="20">
      <c r="A20" s="56">
        <f>IF($N20="","",INDEX('Cronograma R. Operacional'!$A$5:$A$1000,$N20))</f>
        <v/>
      </c>
      <c r="B20" s="62">
        <f>IF($N20="","",IF($O20="Sub","      ↳  "&amp;INDEX('Cronograma R. Operacional'!$C$5:$C$1000,$N20),INDEX('Cronograma R. Operacional'!$C$5:$C$1000,$N20)&amp;""))</f>
        <v/>
      </c>
      <c r="C20" s="79">
        <f>IF($N20="","",IF(INDEX('Cronograma R. Operacional'!$AR$5:$AR$1000,$N20)="","",INDEX('Cronograma R. Operacional'!$AR$5:$AR$1000,$N20)))</f>
        <v/>
      </c>
      <c r="D20" s="79">
        <f>IF($N20="","",IF(INDEX('Cronograma R. Operacional'!$AS$5:$AS$1000,$N20)="","",INDEX('Cronograma R. Operacional'!$AS$5:$AS$1000,$N20)))</f>
        <v/>
      </c>
      <c r="E20" s="56">
        <f>IF($N20="","",IF(NOT(ISNUMBER($D20)),"",IF($D20&lt;InicioCiclo,"Antes del ciclo",IF($D20&gt;=InicioCiclo+28,"Después del ciclo","Semana "&amp;(INT(($D20-InicioCiclo)/7)+1)))))</f>
        <v/>
      </c>
      <c r="F20" s="61">
        <f>IF($N20="","",IF($P20&gt;0,IF(1&lt;=SemanaActual,INDEX('Cronograma R. Operacional'!$AH$5:$AH$1000,$N20),""),IF(INDEX('Cronograma R. Operacional'!$I$5:$I$1000,$N20)="","",INDEX('Cronograma R. Operacional'!$I$5:$I$1000,$N20))))</f>
        <v/>
      </c>
      <c r="G20" s="61">
        <f>IF($N20="","",IF($P20&gt;0,IF(2&lt;=SemanaActual,INDEX('Cronograma R. Operacional'!$AI$5:$AI$1000,$N20),""),IF(INDEX('Cronograma R. Operacional'!$J$5:$J$1000,$N20)="","",INDEX('Cronograma R. Operacional'!$J$5:$J$1000,$N20))))</f>
        <v/>
      </c>
      <c r="H20" s="61">
        <f>IF($N20="","",IF($P20&gt;0,IF(3&lt;=SemanaActual,INDEX('Cronograma R. Operacional'!$AJ$5:$AJ$1000,$N20),""),IF(INDEX('Cronograma R. Operacional'!$K$5:$K$1000,$N20)="","",INDEX('Cronograma R. Operacional'!$K$5:$K$1000,$N20))))</f>
        <v/>
      </c>
      <c r="I20" s="61">
        <f>IF($N20="","",IF($P20&gt;0,IF(4&lt;=SemanaActual,INDEX('Cronograma R. Operacional'!$AK$5:$AK$1000,$N20),""),IF(INDEX('Cronograma R. Operacional'!$L$5:$L$1000,$N20)="","",INDEX('Cronograma R. Operacional'!$L$5:$L$1000,$N20))))</f>
        <v/>
      </c>
      <c r="J20" s="61">
        <f>IF($N20="","",INDEX('Cronograma R. Operacional'!$M$5:$M$1000,$N20))</f>
        <v/>
      </c>
      <c r="K20" s="56">
        <f>IF($N20="","",IF(N($J20)&gt;=1,"Completado",IF(AND(ISNUMBER($D20),$D20&lt;FechaRef),"Vencida",IF(N($J20)&gt;0,"En curso","Pendiente"))))</f>
        <v/>
      </c>
      <c r="L20" s="56">
        <f>IF($N20="","",INDEX('Cronograma R. Operacional'!$O$5:$O$1000,$N20)&amp;"")</f>
        <v/>
      </c>
      <c r="M20" s="62">
        <f>IF($N20="","",INDEX('Cronograma R. Operacional'!$Q$5:$Q$1000,$N20)&amp;"")</f>
        <v/>
      </c>
      <c r="N20">
        <f>IFERROR(MATCH(ROW()-4,rOrden_RO,0),"")</f>
        <v/>
      </c>
      <c r="O20">
        <f>IF($N20="","",INDEX('Cronograma R. Operacional'!$V$5:$V$1000,$N20))</f>
        <v/>
      </c>
      <c r="P20">
        <f>IF($N20="","",N(INDEX('Cronograma R. Operacional'!$W$5:$W$1000,$N20)))</f>
        <v/>
      </c>
      <c r="Q20">
        <f>IF(OR(LEFT($L20,7)="Vencida",LEFT($L20,5)="Vence"),SUMPRODUCT(--(LEFT($L$5:$L20,7)="Vencida"))+SUMPRODUCT(--(LEFT($L$5:$L20,5)="Vence")),"")</f>
        <v/>
      </c>
    </row>
    <row r="21">
      <c r="A21" s="56">
        <f>IF($N21="","",INDEX('Cronograma R. Operacional'!$A$5:$A$1000,$N21))</f>
        <v/>
      </c>
      <c r="B21" s="62">
        <f>IF($N21="","",IF($O21="Sub","      ↳  "&amp;INDEX('Cronograma R. Operacional'!$C$5:$C$1000,$N21),INDEX('Cronograma R. Operacional'!$C$5:$C$1000,$N21)&amp;""))</f>
        <v/>
      </c>
      <c r="C21" s="79">
        <f>IF($N21="","",IF(INDEX('Cronograma R. Operacional'!$AR$5:$AR$1000,$N21)="","",INDEX('Cronograma R. Operacional'!$AR$5:$AR$1000,$N21)))</f>
        <v/>
      </c>
      <c r="D21" s="79">
        <f>IF($N21="","",IF(INDEX('Cronograma R. Operacional'!$AS$5:$AS$1000,$N21)="","",INDEX('Cronograma R. Operacional'!$AS$5:$AS$1000,$N21)))</f>
        <v/>
      </c>
      <c r="E21" s="56">
        <f>IF($N21="","",IF(NOT(ISNUMBER($D21)),"",IF($D21&lt;InicioCiclo,"Antes del ciclo",IF($D21&gt;=InicioCiclo+28,"Después del ciclo","Semana "&amp;(INT(($D21-InicioCiclo)/7)+1)))))</f>
        <v/>
      </c>
      <c r="F21" s="61">
        <f>IF($N21="","",IF($P21&gt;0,IF(1&lt;=SemanaActual,INDEX('Cronograma R. Operacional'!$AH$5:$AH$1000,$N21),""),IF(INDEX('Cronograma R. Operacional'!$I$5:$I$1000,$N21)="","",INDEX('Cronograma R. Operacional'!$I$5:$I$1000,$N21))))</f>
        <v/>
      </c>
      <c r="G21" s="61">
        <f>IF($N21="","",IF($P21&gt;0,IF(2&lt;=SemanaActual,INDEX('Cronograma R. Operacional'!$AI$5:$AI$1000,$N21),""),IF(INDEX('Cronograma R. Operacional'!$J$5:$J$1000,$N21)="","",INDEX('Cronograma R. Operacional'!$J$5:$J$1000,$N21))))</f>
        <v/>
      </c>
      <c r="H21" s="61">
        <f>IF($N21="","",IF($P21&gt;0,IF(3&lt;=SemanaActual,INDEX('Cronograma R. Operacional'!$AJ$5:$AJ$1000,$N21),""),IF(INDEX('Cronograma R. Operacional'!$K$5:$K$1000,$N21)="","",INDEX('Cronograma R. Operacional'!$K$5:$K$1000,$N21))))</f>
        <v/>
      </c>
      <c r="I21" s="61">
        <f>IF($N21="","",IF($P21&gt;0,IF(4&lt;=SemanaActual,INDEX('Cronograma R. Operacional'!$AK$5:$AK$1000,$N21),""),IF(INDEX('Cronograma R. Operacional'!$L$5:$L$1000,$N21)="","",INDEX('Cronograma R. Operacional'!$L$5:$L$1000,$N21))))</f>
        <v/>
      </c>
      <c r="J21" s="61">
        <f>IF($N21="","",INDEX('Cronograma R. Operacional'!$M$5:$M$1000,$N21))</f>
        <v/>
      </c>
      <c r="K21" s="56">
        <f>IF($N21="","",IF(N($J21)&gt;=1,"Completado",IF(AND(ISNUMBER($D21),$D21&lt;FechaRef),"Vencida",IF(N($J21)&gt;0,"En curso","Pendiente"))))</f>
        <v/>
      </c>
      <c r="L21" s="56">
        <f>IF($N21="","",INDEX('Cronograma R. Operacional'!$O$5:$O$1000,$N21)&amp;"")</f>
        <v/>
      </c>
      <c r="M21" s="62">
        <f>IF($N21="","",INDEX('Cronograma R. Operacional'!$Q$5:$Q$1000,$N21)&amp;"")</f>
        <v/>
      </c>
      <c r="N21">
        <f>IFERROR(MATCH(ROW()-4,rOrden_RO,0),"")</f>
        <v/>
      </c>
      <c r="O21">
        <f>IF($N21="","",INDEX('Cronograma R. Operacional'!$V$5:$V$1000,$N21))</f>
        <v/>
      </c>
      <c r="P21">
        <f>IF($N21="","",N(INDEX('Cronograma R. Operacional'!$W$5:$W$1000,$N21)))</f>
        <v/>
      </c>
      <c r="Q21">
        <f>IF(OR(LEFT($L21,7)="Vencida",LEFT($L21,5)="Vence"),SUMPRODUCT(--(LEFT($L$5:$L21,7)="Vencida"))+SUMPRODUCT(--(LEFT($L$5:$L21,5)="Vence")),"")</f>
        <v/>
      </c>
    </row>
    <row r="22">
      <c r="A22" s="56">
        <f>IF($N22="","",INDEX('Cronograma R. Operacional'!$A$5:$A$1000,$N22))</f>
        <v/>
      </c>
      <c r="B22" s="62">
        <f>IF($N22="","",IF($O22="Sub","      ↳  "&amp;INDEX('Cronograma R. Operacional'!$C$5:$C$1000,$N22),INDEX('Cronograma R. Operacional'!$C$5:$C$1000,$N22)&amp;""))</f>
        <v/>
      </c>
      <c r="C22" s="79">
        <f>IF($N22="","",IF(INDEX('Cronograma R. Operacional'!$AR$5:$AR$1000,$N22)="","",INDEX('Cronograma R. Operacional'!$AR$5:$AR$1000,$N22)))</f>
        <v/>
      </c>
      <c r="D22" s="79">
        <f>IF($N22="","",IF(INDEX('Cronograma R. Operacional'!$AS$5:$AS$1000,$N22)="","",INDEX('Cronograma R. Operacional'!$AS$5:$AS$1000,$N22)))</f>
        <v/>
      </c>
      <c r="E22" s="56">
        <f>IF($N22="","",IF(NOT(ISNUMBER($D22)),"",IF($D22&lt;InicioCiclo,"Antes del ciclo",IF($D22&gt;=InicioCiclo+28,"Después del ciclo","Semana "&amp;(INT(($D22-InicioCiclo)/7)+1)))))</f>
        <v/>
      </c>
      <c r="F22" s="61">
        <f>IF($N22="","",IF($P22&gt;0,IF(1&lt;=SemanaActual,INDEX('Cronograma R. Operacional'!$AH$5:$AH$1000,$N22),""),IF(INDEX('Cronograma R. Operacional'!$I$5:$I$1000,$N22)="","",INDEX('Cronograma R. Operacional'!$I$5:$I$1000,$N22))))</f>
        <v/>
      </c>
      <c r="G22" s="61">
        <f>IF($N22="","",IF($P22&gt;0,IF(2&lt;=SemanaActual,INDEX('Cronograma R. Operacional'!$AI$5:$AI$1000,$N22),""),IF(INDEX('Cronograma R. Operacional'!$J$5:$J$1000,$N22)="","",INDEX('Cronograma R. Operacional'!$J$5:$J$1000,$N22))))</f>
        <v/>
      </c>
      <c r="H22" s="61">
        <f>IF($N22="","",IF($P22&gt;0,IF(3&lt;=SemanaActual,INDEX('Cronograma R. Operacional'!$AJ$5:$AJ$1000,$N22),""),IF(INDEX('Cronograma R. Operacional'!$K$5:$K$1000,$N22)="","",INDEX('Cronograma R. Operacional'!$K$5:$K$1000,$N22))))</f>
        <v/>
      </c>
      <c r="I22" s="61">
        <f>IF($N22="","",IF($P22&gt;0,IF(4&lt;=SemanaActual,INDEX('Cronograma R. Operacional'!$AK$5:$AK$1000,$N22),""),IF(INDEX('Cronograma R. Operacional'!$L$5:$L$1000,$N22)="","",INDEX('Cronograma R. Operacional'!$L$5:$L$1000,$N22))))</f>
        <v/>
      </c>
      <c r="J22" s="61">
        <f>IF($N22="","",INDEX('Cronograma R. Operacional'!$M$5:$M$1000,$N22))</f>
        <v/>
      </c>
      <c r="K22" s="56">
        <f>IF($N22="","",IF(N($J22)&gt;=1,"Completado",IF(AND(ISNUMBER($D22),$D22&lt;FechaRef),"Vencida",IF(N($J22)&gt;0,"En curso","Pendiente"))))</f>
        <v/>
      </c>
      <c r="L22" s="56">
        <f>IF($N22="","",INDEX('Cronograma R. Operacional'!$O$5:$O$1000,$N22)&amp;"")</f>
        <v/>
      </c>
      <c r="M22" s="62">
        <f>IF($N22="","",INDEX('Cronograma R. Operacional'!$Q$5:$Q$1000,$N22)&amp;"")</f>
        <v/>
      </c>
      <c r="N22">
        <f>IFERROR(MATCH(ROW()-4,rOrden_RO,0),"")</f>
        <v/>
      </c>
      <c r="O22">
        <f>IF($N22="","",INDEX('Cronograma R. Operacional'!$V$5:$V$1000,$N22))</f>
        <v/>
      </c>
      <c r="P22">
        <f>IF($N22="","",N(INDEX('Cronograma R. Operacional'!$W$5:$W$1000,$N22)))</f>
        <v/>
      </c>
      <c r="Q22">
        <f>IF(OR(LEFT($L22,7)="Vencida",LEFT($L22,5)="Vence"),SUMPRODUCT(--(LEFT($L$5:$L22,7)="Vencida"))+SUMPRODUCT(--(LEFT($L$5:$L22,5)="Vence")),"")</f>
        <v/>
      </c>
    </row>
    <row r="23">
      <c r="A23" s="56">
        <f>IF($N23="","",INDEX('Cronograma R. Operacional'!$A$5:$A$1000,$N23))</f>
        <v/>
      </c>
      <c r="B23" s="62">
        <f>IF($N23="","",IF($O23="Sub","      ↳  "&amp;INDEX('Cronograma R. Operacional'!$C$5:$C$1000,$N23),INDEX('Cronograma R. Operacional'!$C$5:$C$1000,$N23)&amp;""))</f>
        <v/>
      </c>
      <c r="C23" s="79">
        <f>IF($N23="","",IF(INDEX('Cronograma R. Operacional'!$AR$5:$AR$1000,$N23)="","",INDEX('Cronograma R. Operacional'!$AR$5:$AR$1000,$N23)))</f>
        <v/>
      </c>
      <c r="D23" s="79">
        <f>IF($N23="","",IF(INDEX('Cronograma R. Operacional'!$AS$5:$AS$1000,$N23)="","",INDEX('Cronograma R. Operacional'!$AS$5:$AS$1000,$N23)))</f>
        <v/>
      </c>
      <c r="E23" s="56">
        <f>IF($N23="","",IF(NOT(ISNUMBER($D23)),"",IF($D23&lt;InicioCiclo,"Antes del ciclo",IF($D23&gt;=InicioCiclo+28,"Después del ciclo","Semana "&amp;(INT(($D23-InicioCiclo)/7)+1)))))</f>
        <v/>
      </c>
      <c r="F23" s="61">
        <f>IF($N23="","",IF($P23&gt;0,IF(1&lt;=SemanaActual,INDEX('Cronograma R. Operacional'!$AH$5:$AH$1000,$N23),""),IF(INDEX('Cronograma R. Operacional'!$I$5:$I$1000,$N23)="","",INDEX('Cronograma R. Operacional'!$I$5:$I$1000,$N23))))</f>
        <v/>
      </c>
      <c r="G23" s="61">
        <f>IF($N23="","",IF($P23&gt;0,IF(2&lt;=SemanaActual,INDEX('Cronograma R. Operacional'!$AI$5:$AI$1000,$N23),""),IF(INDEX('Cronograma R. Operacional'!$J$5:$J$1000,$N23)="","",INDEX('Cronograma R. Operacional'!$J$5:$J$1000,$N23))))</f>
        <v/>
      </c>
      <c r="H23" s="61">
        <f>IF($N23="","",IF($P23&gt;0,IF(3&lt;=SemanaActual,INDEX('Cronograma R. Operacional'!$AJ$5:$AJ$1000,$N23),""),IF(INDEX('Cronograma R. Operacional'!$K$5:$K$1000,$N23)="","",INDEX('Cronograma R. Operacional'!$K$5:$K$1000,$N23))))</f>
        <v/>
      </c>
      <c r="I23" s="61">
        <f>IF($N23="","",IF($P23&gt;0,IF(4&lt;=SemanaActual,INDEX('Cronograma R. Operacional'!$AK$5:$AK$1000,$N23),""),IF(INDEX('Cronograma R. Operacional'!$L$5:$L$1000,$N23)="","",INDEX('Cronograma R. Operacional'!$L$5:$L$1000,$N23))))</f>
        <v/>
      </c>
      <c r="J23" s="61">
        <f>IF($N23="","",INDEX('Cronograma R. Operacional'!$M$5:$M$1000,$N23))</f>
        <v/>
      </c>
      <c r="K23" s="56">
        <f>IF($N23="","",IF(N($J23)&gt;=1,"Completado",IF(AND(ISNUMBER($D23),$D23&lt;FechaRef),"Vencida",IF(N($J23)&gt;0,"En curso","Pendiente"))))</f>
        <v/>
      </c>
      <c r="L23" s="56">
        <f>IF($N23="","",INDEX('Cronograma R. Operacional'!$O$5:$O$1000,$N23)&amp;"")</f>
        <v/>
      </c>
      <c r="M23" s="62">
        <f>IF($N23="","",INDEX('Cronograma R. Operacional'!$Q$5:$Q$1000,$N23)&amp;"")</f>
        <v/>
      </c>
      <c r="N23">
        <f>IFERROR(MATCH(ROW()-4,rOrden_RO,0),"")</f>
        <v/>
      </c>
      <c r="O23">
        <f>IF($N23="","",INDEX('Cronograma R. Operacional'!$V$5:$V$1000,$N23))</f>
        <v/>
      </c>
      <c r="P23">
        <f>IF($N23="","",N(INDEX('Cronograma R. Operacional'!$W$5:$W$1000,$N23)))</f>
        <v/>
      </c>
      <c r="Q23">
        <f>IF(OR(LEFT($L23,7)="Vencida",LEFT($L23,5)="Vence"),SUMPRODUCT(--(LEFT($L$5:$L23,7)="Vencida"))+SUMPRODUCT(--(LEFT($L$5:$L23,5)="Vence")),"")</f>
        <v/>
      </c>
    </row>
    <row r="24">
      <c r="A24" s="56">
        <f>IF($N24="","",INDEX('Cronograma R. Operacional'!$A$5:$A$1000,$N24))</f>
        <v/>
      </c>
      <c r="B24" s="62">
        <f>IF($N24="","",IF($O24="Sub","      ↳  "&amp;INDEX('Cronograma R. Operacional'!$C$5:$C$1000,$N24),INDEX('Cronograma R. Operacional'!$C$5:$C$1000,$N24)&amp;""))</f>
        <v/>
      </c>
      <c r="C24" s="79">
        <f>IF($N24="","",IF(INDEX('Cronograma R. Operacional'!$AR$5:$AR$1000,$N24)="","",INDEX('Cronograma R. Operacional'!$AR$5:$AR$1000,$N24)))</f>
        <v/>
      </c>
      <c r="D24" s="79">
        <f>IF($N24="","",IF(INDEX('Cronograma R. Operacional'!$AS$5:$AS$1000,$N24)="","",INDEX('Cronograma R. Operacional'!$AS$5:$AS$1000,$N24)))</f>
        <v/>
      </c>
      <c r="E24" s="56">
        <f>IF($N24="","",IF(NOT(ISNUMBER($D24)),"",IF($D24&lt;InicioCiclo,"Antes del ciclo",IF($D24&gt;=InicioCiclo+28,"Después del ciclo","Semana "&amp;(INT(($D24-InicioCiclo)/7)+1)))))</f>
        <v/>
      </c>
      <c r="F24" s="61">
        <f>IF($N24="","",IF($P24&gt;0,IF(1&lt;=SemanaActual,INDEX('Cronograma R. Operacional'!$AH$5:$AH$1000,$N24),""),IF(INDEX('Cronograma R. Operacional'!$I$5:$I$1000,$N24)="","",INDEX('Cronograma R. Operacional'!$I$5:$I$1000,$N24))))</f>
        <v/>
      </c>
      <c r="G24" s="61">
        <f>IF($N24="","",IF($P24&gt;0,IF(2&lt;=SemanaActual,INDEX('Cronograma R. Operacional'!$AI$5:$AI$1000,$N24),""),IF(INDEX('Cronograma R. Operacional'!$J$5:$J$1000,$N24)="","",INDEX('Cronograma R. Operacional'!$J$5:$J$1000,$N24))))</f>
        <v/>
      </c>
      <c r="H24" s="61">
        <f>IF($N24="","",IF($P24&gt;0,IF(3&lt;=SemanaActual,INDEX('Cronograma R. Operacional'!$AJ$5:$AJ$1000,$N24),""),IF(INDEX('Cronograma R. Operacional'!$K$5:$K$1000,$N24)="","",INDEX('Cronograma R. Operacional'!$K$5:$K$1000,$N24))))</f>
        <v/>
      </c>
      <c r="I24" s="61">
        <f>IF($N24="","",IF($P24&gt;0,IF(4&lt;=SemanaActual,INDEX('Cronograma R. Operacional'!$AK$5:$AK$1000,$N24),""),IF(INDEX('Cronograma R. Operacional'!$L$5:$L$1000,$N24)="","",INDEX('Cronograma R. Operacional'!$L$5:$L$1000,$N24))))</f>
        <v/>
      </c>
      <c r="J24" s="61">
        <f>IF($N24="","",INDEX('Cronograma R. Operacional'!$M$5:$M$1000,$N24))</f>
        <v/>
      </c>
      <c r="K24" s="56">
        <f>IF($N24="","",IF(N($J24)&gt;=1,"Completado",IF(AND(ISNUMBER($D24),$D24&lt;FechaRef),"Vencida",IF(N($J24)&gt;0,"En curso","Pendiente"))))</f>
        <v/>
      </c>
      <c r="L24" s="56">
        <f>IF($N24="","",INDEX('Cronograma R. Operacional'!$O$5:$O$1000,$N24)&amp;"")</f>
        <v/>
      </c>
      <c r="M24" s="62">
        <f>IF($N24="","",INDEX('Cronograma R. Operacional'!$Q$5:$Q$1000,$N24)&amp;"")</f>
        <v/>
      </c>
      <c r="N24">
        <f>IFERROR(MATCH(ROW()-4,rOrden_RO,0),"")</f>
        <v/>
      </c>
      <c r="O24">
        <f>IF($N24="","",INDEX('Cronograma R. Operacional'!$V$5:$V$1000,$N24))</f>
        <v/>
      </c>
      <c r="P24">
        <f>IF($N24="","",N(INDEX('Cronograma R. Operacional'!$W$5:$W$1000,$N24)))</f>
        <v/>
      </c>
      <c r="Q24">
        <f>IF(OR(LEFT($L24,7)="Vencida",LEFT($L24,5)="Vence"),SUMPRODUCT(--(LEFT($L$5:$L24,7)="Vencida"))+SUMPRODUCT(--(LEFT($L$5:$L24,5)="Vence")),"")</f>
        <v/>
      </c>
    </row>
    <row r="25">
      <c r="A25" s="56">
        <f>IF($N25="","",INDEX('Cronograma R. Operacional'!$A$5:$A$1000,$N25))</f>
        <v/>
      </c>
      <c r="B25" s="62">
        <f>IF($N25="","",IF($O25="Sub","      ↳  "&amp;INDEX('Cronograma R. Operacional'!$C$5:$C$1000,$N25),INDEX('Cronograma R. Operacional'!$C$5:$C$1000,$N25)&amp;""))</f>
        <v/>
      </c>
      <c r="C25" s="79">
        <f>IF($N25="","",IF(INDEX('Cronograma R. Operacional'!$AR$5:$AR$1000,$N25)="","",INDEX('Cronograma R. Operacional'!$AR$5:$AR$1000,$N25)))</f>
        <v/>
      </c>
      <c r="D25" s="79">
        <f>IF($N25="","",IF(INDEX('Cronograma R. Operacional'!$AS$5:$AS$1000,$N25)="","",INDEX('Cronograma R. Operacional'!$AS$5:$AS$1000,$N25)))</f>
        <v/>
      </c>
      <c r="E25" s="56">
        <f>IF($N25="","",IF(NOT(ISNUMBER($D25)),"",IF($D25&lt;InicioCiclo,"Antes del ciclo",IF($D25&gt;=InicioCiclo+28,"Después del ciclo","Semana "&amp;(INT(($D25-InicioCiclo)/7)+1)))))</f>
        <v/>
      </c>
      <c r="F25" s="61">
        <f>IF($N25="","",IF($P25&gt;0,IF(1&lt;=SemanaActual,INDEX('Cronograma R. Operacional'!$AH$5:$AH$1000,$N25),""),IF(INDEX('Cronograma R. Operacional'!$I$5:$I$1000,$N25)="","",INDEX('Cronograma R. Operacional'!$I$5:$I$1000,$N25))))</f>
        <v/>
      </c>
      <c r="G25" s="61">
        <f>IF($N25="","",IF($P25&gt;0,IF(2&lt;=SemanaActual,INDEX('Cronograma R. Operacional'!$AI$5:$AI$1000,$N25),""),IF(INDEX('Cronograma R. Operacional'!$J$5:$J$1000,$N25)="","",INDEX('Cronograma R. Operacional'!$J$5:$J$1000,$N25))))</f>
        <v/>
      </c>
      <c r="H25" s="61">
        <f>IF($N25="","",IF($P25&gt;0,IF(3&lt;=SemanaActual,INDEX('Cronograma R. Operacional'!$AJ$5:$AJ$1000,$N25),""),IF(INDEX('Cronograma R. Operacional'!$K$5:$K$1000,$N25)="","",INDEX('Cronograma R. Operacional'!$K$5:$K$1000,$N25))))</f>
        <v/>
      </c>
      <c r="I25" s="61">
        <f>IF($N25="","",IF($P25&gt;0,IF(4&lt;=SemanaActual,INDEX('Cronograma R. Operacional'!$AK$5:$AK$1000,$N25),""),IF(INDEX('Cronograma R. Operacional'!$L$5:$L$1000,$N25)="","",INDEX('Cronograma R. Operacional'!$L$5:$L$1000,$N25))))</f>
        <v/>
      </c>
      <c r="J25" s="61">
        <f>IF($N25="","",INDEX('Cronograma R. Operacional'!$M$5:$M$1000,$N25))</f>
        <v/>
      </c>
      <c r="K25" s="56">
        <f>IF($N25="","",IF(N($J25)&gt;=1,"Completado",IF(AND(ISNUMBER($D25),$D25&lt;FechaRef),"Vencida",IF(N($J25)&gt;0,"En curso","Pendiente"))))</f>
        <v/>
      </c>
      <c r="L25" s="56">
        <f>IF($N25="","",INDEX('Cronograma R. Operacional'!$O$5:$O$1000,$N25)&amp;"")</f>
        <v/>
      </c>
      <c r="M25" s="62">
        <f>IF($N25="","",INDEX('Cronograma R. Operacional'!$Q$5:$Q$1000,$N25)&amp;"")</f>
        <v/>
      </c>
      <c r="N25">
        <f>IFERROR(MATCH(ROW()-4,rOrden_RO,0),"")</f>
        <v/>
      </c>
      <c r="O25">
        <f>IF($N25="","",INDEX('Cronograma R. Operacional'!$V$5:$V$1000,$N25))</f>
        <v/>
      </c>
      <c r="P25">
        <f>IF($N25="","",N(INDEX('Cronograma R. Operacional'!$W$5:$W$1000,$N25)))</f>
        <v/>
      </c>
      <c r="Q25">
        <f>IF(OR(LEFT($L25,7)="Vencida",LEFT($L25,5)="Vence"),SUMPRODUCT(--(LEFT($L$5:$L25,7)="Vencida"))+SUMPRODUCT(--(LEFT($L$5:$L25,5)="Vence")),"")</f>
        <v/>
      </c>
    </row>
    <row r="26">
      <c r="A26" s="56">
        <f>IF($N26="","",INDEX('Cronograma R. Operacional'!$A$5:$A$1000,$N26))</f>
        <v/>
      </c>
      <c r="B26" s="62">
        <f>IF($N26="","",IF($O26="Sub","      ↳  "&amp;INDEX('Cronograma R. Operacional'!$C$5:$C$1000,$N26),INDEX('Cronograma R. Operacional'!$C$5:$C$1000,$N26)&amp;""))</f>
        <v/>
      </c>
      <c r="C26" s="79">
        <f>IF($N26="","",IF(INDEX('Cronograma R. Operacional'!$AR$5:$AR$1000,$N26)="","",INDEX('Cronograma R. Operacional'!$AR$5:$AR$1000,$N26)))</f>
        <v/>
      </c>
      <c r="D26" s="79">
        <f>IF($N26="","",IF(INDEX('Cronograma R. Operacional'!$AS$5:$AS$1000,$N26)="","",INDEX('Cronograma R. Operacional'!$AS$5:$AS$1000,$N26)))</f>
        <v/>
      </c>
      <c r="E26" s="56">
        <f>IF($N26="","",IF(NOT(ISNUMBER($D26)),"",IF($D26&lt;InicioCiclo,"Antes del ciclo",IF($D26&gt;=InicioCiclo+28,"Después del ciclo","Semana "&amp;(INT(($D26-InicioCiclo)/7)+1)))))</f>
        <v/>
      </c>
      <c r="F26" s="61">
        <f>IF($N26="","",IF($P26&gt;0,IF(1&lt;=SemanaActual,INDEX('Cronograma R. Operacional'!$AH$5:$AH$1000,$N26),""),IF(INDEX('Cronograma R. Operacional'!$I$5:$I$1000,$N26)="","",INDEX('Cronograma R. Operacional'!$I$5:$I$1000,$N26))))</f>
        <v/>
      </c>
      <c r="G26" s="61">
        <f>IF($N26="","",IF($P26&gt;0,IF(2&lt;=SemanaActual,INDEX('Cronograma R. Operacional'!$AI$5:$AI$1000,$N26),""),IF(INDEX('Cronograma R. Operacional'!$J$5:$J$1000,$N26)="","",INDEX('Cronograma R. Operacional'!$J$5:$J$1000,$N26))))</f>
        <v/>
      </c>
      <c r="H26" s="61">
        <f>IF($N26="","",IF($P26&gt;0,IF(3&lt;=SemanaActual,INDEX('Cronograma R. Operacional'!$AJ$5:$AJ$1000,$N26),""),IF(INDEX('Cronograma R. Operacional'!$K$5:$K$1000,$N26)="","",INDEX('Cronograma R. Operacional'!$K$5:$K$1000,$N26))))</f>
        <v/>
      </c>
      <c r="I26" s="61">
        <f>IF($N26="","",IF($P26&gt;0,IF(4&lt;=SemanaActual,INDEX('Cronograma R. Operacional'!$AK$5:$AK$1000,$N26),""),IF(INDEX('Cronograma R. Operacional'!$L$5:$L$1000,$N26)="","",INDEX('Cronograma R. Operacional'!$L$5:$L$1000,$N26))))</f>
        <v/>
      </c>
      <c r="J26" s="61">
        <f>IF($N26="","",INDEX('Cronograma R. Operacional'!$M$5:$M$1000,$N26))</f>
        <v/>
      </c>
      <c r="K26" s="56">
        <f>IF($N26="","",IF(N($J26)&gt;=1,"Completado",IF(AND(ISNUMBER($D26),$D26&lt;FechaRef),"Vencida",IF(N($J26)&gt;0,"En curso","Pendiente"))))</f>
        <v/>
      </c>
      <c r="L26" s="56">
        <f>IF($N26="","",INDEX('Cronograma R. Operacional'!$O$5:$O$1000,$N26)&amp;"")</f>
        <v/>
      </c>
      <c r="M26" s="62">
        <f>IF($N26="","",INDEX('Cronograma R. Operacional'!$Q$5:$Q$1000,$N26)&amp;"")</f>
        <v/>
      </c>
      <c r="N26">
        <f>IFERROR(MATCH(ROW()-4,rOrden_RO,0),"")</f>
        <v/>
      </c>
      <c r="O26">
        <f>IF($N26="","",INDEX('Cronograma R. Operacional'!$V$5:$V$1000,$N26))</f>
        <v/>
      </c>
      <c r="P26">
        <f>IF($N26="","",N(INDEX('Cronograma R. Operacional'!$W$5:$W$1000,$N26)))</f>
        <v/>
      </c>
      <c r="Q26">
        <f>IF(OR(LEFT($L26,7)="Vencida",LEFT($L26,5)="Vence"),SUMPRODUCT(--(LEFT($L$5:$L26,7)="Vencida"))+SUMPRODUCT(--(LEFT($L$5:$L26,5)="Vence")),"")</f>
        <v/>
      </c>
    </row>
    <row r="27">
      <c r="A27" s="56">
        <f>IF($N27="","",INDEX('Cronograma R. Operacional'!$A$5:$A$1000,$N27))</f>
        <v/>
      </c>
      <c r="B27" s="62">
        <f>IF($N27="","",IF($O27="Sub","      ↳  "&amp;INDEX('Cronograma R. Operacional'!$C$5:$C$1000,$N27),INDEX('Cronograma R. Operacional'!$C$5:$C$1000,$N27)&amp;""))</f>
        <v/>
      </c>
      <c r="C27" s="79">
        <f>IF($N27="","",IF(INDEX('Cronograma R. Operacional'!$AR$5:$AR$1000,$N27)="","",INDEX('Cronograma R. Operacional'!$AR$5:$AR$1000,$N27)))</f>
        <v/>
      </c>
      <c r="D27" s="79">
        <f>IF($N27="","",IF(INDEX('Cronograma R. Operacional'!$AS$5:$AS$1000,$N27)="","",INDEX('Cronograma R. Operacional'!$AS$5:$AS$1000,$N27)))</f>
        <v/>
      </c>
      <c r="E27" s="56">
        <f>IF($N27="","",IF(NOT(ISNUMBER($D27)),"",IF($D27&lt;InicioCiclo,"Antes del ciclo",IF($D27&gt;=InicioCiclo+28,"Después del ciclo","Semana "&amp;(INT(($D27-InicioCiclo)/7)+1)))))</f>
        <v/>
      </c>
      <c r="F27" s="61">
        <f>IF($N27="","",IF($P27&gt;0,IF(1&lt;=SemanaActual,INDEX('Cronograma R. Operacional'!$AH$5:$AH$1000,$N27),""),IF(INDEX('Cronograma R. Operacional'!$I$5:$I$1000,$N27)="","",INDEX('Cronograma R. Operacional'!$I$5:$I$1000,$N27))))</f>
        <v/>
      </c>
      <c r="G27" s="61">
        <f>IF($N27="","",IF($P27&gt;0,IF(2&lt;=SemanaActual,INDEX('Cronograma R. Operacional'!$AI$5:$AI$1000,$N27),""),IF(INDEX('Cronograma R. Operacional'!$J$5:$J$1000,$N27)="","",INDEX('Cronograma R. Operacional'!$J$5:$J$1000,$N27))))</f>
        <v/>
      </c>
      <c r="H27" s="61">
        <f>IF($N27="","",IF($P27&gt;0,IF(3&lt;=SemanaActual,INDEX('Cronograma R. Operacional'!$AJ$5:$AJ$1000,$N27),""),IF(INDEX('Cronograma R. Operacional'!$K$5:$K$1000,$N27)="","",INDEX('Cronograma R. Operacional'!$K$5:$K$1000,$N27))))</f>
        <v/>
      </c>
      <c r="I27" s="61">
        <f>IF($N27="","",IF($P27&gt;0,IF(4&lt;=SemanaActual,INDEX('Cronograma R. Operacional'!$AK$5:$AK$1000,$N27),""),IF(INDEX('Cronograma R. Operacional'!$L$5:$L$1000,$N27)="","",INDEX('Cronograma R. Operacional'!$L$5:$L$1000,$N27))))</f>
        <v/>
      </c>
      <c r="J27" s="61">
        <f>IF($N27="","",INDEX('Cronograma R. Operacional'!$M$5:$M$1000,$N27))</f>
        <v/>
      </c>
      <c r="K27" s="56">
        <f>IF($N27="","",IF(N($J27)&gt;=1,"Completado",IF(AND(ISNUMBER($D27),$D27&lt;FechaRef),"Vencida",IF(N($J27)&gt;0,"En curso","Pendiente"))))</f>
        <v/>
      </c>
      <c r="L27" s="56">
        <f>IF($N27="","",INDEX('Cronograma R. Operacional'!$O$5:$O$1000,$N27)&amp;"")</f>
        <v/>
      </c>
      <c r="M27" s="62">
        <f>IF($N27="","",INDEX('Cronograma R. Operacional'!$Q$5:$Q$1000,$N27)&amp;"")</f>
        <v/>
      </c>
      <c r="N27">
        <f>IFERROR(MATCH(ROW()-4,rOrden_RO,0),"")</f>
        <v/>
      </c>
      <c r="O27">
        <f>IF($N27="","",INDEX('Cronograma R. Operacional'!$V$5:$V$1000,$N27))</f>
        <v/>
      </c>
      <c r="P27">
        <f>IF($N27="","",N(INDEX('Cronograma R. Operacional'!$W$5:$W$1000,$N27)))</f>
        <v/>
      </c>
      <c r="Q27">
        <f>IF(OR(LEFT($L27,7)="Vencida",LEFT($L27,5)="Vence"),SUMPRODUCT(--(LEFT($L$5:$L27,7)="Vencida"))+SUMPRODUCT(--(LEFT($L$5:$L27,5)="Vence")),"")</f>
        <v/>
      </c>
    </row>
    <row r="28">
      <c r="A28" s="56">
        <f>IF($N28="","",INDEX('Cronograma R. Operacional'!$A$5:$A$1000,$N28))</f>
        <v/>
      </c>
      <c r="B28" s="62">
        <f>IF($N28="","",IF($O28="Sub","      ↳  "&amp;INDEX('Cronograma R. Operacional'!$C$5:$C$1000,$N28),INDEX('Cronograma R. Operacional'!$C$5:$C$1000,$N28)&amp;""))</f>
        <v/>
      </c>
      <c r="C28" s="79">
        <f>IF($N28="","",IF(INDEX('Cronograma R. Operacional'!$AR$5:$AR$1000,$N28)="","",INDEX('Cronograma R. Operacional'!$AR$5:$AR$1000,$N28)))</f>
        <v/>
      </c>
      <c r="D28" s="79">
        <f>IF($N28="","",IF(INDEX('Cronograma R. Operacional'!$AS$5:$AS$1000,$N28)="","",INDEX('Cronograma R. Operacional'!$AS$5:$AS$1000,$N28)))</f>
        <v/>
      </c>
      <c r="E28" s="56">
        <f>IF($N28="","",IF(NOT(ISNUMBER($D28)),"",IF($D28&lt;InicioCiclo,"Antes del ciclo",IF($D28&gt;=InicioCiclo+28,"Después del ciclo","Semana "&amp;(INT(($D28-InicioCiclo)/7)+1)))))</f>
        <v/>
      </c>
      <c r="F28" s="61">
        <f>IF($N28="","",IF($P28&gt;0,IF(1&lt;=SemanaActual,INDEX('Cronograma R. Operacional'!$AH$5:$AH$1000,$N28),""),IF(INDEX('Cronograma R. Operacional'!$I$5:$I$1000,$N28)="","",INDEX('Cronograma R. Operacional'!$I$5:$I$1000,$N28))))</f>
        <v/>
      </c>
      <c r="G28" s="61">
        <f>IF($N28="","",IF($P28&gt;0,IF(2&lt;=SemanaActual,INDEX('Cronograma R. Operacional'!$AI$5:$AI$1000,$N28),""),IF(INDEX('Cronograma R. Operacional'!$J$5:$J$1000,$N28)="","",INDEX('Cronograma R. Operacional'!$J$5:$J$1000,$N28))))</f>
        <v/>
      </c>
      <c r="H28" s="61">
        <f>IF($N28="","",IF($P28&gt;0,IF(3&lt;=SemanaActual,INDEX('Cronograma R. Operacional'!$AJ$5:$AJ$1000,$N28),""),IF(INDEX('Cronograma R. Operacional'!$K$5:$K$1000,$N28)="","",INDEX('Cronograma R. Operacional'!$K$5:$K$1000,$N28))))</f>
        <v/>
      </c>
      <c r="I28" s="61">
        <f>IF($N28="","",IF($P28&gt;0,IF(4&lt;=SemanaActual,INDEX('Cronograma R. Operacional'!$AK$5:$AK$1000,$N28),""),IF(INDEX('Cronograma R. Operacional'!$L$5:$L$1000,$N28)="","",INDEX('Cronograma R. Operacional'!$L$5:$L$1000,$N28))))</f>
        <v/>
      </c>
      <c r="J28" s="61">
        <f>IF($N28="","",INDEX('Cronograma R. Operacional'!$M$5:$M$1000,$N28))</f>
        <v/>
      </c>
      <c r="K28" s="56">
        <f>IF($N28="","",IF(N($J28)&gt;=1,"Completado",IF(AND(ISNUMBER($D28),$D28&lt;FechaRef),"Vencida",IF(N($J28)&gt;0,"En curso","Pendiente"))))</f>
        <v/>
      </c>
      <c r="L28" s="56">
        <f>IF($N28="","",INDEX('Cronograma R. Operacional'!$O$5:$O$1000,$N28)&amp;"")</f>
        <v/>
      </c>
      <c r="M28" s="62">
        <f>IF($N28="","",INDEX('Cronograma R. Operacional'!$Q$5:$Q$1000,$N28)&amp;"")</f>
        <v/>
      </c>
      <c r="N28">
        <f>IFERROR(MATCH(ROW()-4,rOrden_RO,0),"")</f>
        <v/>
      </c>
      <c r="O28">
        <f>IF($N28="","",INDEX('Cronograma R. Operacional'!$V$5:$V$1000,$N28))</f>
        <v/>
      </c>
      <c r="P28">
        <f>IF($N28="","",N(INDEX('Cronograma R. Operacional'!$W$5:$W$1000,$N28)))</f>
        <v/>
      </c>
      <c r="Q28">
        <f>IF(OR(LEFT($L28,7)="Vencida",LEFT($L28,5)="Vence"),SUMPRODUCT(--(LEFT($L$5:$L28,7)="Vencida"))+SUMPRODUCT(--(LEFT($L$5:$L28,5)="Vence")),"")</f>
        <v/>
      </c>
    </row>
    <row r="29">
      <c r="A29" s="56">
        <f>IF($N29="","",INDEX('Cronograma R. Operacional'!$A$5:$A$1000,$N29))</f>
        <v/>
      </c>
      <c r="B29" s="62">
        <f>IF($N29="","",IF($O29="Sub","      ↳  "&amp;INDEX('Cronograma R. Operacional'!$C$5:$C$1000,$N29),INDEX('Cronograma R. Operacional'!$C$5:$C$1000,$N29)&amp;""))</f>
        <v/>
      </c>
      <c r="C29" s="79">
        <f>IF($N29="","",IF(INDEX('Cronograma R. Operacional'!$AR$5:$AR$1000,$N29)="","",INDEX('Cronograma R. Operacional'!$AR$5:$AR$1000,$N29)))</f>
        <v/>
      </c>
      <c r="D29" s="79">
        <f>IF($N29="","",IF(INDEX('Cronograma R. Operacional'!$AS$5:$AS$1000,$N29)="","",INDEX('Cronograma R. Operacional'!$AS$5:$AS$1000,$N29)))</f>
        <v/>
      </c>
      <c r="E29" s="56">
        <f>IF($N29="","",IF(NOT(ISNUMBER($D29)),"",IF($D29&lt;InicioCiclo,"Antes del ciclo",IF($D29&gt;=InicioCiclo+28,"Después del ciclo","Semana "&amp;(INT(($D29-InicioCiclo)/7)+1)))))</f>
        <v/>
      </c>
      <c r="F29" s="61">
        <f>IF($N29="","",IF($P29&gt;0,IF(1&lt;=SemanaActual,INDEX('Cronograma R. Operacional'!$AH$5:$AH$1000,$N29),""),IF(INDEX('Cronograma R. Operacional'!$I$5:$I$1000,$N29)="","",INDEX('Cronograma R. Operacional'!$I$5:$I$1000,$N29))))</f>
        <v/>
      </c>
      <c r="G29" s="61">
        <f>IF($N29="","",IF($P29&gt;0,IF(2&lt;=SemanaActual,INDEX('Cronograma R. Operacional'!$AI$5:$AI$1000,$N29),""),IF(INDEX('Cronograma R. Operacional'!$J$5:$J$1000,$N29)="","",INDEX('Cronograma R. Operacional'!$J$5:$J$1000,$N29))))</f>
        <v/>
      </c>
      <c r="H29" s="61">
        <f>IF($N29="","",IF($P29&gt;0,IF(3&lt;=SemanaActual,INDEX('Cronograma R. Operacional'!$AJ$5:$AJ$1000,$N29),""),IF(INDEX('Cronograma R. Operacional'!$K$5:$K$1000,$N29)="","",INDEX('Cronograma R. Operacional'!$K$5:$K$1000,$N29))))</f>
        <v/>
      </c>
      <c r="I29" s="61">
        <f>IF($N29="","",IF($P29&gt;0,IF(4&lt;=SemanaActual,INDEX('Cronograma R. Operacional'!$AK$5:$AK$1000,$N29),""),IF(INDEX('Cronograma R. Operacional'!$L$5:$L$1000,$N29)="","",INDEX('Cronograma R. Operacional'!$L$5:$L$1000,$N29))))</f>
        <v/>
      </c>
      <c r="J29" s="61">
        <f>IF($N29="","",INDEX('Cronograma R. Operacional'!$M$5:$M$1000,$N29))</f>
        <v/>
      </c>
      <c r="K29" s="56">
        <f>IF($N29="","",IF(N($J29)&gt;=1,"Completado",IF(AND(ISNUMBER($D29),$D29&lt;FechaRef),"Vencida",IF(N($J29)&gt;0,"En curso","Pendiente"))))</f>
        <v/>
      </c>
      <c r="L29" s="56">
        <f>IF($N29="","",INDEX('Cronograma R. Operacional'!$O$5:$O$1000,$N29)&amp;"")</f>
        <v/>
      </c>
      <c r="M29" s="62">
        <f>IF($N29="","",INDEX('Cronograma R. Operacional'!$Q$5:$Q$1000,$N29)&amp;"")</f>
        <v/>
      </c>
      <c r="N29">
        <f>IFERROR(MATCH(ROW()-4,rOrden_RO,0),"")</f>
        <v/>
      </c>
      <c r="O29">
        <f>IF($N29="","",INDEX('Cronograma R. Operacional'!$V$5:$V$1000,$N29))</f>
        <v/>
      </c>
      <c r="P29">
        <f>IF($N29="","",N(INDEX('Cronograma R. Operacional'!$W$5:$W$1000,$N29)))</f>
        <v/>
      </c>
      <c r="Q29">
        <f>IF(OR(LEFT($L29,7)="Vencida",LEFT($L29,5)="Vence"),SUMPRODUCT(--(LEFT($L$5:$L29,7)="Vencida"))+SUMPRODUCT(--(LEFT($L$5:$L29,5)="Vence")),"")</f>
        <v/>
      </c>
    </row>
    <row r="30">
      <c r="A30" s="56">
        <f>IF($N30="","",INDEX('Cronograma R. Operacional'!$A$5:$A$1000,$N30))</f>
        <v/>
      </c>
      <c r="B30" s="62">
        <f>IF($N30="","",IF($O30="Sub","      ↳  "&amp;INDEX('Cronograma R. Operacional'!$C$5:$C$1000,$N30),INDEX('Cronograma R. Operacional'!$C$5:$C$1000,$N30)&amp;""))</f>
        <v/>
      </c>
      <c r="C30" s="79">
        <f>IF($N30="","",IF(INDEX('Cronograma R. Operacional'!$AR$5:$AR$1000,$N30)="","",INDEX('Cronograma R. Operacional'!$AR$5:$AR$1000,$N30)))</f>
        <v/>
      </c>
      <c r="D30" s="79">
        <f>IF($N30="","",IF(INDEX('Cronograma R. Operacional'!$AS$5:$AS$1000,$N30)="","",INDEX('Cronograma R. Operacional'!$AS$5:$AS$1000,$N30)))</f>
        <v/>
      </c>
      <c r="E30" s="56">
        <f>IF($N30="","",IF(NOT(ISNUMBER($D30)),"",IF($D30&lt;InicioCiclo,"Antes del ciclo",IF($D30&gt;=InicioCiclo+28,"Después del ciclo","Semana "&amp;(INT(($D30-InicioCiclo)/7)+1)))))</f>
        <v/>
      </c>
      <c r="F30" s="61">
        <f>IF($N30="","",IF($P30&gt;0,IF(1&lt;=SemanaActual,INDEX('Cronograma R. Operacional'!$AH$5:$AH$1000,$N30),""),IF(INDEX('Cronograma R. Operacional'!$I$5:$I$1000,$N30)="","",INDEX('Cronograma R. Operacional'!$I$5:$I$1000,$N30))))</f>
        <v/>
      </c>
      <c r="G30" s="61">
        <f>IF($N30="","",IF($P30&gt;0,IF(2&lt;=SemanaActual,INDEX('Cronograma R. Operacional'!$AI$5:$AI$1000,$N30),""),IF(INDEX('Cronograma R. Operacional'!$J$5:$J$1000,$N30)="","",INDEX('Cronograma R. Operacional'!$J$5:$J$1000,$N30))))</f>
        <v/>
      </c>
      <c r="H30" s="61">
        <f>IF($N30="","",IF($P30&gt;0,IF(3&lt;=SemanaActual,INDEX('Cronograma R. Operacional'!$AJ$5:$AJ$1000,$N30),""),IF(INDEX('Cronograma R. Operacional'!$K$5:$K$1000,$N30)="","",INDEX('Cronograma R. Operacional'!$K$5:$K$1000,$N30))))</f>
        <v/>
      </c>
      <c r="I30" s="61">
        <f>IF($N30="","",IF($P30&gt;0,IF(4&lt;=SemanaActual,INDEX('Cronograma R. Operacional'!$AK$5:$AK$1000,$N30),""),IF(INDEX('Cronograma R. Operacional'!$L$5:$L$1000,$N30)="","",INDEX('Cronograma R. Operacional'!$L$5:$L$1000,$N30))))</f>
        <v/>
      </c>
      <c r="J30" s="61">
        <f>IF($N30="","",INDEX('Cronograma R. Operacional'!$M$5:$M$1000,$N30))</f>
        <v/>
      </c>
      <c r="K30" s="56">
        <f>IF($N30="","",IF(N($J30)&gt;=1,"Completado",IF(AND(ISNUMBER($D30),$D30&lt;FechaRef),"Vencida",IF(N($J30)&gt;0,"En curso","Pendiente"))))</f>
        <v/>
      </c>
      <c r="L30" s="56">
        <f>IF($N30="","",INDEX('Cronograma R. Operacional'!$O$5:$O$1000,$N30)&amp;"")</f>
        <v/>
      </c>
      <c r="M30" s="62">
        <f>IF($N30="","",INDEX('Cronograma R. Operacional'!$Q$5:$Q$1000,$N30)&amp;"")</f>
        <v/>
      </c>
      <c r="N30">
        <f>IFERROR(MATCH(ROW()-4,rOrden_RO,0),"")</f>
        <v/>
      </c>
      <c r="O30">
        <f>IF($N30="","",INDEX('Cronograma R. Operacional'!$V$5:$V$1000,$N30))</f>
        <v/>
      </c>
      <c r="P30">
        <f>IF($N30="","",N(INDEX('Cronograma R. Operacional'!$W$5:$W$1000,$N30)))</f>
        <v/>
      </c>
      <c r="Q30">
        <f>IF(OR(LEFT($L30,7)="Vencida",LEFT($L30,5)="Vence"),SUMPRODUCT(--(LEFT($L$5:$L30,7)="Vencida"))+SUMPRODUCT(--(LEFT($L$5:$L30,5)="Vence")),"")</f>
        <v/>
      </c>
    </row>
    <row r="31">
      <c r="A31" s="56">
        <f>IF($N31="","",INDEX('Cronograma R. Operacional'!$A$5:$A$1000,$N31))</f>
        <v/>
      </c>
      <c r="B31" s="62">
        <f>IF($N31="","",IF($O31="Sub","      ↳  "&amp;INDEX('Cronograma R. Operacional'!$C$5:$C$1000,$N31),INDEX('Cronograma R. Operacional'!$C$5:$C$1000,$N31)&amp;""))</f>
        <v/>
      </c>
      <c r="C31" s="79">
        <f>IF($N31="","",IF(INDEX('Cronograma R. Operacional'!$AR$5:$AR$1000,$N31)="","",INDEX('Cronograma R. Operacional'!$AR$5:$AR$1000,$N31)))</f>
        <v/>
      </c>
      <c r="D31" s="79">
        <f>IF($N31="","",IF(INDEX('Cronograma R. Operacional'!$AS$5:$AS$1000,$N31)="","",INDEX('Cronograma R. Operacional'!$AS$5:$AS$1000,$N31)))</f>
        <v/>
      </c>
      <c r="E31" s="56">
        <f>IF($N31="","",IF(NOT(ISNUMBER($D31)),"",IF($D31&lt;InicioCiclo,"Antes del ciclo",IF($D31&gt;=InicioCiclo+28,"Después del ciclo","Semana "&amp;(INT(($D31-InicioCiclo)/7)+1)))))</f>
        <v/>
      </c>
      <c r="F31" s="61">
        <f>IF($N31="","",IF($P31&gt;0,IF(1&lt;=SemanaActual,INDEX('Cronograma R. Operacional'!$AH$5:$AH$1000,$N31),""),IF(INDEX('Cronograma R. Operacional'!$I$5:$I$1000,$N31)="","",INDEX('Cronograma R. Operacional'!$I$5:$I$1000,$N31))))</f>
        <v/>
      </c>
      <c r="G31" s="61">
        <f>IF($N31="","",IF($P31&gt;0,IF(2&lt;=SemanaActual,INDEX('Cronograma R. Operacional'!$AI$5:$AI$1000,$N31),""),IF(INDEX('Cronograma R. Operacional'!$J$5:$J$1000,$N31)="","",INDEX('Cronograma R. Operacional'!$J$5:$J$1000,$N31))))</f>
        <v/>
      </c>
      <c r="H31" s="61">
        <f>IF($N31="","",IF($P31&gt;0,IF(3&lt;=SemanaActual,INDEX('Cronograma R. Operacional'!$AJ$5:$AJ$1000,$N31),""),IF(INDEX('Cronograma R. Operacional'!$K$5:$K$1000,$N31)="","",INDEX('Cronograma R. Operacional'!$K$5:$K$1000,$N31))))</f>
        <v/>
      </c>
      <c r="I31" s="61">
        <f>IF($N31="","",IF($P31&gt;0,IF(4&lt;=SemanaActual,INDEX('Cronograma R. Operacional'!$AK$5:$AK$1000,$N31),""),IF(INDEX('Cronograma R. Operacional'!$L$5:$L$1000,$N31)="","",INDEX('Cronograma R. Operacional'!$L$5:$L$1000,$N31))))</f>
        <v/>
      </c>
      <c r="J31" s="61">
        <f>IF($N31="","",INDEX('Cronograma R. Operacional'!$M$5:$M$1000,$N31))</f>
        <v/>
      </c>
      <c r="K31" s="56">
        <f>IF($N31="","",IF(N($J31)&gt;=1,"Completado",IF(AND(ISNUMBER($D31),$D31&lt;FechaRef),"Vencida",IF(N($J31)&gt;0,"En curso","Pendiente"))))</f>
        <v/>
      </c>
      <c r="L31" s="56">
        <f>IF($N31="","",INDEX('Cronograma R. Operacional'!$O$5:$O$1000,$N31)&amp;"")</f>
        <v/>
      </c>
      <c r="M31" s="62">
        <f>IF($N31="","",INDEX('Cronograma R. Operacional'!$Q$5:$Q$1000,$N31)&amp;"")</f>
        <v/>
      </c>
      <c r="N31">
        <f>IFERROR(MATCH(ROW()-4,rOrden_RO,0),"")</f>
        <v/>
      </c>
      <c r="O31">
        <f>IF($N31="","",INDEX('Cronograma R. Operacional'!$V$5:$V$1000,$N31))</f>
        <v/>
      </c>
      <c r="P31">
        <f>IF($N31="","",N(INDEX('Cronograma R. Operacional'!$W$5:$W$1000,$N31)))</f>
        <v/>
      </c>
      <c r="Q31">
        <f>IF(OR(LEFT($L31,7)="Vencida",LEFT($L31,5)="Vence"),SUMPRODUCT(--(LEFT($L$5:$L31,7)="Vencida"))+SUMPRODUCT(--(LEFT($L$5:$L31,5)="Vence")),"")</f>
        <v/>
      </c>
    </row>
    <row r="32">
      <c r="A32" s="56">
        <f>IF($N32="","",INDEX('Cronograma R. Operacional'!$A$5:$A$1000,$N32))</f>
        <v/>
      </c>
      <c r="B32" s="62">
        <f>IF($N32="","",IF($O32="Sub","      ↳  "&amp;INDEX('Cronograma R. Operacional'!$C$5:$C$1000,$N32),INDEX('Cronograma R. Operacional'!$C$5:$C$1000,$N32)&amp;""))</f>
        <v/>
      </c>
      <c r="C32" s="79">
        <f>IF($N32="","",IF(INDEX('Cronograma R. Operacional'!$AR$5:$AR$1000,$N32)="","",INDEX('Cronograma R. Operacional'!$AR$5:$AR$1000,$N32)))</f>
        <v/>
      </c>
      <c r="D32" s="79">
        <f>IF($N32="","",IF(INDEX('Cronograma R. Operacional'!$AS$5:$AS$1000,$N32)="","",INDEX('Cronograma R. Operacional'!$AS$5:$AS$1000,$N32)))</f>
        <v/>
      </c>
      <c r="E32" s="56">
        <f>IF($N32="","",IF(NOT(ISNUMBER($D32)),"",IF($D32&lt;InicioCiclo,"Antes del ciclo",IF($D32&gt;=InicioCiclo+28,"Después del ciclo","Semana "&amp;(INT(($D32-InicioCiclo)/7)+1)))))</f>
        <v/>
      </c>
      <c r="F32" s="61">
        <f>IF($N32="","",IF($P32&gt;0,IF(1&lt;=SemanaActual,INDEX('Cronograma R. Operacional'!$AH$5:$AH$1000,$N32),""),IF(INDEX('Cronograma R. Operacional'!$I$5:$I$1000,$N32)="","",INDEX('Cronograma R. Operacional'!$I$5:$I$1000,$N32))))</f>
        <v/>
      </c>
      <c r="G32" s="61">
        <f>IF($N32="","",IF($P32&gt;0,IF(2&lt;=SemanaActual,INDEX('Cronograma R. Operacional'!$AI$5:$AI$1000,$N32),""),IF(INDEX('Cronograma R. Operacional'!$J$5:$J$1000,$N32)="","",INDEX('Cronograma R. Operacional'!$J$5:$J$1000,$N32))))</f>
        <v/>
      </c>
      <c r="H32" s="61">
        <f>IF($N32="","",IF($P32&gt;0,IF(3&lt;=SemanaActual,INDEX('Cronograma R. Operacional'!$AJ$5:$AJ$1000,$N32),""),IF(INDEX('Cronograma R. Operacional'!$K$5:$K$1000,$N32)="","",INDEX('Cronograma R. Operacional'!$K$5:$K$1000,$N32))))</f>
        <v/>
      </c>
      <c r="I32" s="61">
        <f>IF($N32="","",IF($P32&gt;0,IF(4&lt;=SemanaActual,INDEX('Cronograma R. Operacional'!$AK$5:$AK$1000,$N32),""),IF(INDEX('Cronograma R. Operacional'!$L$5:$L$1000,$N32)="","",INDEX('Cronograma R. Operacional'!$L$5:$L$1000,$N32))))</f>
        <v/>
      </c>
      <c r="J32" s="61">
        <f>IF($N32="","",INDEX('Cronograma R. Operacional'!$M$5:$M$1000,$N32))</f>
        <v/>
      </c>
      <c r="K32" s="56">
        <f>IF($N32="","",IF(N($J32)&gt;=1,"Completado",IF(AND(ISNUMBER($D32),$D32&lt;FechaRef),"Vencida",IF(N($J32)&gt;0,"En curso","Pendiente"))))</f>
        <v/>
      </c>
      <c r="L32" s="56">
        <f>IF($N32="","",INDEX('Cronograma R. Operacional'!$O$5:$O$1000,$N32)&amp;"")</f>
        <v/>
      </c>
      <c r="M32" s="62">
        <f>IF($N32="","",INDEX('Cronograma R. Operacional'!$Q$5:$Q$1000,$N32)&amp;"")</f>
        <v/>
      </c>
      <c r="N32">
        <f>IFERROR(MATCH(ROW()-4,rOrden_RO,0),"")</f>
        <v/>
      </c>
      <c r="O32">
        <f>IF($N32="","",INDEX('Cronograma R. Operacional'!$V$5:$V$1000,$N32))</f>
        <v/>
      </c>
      <c r="P32">
        <f>IF($N32="","",N(INDEX('Cronograma R. Operacional'!$W$5:$W$1000,$N32)))</f>
        <v/>
      </c>
      <c r="Q32">
        <f>IF(OR(LEFT($L32,7)="Vencida",LEFT($L32,5)="Vence"),SUMPRODUCT(--(LEFT($L$5:$L32,7)="Vencida"))+SUMPRODUCT(--(LEFT($L$5:$L32,5)="Vence")),"")</f>
        <v/>
      </c>
    </row>
    <row r="33">
      <c r="A33" s="56">
        <f>IF($N33="","",INDEX('Cronograma R. Operacional'!$A$5:$A$1000,$N33))</f>
        <v/>
      </c>
      <c r="B33" s="62">
        <f>IF($N33="","",IF($O33="Sub","      ↳  "&amp;INDEX('Cronograma R. Operacional'!$C$5:$C$1000,$N33),INDEX('Cronograma R. Operacional'!$C$5:$C$1000,$N33)&amp;""))</f>
        <v/>
      </c>
      <c r="C33" s="79">
        <f>IF($N33="","",IF(INDEX('Cronograma R. Operacional'!$AR$5:$AR$1000,$N33)="","",INDEX('Cronograma R. Operacional'!$AR$5:$AR$1000,$N33)))</f>
        <v/>
      </c>
      <c r="D33" s="79">
        <f>IF($N33="","",IF(INDEX('Cronograma R. Operacional'!$AS$5:$AS$1000,$N33)="","",INDEX('Cronograma R. Operacional'!$AS$5:$AS$1000,$N33)))</f>
        <v/>
      </c>
      <c r="E33" s="56">
        <f>IF($N33="","",IF(NOT(ISNUMBER($D33)),"",IF($D33&lt;InicioCiclo,"Antes del ciclo",IF($D33&gt;=InicioCiclo+28,"Después del ciclo","Semana "&amp;(INT(($D33-InicioCiclo)/7)+1)))))</f>
        <v/>
      </c>
      <c r="F33" s="61">
        <f>IF($N33="","",IF($P33&gt;0,IF(1&lt;=SemanaActual,INDEX('Cronograma R. Operacional'!$AH$5:$AH$1000,$N33),""),IF(INDEX('Cronograma R. Operacional'!$I$5:$I$1000,$N33)="","",INDEX('Cronograma R. Operacional'!$I$5:$I$1000,$N33))))</f>
        <v/>
      </c>
      <c r="G33" s="61">
        <f>IF($N33="","",IF($P33&gt;0,IF(2&lt;=SemanaActual,INDEX('Cronograma R. Operacional'!$AI$5:$AI$1000,$N33),""),IF(INDEX('Cronograma R. Operacional'!$J$5:$J$1000,$N33)="","",INDEX('Cronograma R. Operacional'!$J$5:$J$1000,$N33))))</f>
        <v/>
      </c>
      <c r="H33" s="61">
        <f>IF($N33="","",IF($P33&gt;0,IF(3&lt;=SemanaActual,INDEX('Cronograma R. Operacional'!$AJ$5:$AJ$1000,$N33),""),IF(INDEX('Cronograma R. Operacional'!$K$5:$K$1000,$N33)="","",INDEX('Cronograma R. Operacional'!$K$5:$K$1000,$N33))))</f>
        <v/>
      </c>
      <c r="I33" s="61">
        <f>IF($N33="","",IF($P33&gt;0,IF(4&lt;=SemanaActual,INDEX('Cronograma R. Operacional'!$AK$5:$AK$1000,$N33),""),IF(INDEX('Cronograma R. Operacional'!$L$5:$L$1000,$N33)="","",INDEX('Cronograma R. Operacional'!$L$5:$L$1000,$N33))))</f>
        <v/>
      </c>
      <c r="J33" s="61">
        <f>IF($N33="","",INDEX('Cronograma R. Operacional'!$M$5:$M$1000,$N33))</f>
        <v/>
      </c>
      <c r="K33" s="56">
        <f>IF($N33="","",IF(N($J33)&gt;=1,"Completado",IF(AND(ISNUMBER($D33),$D33&lt;FechaRef),"Vencida",IF(N($J33)&gt;0,"En curso","Pendiente"))))</f>
        <v/>
      </c>
      <c r="L33" s="56">
        <f>IF($N33="","",INDEX('Cronograma R. Operacional'!$O$5:$O$1000,$N33)&amp;"")</f>
        <v/>
      </c>
      <c r="M33" s="62">
        <f>IF($N33="","",INDEX('Cronograma R. Operacional'!$Q$5:$Q$1000,$N33)&amp;"")</f>
        <v/>
      </c>
      <c r="N33">
        <f>IFERROR(MATCH(ROW()-4,rOrden_RO,0),"")</f>
        <v/>
      </c>
      <c r="O33">
        <f>IF($N33="","",INDEX('Cronograma R. Operacional'!$V$5:$V$1000,$N33))</f>
        <v/>
      </c>
      <c r="P33">
        <f>IF($N33="","",N(INDEX('Cronograma R. Operacional'!$W$5:$W$1000,$N33)))</f>
        <v/>
      </c>
      <c r="Q33">
        <f>IF(OR(LEFT($L33,7)="Vencida",LEFT($L33,5)="Vence"),SUMPRODUCT(--(LEFT($L$5:$L33,7)="Vencida"))+SUMPRODUCT(--(LEFT($L$5:$L33,5)="Vence")),"")</f>
        <v/>
      </c>
    </row>
    <row r="34">
      <c r="A34" s="56">
        <f>IF($N34="","",INDEX('Cronograma R. Operacional'!$A$5:$A$1000,$N34))</f>
        <v/>
      </c>
      <c r="B34" s="62">
        <f>IF($N34="","",IF($O34="Sub","      ↳  "&amp;INDEX('Cronograma R. Operacional'!$C$5:$C$1000,$N34),INDEX('Cronograma R. Operacional'!$C$5:$C$1000,$N34)&amp;""))</f>
        <v/>
      </c>
      <c r="C34" s="79">
        <f>IF($N34="","",IF(INDEX('Cronograma R. Operacional'!$AR$5:$AR$1000,$N34)="","",INDEX('Cronograma R. Operacional'!$AR$5:$AR$1000,$N34)))</f>
        <v/>
      </c>
      <c r="D34" s="79">
        <f>IF($N34="","",IF(INDEX('Cronograma R. Operacional'!$AS$5:$AS$1000,$N34)="","",INDEX('Cronograma R. Operacional'!$AS$5:$AS$1000,$N34)))</f>
        <v/>
      </c>
      <c r="E34" s="56">
        <f>IF($N34="","",IF(NOT(ISNUMBER($D34)),"",IF($D34&lt;InicioCiclo,"Antes del ciclo",IF($D34&gt;=InicioCiclo+28,"Después del ciclo","Semana "&amp;(INT(($D34-InicioCiclo)/7)+1)))))</f>
        <v/>
      </c>
      <c r="F34" s="61">
        <f>IF($N34="","",IF($P34&gt;0,IF(1&lt;=SemanaActual,INDEX('Cronograma R. Operacional'!$AH$5:$AH$1000,$N34),""),IF(INDEX('Cronograma R. Operacional'!$I$5:$I$1000,$N34)="","",INDEX('Cronograma R. Operacional'!$I$5:$I$1000,$N34))))</f>
        <v/>
      </c>
      <c r="G34" s="61">
        <f>IF($N34="","",IF($P34&gt;0,IF(2&lt;=SemanaActual,INDEX('Cronograma R. Operacional'!$AI$5:$AI$1000,$N34),""),IF(INDEX('Cronograma R. Operacional'!$J$5:$J$1000,$N34)="","",INDEX('Cronograma R. Operacional'!$J$5:$J$1000,$N34))))</f>
        <v/>
      </c>
      <c r="H34" s="61">
        <f>IF($N34="","",IF($P34&gt;0,IF(3&lt;=SemanaActual,INDEX('Cronograma R. Operacional'!$AJ$5:$AJ$1000,$N34),""),IF(INDEX('Cronograma R. Operacional'!$K$5:$K$1000,$N34)="","",INDEX('Cronograma R. Operacional'!$K$5:$K$1000,$N34))))</f>
        <v/>
      </c>
      <c r="I34" s="61">
        <f>IF($N34="","",IF($P34&gt;0,IF(4&lt;=SemanaActual,INDEX('Cronograma R. Operacional'!$AK$5:$AK$1000,$N34),""),IF(INDEX('Cronograma R. Operacional'!$L$5:$L$1000,$N34)="","",INDEX('Cronograma R. Operacional'!$L$5:$L$1000,$N34))))</f>
        <v/>
      </c>
      <c r="J34" s="61">
        <f>IF($N34="","",INDEX('Cronograma R. Operacional'!$M$5:$M$1000,$N34))</f>
        <v/>
      </c>
      <c r="K34" s="56">
        <f>IF($N34="","",IF(N($J34)&gt;=1,"Completado",IF(AND(ISNUMBER($D34),$D34&lt;FechaRef),"Vencida",IF(N($J34)&gt;0,"En curso","Pendiente"))))</f>
        <v/>
      </c>
      <c r="L34" s="56">
        <f>IF($N34="","",INDEX('Cronograma R. Operacional'!$O$5:$O$1000,$N34)&amp;"")</f>
        <v/>
      </c>
      <c r="M34" s="62">
        <f>IF($N34="","",INDEX('Cronograma R. Operacional'!$Q$5:$Q$1000,$N34)&amp;"")</f>
        <v/>
      </c>
      <c r="N34">
        <f>IFERROR(MATCH(ROW()-4,rOrden_RO,0),"")</f>
        <v/>
      </c>
      <c r="O34">
        <f>IF($N34="","",INDEX('Cronograma R. Operacional'!$V$5:$V$1000,$N34))</f>
        <v/>
      </c>
      <c r="P34">
        <f>IF($N34="","",N(INDEX('Cronograma R. Operacional'!$W$5:$W$1000,$N34)))</f>
        <v/>
      </c>
      <c r="Q34">
        <f>IF(OR(LEFT($L34,7)="Vencida",LEFT($L34,5)="Vence"),SUMPRODUCT(--(LEFT($L$5:$L34,7)="Vencida"))+SUMPRODUCT(--(LEFT($L$5:$L34,5)="Vence")),"")</f>
        <v/>
      </c>
    </row>
    <row r="35">
      <c r="A35" s="56">
        <f>IF($N35="","",INDEX('Cronograma R. Operacional'!$A$5:$A$1000,$N35))</f>
        <v/>
      </c>
      <c r="B35" s="62">
        <f>IF($N35="","",IF($O35="Sub","      ↳  "&amp;INDEX('Cronograma R. Operacional'!$C$5:$C$1000,$N35),INDEX('Cronograma R. Operacional'!$C$5:$C$1000,$N35)&amp;""))</f>
        <v/>
      </c>
      <c r="C35" s="79">
        <f>IF($N35="","",IF(INDEX('Cronograma R. Operacional'!$AR$5:$AR$1000,$N35)="","",INDEX('Cronograma R. Operacional'!$AR$5:$AR$1000,$N35)))</f>
        <v/>
      </c>
      <c r="D35" s="79">
        <f>IF($N35="","",IF(INDEX('Cronograma R. Operacional'!$AS$5:$AS$1000,$N35)="","",INDEX('Cronograma R. Operacional'!$AS$5:$AS$1000,$N35)))</f>
        <v/>
      </c>
      <c r="E35" s="56">
        <f>IF($N35="","",IF(NOT(ISNUMBER($D35)),"",IF($D35&lt;InicioCiclo,"Antes del ciclo",IF($D35&gt;=InicioCiclo+28,"Después del ciclo","Semana "&amp;(INT(($D35-InicioCiclo)/7)+1)))))</f>
        <v/>
      </c>
      <c r="F35" s="61">
        <f>IF($N35="","",IF($P35&gt;0,IF(1&lt;=SemanaActual,INDEX('Cronograma R. Operacional'!$AH$5:$AH$1000,$N35),""),IF(INDEX('Cronograma R. Operacional'!$I$5:$I$1000,$N35)="","",INDEX('Cronograma R. Operacional'!$I$5:$I$1000,$N35))))</f>
        <v/>
      </c>
      <c r="G35" s="61">
        <f>IF($N35="","",IF($P35&gt;0,IF(2&lt;=SemanaActual,INDEX('Cronograma R. Operacional'!$AI$5:$AI$1000,$N35),""),IF(INDEX('Cronograma R. Operacional'!$J$5:$J$1000,$N35)="","",INDEX('Cronograma R. Operacional'!$J$5:$J$1000,$N35))))</f>
        <v/>
      </c>
      <c r="H35" s="61">
        <f>IF($N35="","",IF($P35&gt;0,IF(3&lt;=SemanaActual,INDEX('Cronograma R. Operacional'!$AJ$5:$AJ$1000,$N35),""),IF(INDEX('Cronograma R. Operacional'!$K$5:$K$1000,$N35)="","",INDEX('Cronograma R. Operacional'!$K$5:$K$1000,$N35))))</f>
        <v/>
      </c>
      <c r="I35" s="61">
        <f>IF($N35="","",IF($P35&gt;0,IF(4&lt;=SemanaActual,INDEX('Cronograma R. Operacional'!$AK$5:$AK$1000,$N35),""),IF(INDEX('Cronograma R. Operacional'!$L$5:$L$1000,$N35)="","",INDEX('Cronograma R. Operacional'!$L$5:$L$1000,$N35))))</f>
        <v/>
      </c>
      <c r="J35" s="61">
        <f>IF($N35="","",INDEX('Cronograma R. Operacional'!$M$5:$M$1000,$N35))</f>
        <v/>
      </c>
      <c r="K35" s="56">
        <f>IF($N35="","",IF(N($J35)&gt;=1,"Completado",IF(AND(ISNUMBER($D35),$D35&lt;FechaRef),"Vencida",IF(N($J35)&gt;0,"En curso","Pendiente"))))</f>
        <v/>
      </c>
      <c r="L35" s="56">
        <f>IF($N35="","",INDEX('Cronograma R. Operacional'!$O$5:$O$1000,$N35)&amp;"")</f>
        <v/>
      </c>
      <c r="M35" s="62">
        <f>IF($N35="","",INDEX('Cronograma R. Operacional'!$Q$5:$Q$1000,$N35)&amp;"")</f>
        <v/>
      </c>
      <c r="N35">
        <f>IFERROR(MATCH(ROW()-4,rOrden_RO,0),"")</f>
        <v/>
      </c>
      <c r="O35">
        <f>IF($N35="","",INDEX('Cronograma R. Operacional'!$V$5:$V$1000,$N35))</f>
        <v/>
      </c>
      <c r="P35">
        <f>IF($N35="","",N(INDEX('Cronograma R. Operacional'!$W$5:$W$1000,$N35)))</f>
        <v/>
      </c>
      <c r="Q35">
        <f>IF(OR(LEFT($L35,7)="Vencida",LEFT($L35,5)="Vence"),SUMPRODUCT(--(LEFT($L$5:$L35,7)="Vencida"))+SUMPRODUCT(--(LEFT($L$5:$L35,5)="Vence")),"")</f>
        <v/>
      </c>
    </row>
    <row r="36">
      <c r="A36" s="56">
        <f>IF($N36="","",INDEX('Cronograma R. Operacional'!$A$5:$A$1000,$N36))</f>
        <v/>
      </c>
      <c r="B36" s="62">
        <f>IF($N36="","",IF($O36="Sub","      ↳  "&amp;INDEX('Cronograma R. Operacional'!$C$5:$C$1000,$N36),INDEX('Cronograma R. Operacional'!$C$5:$C$1000,$N36)&amp;""))</f>
        <v/>
      </c>
      <c r="C36" s="79">
        <f>IF($N36="","",IF(INDEX('Cronograma R. Operacional'!$AR$5:$AR$1000,$N36)="","",INDEX('Cronograma R. Operacional'!$AR$5:$AR$1000,$N36)))</f>
        <v/>
      </c>
      <c r="D36" s="79">
        <f>IF($N36="","",IF(INDEX('Cronograma R. Operacional'!$AS$5:$AS$1000,$N36)="","",INDEX('Cronograma R. Operacional'!$AS$5:$AS$1000,$N36)))</f>
        <v/>
      </c>
      <c r="E36" s="56">
        <f>IF($N36="","",IF(NOT(ISNUMBER($D36)),"",IF($D36&lt;InicioCiclo,"Antes del ciclo",IF($D36&gt;=InicioCiclo+28,"Después del ciclo","Semana "&amp;(INT(($D36-InicioCiclo)/7)+1)))))</f>
        <v/>
      </c>
      <c r="F36" s="61">
        <f>IF($N36="","",IF($P36&gt;0,IF(1&lt;=SemanaActual,INDEX('Cronograma R. Operacional'!$AH$5:$AH$1000,$N36),""),IF(INDEX('Cronograma R. Operacional'!$I$5:$I$1000,$N36)="","",INDEX('Cronograma R. Operacional'!$I$5:$I$1000,$N36))))</f>
        <v/>
      </c>
      <c r="G36" s="61">
        <f>IF($N36="","",IF($P36&gt;0,IF(2&lt;=SemanaActual,INDEX('Cronograma R. Operacional'!$AI$5:$AI$1000,$N36),""),IF(INDEX('Cronograma R. Operacional'!$J$5:$J$1000,$N36)="","",INDEX('Cronograma R. Operacional'!$J$5:$J$1000,$N36))))</f>
        <v/>
      </c>
      <c r="H36" s="61">
        <f>IF($N36="","",IF($P36&gt;0,IF(3&lt;=SemanaActual,INDEX('Cronograma R. Operacional'!$AJ$5:$AJ$1000,$N36),""),IF(INDEX('Cronograma R. Operacional'!$K$5:$K$1000,$N36)="","",INDEX('Cronograma R. Operacional'!$K$5:$K$1000,$N36))))</f>
        <v/>
      </c>
      <c r="I36" s="61">
        <f>IF($N36="","",IF($P36&gt;0,IF(4&lt;=SemanaActual,INDEX('Cronograma R. Operacional'!$AK$5:$AK$1000,$N36),""),IF(INDEX('Cronograma R. Operacional'!$L$5:$L$1000,$N36)="","",INDEX('Cronograma R. Operacional'!$L$5:$L$1000,$N36))))</f>
        <v/>
      </c>
      <c r="J36" s="61">
        <f>IF($N36="","",INDEX('Cronograma R. Operacional'!$M$5:$M$1000,$N36))</f>
        <v/>
      </c>
      <c r="K36" s="56">
        <f>IF($N36="","",IF(N($J36)&gt;=1,"Completado",IF(AND(ISNUMBER($D36),$D36&lt;FechaRef),"Vencida",IF(N($J36)&gt;0,"En curso","Pendiente"))))</f>
        <v/>
      </c>
      <c r="L36" s="56">
        <f>IF($N36="","",INDEX('Cronograma R. Operacional'!$O$5:$O$1000,$N36)&amp;"")</f>
        <v/>
      </c>
      <c r="M36" s="62">
        <f>IF($N36="","",INDEX('Cronograma R. Operacional'!$Q$5:$Q$1000,$N36)&amp;"")</f>
        <v/>
      </c>
      <c r="N36">
        <f>IFERROR(MATCH(ROW()-4,rOrden_RO,0),"")</f>
        <v/>
      </c>
      <c r="O36">
        <f>IF($N36="","",INDEX('Cronograma R. Operacional'!$V$5:$V$1000,$N36))</f>
        <v/>
      </c>
      <c r="P36">
        <f>IF($N36="","",N(INDEX('Cronograma R. Operacional'!$W$5:$W$1000,$N36)))</f>
        <v/>
      </c>
      <c r="Q36">
        <f>IF(OR(LEFT($L36,7)="Vencida",LEFT($L36,5)="Vence"),SUMPRODUCT(--(LEFT($L$5:$L36,7)="Vencida"))+SUMPRODUCT(--(LEFT($L$5:$L36,5)="Vence")),"")</f>
        <v/>
      </c>
    </row>
    <row r="37">
      <c r="A37" s="56">
        <f>IF($N37="","",INDEX('Cronograma R. Operacional'!$A$5:$A$1000,$N37))</f>
        <v/>
      </c>
      <c r="B37" s="62">
        <f>IF($N37="","",IF($O37="Sub","      ↳  "&amp;INDEX('Cronograma R. Operacional'!$C$5:$C$1000,$N37),INDEX('Cronograma R. Operacional'!$C$5:$C$1000,$N37)&amp;""))</f>
        <v/>
      </c>
      <c r="C37" s="79">
        <f>IF($N37="","",IF(INDEX('Cronograma R. Operacional'!$AR$5:$AR$1000,$N37)="","",INDEX('Cronograma R. Operacional'!$AR$5:$AR$1000,$N37)))</f>
        <v/>
      </c>
      <c r="D37" s="79">
        <f>IF($N37="","",IF(INDEX('Cronograma R. Operacional'!$AS$5:$AS$1000,$N37)="","",INDEX('Cronograma R. Operacional'!$AS$5:$AS$1000,$N37)))</f>
        <v/>
      </c>
      <c r="E37" s="56">
        <f>IF($N37="","",IF(NOT(ISNUMBER($D37)),"",IF($D37&lt;InicioCiclo,"Antes del ciclo",IF($D37&gt;=InicioCiclo+28,"Después del ciclo","Semana "&amp;(INT(($D37-InicioCiclo)/7)+1)))))</f>
        <v/>
      </c>
      <c r="F37" s="61">
        <f>IF($N37="","",IF($P37&gt;0,IF(1&lt;=SemanaActual,INDEX('Cronograma R. Operacional'!$AH$5:$AH$1000,$N37),""),IF(INDEX('Cronograma R. Operacional'!$I$5:$I$1000,$N37)="","",INDEX('Cronograma R. Operacional'!$I$5:$I$1000,$N37))))</f>
        <v/>
      </c>
      <c r="G37" s="61">
        <f>IF($N37="","",IF($P37&gt;0,IF(2&lt;=SemanaActual,INDEX('Cronograma R. Operacional'!$AI$5:$AI$1000,$N37),""),IF(INDEX('Cronograma R. Operacional'!$J$5:$J$1000,$N37)="","",INDEX('Cronograma R. Operacional'!$J$5:$J$1000,$N37))))</f>
        <v/>
      </c>
      <c r="H37" s="61">
        <f>IF($N37="","",IF($P37&gt;0,IF(3&lt;=SemanaActual,INDEX('Cronograma R. Operacional'!$AJ$5:$AJ$1000,$N37),""),IF(INDEX('Cronograma R. Operacional'!$K$5:$K$1000,$N37)="","",INDEX('Cronograma R. Operacional'!$K$5:$K$1000,$N37))))</f>
        <v/>
      </c>
      <c r="I37" s="61">
        <f>IF($N37="","",IF($P37&gt;0,IF(4&lt;=SemanaActual,INDEX('Cronograma R. Operacional'!$AK$5:$AK$1000,$N37),""),IF(INDEX('Cronograma R. Operacional'!$L$5:$L$1000,$N37)="","",INDEX('Cronograma R. Operacional'!$L$5:$L$1000,$N37))))</f>
        <v/>
      </c>
      <c r="J37" s="61">
        <f>IF($N37="","",INDEX('Cronograma R. Operacional'!$M$5:$M$1000,$N37))</f>
        <v/>
      </c>
      <c r="K37" s="56">
        <f>IF($N37="","",IF(N($J37)&gt;=1,"Completado",IF(AND(ISNUMBER($D37),$D37&lt;FechaRef),"Vencida",IF(N($J37)&gt;0,"En curso","Pendiente"))))</f>
        <v/>
      </c>
      <c r="L37" s="56">
        <f>IF($N37="","",INDEX('Cronograma R. Operacional'!$O$5:$O$1000,$N37)&amp;"")</f>
        <v/>
      </c>
      <c r="M37" s="62">
        <f>IF($N37="","",INDEX('Cronograma R. Operacional'!$Q$5:$Q$1000,$N37)&amp;"")</f>
        <v/>
      </c>
      <c r="N37">
        <f>IFERROR(MATCH(ROW()-4,rOrden_RO,0),"")</f>
        <v/>
      </c>
      <c r="O37">
        <f>IF($N37="","",INDEX('Cronograma R. Operacional'!$V$5:$V$1000,$N37))</f>
        <v/>
      </c>
      <c r="P37">
        <f>IF($N37="","",N(INDEX('Cronograma R. Operacional'!$W$5:$W$1000,$N37)))</f>
        <v/>
      </c>
      <c r="Q37">
        <f>IF(OR(LEFT($L37,7)="Vencida",LEFT($L37,5)="Vence"),SUMPRODUCT(--(LEFT($L$5:$L37,7)="Vencida"))+SUMPRODUCT(--(LEFT($L$5:$L37,5)="Vence")),"")</f>
        <v/>
      </c>
    </row>
    <row r="38">
      <c r="A38" s="56">
        <f>IF($N38="","",INDEX('Cronograma R. Operacional'!$A$5:$A$1000,$N38))</f>
        <v/>
      </c>
      <c r="B38" s="62">
        <f>IF($N38="","",IF($O38="Sub","      ↳  "&amp;INDEX('Cronograma R. Operacional'!$C$5:$C$1000,$N38),INDEX('Cronograma R. Operacional'!$C$5:$C$1000,$N38)&amp;""))</f>
        <v/>
      </c>
      <c r="C38" s="79">
        <f>IF($N38="","",IF(INDEX('Cronograma R. Operacional'!$AR$5:$AR$1000,$N38)="","",INDEX('Cronograma R. Operacional'!$AR$5:$AR$1000,$N38)))</f>
        <v/>
      </c>
      <c r="D38" s="79">
        <f>IF($N38="","",IF(INDEX('Cronograma R. Operacional'!$AS$5:$AS$1000,$N38)="","",INDEX('Cronograma R. Operacional'!$AS$5:$AS$1000,$N38)))</f>
        <v/>
      </c>
      <c r="E38" s="56">
        <f>IF($N38="","",IF(NOT(ISNUMBER($D38)),"",IF($D38&lt;InicioCiclo,"Antes del ciclo",IF($D38&gt;=InicioCiclo+28,"Después del ciclo","Semana "&amp;(INT(($D38-InicioCiclo)/7)+1)))))</f>
        <v/>
      </c>
      <c r="F38" s="61">
        <f>IF($N38="","",IF($P38&gt;0,IF(1&lt;=SemanaActual,INDEX('Cronograma R. Operacional'!$AH$5:$AH$1000,$N38),""),IF(INDEX('Cronograma R. Operacional'!$I$5:$I$1000,$N38)="","",INDEX('Cronograma R. Operacional'!$I$5:$I$1000,$N38))))</f>
        <v/>
      </c>
      <c r="G38" s="61">
        <f>IF($N38="","",IF($P38&gt;0,IF(2&lt;=SemanaActual,INDEX('Cronograma R. Operacional'!$AI$5:$AI$1000,$N38),""),IF(INDEX('Cronograma R. Operacional'!$J$5:$J$1000,$N38)="","",INDEX('Cronograma R. Operacional'!$J$5:$J$1000,$N38))))</f>
        <v/>
      </c>
      <c r="H38" s="61">
        <f>IF($N38="","",IF($P38&gt;0,IF(3&lt;=SemanaActual,INDEX('Cronograma R. Operacional'!$AJ$5:$AJ$1000,$N38),""),IF(INDEX('Cronograma R. Operacional'!$K$5:$K$1000,$N38)="","",INDEX('Cronograma R. Operacional'!$K$5:$K$1000,$N38))))</f>
        <v/>
      </c>
      <c r="I38" s="61">
        <f>IF($N38="","",IF($P38&gt;0,IF(4&lt;=SemanaActual,INDEX('Cronograma R. Operacional'!$AK$5:$AK$1000,$N38),""),IF(INDEX('Cronograma R. Operacional'!$L$5:$L$1000,$N38)="","",INDEX('Cronograma R. Operacional'!$L$5:$L$1000,$N38))))</f>
        <v/>
      </c>
      <c r="J38" s="61">
        <f>IF($N38="","",INDEX('Cronograma R. Operacional'!$M$5:$M$1000,$N38))</f>
        <v/>
      </c>
      <c r="K38" s="56">
        <f>IF($N38="","",IF(N($J38)&gt;=1,"Completado",IF(AND(ISNUMBER($D38),$D38&lt;FechaRef),"Vencida",IF(N($J38)&gt;0,"En curso","Pendiente"))))</f>
        <v/>
      </c>
      <c r="L38" s="56">
        <f>IF($N38="","",INDEX('Cronograma R. Operacional'!$O$5:$O$1000,$N38)&amp;"")</f>
        <v/>
      </c>
      <c r="M38" s="62">
        <f>IF($N38="","",INDEX('Cronograma R. Operacional'!$Q$5:$Q$1000,$N38)&amp;"")</f>
        <v/>
      </c>
      <c r="N38">
        <f>IFERROR(MATCH(ROW()-4,rOrden_RO,0),"")</f>
        <v/>
      </c>
      <c r="O38">
        <f>IF($N38="","",INDEX('Cronograma R. Operacional'!$V$5:$V$1000,$N38))</f>
        <v/>
      </c>
      <c r="P38">
        <f>IF($N38="","",N(INDEX('Cronograma R. Operacional'!$W$5:$W$1000,$N38)))</f>
        <v/>
      </c>
      <c r="Q38">
        <f>IF(OR(LEFT($L38,7)="Vencida",LEFT($L38,5)="Vence"),SUMPRODUCT(--(LEFT($L$5:$L38,7)="Vencida"))+SUMPRODUCT(--(LEFT($L$5:$L38,5)="Vence")),"")</f>
        <v/>
      </c>
    </row>
    <row r="39">
      <c r="A39" s="56">
        <f>IF($N39="","",INDEX('Cronograma R. Operacional'!$A$5:$A$1000,$N39))</f>
        <v/>
      </c>
      <c r="B39" s="62">
        <f>IF($N39="","",IF($O39="Sub","      ↳  "&amp;INDEX('Cronograma R. Operacional'!$C$5:$C$1000,$N39),INDEX('Cronograma R. Operacional'!$C$5:$C$1000,$N39)&amp;""))</f>
        <v/>
      </c>
      <c r="C39" s="79">
        <f>IF($N39="","",IF(INDEX('Cronograma R. Operacional'!$AR$5:$AR$1000,$N39)="","",INDEX('Cronograma R. Operacional'!$AR$5:$AR$1000,$N39)))</f>
        <v/>
      </c>
      <c r="D39" s="79">
        <f>IF($N39="","",IF(INDEX('Cronograma R. Operacional'!$AS$5:$AS$1000,$N39)="","",INDEX('Cronograma R. Operacional'!$AS$5:$AS$1000,$N39)))</f>
        <v/>
      </c>
      <c r="E39" s="56">
        <f>IF($N39="","",IF(NOT(ISNUMBER($D39)),"",IF($D39&lt;InicioCiclo,"Antes del ciclo",IF($D39&gt;=InicioCiclo+28,"Después del ciclo","Semana "&amp;(INT(($D39-InicioCiclo)/7)+1)))))</f>
        <v/>
      </c>
      <c r="F39" s="61">
        <f>IF($N39="","",IF($P39&gt;0,IF(1&lt;=SemanaActual,INDEX('Cronograma R. Operacional'!$AH$5:$AH$1000,$N39),""),IF(INDEX('Cronograma R. Operacional'!$I$5:$I$1000,$N39)="","",INDEX('Cronograma R. Operacional'!$I$5:$I$1000,$N39))))</f>
        <v/>
      </c>
      <c r="G39" s="61">
        <f>IF($N39="","",IF($P39&gt;0,IF(2&lt;=SemanaActual,INDEX('Cronograma R. Operacional'!$AI$5:$AI$1000,$N39),""),IF(INDEX('Cronograma R. Operacional'!$J$5:$J$1000,$N39)="","",INDEX('Cronograma R. Operacional'!$J$5:$J$1000,$N39))))</f>
        <v/>
      </c>
      <c r="H39" s="61">
        <f>IF($N39="","",IF($P39&gt;0,IF(3&lt;=SemanaActual,INDEX('Cronograma R. Operacional'!$AJ$5:$AJ$1000,$N39),""),IF(INDEX('Cronograma R. Operacional'!$K$5:$K$1000,$N39)="","",INDEX('Cronograma R. Operacional'!$K$5:$K$1000,$N39))))</f>
        <v/>
      </c>
      <c r="I39" s="61">
        <f>IF($N39="","",IF($P39&gt;0,IF(4&lt;=SemanaActual,INDEX('Cronograma R. Operacional'!$AK$5:$AK$1000,$N39),""),IF(INDEX('Cronograma R. Operacional'!$L$5:$L$1000,$N39)="","",INDEX('Cronograma R. Operacional'!$L$5:$L$1000,$N39))))</f>
        <v/>
      </c>
      <c r="J39" s="61">
        <f>IF($N39="","",INDEX('Cronograma R. Operacional'!$M$5:$M$1000,$N39))</f>
        <v/>
      </c>
      <c r="K39" s="56">
        <f>IF($N39="","",IF(N($J39)&gt;=1,"Completado",IF(AND(ISNUMBER($D39),$D39&lt;FechaRef),"Vencida",IF(N($J39)&gt;0,"En curso","Pendiente"))))</f>
        <v/>
      </c>
      <c r="L39" s="56">
        <f>IF($N39="","",INDEX('Cronograma R. Operacional'!$O$5:$O$1000,$N39)&amp;"")</f>
        <v/>
      </c>
      <c r="M39" s="62">
        <f>IF($N39="","",INDEX('Cronograma R. Operacional'!$Q$5:$Q$1000,$N39)&amp;"")</f>
        <v/>
      </c>
      <c r="N39">
        <f>IFERROR(MATCH(ROW()-4,rOrden_RO,0),"")</f>
        <v/>
      </c>
      <c r="O39">
        <f>IF($N39="","",INDEX('Cronograma R. Operacional'!$V$5:$V$1000,$N39))</f>
        <v/>
      </c>
      <c r="P39">
        <f>IF($N39="","",N(INDEX('Cronograma R. Operacional'!$W$5:$W$1000,$N39)))</f>
        <v/>
      </c>
      <c r="Q39">
        <f>IF(OR(LEFT($L39,7)="Vencida",LEFT($L39,5)="Vence"),SUMPRODUCT(--(LEFT($L$5:$L39,7)="Vencida"))+SUMPRODUCT(--(LEFT($L$5:$L39,5)="Vence")),"")</f>
        <v/>
      </c>
    </row>
    <row r="40">
      <c r="A40" s="56">
        <f>IF($N40="","",INDEX('Cronograma R. Operacional'!$A$5:$A$1000,$N40))</f>
        <v/>
      </c>
      <c r="B40" s="62">
        <f>IF($N40="","",IF($O40="Sub","      ↳  "&amp;INDEX('Cronograma R. Operacional'!$C$5:$C$1000,$N40),INDEX('Cronograma R. Operacional'!$C$5:$C$1000,$N40)&amp;""))</f>
        <v/>
      </c>
      <c r="C40" s="79">
        <f>IF($N40="","",IF(INDEX('Cronograma R. Operacional'!$AR$5:$AR$1000,$N40)="","",INDEX('Cronograma R. Operacional'!$AR$5:$AR$1000,$N40)))</f>
        <v/>
      </c>
      <c r="D40" s="79">
        <f>IF($N40="","",IF(INDEX('Cronograma R. Operacional'!$AS$5:$AS$1000,$N40)="","",INDEX('Cronograma R. Operacional'!$AS$5:$AS$1000,$N40)))</f>
        <v/>
      </c>
      <c r="E40" s="56">
        <f>IF($N40="","",IF(NOT(ISNUMBER($D40)),"",IF($D40&lt;InicioCiclo,"Antes del ciclo",IF($D40&gt;=InicioCiclo+28,"Después del ciclo","Semana "&amp;(INT(($D40-InicioCiclo)/7)+1)))))</f>
        <v/>
      </c>
      <c r="F40" s="61">
        <f>IF($N40="","",IF($P40&gt;0,IF(1&lt;=SemanaActual,INDEX('Cronograma R. Operacional'!$AH$5:$AH$1000,$N40),""),IF(INDEX('Cronograma R. Operacional'!$I$5:$I$1000,$N40)="","",INDEX('Cronograma R. Operacional'!$I$5:$I$1000,$N40))))</f>
        <v/>
      </c>
      <c r="G40" s="61">
        <f>IF($N40="","",IF($P40&gt;0,IF(2&lt;=SemanaActual,INDEX('Cronograma R. Operacional'!$AI$5:$AI$1000,$N40),""),IF(INDEX('Cronograma R. Operacional'!$J$5:$J$1000,$N40)="","",INDEX('Cronograma R. Operacional'!$J$5:$J$1000,$N40))))</f>
        <v/>
      </c>
      <c r="H40" s="61">
        <f>IF($N40="","",IF($P40&gt;0,IF(3&lt;=SemanaActual,INDEX('Cronograma R. Operacional'!$AJ$5:$AJ$1000,$N40),""),IF(INDEX('Cronograma R. Operacional'!$K$5:$K$1000,$N40)="","",INDEX('Cronograma R. Operacional'!$K$5:$K$1000,$N40))))</f>
        <v/>
      </c>
      <c r="I40" s="61">
        <f>IF($N40="","",IF($P40&gt;0,IF(4&lt;=SemanaActual,INDEX('Cronograma R. Operacional'!$AK$5:$AK$1000,$N40),""),IF(INDEX('Cronograma R. Operacional'!$L$5:$L$1000,$N40)="","",INDEX('Cronograma R. Operacional'!$L$5:$L$1000,$N40))))</f>
        <v/>
      </c>
      <c r="J40" s="61">
        <f>IF($N40="","",INDEX('Cronograma R. Operacional'!$M$5:$M$1000,$N40))</f>
        <v/>
      </c>
      <c r="K40" s="56">
        <f>IF($N40="","",IF(N($J40)&gt;=1,"Completado",IF(AND(ISNUMBER($D40),$D40&lt;FechaRef),"Vencida",IF(N($J40)&gt;0,"En curso","Pendiente"))))</f>
        <v/>
      </c>
      <c r="L40" s="56">
        <f>IF($N40="","",INDEX('Cronograma R. Operacional'!$O$5:$O$1000,$N40)&amp;"")</f>
        <v/>
      </c>
      <c r="M40" s="62">
        <f>IF($N40="","",INDEX('Cronograma R. Operacional'!$Q$5:$Q$1000,$N40)&amp;"")</f>
        <v/>
      </c>
      <c r="N40">
        <f>IFERROR(MATCH(ROW()-4,rOrden_RO,0),"")</f>
        <v/>
      </c>
      <c r="O40">
        <f>IF($N40="","",INDEX('Cronograma R. Operacional'!$V$5:$V$1000,$N40))</f>
        <v/>
      </c>
      <c r="P40">
        <f>IF($N40="","",N(INDEX('Cronograma R. Operacional'!$W$5:$W$1000,$N40)))</f>
        <v/>
      </c>
      <c r="Q40">
        <f>IF(OR(LEFT($L40,7)="Vencida",LEFT($L40,5)="Vence"),SUMPRODUCT(--(LEFT($L$5:$L40,7)="Vencida"))+SUMPRODUCT(--(LEFT($L$5:$L40,5)="Vence")),"")</f>
        <v/>
      </c>
    </row>
    <row r="41">
      <c r="A41" s="56">
        <f>IF($N41="","",INDEX('Cronograma R. Operacional'!$A$5:$A$1000,$N41))</f>
        <v/>
      </c>
      <c r="B41" s="62">
        <f>IF($N41="","",IF($O41="Sub","      ↳  "&amp;INDEX('Cronograma R. Operacional'!$C$5:$C$1000,$N41),INDEX('Cronograma R. Operacional'!$C$5:$C$1000,$N41)&amp;""))</f>
        <v/>
      </c>
      <c r="C41" s="79">
        <f>IF($N41="","",IF(INDEX('Cronograma R. Operacional'!$AR$5:$AR$1000,$N41)="","",INDEX('Cronograma R. Operacional'!$AR$5:$AR$1000,$N41)))</f>
        <v/>
      </c>
      <c r="D41" s="79">
        <f>IF($N41="","",IF(INDEX('Cronograma R. Operacional'!$AS$5:$AS$1000,$N41)="","",INDEX('Cronograma R. Operacional'!$AS$5:$AS$1000,$N41)))</f>
        <v/>
      </c>
      <c r="E41" s="56">
        <f>IF($N41="","",IF(NOT(ISNUMBER($D41)),"",IF($D41&lt;InicioCiclo,"Antes del ciclo",IF($D41&gt;=InicioCiclo+28,"Después del ciclo","Semana "&amp;(INT(($D41-InicioCiclo)/7)+1)))))</f>
        <v/>
      </c>
      <c r="F41" s="61">
        <f>IF($N41="","",IF($P41&gt;0,IF(1&lt;=SemanaActual,INDEX('Cronograma R. Operacional'!$AH$5:$AH$1000,$N41),""),IF(INDEX('Cronograma R. Operacional'!$I$5:$I$1000,$N41)="","",INDEX('Cronograma R. Operacional'!$I$5:$I$1000,$N41))))</f>
        <v/>
      </c>
      <c r="G41" s="61">
        <f>IF($N41="","",IF($P41&gt;0,IF(2&lt;=SemanaActual,INDEX('Cronograma R. Operacional'!$AI$5:$AI$1000,$N41),""),IF(INDEX('Cronograma R. Operacional'!$J$5:$J$1000,$N41)="","",INDEX('Cronograma R. Operacional'!$J$5:$J$1000,$N41))))</f>
        <v/>
      </c>
      <c r="H41" s="61">
        <f>IF($N41="","",IF($P41&gt;0,IF(3&lt;=SemanaActual,INDEX('Cronograma R. Operacional'!$AJ$5:$AJ$1000,$N41),""),IF(INDEX('Cronograma R. Operacional'!$K$5:$K$1000,$N41)="","",INDEX('Cronograma R. Operacional'!$K$5:$K$1000,$N41))))</f>
        <v/>
      </c>
      <c r="I41" s="61">
        <f>IF($N41="","",IF($P41&gt;0,IF(4&lt;=SemanaActual,INDEX('Cronograma R. Operacional'!$AK$5:$AK$1000,$N41),""),IF(INDEX('Cronograma R. Operacional'!$L$5:$L$1000,$N41)="","",INDEX('Cronograma R. Operacional'!$L$5:$L$1000,$N41))))</f>
        <v/>
      </c>
      <c r="J41" s="61">
        <f>IF($N41="","",INDEX('Cronograma R. Operacional'!$M$5:$M$1000,$N41))</f>
        <v/>
      </c>
      <c r="K41" s="56">
        <f>IF($N41="","",IF(N($J41)&gt;=1,"Completado",IF(AND(ISNUMBER($D41),$D41&lt;FechaRef),"Vencida",IF(N($J41)&gt;0,"En curso","Pendiente"))))</f>
        <v/>
      </c>
      <c r="L41" s="56">
        <f>IF($N41="","",INDEX('Cronograma R. Operacional'!$O$5:$O$1000,$N41)&amp;"")</f>
        <v/>
      </c>
      <c r="M41" s="62">
        <f>IF($N41="","",INDEX('Cronograma R. Operacional'!$Q$5:$Q$1000,$N41)&amp;"")</f>
        <v/>
      </c>
      <c r="N41">
        <f>IFERROR(MATCH(ROW()-4,rOrden_RO,0),"")</f>
        <v/>
      </c>
      <c r="O41">
        <f>IF($N41="","",INDEX('Cronograma R. Operacional'!$V$5:$V$1000,$N41))</f>
        <v/>
      </c>
      <c r="P41">
        <f>IF($N41="","",N(INDEX('Cronograma R. Operacional'!$W$5:$W$1000,$N41)))</f>
        <v/>
      </c>
      <c r="Q41">
        <f>IF(OR(LEFT($L41,7)="Vencida",LEFT($L41,5)="Vence"),SUMPRODUCT(--(LEFT($L$5:$L41,7)="Vencida"))+SUMPRODUCT(--(LEFT($L$5:$L41,5)="Vence")),"")</f>
        <v/>
      </c>
    </row>
    <row r="42">
      <c r="A42" s="56">
        <f>IF($N42="","",INDEX('Cronograma R. Operacional'!$A$5:$A$1000,$N42))</f>
        <v/>
      </c>
      <c r="B42" s="62">
        <f>IF($N42="","",IF($O42="Sub","      ↳  "&amp;INDEX('Cronograma R. Operacional'!$C$5:$C$1000,$N42),INDEX('Cronograma R. Operacional'!$C$5:$C$1000,$N42)&amp;""))</f>
        <v/>
      </c>
      <c r="C42" s="79">
        <f>IF($N42="","",IF(INDEX('Cronograma R. Operacional'!$AR$5:$AR$1000,$N42)="","",INDEX('Cronograma R. Operacional'!$AR$5:$AR$1000,$N42)))</f>
        <v/>
      </c>
      <c r="D42" s="79">
        <f>IF($N42="","",IF(INDEX('Cronograma R. Operacional'!$AS$5:$AS$1000,$N42)="","",INDEX('Cronograma R. Operacional'!$AS$5:$AS$1000,$N42)))</f>
        <v/>
      </c>
      <c r="E42" s="56">
        <f>IF($N42="","",IF(NOT(ISNUMBER($D42)),"",IF($D42&lt;InicioCiclo,"Antes del ciclo",IF($D42&gt;=InicioCiclo+28,"Después del ciclo","Semana "&amp;(INT(($D42-InicioCiclo)/7)+1)))))</f>
        <v/>
      </c>
      <c r="F42" s="61">
        <f>IF($N42="","",IF($P42&gt;0,IF(1&lt;=SemanaActual,INDEX('Cronograma R. Operacional'!$AH$5:$AH$1000,$N42),""),IF(INDEX('Cronograma R. Operacional'!$I$5:$I$1000,$N42)="","",INDEX('Cronograma R. Operacional'!$I$5:$I$1000,$N42))))</f>
        <v/>
      </c>
      <c r="G42" s="61">
        <f>IF($N42="","",IF($P42&gt;0,IF(2&lt;=SemanaActual,INDEX('Cronograma R. Operacional'!$AI$5:$AI$1000,$N42),""),IF(INDEX('Cronograma R. Operacional'!$J$5:$J$1000,$N42)="","",INDEX('Cronograma R. Operacional'!$J$5:$J$1000,$N42))))</f>
        <v/>
      </c>
      <c r="H42" s="61">
        <f>IF($N42="","",IF($P42&gt;0,IF(3&lt;=SemanaActual,INDEX('Cronograma R. Operacional'!$AJ$5:$AJ$1000,$N42),""),IF(INDEX('Cronograma R. Operacional'!$K$5:$K$1000,$N42)="","",INDEX('Cronograma R. Operacional'!$K$5:$K$1000,$N42))))</f>
        <v/>
      </c>
      <c r="I42" s="61">
        <f>IF($N42="","",IF($P42&gt;0,IF(4&lt;=SemanaActual,INDEX('Cronograma R. Operacional'!$AK$5:$AK$1000,$N42),""),IF(INDEX('Cronograma R. Operacional'!$L$5:$L$1000,$N42)="","",INDEX('Cronograma R. Operacional'!$L$5:$L$1000,$N42))))</f>
        <v/>
      </c>
      <c r="J42" s="61">
        <f>IF($N42="","",INDEX('Cronograma R. Operacional'!$M$5:$M$1000,$N42))</f>
        <v/>
      </c>
      <c r="K42" s="56">
        <f>IF($N42="","",IF(N($J42)&gt;=1,"Completado",IF(AND(ISNUMBER($D42),$D42&lt;FechaRef),"Vencida",IF(N($J42)&gt;0,"En curso","Pendiente"))))</f>
        <v/>
      </c>
      <c r="L42" s="56">
        <f>IF($N42="","",INDEX('Cronograma R. Operacional'!$O$5:$O$1000,$N42)&amp;"")</f>
        <v/>
      </c>
      <c r="M42" s="62">
        <f>IF($N42="","",INDEX('Cronograma R. Operacional'!$Q$5:$Q$1000,$N42)&amp;"")</f>
        <v/>
      </c>
      <c r="N42">
        <f>IFERROR(MATCH(ROW()-4,rOrden_RO,0),"")</f>
        <v/>
      </c>
      <c r="O42">
        <f>IF($N42="","",INDEX('Cronograma R. Operacional'!$V$5:$V$1000,$N42))</f>
        <v/>
      </c>
      <c r="P42">
        <f>IF($N42="","",N(INDEX('Cronograma R. Operacional'!$W$5:$W$1000,$N42)))</f>
        <v/>
      </c>
      <c r="Q42">
        <f>IF(OR(LEFT($L42,7)="Vencida",LEFT($L42,5)="Vence"),SUMPRODUCT(--(LEFT($L$5:$L42,7)="Vencida"))+SUMPRODUCT(--(LEFT($L$5:$L42,5)="Vence")),"")</f>
        <v/>
      </c>
    </row>
    <row r="43">
      <c r="A43" s="56">
        <f>IF($N43="","",INDEX('Cronograma R. Operacional'!$A$5:$A$1000,$N43))</f>
        <v/>
      </c>
      <c r="B43" s="62">
        <f>IF($N43="","",IF($O43="Sub","      ↳  "&amp;INDEX('Cronograma R. Operacional'!$C$5:$C$1000,$N43),INDEX('Cronograma R. Operacional'!$C$5:$C$1000,$N43)&amp;""))</f>
        <v/>
      </c>
      <c r="C43" s="79">
        <f>IF($N43="","",IF(INDEX('Cronograma R. Operacional'!$AR$5:$AR$1000,$N43)="","",INDEX('Cronograma R. Operacional'!$AR$5:$AR$1000,$N43)))</f>
        <v/>
      </c>
      <c r="D43" s="79">
        <f>IF($N43="","",IF(INDEX('Cronograma R. Operacional'!$AS$5:$AS$1000,$N43)="","",INDEX('Cronograma R. Operacional'!$AS$5:$AS$1000,$N43)))</f>
        <v/>
      </c>
      <c r="E43" s="56">
        <f>IF($N43="","",IF(NOT(ISNUMBER($D43)),"",IF($D43&lt;InicioCiclo,"Antes del ciclo",IF($D43&gt;=InicioCiclo+28,"Después del ciclo","Semana "&amp;(INT(($D43-InicioCiclo)/7)+1)))))</f>
        <v/>
      </c>
      <c r="F43" s="61">
        <f>IF($N43="","",IF($P43&gt;0,IF(1&lt;=SemanaActual,INDEX('Cronograma R. Operacional'!$AH$5:$AH$1000,$N43),""),IF(INDEX('Cronograma R. Operacional'!$I$5:$I$1000,$N43)="","",INDEX('Cronograma R. Operacional'!$I$5:$I$1000,$N43))))</f>
        <v/>
      </c>
      <c r="G43" s="61">
        <f>IF($N43="","",IF($P43&gt;0,IF(2&lt;=SemanaActual,INDEX('Cronograma R. Operacional'!$AI$5:$AI$1000,$N43),""),IF(INDEX('Cronograma R. Operacional'!$J$5:$J$1000,$N43)="","",INDEX('Cronograma R. Operacional'!$J$5:$J$1000,$N43))))</f>
        <v/>
      </c>
      <c r="H43" s="61">
        <f>IF($N43="","",IF($P43&gt;0,IF(3&lt;=SemanaActual,INDEX('Cronograma R. Operacional'!$AJ$5:$AJ$1000,$N43),""),IF(INDEX('Cronograma R. Operacional'!$K$5:$K$1000,$N43)="","",INDEX('Cronograma R. Operacional'!$K$5:$K$1000,$N43))))</f>
        <v/>
      </c>
      <c r="I43" s="61">
        <f>IF($N43="","",IF($P43&gt;0,IF(4&lt;=SemanaActual,INDEX('Cronograma R. Operacional'!$AK$5:$AK$1000,$N43),""),IF(INDEX('Cronograma R. Operacional'!$L$5:$L$1000,$N43)="","",INDEX('Cronograma R. Operacional'!$L$5:$L$1000,$N43))))</f>
        <v/>
      </c>
      <c r="J43" s="61">
        <f>IF($N43="","",INDEX('Cronograma R. Operacional'!$M$5:$M$1000,$N43))</f>
        <v/>
      </c>
      <c r="K43" s="56">
        <f>IF($N43="","",IF(N($J43)&gt;=1,"Completado",IF(AND(ISNUMBER($D43),$D43&lt;FechaRef),"Vencida",IF(N($J43)&gt;0,"En curso","Pendiente"))))</f>
        <v/>
      </c>
      <c r="L43" s="56">
        <f>IF($N43="","",INDEX('Cronograma R. Operacional'!$O$5:$O$1000,$N43)&amp;"")</f>
        <v/>
      </c>
      <c r="M43" s="62">
        <f>IF($N43="","",INDEX('Cronograma R. Operacional'!$Q$5:$Q$1000,$N43)&amp;"")</f>
        <v/>
      </c>
      <c r="N43">
        <f>IFERROR(MATCH(ROW()-4,rOrden_RO,0),"")</f>
        <v/>
      </c>
      <c r="O43">
        <f>IF($N43="","",INDEX('Cronograma R. Operacional'!$V$5:$V$1000,$N43))</f>
        <v/>
      </c>
      <c r="P43">
        <f>IF($N43="","",N(INDEX('Cronograma R. Operacional'!$W$5:$W$1000,$N43)))</f>
        <v/>
      </c>
      <c r="Q43">
        <f>IF(OR(LEFT($L43,7)="Vencida",LEFT($L43,5)="Vence"),SUMPRODUCT(--(LEFT($L$5:$L43,7)="Vencida"))+SUMPRODUCT(--(LEFT($L$5:$L43,5)="Vence")),"")</f>
        <v/>
      </c>
    </row>
    <row r="44">
      <c r="A44" s="56">
        <f>IF($N44="","",INDEX('Cronograma R. Operacional'!$A$5:$A$1000,$N44))</f>
        <v/>
      </c>
      <c r="B44" s="62">
        <f>IF($N44="","",IF($O44="Sub","      ↳  "&amp;INDEX('Cronograma R. Operacional'!$C$5:$C$1000,$N44),INDEX('Cronograma R. Operacional'!$C$5:$C$1000,$N44)&amp;""))</f>
        <v/>
      </c>
      <c r="C44" s="79">
        <f>IF($N44="","",IF(INDEX('Cronograma R. Operacional'!$AR$5:$AR$1000,$N44)="","",INDEX('Cronograma R. Operacional'!$AR$5:$AR$1000,$N44)))</f>
        <v/>
      </c>
      <c r="D44" s="79">
        <f>IF($N44="","",IF(INDEX('Cronograma R. Operacional'!$AS$5:$AS$1000,$N44)="","",INDEX('Cronograma R. Operacional'!$AS$5:$AS$1000,$N44)))</f>
        <v/>
      </c>
      <c r="E44" s="56">
        <f>IF($N44="","",IF(NOT(ISNUMBER($D44)),"",IF($D44&lt;InicioCiclo,"Antes del ciclo",IF($D44&gt;=InicioCiclo+28,"Después del ciclo","Semana "&amp;(INT(($D44-InicioCiclo)/7)+1)))))</f>
        <v/>
      </c>
      <c r="F44" s="61">
        <f>IF($N44="","",IF($P44&gt;0,IF(1&lt;=SemanaActual,INDEX('Cronograma R. Operacional'!$AH$5:$AH$1000,$N44),""),IF(INDEX('Cronograma R. Operacional'!$I$5:$I$1000,$N44)="","",INDEX('Cronograma R. Operacional'!$I$5:$I$1000,$N44))))</f>
        <v/>
      </c>
      <c r="G44" s="61">
        <f>IF($N44="","",IF($P44&gt;0,IF(2&lt;=SemanaActual,INDEX('Cronograma R. Operacional'!$AI$5:$AI$1000,$N44),""),IF(INDEX('Cronograma R. Operacional'!$J$5:$J$1000,$N44)="","",INDEX('Cronograma R. Operacional'!$J$5:$J$1000,$N44))))</f>
        <v/>
      </c>
      <c r="H44" s="61">
        <f>IF($N44="","",IF($P44&gt;0,IF(3&lt;=SemanaActual,INDEX('Cronograma R. Operacional'!$AJ$5:$AJ$1000,$N44),""),IF(INDEX('Cronograma R. Operacional'!$K$5:$K$1000,$N44)="","",INDEX('Cronograma R. Operacional'!$K$5:$K$1000,$N44))))</f>
        <v/>
      </c>
      <c r="I44" s="61">
        <f>IF($N44="","",IF($P44&gt;0,IF(4&lt;=SemanaActual,INDEX('Cronograma R. Operacional'!$AK$5:$AK$1000,$N44),""),IF(INDEX('Cronograma R. Operacional'!$L$5:$L$1000,$N44)="","",INDEX('Cronograma R. Operacional'!$L$5:$L$1000,$N44))))</f>
        <v/>
      </c>
      <c r="J44" s="61">
        <f>IF($N44="","",INDEX('Cronograma R. Operacional'!$M$5:$M$1000,$N44))</f>
        <v/>
      </c>
      <c r="K44" s="56">
        <f>IF($N44="","",IF(N($J44)&gt;=1,"Completado",IF(AND(ISNUMBER($D44),$D44&lt;FechaRef),"Vencida",IF(N($J44)&gt;0,"En curso","Pendiente"))))</f>
        <v/>
      </c>
      <c r="L44" s="56">
        <f>IF($N44="","",INDEX('Cronograma R. Operacional'!$O$5:$O$1000,$N44)&amp;"")</f>
        <v/>
      </c>
      <c r="M44" s="62">
        <f>IF($N44="","",INDEX('Cronograma R. Operacional'!$Q$5:$Q$1000,$N44)&amp;"")</f>
        <v/>
      </c>
      <c r="N44">
        <f>IFERROR(MATCH(ROW()-4,rOrden_RO,0),"")</f>
        <v/>
      </c>
      <c r="O44">
        <f>IF($N44="","",INDEX('Cronograma R. Operacional'!$V$5:$V$1000,$N44))</f>
        <v/>
      </c>
      <c r="P44">
        <f>IF($N44="","",N(INDEX('Cronograma R. Operacional'!$W$5:$W$1000,$N44)))</f>
        <v/>
      </c>
      <c r="Q44">
        <f>IF(OR(LEFT($L44,7)="Vencida",LEFT($L44,5)="Vence"),SUMPRODUCT(--(LEFT($L$5:$L44,7)="Vencida"))+SUMPRODUCT(--(LEFT($L$5:$L44,5)="Vence")),"")</f>
        <v/>
      </c>
    </row>
    <row r="45">
      <c r="A45" s="56">
        <f>IF($N45="","",INDEX('Cronograma R. Operacional'!$A$5:$A$1000,$N45))</f>
        <v/>
      </c>
      <c r="B45" s="62">
        <f>IF($N45="","",IF($O45="Sub","      ↳  "&amp;INDEX('Cronograma R. Operacional'!$C$5:$C$1000,$N45),INDEX('Cronograma R. Operacional'!$C$5:$C$1000,$N45)&amp;""))</f>
        <v/>
      </c>
      <c r="C45" s="79">
        <f>IF($N45="","",IF(INDEX('Cronograma R. Operacional'!$AR$5:$AR$1000,$N45)="","",INDEX('Cronograma R. Operacional'!$AR$5:$AR$1000,$N45)))</f>
        <v/>
      </c>
      <c r="D45" s="79">
        <f>IF($N45="","",IF(INDEX('Cronograma R. Operacional'!$AS$5:$AS$1000,$N45)="","",INDEX('Cronograma R. Operacional'!$AS$5:$AS$1000,$N45)))</f>
        <v/>
      </c>
      <c r="E45" s="56">
        <f>IF($N45="","",IF(NOT(ISNUMBER($D45)),"",IF($D45&lt;InicioCiclo,"Antes del ciclo",IF($D45&gt;=InicioCiclo+28,"Después del ciclo","Semana "&amp;(INT(($D45-InicioCiclo)/7)+1)))))</f>
        <v/>
      </c>
      <c r="F45" s="61">
        <f>IF($N45="","",IF($P45&gt;0,IF(1&lt;=SemanaActual,INDEX('Cronograma R. Operacional'!$AH$5:$AH$1000,$N45),""),IF(INDEX('Cronograma R. Operacional'!$I$5:$I$1000,$N45)="","",INDEX('Cronograma R. Operacional'!$I$5:$I$1000,$N45))))</f>
        <v/>
      </c>
      <c r="G45" s="61">
        <f>IF($N45="","",IF($P45&gt;0,IF(2&lt;=SemanaActual,INDEX('Cronograma R. Operacional'!$AI$5:$AI$1000,$N45),""),IF(INDEX('Cronograma R. Operacional'!$J$5:$J$1000,$N45)="","",INDEX('Cronograma R. Operacional'!$J$5:$J$1000,$N45))))</f>
        <v/>
      </c>
      <c r="H45" s="61">
        <f>IF($N45="","",IF($P45&gt;0,IF(3&lt;=SemanaActual,INDEX('Cronograma R. Operacional'!$AJ$5:$AJ$1000,$N45),""),IF(INDEX('Cronograma R. Operacional'!$K$5:$K$1000,$N45)="","",INDEX('Cronograma R. Operacional'!$K$5:$K$1000,$N45))))</f>
        <v/>
      </c>
      <c r="I45" s="61">
        <f>IF($N45="","",IF($P45&gt;0,IF(4&lt;=SemanaActual,INDEX('Cronograma R. Operacional'!$AK$5:$AK$1000,$N45),""),IF(INDEX('Cronograma R. Operacional'!$L$5:$L$1000,$N45)="","",INDEX('Cronograma R. Operacional'!$L$5:$L$1000,$N45))))</f>
        <v/>
      </c>
      <c r="J45" s="61">
        <f>IF($N45="","",INDEX('Cronograma R. Operacional'!$M$5:$M$1000,$N45))</f>
        <v/>
      </c>
      <c r="K45" s="56">
        <f>IF($N45="","",IF(N($J45)&gt;=1,"Completado",IF(AND(ISNUMBER($D45),$D45&lt;FechaRef),"Vencida",IF(N($J45)&gt;0,"En curso","Pendiente"))))</f>
        <v/>
      </c>
      <c r="L45" s="56">
        <f>IF($N45="","",INDEX('Cronograma R. Operacional'!$O$5:$O$1000,$N45)&amp;"")</f>
        <v/>
      </c>
      <c r="M45" s="62">
        <f>IF($N45="","",INDEX('Cronograma R. Operacional'!$Q$5:$Q$1000,$N45)&amp;"")</f>
        <v/>
      </c>
      <c r="N45">
        <f>IFERROR(MATCH(ROW()-4,rOrden_RO,0),"")</f>
        <v/>
      </c>
      <c r="O45">
        <f>IF($N45="","",INDEX('Cronograma R. Operacional'!$V$5:$V$1000,$N45))</f>
        <v/>
      </c>
      <c r="P45">
        <f>IF($N45="","",N(INDEX('Cronograma R. Operacional'!$W$5:$W$1000,$N45)))</f>
        <v/>
      </c>
      <c r="Q45">
        <f>IF(OR(LEFT($L45,7)="Vencida",LEFT($L45,5)="Vence"),SUMPRODUCT(--(LEFT($L$5:$L45,7)="Vencida"))+SUMPRODUCT(--(LEFT($L$5:$L45,5)="Vence")),"")</f>
        <v/>
      </c>
    </row>
    <row r="46">
      <c r="A46" s="56">
        <f>IF($N46="","",INDEX('Cronograma R. Operacional'!$A$5:$A$1000,$N46))</f>
        <v/>
      </c>
      <c r="B46" s="62">
        <f>IF($N46="","",IF($O46="Sub","      ↳  "&amp;INDEX('Cronograma R. Operacional'!$C$5:$C$1000,$N46),INDEX('Cronograma R. Operacional'!$C$5:$C$1000,$N46)&amp;""))</f>
        <v/>
      </c>
      <c r="C46" s="79">
        <f>IF($N46="","",IF(INDEX('Cronograma R. Operacional'!$AR$5:$AR$1000,$N46)="","",INDEX('Cronograma R. Operacional'!$AR$5:$AR$1000,$N46)))</f>
        <v/>
      </c>
      <c r="D46" s="79">
        <f>IF($N46="","",IF(INDEX('Cronograma R. Operacional'!$AS$5:$AS$1000,$N46)="","",INDEX('Cronograma R. Operacional'!$AS$5:$AS$1000,$N46)))</f>
        <v/>
      </c>
      <c r="E46" s="56">
        <f>IF($N46="","",IF(NOT(ISNUMBER($D46)),"",IF($D46&lt;InicioCiclo,"Antes del ciclo",IF($D46&gt;=InicioCiclo+28,"Después del ciclo","Semana "&amp;(INT(($D46-InicioCiclo)/7)+1)))))</f>
        <v/>
      </c>
      <c r="F46" s="61">
        <f>IF($N46="","",IF($P46&gt;0,IF(1&lt;=SemanaActual,INDEX('Cronograma R. Operacional'!$AH$5:$AH$1000,$N46),""),IF(INDEX('Cronograma R. Operacional'!$I$5:$I$1000,$N46)="","",INDEX('Cronograma R. Operacional'!$I$5:$I$1000,$N46))))</f>
        <v/>
      </c>
      <c r="G46" s="61">
        <f>IF($N46="","",IF($P46&gt;0,IF(2&lt;=SemanaActual,INDEX('Cronograma R. Operacional'!$AI$5:$AI$1000,$N46),""),IF(INDEX('Cronograma R. Operacional'!$J$5:$J$1000,$N46)="","",INDEX('Cronograma R. Operacional'!$J$5:$J$1000,$N46))))</f>
        <v/>
      </c>
      <c r="H46" s="61">
        <f>IF($N46="","",IF($P46&gt;0,IF(3&lt;=SemanaActual,INDEX('Cronograma R. Operacional'!$AJ$5:$AJ$1000,$N46),""),IF(INDEX('Cronograma R. Operacional'!$K$5:$K$1000,$N46)="","",INDEX('Cronograma R. Operacional'!$K$5:$K$1000,$N46))))</f>
        <v/>
      </c>
      <c r="I46" s="61">
        <f>IF($N46="","",IF($P46&gt;0,IF(4&lt;=SemanaActual,INDEX('Cronograma R. Operacional'!$AK$5:$AK$1000,$N46),""),IF(INDEX('Cronograma R. Operacional'!$L$5:$L$1000,$N46)="","",INDEX('Cronograma R. Operacional'!$L$5:$L$1000,$N46))))</f>
        <v/>
      </c>
      <c r="J46" s="61">
        <f>IF($N46="","",INDEX('Cronograma R. Operacional'!$M$5:$M$1000,$N46))</f>
        <v/>
      </c>
      <c r="K46" s="56">
        <f>IF($N46="","",IF(N($J46)&gt;=1,"Completado",IF(AND(ISNUMBER($D46),$D46&lt;FechaRef),"Vencida",IF(N($J46)&gt;0,"En curso","Pendiente"))))</f>
        <v/>
      </c>
      <c r="L46" s="56">
        <f>IF($N46="","",INDEX('Cronograma R. Operacional'!$O$5:$O$1000,$N46)&amp;"")</f>
        <v/>
      </c>
      <c r="M46" s="62">
        <f>IF($N46="","",INDEX('Cronograma R. Operacional'!$Q$5:$Q$1000,$N46)&amp;"")</f>
        <v/>
      </c>
      <c r="N46">
        <f>IFERROR(MATCH(ROW()-4,rOrden_RO,0),"")</f>
        <v/>
      </c>
      <c r="O46">
        <f>IF($N46="","",INDEX('Cronograma R. Operacional'!$V$5:$V$1000,$N46))</f>
        <v/>
      </c>
      <c r="P46">
        <f>IF($N46="","",N(INDEX('Cronograma R. Operacional'!$W$5:$W$1000,$N46)))</f>
        <v/>
      </c>
      <c r="Q46">
        <f>IF(OR(LEFT($L46,7)="Vencida",LEFT($L46,5)="Vence"),SUMPRODUCT(--(LEFT($L$5:$L46,7)="Vencida"))+SUMPRODUCT(--(LEFT($L$5:$L46,5)="Vence")),"")</f>
        <v/>
      </c>
    </row>
    <row r="47">
      <c r="A47" s="56">
        <f>IF($N47="","",INDEX('Cronograma R. Operacional'!$A$5:$A$1000,$N47))</f>
        <v/>
      </c>
      <c r="B47" s="62">
        <f>IF($N47="","",IF($O47="Sub","      ↳  "&amp;INDEX('Cronograma R. Operacional'!$C$5:$C$1000,$N47),INDEX('Cronograma R. Operacional'!$C$5:$C$1000,$N47)&amp;""))</f>
        <v/>
      </c>
      <c r="C47" s="79">
        <f>IF($N47="","",IF(INDEX('Cronograma R. Operacional'!$AR$5:$AR$1000,$N47)="","",INDEX('Cronograma R. Operacional'!$AR$5:$AR$1000,$N47)))</f>
        <v/>
      </c>
      <c r="D47" s="79">
        <f>IF($N47="","",IF(INDEX('Cronograma R. Operacional'!$AS$5:$AS$1000,$N47)="","",INDEX('Cronograma R. Operacional'!$AS$5:$AS$1000,$N47)))</f>
        <v/>
      </c>
      <c r="E47" s="56">
        <f>IF($N47="","",IF(NOT(ISNUMBER($D47)),"",IF($D47&lt;InicioCiclo,"Antes del ciclo",IF($D47&gt;=InicioCiclo+28,"Después del ciclo","Semana "&amp;(INT(($D47-InicioCiclo)/7)+1)))))</f>
        <v/>
      </c>
      <c r="F47" s="61">
        <f>IF($N47="","",IF($P47&gt;0,IF(1&lt;=SemanaActual,INDEX('Cronograma R. Operacional'!$AH$5:$AH$1000,$N47),""),IF(INDEX('Cronograma R. Operacional'!$I$5:$I$1000,$N47)="","",INDEX('Cronograma R. Operacional'!$I$5:$I$1000,$N47))))</f>
        <v/>
      </c>
      <c r="G47" s="61">
        <f>IF($N47="","",IF($P47&gt;0,IF(2&lt;=SemanaActual,INDEX('Cronograma R. Operacional'!$AI$5:$AI$1000,$N47),""),IF(INDEX('Cronograma R. Operacional'!$J$5:$J$1000,$N47)="","",INDEX('Cronograma R. Operacional'!$J$5:$J$1000,$N47))))</f>
        <v/>
      </c>
      <c r="H47" s="61">
        <f>IF($N47="","",IF($P47&gt;0,IF(3&lt;=SemanaActual,INDEX('Cronograma R. Operacional'!$AJ$5:$AJ$1000,$N47),""),IF(INDEX('Cronograma R. Operacional'!$K$5:$K$1000,$N47)="","",INDEX('Cronograma R. Operacional'!$K$5:$K$1000,$N47))))</f>
        <v/>
      </c>
      <c r="I47" s="61">
        <f>IF($N47="","",IF($P47&gt;0,IF(4&lt;=SemanaActual,INDEX('Cronograma R. Operacional'!$AK$5:$AK$1000,$N47),""),IF(INDEX('Cronograma R. Operacional'!$L$5:$L$1000,$N47)="","",INDEX('Cronograma R. Operacional'!$L$5:$L$1000,$N47))))</f>
        <v/>
      </c>
      <c r="J47" s="61">
        <f>IF($N47="","",INDEX('Cronograma R. Operacional'!$M$5:$M$1000,$N47))</f>
        <v/>
      </c>
      <c r="K47" s="56">
        <f>IF($N47="","",IF(N($J47)&gt;=1,"Completado",IF(AND(ISNUMBER($D47),$D47&lt;FechaRef),"Vencida",IF(N($J47)&gt;0,"En curso","Pendiente"))))</f>
        <v/>
      </c>
      <c r="L47" s="56">
        <f>IF($N47="","",INDEX('Cronograma R. Operacional'!$O$5:$O$1000,$N47)&amp;"")</f>
        <v/>
      </c>
      <c r="M47" s="62">
        <f>IF($N47="","",INDEX('Cronograma R. Operacional'!$Q$5:$Q$1000,$N47)&amp;"")</f>
        <v/>
      </c>
      <c r="N47">
        <f>IFERROR(MATCH(ROW()-4,rOrden_RO,0),"")</f>
        <v/>
      </c>
      <c r="O47">
        <f>IF($N47="","",INDEX('Cronograma R. Operacional'!$V$5:$V$1000,$N47))</f>
        <v/>
      </c>
      <c r="P47">
        <f>IF($N47="","",N(INDEX('Cronograma R. Operacional'!$W$5:$W$1000,$N47)))</f>
        <v/>
      </c>
      <c r="Q47">
        <f>IF(OR(LEFT($L47,7)="Vencida",LEFT($L47,5)="Vence"),SUMPRODUCT(--(LEFT($L$5:$L47,7)="Vencida"))+SUMPRODUCT(--(LEFT($L$5:$L47,5)="Vence")),"")</f>
        <v/>
      </c>
    </row>
    <row r="48">
      <c r="A48" s="56">
        <f>IF($N48="","",INDEX('Cronograma R. Operacional'!$A$5:$A$1000,$N48))</f>
        <v/>
      </c>
      <c r="B48" s="62">
        <f>IF($N48="","",IF($O48="Sub","      ↳  "&amp;INDEX('Cronograma R. Operacional'!$C$5:$C$1000,$N48),INDEX('Cronograma R. Operacional'!$C$5:$C$1000,$N48)&amp;""))</f>
        <v/>
      </c>
      <c r="C48" s="79">
        <f>IF($N48="","",IF(INDEX('Cronograma R. Operacional'!$AR$5:$AR$1000,$N48)="","",INDEX('Cronograma R. Operacional'!$AR$5:$AR$1000,$N48)))</f>
        <v/>
      </c>
      <c r="D48" s="79">
        <f>IF($N48="","",IF(INDEX('Cronograma R. Operacional'!$AS$5:$AS$1000,$N48)="","",INDEX('Cronograma R. Operacional'!$AS$5:$AS$1000,$N48)))</f>
        <v/>
      </c>
      <c r="E48" s="56">
        <f>IF($N48="","",IF(NOT(ISNUMBER($D48)),"",IF($D48&lt;InicioCiclo,"Antes del ciclo",IF($D48&gt;=InicioCiclo+28,"Después del ciclo","Semana "&amp;(INT(($D48-InicioCiclo)/7)+1)))))</f>
        <v/>
      </c>
      <c r="F48" s="61">
        <f>IF($N48="","",IF($P48&gt;0,IF(1&lt;=SemanaActual,INDEX('Cronograma R. Operacional'!$AH$5:$AH$1000,$N48),""),IF(INDEX('Cronograma R. Operacional'!$I$5:$I$1000,$N48)="","",INDEX('Cronograma R. Operacional'!$I$5:$I$1000,$N48))))</f>
        <v/>
      </c>
      <c r="G48" s="61">
        <f>IF($N48="","",IF($P48&gt;0,IF(2&lt;=SemanaActual,INDEX('Cronograma R. Operacional'!$AI$5:$AI$1000,$N48),""),IF(INDEX('Cronograma R. Operacional'!$J$5:$J$1000,$N48)="","",INDEX('Cronograma R. Operacional'!$J$5:$J$1000,$N48))))</f>
        <v/>
      </c>
      <c r="H48" s="61">
        <f>IF($N48="","",IF($P48&gt;0,IF(3&lt;=SemanaActual,INDEX('Cronograma R. Operacional'!$AJ$5:$AJ$1000,$N48),""),IF(INDEX('Cronograma R. Operacional'!$K$5:$K$1000,$N48)="","",INDEX('Cronograma R. Operacional'!$K$5:$K$1000,$N48))))</f>
        <v/>
      </c>
      <c r="I48" s="61">
        <f>IF($N48="","",IF($P48&gt;0,IF(4&lt;=SemanaActual,INDEX('Cronograma R. Operacional'!$AK$5:$AK$1000,$N48),""),IF(INDEX('Cronograma R. Operacional'!$L$5:$L$1000,$N48)="","",INDEX('Cronograma R. Operacional'!$L$5:$L$1000,$N48))))</f>
        <v/>
      </c>
      <c r="J48" s="61">
        <f>IF($N48="","",INDEX('Cronograma R. Operacional'!$M$5:$M$1000,$N48))</f>
        <v/>
      </c>
      <c r="K48" s="56">
        <f>IF($N48="","",IF(N($J48)&gt;=1,"Completado",IF(AND(ISNUMBER($D48),$D48&lt;FechaRef),"Vencida",IF(N($J48)&gt;0,"En curso","Pendiente"))))</f>
        <v/>
      </c>
      <c r="L48" s="56">
        <f>IF($N48="","",INDEX('Cronograma R. Operacional'!$O$5:$O$1000,$N48)&amp;"")</f>
        <v/>
      </c>
      <c r="M48" s="62">
        <f>IF($N48="","",INDEX('Cronograma R. Operacional'!$Q$5:$Q$1000,$N48)&amp;"")</f>
        <v/>
      </c>
      <c r="N48">
        <f>IFERROR(MATCH(ROW()-4,rOrden_RO,0),"")</f>
        <v/>
      </c>
      <c r="O48">
        <f>IF($N48="","",INDEX('Cronograma R. Operacional'!$V$5:$V$1000,$N48))</f>
        <v/>
      </c>
      <c r="P48">
        <f>IF($N48="","",N(INDEX('Cronograma R. Operacional'!$W$5:$W$1000,$N48)))</f>
        <v/>
      </c>
      <c r="Q48">
        <f>IF(OR(LEFT($L48,7)="Vencida",LEFT($L48,5)="Vence"),SUMPRODUCT(--(LEFT($L$5:$L48,7)="Vencida"))+SUMPRODUCT(--(LEFT($L$5:$L48,5)="Vence")),"")</f>
        <v/>
      </c>
    </row>
    <row r="49">
      <c r="A49" s="56">
        <f>IF($N49="","",INDEX('Cronograma R. Operacional'!$A$5:$A$1000,$N49))</f>
        <v/>
      </c>
      <c r="B49" s="62">
        <f>IF($N49="","",IF($O49="Sub","      ↳  "&amp;INDEX('Cronograma R. Operacional'!$C$5:$C$1000,$N49),INDEX('Cronograma R. Operacional'!$C$5:$C$1000,$N49)&amp;""))</f>
        <v/>
      </c>
      <c r="C49" s="79">
        <f>IF($N49="","",IF(INDEX('Cronograma R. Operacional'!$AR$5:$AR$1000,$N49)="","",INDEX('Cronograma R. Operacional'!$AR$5:$AR$1000,$N49)))</f>
        <v/>
      </c>
      <c r="D49" s="79">
        <f>IF($N49="","",IF(INDEX('Cronograma R. Operacional'!$AS$5:$AS$1000,$N49)="","",INDEX('Cronograma R. Operacional'!$AS$5:$AS$1000,$N49)))</f>
        <v/>
      </c>
      <c r="E49" s="56">
        <f>IF($N49="","",IF(NOT(ISNUMBER($D49)),"",IF($D49&lt;InicioCiclo,"Antes del ciclo",IF($D49&gt;=InicioCiclo+28,"Después del ciclo","Semana "&amp;(INT(($D49-InicioCiclo)/7)+1)))))</f>
        <v/>
      </c>
      <c r="F49" s="61">
        <f>IF($N49="","",IF($P49&gt;0,IF(1&lt;=SemanaActual,INDEX('Cronograma R. Operacional'!$AH$5:$AH$1000,$N49),""),IF(INDEX('Cronograma R. Operacional'!$I$5:$I$1000,$N49)="","",INDEX('Cronograma R. Operacional'!$I$5:$I$1000,$N49))))</f>
        <v/>
      </c>
      <c r="G49" s="61">
        <f>IF($N49="","",IF($P49&gt;0,IF(2&lt;=SemanaActual,INDEX('Cronograma R. Operacional'!$AI$5:$AI$1000,$N49),""),IF(INDEX('Cronograma R. Operacional'!$J$5:$J$1000,$N49)="","",INDEX('Cronograma R. Operacional'!$J$5:$J$1000,$N49))))</f>
        <v/>
      </c>
      <c r="H49" s="61">
        <f>IF($N49="","",IF($P49&gt;0,IF(3&lt;=SemanaActual,INDEX('Cronograma R. Operacional'!$AJ$5:$AJ$1000,$N49),""),IF(INDEX('Cronograma R. Operacional'!$K$5:$K$1000,$N49)="","",INDEX('Cronograma R. Operacional'!$K$5:$K$1000,$N49))))</f>
        <v/>
      </c>
      <c r="I49" s="61">
        <f>IF($N49="","",IF($P49&gt;0,IF(4&lt;=SemanaActual,INDEX('Cronograma R. Operacional'!$AK$5:$AK$1000,$N49),""),IF(INDEX('Cronograma R. Operacional'!$L$5:$L$1000,$N49)="","",INDEX('Cronograma R. Operacional'!$L$5:$L$1000,$N49))))</f>
        <v/>
      </c>
      <c r="J49" s="61">
        <f>IF($N49="","",INDEX('Cronograma R. Operacional'!$M$5:$M$1000,$N49))</f>
        <v/>
      </c>
      <c r="K49" s="56">
        <f>IF($N49="","",IF(N($J49)&gt;=1,"Completado",IF(AND(ISNUMBER($D49),$D49&lt;FechaRef),"Vencida",IF(N($J49)&gt;0,"En curso","Pendiente"))))</f>
        <v/>
      </c>
      <c r="L49" s="56">
        <f>IF($N49="","",INDEX('Cronograma R. Operacional'!$O$5:$O$1000,$N49)&amp;"")</f>
        <v/>
      </c>
      <c r="M49" s="62">
        <f>IF($N49="","",INDEX('Cronograma R. Operacional'!$Q$5:$Q$1000,$N49)&amp;"")</f>
        <v/>
      </c>
      <c r="N49">
        <f>IFERROR(MATCH(ROW()-4,rOrden_RO,0),"")</f>
        <v/>
      </c>
      <c r="O49">
        <f>IF($N49="","",INDEX('Cronograma R. Operacional'!$V$5:$V$1000,$N49))</f>
        <v/>
      </c>
      <c r="P49">
        <f>IF($N49="","",N(INDEX('Cronograma R. Operacional'!$W$5:$W$1000,$N49)))</f>
        <v/>
      </c>
      <c r="Q49">
        <f>IF(OR(LEFT($L49,7)="Vencida",LEFT($L49,5)="Vence"),SUMPRODUCT(--(LEFT($L$5:$L49,7)="Vencida"))+SUMPRODUCT(--(LEFT($L$5:$L49,5)="Vence")),"")</f>
        <v/>
      </c>
    </row>
    <row r="50">
      <c r="A50" s="56">
        <f>IF($N50="","",INDEX('Cronograma R. Operacional'!$A$5:$A$1000,$N50))</f>
        <v/>
      </c>
      <c r="B50" s="62">
        <f>IF($N50="","",IF($O50="Sub","      ↳  "&amp;INDEX('Cronograma R. Operacional'!$C$5:$C$1000,$N50),INDEX('Cronograma R. Operacional'!$C$5:$C$1000,$N50)&amp;""))</f>
        <v/>
      </c>
      <c r="C50" s="79">
        <f>IF($N50="","",IF(INDEX('Cronograma R. Operacional'!$AR$5:$AR$1000,$N50)="","",INDEX('Cronograma R. Operacional'!$AR$5:$AR$1000,$N50)))</f>
        <v/>
      </c>
      <c r="D50" s="79">
        <f>IF($N50="","",IF(INDEX('Cronograma R. Operacional'!$AS$5:$AS$1000,$N50)="","",INDEX('Cronograma R. Operacional'!$AS$5:$AS$1000,$N50)))</f>
        <v/>
      </c>
      <c r="E50" s="56">
        <f>IF($N50="","",IF(NOT(ISNUMBER($D50)),"",IF($D50&lt;InicioCiclo,"Antes del ciclo",IF($D50&gt;=InicioCiclo+28,"Después del ciclo","Semana "&amp;(INT(($D50-InicioCiclo)/7)+1)))))</f>
        <v/>
      </c>
      <c r="F50" s="61">
        <f>IF($N50="","",IF($P50&gt;0,IF(1&lt;=SemanaActual,INDEX('Cronograma R. Operacional'!$AH$5:$AH$1000,$N50),""),IF(INDEX('Cronograma R. Operacional'!$I$5:$I$1000,$N50)="","",INDEX('Cronograma R. Operacional'!$I$5:$I$1000,$N50))))</f>
        <v/>
      </c>
      <c r="G50" s="61">
        <f>IF($N50="","",IF($P50&gt;0,IF(2&lt;=SemanaActual,INDEX('Cronograma R. Operacional'!$AI$5:$AI$1000,$N50),""),IF(INDEX('Cronograma R. Operacional'!$J$5:$J$1000,$N50)="","",INDEX('Cronograma R. Operacional'!$J$5:$J$1000,$N50))))</f>
        <v/>
      </c>
      <c r="H50" s="61">
        <f>IF($N50="","",IF($P50&gt;0,IF(3&lt;=SemanaActual,INDEX('Cronograma R. Operacional'!$AJ$5:$AJ$1000,$N50),""),IF(INDEX('Cronograma R. Operacional'!$K$5:$K$1000,$N50)="","",INDEX('Cronograma R. Operacional'!$K$5:$K$1000,$N50))))</f>
        <v/>
      </c>
      <c r="I50" s="61">
        <f>IF($N50="","",IF($P50&gt;0,IF(4&lt;=SemanaActual,INDEX('Cronograma R. Operacional'!$AK$5:$AK$1000,$N50),""),IF(INDEX('Cronograma R. Operacional'!$L$5:$L$1000,$N50)="","",INDEX('Cronograma R. Operacional'!$L$5:$L$1000,$N50))))</f>
        <v/>
      </c>
      <c r="J50" s="61">
        <f>IF($N50="","",INDEX('Cronograma R. Operacional'!$M$5:$M$1000,$N50))</f>
        <v/>
      </c>
      <c r="K50" s="56">
        <f>IF($N50="","",IF(N($J50)&gt;=1,"Completado",IF(AND(ISNUMBER($D50),$D50&lt;FechaRef),"Vencida",IF(N($J50)&gt;0,"En curso","Pendiente"))))</f>
        <v/>
      </c>
      <c r="L50" s="56">
        <f>IF($N50="","",INDEX('Cronograma R. Operacional'!$O$5:$O$1000,$N50)&amp;"")</f>
        <v/>
      </c>
      <c r="M50" s="62">
        <f>IF($N50="","",INDEX('Cronograma R. Operacional'!$Q$5:$Q$1000,$N50)&amp;"")</f>
        <v/>
      </c>
      <c r="N50">
        <f>IFERROR(MATCH(ROW()-4,rOrden_RO,0),"")</f>
        <v/>
      </c>
      <c r="O50">
        <f>IF($N50="","",INDEX('Cronograma R. Operacional'!$V$5:$V$1000,$N50))</f>
        <v/>
      </c>
      <c r="P50">
        <f>IF($N50="","",N(INDEX('Cronograma R. Operacional'!$W$5:$W$1000,$N50)))</f>
        <v/>
      </c>
      <c r="Q50">
        <f>IF(OR(LEFT($L50,7)="Vencida",LEFT($L50,5)="Vence"),SUMPRODUCT(--(LEFT($L$5:$L50,7)="Vencida"))+SUMPRODUCT(--(LEFT($L$5:$L50,5)="Vence")),"")</f>
        <v/>
      </c>
    </row>
    <row r="51">
      <c r="A51" s="56">
        <f>IF($N51="","",INDEX('Cronograma R. Operacional'!$A$5:$A$1000,$N51))</f>
        <v/>
      </c>
      <c r="B51" s="62">
        <f>IF($N51="","",IF($O51="Sub","      ↳  "&amp;INDEX('Cronograma R. Operacional'!$C$5:$C$1000,$N51),INDEX('Cronograma R. Operacional'!$C$5:$C$1000,$N51)&amp;""))</f>
        <v/>
      </c>
      <c r="C51" s="79">
        <f>IF($N51="","",IF(INDEX('Cronograma R. Operacional'!$AR$5:$AR$1000,$N51)="","",INDEX('Cronograma R. Operacional'!$AR$5:$AR$1000,$N51)))</f>
        <v/>
      </c>
      <c r="D51" s="79">
        <f>IF($N51="","",IF(INDEX('Cronograma R. Operacional'!$AS$5:$AS$1000,$N51)="","",INDEX('Cronograma R. Operacional'!$AS$5:$AS$1000,$N51)))</f>
        <v/>
      </c>
      <c r="E51" s="56">
        <f>IF($N51="","",IF(NOT(ISNUMBER($D51)),"",IF($D51&lt;InicioCiclo,"Antes del ciclo",IF($D51&gt;=InicioCiclo+28,"Después del ciclo","Semana "&amp;(INT(($D51-InicioCiclo)/7)+1)))))</f>
        <v/>
      </c>
      <c r="F51" s="61">
        <f>IF($N51="","",IF($P51&gt;0,IF(1&lt;=SemanaActual,INDEX('Cronograma R. Operacional'!$AH$5:$AH$1000,$N51),""),IF(INDEX('Cronograma R. Operacional'!$I$5:$I$1000,$N51)="","",INDEX('Cronograma R. Operacional'!$I$5:$I$1000,$N51))))</f>
        <v/>
      </c>
      <c r="G51" s="61">
        <f>IF($N51="","",IF($P51&gt;0,IF(2&lt;=SemanaActual,INDEX('Cronograma R. Operacional'!$AI$5:$AI$1000,$N51),""),IF(INDEX('Cronograma R. Operacional'!$J$5:$J$1000,$N51)="","",INDEX('Cronograma R. Operacional'!$J$5:$J$1000,$N51))))</f>
        <v/>
      </c>
      <c r="H51" s="61">
        <f>IF($N51="","",IF($P51&gt;0,IF(3&lt;=SemanaActual,INDEX('Cronograma R. Operacional'!$AJ$5:$AJ$1000,$N51),""),IF(INDEX('Cronograma R. Operacional'!$K$5:$K$1000,$N51)="","",INDEX('Cronograma R. Operacional'!$K$5:$K$1000,$N51))))</f>
        <v/>
      </c>
      <c r="I51" s="61">
        <f>IF($N51="","",IF($P51&gt;0,IF(4&lt;=SemanaActual,INDEX('Cronograma R. Operacional'!$AK$5:$AK$1000,$N51),""),IF(INDEX('Cronograma R. Operacional'!$L$5:$L$1000,$N51)="","",INDEX('Cronograma R. Operacional'!$L$5:$L$1000,$N51))))</f>
        <v/>
      </c>
      <c r="J51" s="61">
        <f>IF($N51="","",INDEX('Cronograma R. Operacional'!$M$5:$M$1000,$N51))</f>
        <v/>
      </c>
      <c r="K51" s="56">
        <f>IF($N51="","",IF(N($J51)&gt;=1,"Completado",IF(AND(ISNUMBER($D51),$D51&lt;FechaRef),"Vencida",IF(N($J51)&gt;0,"En curso","Pendiente"))))</f>
        <v/>
      </c>
      <c r="L51" s="56">
        <f>IF($N51="","",INDEX('Cronograma R. Operacional'!$O$5:$O$1000,$N51)&amp;"")</f>
        <v/>
      </c>
      <c r="M51" s="62">
        <f>IF($N51="","",INDEX('Cronograma R. Operacional'!$Q$5:$Q$1000,$N51)&amp;"")</f>
        <v/>
      </c>
      <c r="N51">
        <f>IFERROR(MATCH(ROW()-4,rOrden_RO,0),"")</f>
        <v/>
      </c>
      <c r="O51">
        <f>IF($N51="","",INDEX('Cronograma R. Operacional'!$V$5:$V$1000,$N51))</f>
        <v/>
      </c>
      <c r="P51">
        <f>IF($N51="","",N(INDEX('Cronograma R. Operacional'!$W$5:$W$1000,$N51)))</f>
        <v/>
      </c>
      <c r="Q51">
        <f>IF(OR(LEFT($L51,7)="Vencida",LEFT($L51,5)="Vence"),SUMPRODUCT(--(LEFT($L$5:$L51,7)="Vencida"))+SUMPRODUCT(--(LEFT($L$5:$L51,5)="Vence")),"")</f>
        <v/>
      </c>
    </row>
    <row r="52">
      <c r="A52" s="56">
        <f>IF($N52="","",INDEX('Cronograma R. Operacional'!$A$5:$A$1000,$N52))</f>
        <v/>
      </c>
      <c r="B52" s="62">
        <f>IF($N52="","",IF($O52="Sub","      ↳  "&amp;INDEX('Cronograma R. Operacional'!$C$5:$C$1000,$N52),INDEX('Cronograma R. Operacional'!$C$5:$C$1000,$N52)&amp;""))</f>
        <v/>
      </c>
      <c r="C52" s="79">
        <f>IF($N52="","",IF(INDEX('Cronograma R. Operacional'!$AR$5:$AR$1000,$N52)="","",INDEX('Cronograma R. Operacional'!$AR$5:$AR$1000,$N52)))</f>
        <v/>
      </c>
      <c r="D52" s="79">
        <f>IF($N52="","",IF(INDEX('Cronograma R. Operacional'!$AS$5:$AS$1000,$N52)="","",INDEX('Cronograma R. Operacional'!$AS$5:$AS$1000,$N52)))</f>
        <v/>
      </c>
      <c r="E52" s="56">
        <f>IF($N52="","",IF(NOT(ISNUMBER($D52)),"",IF($D52&lt;InicioCiclo,"Antes del ciclo",IF($D52&gt;=InicioCiclo+28,"Después del ciclo","Semana "&amp;(INT(($D52-InicioCiclo)/7)+1)))))</f>
        <v/>
      </c>
      <c r="F52" s="61">
        <f>IF($N52="","",IF($P52&gt;0,IF(1&lt;=SemanaActual,INDEX('Cronograma R. Operacional'!$AH$5:$AH$1000,$N52),""),IF(INDEX('Cronograma R. Operacional'!$I$5:$I$1000,$N52)="","",INDEX('Cronograma R. Operacional'!$I$5:$I$1000,$N52))))</f>
        <v/>
      </c>
      <c r="G52" s="61">
        <f>IF($N52="","",IF($P52&gt;0,IF(2&lt;=SemanaActual,INDEX('Cronograma R. Operacional'!$AI$5:$AI$1000,$N52),""),IF(INDEX('Cronograma R. Operacional'!$J$5:$J$1000,$N52)="","",INDEX('Cronograma R. Operacional'!$J$5:$J$1000,$N52))))</f>
        <v/>
      </c>
      <c r="H52" s="61">
        <f>IF($N52="","",IF($P52&gt;0,IF(3&lt;=SemanaActual,INDEX('Cronograma R. Operacional'!$AJ$5:$AJ$1000,$N52),""),IF(INDEX('Cronograma R. Operacional'!$K$5:$K$1000,$N52)="","",INDEX('Cronograma R. Operacional'!$K$5:$K$1000,$N52))))</f>
        <v/>
      </c>
      <c r="I52" s="61">
        <f>IF($N52="","",IF($P52&gt;0,IF(4&lt;=SemanaActual,INDEX('Cronograma R. Operacional'!$AK$5:$AK$1000,$N52),""),IF(INDEX('Cronograma R. Operacional'!$L$5:$L$1000,$N52)="","",INDEX('Cronograma R. Operacional'!$L$5:$L$1000,$N52))))</f>
        <v/>
      </c>
      <c r="J52" s="61">
        <f>IF($N52="","",INDEX('Cronograma R. Operacional'!$M$5:$M$1000,$N52))</f>
        <v/>
      </c>
      <c r="K52" s="56">
        <f>IF($N52="","",IF(N($J52)&gt;=1,"Completado",IF(AND(ISNUMBER($D52),$D52&lt;FechaRef),"Vencida",IF(N($J52)&gt;0,"En curso","Pendiente"))))</f>
        <v/>
      </c>
      <c r="L52" s="56">
        <f>IF($N52="","",INDEX('Cronograma R. Operacional'!$O$5:$O$1000,$N52)&amp;"")</f>
        <v/>
      </c>
      <c r="M52" s="62">
        <f>IF($N52="","",INDEX('Cronograma R. Operacional'!$Q$5:$Q$1000,$N52)&amp;"")</f>
        <v/>
      </c>
      <c r="N52">
        <f>IFERROR(MATCH(ROW()-4,rOrden_RO,0),"")</f>
        <v/>
      </c>
      <c r="O52">
        <f>IF($N52="","",INDEX('Cronograma R. Operacional'!$V$5:$V$1000,$N52))</f>
        <v/>
      </c>
      <c r="P52">
        <f>IF($N52="","",N(INDEX('Cronograma R. Operacional'!$W$5:$W$1000,$N52)))</f>
        <v/>
      </c>
      <c r="Q52">
        <f>IF(OR(LEFT($L52,7)="Vencida",LEFT($L52,5)="Vence"),SUMPRODUCT(--(LEFT($L$5:$L52,7)="Vencida"))+SUMPRODUCT(--(LEFT($L$5:$L52,5)="Vence")),"")</f>
        <v/>
      </c>
    </row>
    <row r="53">
      <c r="A53" s="56">
        <f>IF($N53="","",INDEX('Cronograma R. Operacional'!$A$5:$A$1000,$N53))</f>
        <v/>
      </c>
      <c r="B53" s="62">
        <f>IF($N53="","",IF($O53="Sub","      ↳  "&amp;INDEX('Cronograma R. Operacional'!$C$5:$C$1000,$N53),INDEX('Cronograma R. Operacional'!$C$5:$C$1000,$N53)&amp;""))</f>
        <v/>
      </c>
      <c r="C53" s="79">
        <f>IF($N53="","",IF(INDEX('Cronograma R. Operacional'!$AR$5:$AR$1000,$N53)="","",INDEX('Cronograma R. Operacional'!$AR$5:$AR$1000,$N53)))</f>
        <v/>
      </c>
      <c r="D53" s="79">
        <f>IF($N53="","",IF(INDEX('Cronograma R. Operacional'!$AS$5:$AS$1000,$N53)="","",INDEX('Cronograma R. Operacional'!$AS$5:$AS$1000,$N53)))</f>
        <v/>
      </c>
      <c r="E53" s="56">
        <f>IF($N53="","",IF(NOT(ISNUMBER($D53)),"",IF($D53&lt;InicioCiclo,"Antes del ciclo",IF($D53&gt;=InicioCiclo+28,"Después del ciclo","Semana "&amp;(INT(($D53-InicioCiclo)/7)+1)))))</f>
        <v/>
      </c>
      <c r="F53" s="61">
        <f>IF($N53="","",IF($P53&gt;0,IF(1&lt;=SemanaActual,INDEX('Cronograma R. Operacional'!$AH$5:$AH$1000,$N53),""),IF(INDEX('Cronograma R. Operacional'!$I$5:$I$1000,$N53)="","",INDEX('Cronograma R. Operacional'!$I$5:$I$1000,$N53))))</f>
        <v/>
      </c>
      <c r="G53" s="61">
        <f>IF($N53="","",IF($P53&gt;0,IF(2&lt;=SemanaActual,INDEX('Cronograma R. Operacional'!$AI$5:$AI$1000,$N53),""),IF(INDEX('Cronograma R. Operacional'!$J$5:$J$1000,$N53)="","",INDEX('Cronograma R. Operacional'!$J$5:$J$1000,$N53))))</f>
        <v/>
      </c>
      <c r="H53" s="61">
        <f>IF($N53="","",IF($P53&gt;0,IF(3&lt;=SemanaActual,INDEX('Cronograma R. Operacional'!$AJ$5:$AJ$1000,$N53),""),IF(INDEX('Cronograma R. Operacional'!$K$5:$K$1000,$N53)="","",INDEX('Cronograma R. Operacional'!$K$5:$K$1000,$N53))))</f>
        <v/>
      </c>
      <c r="I53" s="61">
        <f>IF($N53="","",IF($P53&gt;0,IF(4&lt;=SemanaActual,INDEX('Cronograma R. Operacional'!$AK$5:$AK$1000,$N53),""),IF(INDEX('Cronograma R. Operacional'!$L$5:$L$1000,$N53)="","",INDEX('Cronograma R. Operacional'!$L$5:$L$1000,$N53))))</f>
        <v/>
      </c>
      <c r="J53" s="61">
        <f>IF($N53="","",INDEX('Cronograma R. Operacional'!$M$5:$M$1000,$N53))</f>
        <v/>
      </c>
      <c r="K53" s="56">
        <f>IF($N53="","",IF(N($J53)&gt;=1,"Completado",IF(AND(ISNUMBER($D53),$D53&lt;FechaRef),"Vencida",IF(N($J53)&gt;0,"En curso","Pendiente"))))</f>
        <v/>
      </c>
      <c r="L53" s="56">
        <f>IF($N53="","",INDEX('Cronograma R. Operacional'!$O$5:$O$1000,$N53)&amp;"")</f>
        <v/>
      </c>
      <c r="M53" s="62">
        <f>IF($N53="","",INDEX('Cronograma R. Operacional'!$Q$5:$Q$1000,$N53)&amp;"")</f>
        <v/>
      </c>
      <c r="N53">
        <f>IFERROR(MATCH(ROW()-4,rOrden_RO,0),"")</f>
        <v/>
      </c>
      <c r="O53">
        <f>IF($N53="","",INDEX('Cronograma R. Operacional'!$V$5:$V$1000,$N53))</f>
        <v/>
      </c>
      <c r="P53">
        <f>IF($N53="","",N(INDEX('Cronograma R. Operacional'!$W$5:$W$1000,$N53)))</f>
        <v/>
      </c>
      <c r="Q53">
        <f>IF(OR(LEFT($L53,7)="Vencida",LEFT($L53,5)="Vence"),SUMPRODUCT(--(LEFT($L$5:$L53,7)="Vencida"))+SUMPRODUCT(--(LEFT($L$5:$L53,5)="Vence")),"")</f>
        <v/>
      </c>
    </row>
    <row r="54">
      <c r="A54" s="56">
        <f>IF($N54="","",INDEX('Cronograma R. Operacional'!$A$5:$A$1000,$N54))</f>
        <v/>
      </c>
      <c r="B54" s="62">
        <f>IF($N54="","",IF($O54="Sub","      ↳  "&amp;INDEX('Cronograma R. Operacional'!$C$5:$C$1000,$N54),INDEX('Cronograma R. Operacional'!$C$5:$C$1000,$N54)&amp;""))</f>
        <v/>
      </c>
      <c r="C54" s="79">
        <f>IF($N54="","",IF(INDEX('Cronograma R. Operacional'!$AR$5:$AR$1000,$N54)="","",INDEX('Cronograma R. Operacional'!$AR$5:$AR$1000,$N54)))</f>
        <v/>
      </c>
      <c r="D54" s="79">
        <f>IF($N54="","",IF(INDEX('Cronograma R. Operacional'!$AS$5:$AS$1000,$N54)="","",INDEX('Cronograma R. Operacional'!$AS$5:$AS$1000,$N54)))</f>
        <v/>
      </c>
      <c r="E54" s="56">
        <f>IF($N54="","",IF(NOT(ISNUMBER($D54)),"",IF($D54&lt;InicioCiclo,"Antes del ciclo",IF($D54&gt;=InicioCiclo+28,"Después del ciclo","Semana "&amp;(INT(($D54-InicioCiclo)/7)+1)))))</f>
        <v/>
      </c>
      <c r="F54" s="61">
        <f>IF($N54="","",IF($P54&gt;0,IF(1&lt;=SemanaActual,INDEX('Cronograma R. Operacional'!$AH$5:$AH$1000,$N54),""),IF(INDEX('Cronograma R. Operacional'!$I$5:$I$1000,$N54)="","",INDEX('Cronograma R. Operacional'!$I$5:$I$1000,$N54))))</f>
        <v/>
      </c>
      <c r="G54" s="61">
        <f>IF($N54="","",IF($P54&gt;0,IF(2&lt;=SemanaActual,INDEX('Cronograma R. Operacional'!$AI$5:$AI$1000,$N54),""),IF(INDEX('Cronograma R. Operacional'!$J$5:$J$1000,$N54)="","",INDEX('Cronograma R. Operacional'!$J$5:$J$1000,$N54))))</f>
        <v/>
      </c>
      <c r="H54" s="61">
        <f>IF($N54="","",IF($P54&gt;0,IF(3&lt;=SemanaActual,INDEX('Cronograma R. Operacional'!$AJ$5:$AJ$1000,$N54),""),IF(INDEX('Cronograma R. Operacional'!$K$5:$K$1000,$N54)="","",INDEX('Cronograma R. Operacional'!$K$5:$K$1000,$N54))))</f>
        <v/>
      </c>
      <c r="I54" s="61">
        <f>IF($N54="","",IF($P54&gt;0,IF(4&lt;=SemanaActual,INDEX('Cronograma R. Operacional'!$AK$5:$AK$1000,$N54),""),IF(INDEX('Cronograma R. Operacional'!$L$5:$L$1000,$N54)="","",INDEX('Cronograma R. Operacional'!$L$5:$L$1000,$N54))))</f>
        <v/>
      </c>
      <c r="J54" s="61">
        <f>IF($N54="","",INDEX('Cronograma R. Operacional'!$M$5:$M$1000,$N54))</f>
        <v/>
      </c>
      <c r="K54" s="56">
        <f>IF($N54="","",IF(N($J54)&gt;=1,"Completado",IF(AND(ISNUMBER($D54),$D54&lt;FechaRef),"Vencida",IF(N($J54)&gt;0,"En curso","Pendiente"))))</f>
        <v/>
      </c>
      <c r="L54" s="56">
        <f>IF($N54="","",INDEX('Cronograma R. Operacional'!$O$5:$O$1000,$N54)&amp;"")</f>
        <v/>
      </c>
      <c r="M54" s="62">
        <f>IF($N54="","",INDEX('Cronograma R. Operacional'!$Q$5:$Q$1000,$N54)&amp;"")</f>
        <v/>
      </c>
      <c r="N54">
        <f>IFERROR(MATCH(ROW()-4,rOrden_RO,0),"")</f>
        <v/>
      </c>
      <c r="O54">
        <f>IF($N54="","",INDEX('Cronograma R. Operacional'!$V$5:$V$1000,$N54))</f>
        <v/>
      </c>
      <c r="P54">
        <f>IF($N54="","",N(INDEX('Cronograma R. Operacional'!$W$5:$W$1000,$N54)))</f>
        <v/>
      </c>
      <c r="Q54">
        <f>IF(OR(LEFT($L54,7)="Vencida",LEFT($L54,5)="Vence"),SUMPRODUCT(--(LEFT($L$5:$L54,7)="Vencida"))+SUMPRODUCT(--(LEFT($L$5:$L54,5)="Vence")),"")</f>
        <v/>
      </c>
    </row>
    <row r="55">
      <c r="A55" s="56">
        <f>IF($N55="","",INDEX('Cronograma R. Operacional'!$A$5:$A$1000,$N55))</f>
        <v/>
      </c>
      <c r="B55" s="62">
        <f>IF($N55="","",IF($O55="Sub","      ↳  "&amp;INDEX('Cronograma R. Operacional'!$C$5:$C$1000,$N55),INDEX('Cronograma R. Operacional'!$C$5:$C$1000,$N55)&amp;""))</f>
        <v/>
      </c>
      <c r="C55" s="79">
        <f>IF($N55="","",IF(INDEX('Cronograma R. Operacional'!$AR$5:$AR$1000,$N55)="","",INDEX('Cronograma R. Operacional'!$AR$5:$AR$1000,$N55)))</f>
        <v/>
      </c>
      <c r="D55" s="79">
        <f>IF($N55="","",IF(INDEX('Cronograma R. Operacional'!$AS$5:$AS$1000,$N55)="","",INDEX('Cronograma R. Operacional'!$AS$5:$AS$1000,$N55)))</f>
        <v/>
      </c>
      <c r="E55" s="56">
        <f>IF($N55="","",IF(NOT(ISNUMBER($D55)),"",IF($D55&lt;InicioCiclo,"Antes del ciclo",IF($D55&gt;=InicioCiclo+28,"Después del ciclo","Semana "&amp;(INT(($D55-InicioCiclo)/7)+1)))))</f>
        <v/>
      </c>
      <c r="F55" s="61">
        <f>IF($N55="","",IF($P55&gt;0,IF(1&lt;=SemanaActual,INDEX('Cronograma R. Operacional'!$AH$5:$AH$1000,$N55),""),IF(INDEX('Cronograma R. Operacional'!$I$5:$I$1000,$N55)="","",INDEX('Cronograma R. Operacional'!$I$5:$I$1000,$N55))))</f>
        <v/>
      </c>
      <c r="G55" s="61">
        <f>IF($N55="","",IF($P55&gt;0,IF(2&lt;=SemanaActual,INDEX('Cronograma R. Operacional'!$AI$5:$AI$1000,$N55),""),IF(INDEX('Cronograma R. Operacional'!$J$5:$J$1000,$N55)="","",INDEX('Cronograma R. Operacional'!$J$5:$J$1000,$N55))))</f>
        <v/>
      </c>
      <c r="H55" s="61">
        <f>IF($N55="","",IF($P55&gt;0,IF(3&lt;=SemanaActual,INDEX('Cronograma R. Operacional'!$AJ$5:$AJ$1000,$N55),""),IF(INDEX('Cronograma R. Operacional'!$K$5:$K$1000,$N55)="","",INDEX('Cronograma R. Operacional'!$K$5:$K$1000,$N55))))</f>
        <v/>
      </c>
      <c r="I55" s="61">
        <f>IF($N55="","",IF($P55&gt;0,IF(4&lt;=SemanaActual,INDEX('Cronograma R. Operacional'!$AK$5:$AK$1000,$N55),""),IF(INDEX('Cronograma R. Operacional'!$L$5:$L$1000,$N55)="","",INDEX('Cronograma R. Operacional'!$L$5:$L$1000,$N55))))</f>
        <v/>
      </c>
      <c r="J55" s="61">
        <f>IF($N55="","",INDEX('Cronograma R. Operacional'!$M$5:$M$1000,$N55))</f>
        <v/>
      </c>
      <c r="K55" s="56">
        <f>IF($N55="","",IF(N($J55)&gt;=1,"Completado",IF(AND(ISNUMBER($D55),$D55&lt;FechaRef),"Vencida",IF(N($J55)&gt;0,"En curso","Pendiente"))))</f>
        <v/>
      </c>
      <c r="L55" s="56">
        <f>IF($N55="","",INDEX('Cronograma R. Operacional'!$O$5:$O$1000,$N55)&amp;"")</f>
        <v/>
      </c>
      <c r="M55" s="62">
        <f>IF($N55="","",INDEX('Cronograma R. Operacional'!$Q$5:$Q$1000,$N55)&amp;"")</f>
        <v/>
      </c>
      <c r="N55">
        <f>IFERROR(MATCH(ROW()-4,rOrden_RO,0),"")</f>
        <v/>
      </c>
      <c r="O55">
        <f>IF($N55="","",INDEX('Cronograma R. Operacional'!$V$5:$V$1000,$N55))</f>
        <v/>
      </c>
      <c r="P55">
        <f>IF($N55="","",N(INDEX('Cronograma R. Operacional'!$W$5:$W$1000,$N55)))</f>
        <v/>
      </c>
      <c r="Q55">
        <f>IF(OR(LEFT($L55,7)="Vencida",LEFT($L55,5)="Vence"),SUMPRODUCT(--(LEFT($L$5:$L55,7)="Vencida"))+SUMPRODUCT(--(LEFT($L$5:$L55,5)="Vence")),"")</f>
        <v/>
      </c>
    </row>
    <row r="56">
      <c r="A56" s="56">
        <f>IF($N56="","",INDEX('Cronograma R. Operacional'!$A$5:$A$1000,$N56))</f>
        <v/>
      </c>
      <c r="B56" s="62">
        <f>IF($N56="","",IF($O56="Sub","      ↳  "&amp;INDEX('Cronograma R. Operacional'!$C$5:$C$1000,$N56),INDEX('Cronograma R. Operacional'!$C$5:$C$1000,$N56)&amp;""))</f>
        <v/>
      </c>
      <c r="C56" s="79">
        <f>IF($N56="","",IF(INDEX('Cronograma R. Operacional'!$AR$5:$AR$1000,$N56)="","",INDEX('Cronograma R. Operacional'!$AR$5:$AR$1000,$N56)))</f>
        <v/>
      </c>
      <c r="D56" s="79">
        <f>IF($N56="","",IF(INDEX('Cronograma R. Operacional'!$AS$5:$AS$1000,$N56)="","",INDEX('Cronograma R. Operacional'!$AS$5:$AS$1000,$N56)))</f>
        <v/>
      </c>
      <c r="E56" s="56">
        <f>IF($N56="","",IF(NOT(ISNUMBER($D56)),"",IF($D56&lt;InicioCiclo,"Antes del ciclo",IF($D56&gt;=InicioCiclo+28,"Después del ciclo","Semana "&amp;(INT(($D56-InicioCiclo)/7)+1)))))</f>
        <v/>
      </c>
      <c r="F56" s="61">
        <f>IF($N56="","",IF($P56&gt;0,IF(1&lt;=SemanaActual,INDEX('Cronograma R. Operacional'!$AH$5:$AH$1000,$N56),""),IF(INDEX('Cronograma R. Operacional'!$I$5:$I$1000,$N56)="","",INDEX('Cronograma R. Operacional'!$I$5:$I$1000,$N56))))</f>
        <v/>
      </c>
      <c r="G56" s="61">
        <f>IF($N56="","",IF($P56&gt;0,IF(2&lt;=SemanaActual,INDEX('Cronograma R. Operacional'!$AI$5:$AI$1000,$N56),""),IF(INDEX('Cronograma R. Operacional'!$J$5:$J$1000,$N56)="","",INDEX('Cronograma R. Operacional'!$J$5:$J$1000,$N56))))</f>
        <v/>
      </c>
      <c r="H56" s="61">
        <f>IF($N56="","",IF($P56&gt;0,IF(3&lt;=SemanaActual,INDEX('Cronograma R. Operacional'!$AJ$5:$AJ$1000,$N56),""),IF(INDEX('Cronograma R. Operacional'!$K$5:$K$1000,$N56)="","",INDEX('Cronograma R. Operacional'!$K$5:$K$1000,$N56))))</f>
        <v/>
      </c>
      <c r="I56" s="61">
        <f>IF($N56="","",IF($P56&gt;0,IF(4&lt;=SemanaActual,INDEX('Cronograma R. Operacional'!$AK$5:$AK$1000,$N56),""),IF(INDEX('Cronograma R. Operacional'!$L$5:$L$1000,$N56)="","",INDEX('Cronograma R. Operacional'!$L$5:$L$1000,$N56))))</f>
        <v/>
      </c>
      <c r="J56" s="61">
        <f>IF($N56="","",INDEX('Cronograma R. Operacional'!$M$5:$M$1000,$N56))</f>
        <v/>
      </c>
      <c r="K56" s="56">
        <f>IF($N56="","",IF(N($J56)&gt;=1,"Completado",IF(AND(ISNUMBER($D56),$D56&lt;FechaRef),"Vencida",IF(N($J56)&gt;0,"En curso","Pendiente"))))</f>
        <v/>
      </c>
      <c r="L56" s="56">
        <f>IF($N56="","",INDEX('Cronograma R. Operacional'!$O$5:$O$1000,$N56)&amp;"")</f>
        <v/>
      </c>
      <c r="M56" s="62">
        <f>IF($N56="","",INDEX('Cronograma R. Operacional'!$Q$5:$Q$1000,$N56)&amp;"")</f>
        <v/>
      </c>
      <c r="N56">
        <f>IFERROR(MATCH(ROW()-4,rOrden_RO,0),"")</f>
        <v/>
      </c>
      <c r="O56">
        <f>IF($N56="","",INDEX('Cronograma R. Operacional'!$V$5:$V$1000,$N56))</f>
        <v/>
      </c>
      <c r="P56">
        <f>IF($N56="","",N(INDEX('Cronograma R. Operacional'!$W$5:$W$1000,$N56)))</f>
        <v/>
      </c>
      <c r="Q56">
        <f>IF(OR(LEFT($L56,7)="Vencida",LEFT($L56,5)="Vence"),SUMPRODUCT(--(LEFT($L$5:$L56,7)="Vencida"))+SUMPRODUCT(--(LEFT($L$5:$L56,5)="Vence")),"")</f>
        <v/>
      </c>
    </row>
    <row r="57">
      <c r="A57" s="56">
        <f>IF($N57="","",INDEX('Cronograma R. Operacional'!$A$5:$A$1000,$N57))</f>
        <v/>
      </c>
      <c r="B57" s="62">
        <f>IF($N57="","",IF($O57="Sub","      ↳  "&amp;INDEX('Cronograma R. Operacional'!$C$5:$C$1000,$N57),INDEX('Cronograma R. Operacional'!$C$5:$C$1000,$N57)&amp;""))</f>
        <v/>
      </c>
      <c r="C57" s="79">
        <f>IF($N57="","",IF(INDEX('Cronograma R. Operacional'!$AR$5:$AR$1000,$N57)="","",INDEX('Cronograma R. Operacional'!$AR$5:$AR$1000,$N57)))</f>
        <v/>
      </c>
      <c r="D57" s="79">
        <f>IF($N57="","",IF(INDEX('Cronograma R. Operacional'!$AS$5:$AS$1000,$N57)="","",INDEX('Cronograma R. Operacional'!$AS$5:$AS$1000,$N57)))</f>
        <v/>
      </c>
      <c r="E57" s="56">
        <f>IF($N57="","",IF(NOT(ISNUMBER($D57)),"",IF($D57&lt;InicioCiclo,"Antes del ciclo",IF($D57&gt;=InicioCiclo+28,"Después del ciclo","Semana "&amp;(INT(($D57-InicioCiclo)/7)+1)))))</f>
        <v/>
      </c>
      <c r="F57" s="61">
        <f>IF($N57="","",IF($P57&gt;0,IF(1&lt;=SemanaActual,INDEX('Cronograma R. Operacional'!$AH$5:$AH$1000,$N57),""),IF(INDEX('Cronograma R. Operacional'!$I$5:$I$1000,$N57)="","",INDEX('Cronograma R. Operacional'!$I$5:$I$1000,$N57))))</f>
        <v/>
      </c>
      <c r="G57" s="61">
        <f>IF($N57="","",IF($P57&gt;0,IF(2&lt;=SemanaActual,INDEX('Cronograma R. Operacional'!$AI$5:$AI$1000,$N57),""),IF(INDEX('Cronograma R. Operacional'!$J$5:$J$1000,$N57)="","",INDEX('Cronograma R. Operacional'!$J$5:$J$1000,$N57))))</f>
        <v/>
      </c>
      <c r="H57" s="61">
        <f>IF($N57="","",IF($P57&gt;0,IF(3&lt;=SemanaActual,INDEX('Cronograma R. Operacional'!$AJ$5:$AJ$1000,$N57),""),IF(INDEX('Cronograma R. Operacional'!$K$5:$K$1000,$N57)="","",INDEX('Cronograma R. Operacional'!$K$5:$K$1000,$N57))))</f>
        <v/>
      </c>
      <c r="I57" s="61">
        <f>IF($N57="","",IF($P57&gt;0,IF(4&lt;=SemanaActual,INDEX('Cronograma R. Operacional'!$AK$5:$AK$1000,$N57),""),IF(INDEX('Cronograma R. Operacional'!$L$5:$L$1000,$N57)="","",INDEX('Cronograma R. Operacional'!$L$5:$L$1000,$N57))))</f>
        <v/>
      </c>
      <c r="J57" s="61">
        <f>IF($N57="","",INDEX('Cronograma R. Operacional'!$M$5:$M$1000,$N57))</f>
        <v/>
      </c>
      <c r="K57" s="56">
        <f>IF($N57="","",IF(N($J57)&gt;=1,"Completado",IF(AND(ISNUMBER($D57),$D57&lt;FechaRef),"Vencida",IF(N($J57)&gt;0,"En curso","Pendiente"))))</f>
        <v/>
      </c>
      <c r="L57" s="56">
        <f>IF($N57="","",INDEX('Cronograma R. Operacional'!$O$5:$O$1000,$N57)&amp;"")</f>
        <v/>
      </c>
      <c r="M57" s="62">
        <f>IF($N57="","",INDEX('Cronograma R. Operacional'!$Q$5:$Q$1000,$N57)&amp;"")</f>
        <v/>
      </c>
      <c r="N57">
        <f>IFERROR(MATCH(ROW()-4,rOrden_RO,0),"")</f>
        <v/>
      </c>
      <c r="O57">
        <f>IF($N57="","",INDEX('Cronograma R. Operacional'!$V$5:$V$1000,$N57))</f>
        <v/>
      </c>
      <c r="P57">
        <f>IF($N57="","",N(INDEX('Cronograma R. Operacional'!$W$5:$W$1000,$N57)))</f>
        <v/>
      </c>
      <c r="Q57">
        <f>IF(OR(LEFT($L57,7)="Vencida",LEFT($L57,5)="Vence"),SUMPRODUCT(--(LEFT($L$5:$L57,7)="Vencida"))+SUMPRODUCT(--(LEFT($L$5:$L57,5)="Vence")),"")</f>
        <v/>
      </c>
    </row>
    <row r="58">
      <c r="A58" s="56">
        <f>IF($N58="","",INDEX('Cronograma R. Operacional'!$A$5:$A$1000,$N58))</f>
        <v/>
      </c>
      <c r="B58" s="62">
        <f>IF($N58="","",IF($O58="Sub","      ↳  "&amp;INDEX('Cronograma R. Operacional'!$C$5:$C$1000,$N58),INDEX('Cronograma R. Operacional'!$C$5:$C$1000,$N58)&amp;""))</f>
        <v/>
      </c>
      <c r="C58" s="79">
        <f>IF($N58="","",IF(INDEX('Cronograma R. Operacional'!$AR$5:$AR$1000,$N58)="","",INDEX('Cronograma R. Operacional'!$AR$5:$AR$1000,$N58)))</f>
        <v/>
      </c>
      <c r="D58" s="79">
        <f>IF($N58="","",IF(INDEX('Cronograma R. Operacional'!$AS$5:$AS$1000,$N58)="","",INDEX('Cronograma R. Operacional'!$AS$5:$AS$1000,$N58)))</f>
        <v/>
      </c>
      <c r="E58" s="56">
        <f>IF($N58="","",IF(NOT(ISNUMBER($D58)),"",IF($D58&lt;InicioCiclo,"Antes del ciclo",IF($D58&gt;=InicioCiclo+28,"Después del ciclo","Semana "&amp;(INT(($D58-InicioCiclo)/7)+1)))))</f>
        <v/>
      </c>
      <c r="F58" s="61">
        <f>IF($N58="","",IF($P58&gt;0,IF(1&lt;=SemanaActual,INDEX('Cronograma R. Operacional'!$AH$5:$AH$1000,$N58),""),IF(INDEX('Cronograma R. Operacional'!$I$5:$I$1000,$N58)="","",INDEX('Cronograma R. Operacional'!$I$5:$I$1000,$N58))))</f>
        <v/>
      </c>
      <c r="G58" s="61">
        <f>IF($N58="","",IF($P58&gt;0,IF(2&lt;=SemanaActual,INDEX('Cronograma R. Operacional'!$AI$5:$AI$1000,$N58),""),IF(INDEX('Cronograma R. Operacional'!$J$5:$J$1000,$N58)="","",INDEX('Cronograma R. Operacional'!$J$5:$J$1000,$N58))))</f>
        <v/>
      </c>
      <c r="H58" s="61">
        <f>IF($N58="","",IF($P58&gt;0,IF(3&lt;=SemanaActual,INDEX('Cronograma R. Operacional'!$AJ$5:$AJ$1000,$N58),""),IF(INDEX('Cronograma R. Operacional'!$K$5:$K$1000,$N58)="","",INDEX('Cronograma R. Operacional'!$K$5:$K$1000,$N58))))</f>
        <v/>
      </c>
      <c r="I58" s="61">
        <f>IF($N58="","",IF($P58&gt;0,IF(4&lt;=SemanaActual,INDEX('Cronograma R. Operacional'!$AK$5:$AK$1000,$N58),""),IF(INDEX('Cronograma R. Operacional'!$L$5:$L$1000,$N58)="","",INDEX('Cronograma R. Operacional'!$L$5:$L$1000,$N58))))</f>
        <v/>
      </c>
      <c r="J58" s="61">
        <f>IF($N58="","",INDEX('Cronograma R. Operacional'!$M$5:$M$1000,$N58))</f>
        <v/>
      </c>
      <c r="K58" s="56">
        <f>IF($N58="","",IF(N($J58)&gt;=1,"Completado",IF(AND(ISNUMBER($D58),$D58&lt;FechaRef),"Vencida",IF(N($J58)&gt;0,"En curso","Pendiente"))))</f>
        <v/>
      </c>
      <c r="L58" s="56">
        <f>IF($N58="","",INDEX('Cronograma R. Operacional'!$O$5:$O$1000,$N58)&amp;"")</f>
        <v/>
      </c>
      <c r="M58" s="62">
        <f>IF($N58="","",INDEX('Cronograma R. Operacional'!$Q$5:$Q$1000,$N58)&amp;"")</f>
        <v/>
      </c>
      <c r="N58">
        <f>IFERROR(MATCH(ROW()-4,rOrden_RO,0),"")</f>
        <v/>
      </c>
      <c r="O58">
        <f>IF($N58="","",INDEX('Cronograma R. Operacional'!$V$5:$V$1000,$N58))</f>
        <v/>
      </c>
      <c r="P58">
        <f>IF($N58="","",N(INDEX('Cronograma R. Operacional'!$W$5:$W$1000,$N58)))</f>
        <v/>
      </c>
      <c r="Q58">
        <f>IF(OR(LEFT($L58,7)="Vencida",LEFT($L58,5)="Vence"),SUMPRODUCT(--(LEFT($L$5:$L58,7)="Vencida"))+SUMPRODUCT(--(LEFT($L$5:$L58,5)="Vence")),"")</f>
        <v/>
      </c>
    </row>
    <row r="59">
      <c r="A59" s="56">
        <f>IF($N59="","",INDEX('Cronograma R. Operacional'!$A$5:$A$1000,$N59))</f>
        <v/>
      </c>
      <c r="B59" s="62">
        <f>IF($N59="","",IF($O59="Sub","      ↳  "&amp;INDEX('Cronograma R. Operacional'!$C$5:$C$1000,$N59),INDEX('Cronograma R. Operacional'!$C$5:$C$1000,$N59)&amp;""))</f>
        <v/>
      </c>
      <c r="C59" s="79">
        <f>IF($N59="","",IF(INDEX('Cronograma R. Operacional'!$AR$5:$AR$1000,$N59)="","",INDEX('Cronograma R. Operacional'!$AR$5:$AR$1000,$N59)))</f>
        <v/>
      </c>
      <c r="D59" s="79">
        <f>IF($N59="","",IF(INDEX('Cronograma R. Operacional'!$AS$5:$AS$1000,$N59)="","",INDEX('Cronograma R. Operacional'!$AS$5:$AS$1000,$N59)))</f>
        <v/>
      </c>
      <c r="E59" s="56">
        <f>IF($N59="","",IF(NOT(ISNUMBER($D59)),"",IF($D59&lt;InicioCiclo,"Antes del ciclo",IF($D59&gt;=InicioCiclo+28,"Después del ciclo","Semana "&amp;(INT(($D59-InicioCiclo)/7)+1)))))</f>
        <v/>
      </c>
      <c r="F59" s="61">
        <f>IF($N59="","",IF($P59&gt;0,IF(1&lt;=SemanaActual,INDEX('Cronograma R. Operacional'!$AH$5:$AH$1000,$N59),""),IF(INDEX('Cronograma R. Operacional'!$I$5:$I$1000,$N59)="","",INDEX('Cronograma R. Operacional'!$I$5:$I$1000,$N59))))</f>
        <v/>
      </c>
      <c r="G59" s="61">
        <f>IF($N59="","",IF($P59&gt;0,IF(2&lt;=SemanaActual,INDEX('Cronograma R. Operacional'!$AI$5:$AI$1000,$N59),""),IF(INDEX('Cronograma R. Operacional'!$J$5:$J$1000,$N59)="","",INDEX('Cronograma R. Operacional'!$J$5:$J$1000,$N59))))</f>
        <v/>
      </c>
      <c r="H59" s="61">
        <f>IF($N59="","",IF($P59&gt;0,IF(3&lt;=SemanaActual,INDEX('Cronograma R. Operacional'!$AJ$5:$AJ$1000,$N59),""),IF(INDEX('Cronograma R. Operacional'!$K$5:$K$1000,$N59)="","",INDEX('Cronograma R. Operacional'!$K$5:$K$1000,$N59))))</f>
        <v/>
      </c>
      <c r="I59" s="61">
        <f>IF($N59="","",IF($P59&gt;0,IF(4&lt;=SemanaActual,INDEX('Cronograma R. Operacional'!$AK$5:$AK$1000,$N59),""),IF(INDEX('Cronograma R. Operacional'!$L$5:$L$1000,$N59)="","",INDEX('Cronograma R. Operacional'!$L$5:$L$1000,$N59))))</f>
        <v/>
      </c>
      <c r="J59" s="61">
        <f>IF($N59="","",INDEX('Cronograma R. Operacional'!$M$5:$M$1000,$N59))</f>
        <v/>
      </c>
      <c r="K59" s="56">
        <f>IF($N59="","",IF(N($J59)&gt;=1,"Completado",IF(AND(ISNUMBER($D59),$D59&lt;FechaRef),"Vencida",IF(N($J59)&gt;0,"En curso","Pendiente"))))</f>
        <v/>
      </c>
      <c r="L59" s="56">
        <f>IF($N59="","",INDEX('Cronograma R. Operacional'!$O$5:$O$1000,$N59)&amp;"")</f>
        <v/>
      </c>
      <c r="M59" s="62">
        <f>IF($N59="","",INDEX('Cronograma R. Operacional'!$Q$5:$Q$1000,$N59)&amp;"")</f>
        <v/>
      </c>
      <c r="N59">
        <f>IFERROR(MATCH(ROW()-4,rOrden_RO,0),"")</f>
        <v/>
      </c>
      <c r="O59">
        <f>IF($N59="","",INDEX('Cronograma R. Operacional'!$V$5:$V$1000,$N59))</f>
        <v/>
      </c>
      <c r="P59">
        <f>IF($N59="","",N(INDEX('Cronograma R. Operacional'!$W$5:$W$1000,$N59)))</f>
        <v/>
      </c>
      <c r="Q59">
        <f>IF(OR(LEFT($L59,7)="Vencida",LEFT($L59,5)="Vence"),SUMPRODUCT(--(LEFT($L$5:$L59,7)="Vencida"))+SUMPRODUCT(--(LEFT($L$5:$L59,5)="Vence")),"")</f>
        <v/>
      </c>
    </row>
    <row r="60">
      <c r="A60" s="56">
        <f>IF($N60="","",INDEX('Cronograma R. Operacional'!$A$5:$A$1000,$N60))</f>
        <v/>
      </c>
      <c r="B60" s="62">
        <f>IF($N60="","",IF($O60="Sub","      ↳  "&amp;INDEX('Cronograma R. Operacional'!$C$5:$C$1000,$N60),INDEX('Cronograma R. Operacional'!$C$5:$C$1000,$N60)&amp;""))</f>
        <v/>
      </c>
      <c r="C60" s="79">
        <f>IF($N60="","",IF(INDEX('Cronograma R. Operacional'!$AR$5:$AR$1000,$N60)="","",INDEX('Cronograma R. Operacional'!$AR$5:$AR$1000,$N60)))</f>
        <v/>
      </c>
      <c r="D60" s="79">
        <f>IF($N60="","",IF(INDEX('Cronograma R. Operacional'!$AS$5:$AS$1000,$N60)="","",INDEX('Cronograma R. Operacional'!$AS$5:$AS$1000,$N60)))</f>
        <v/>
      </c>
      <c r="E60" s="56">
        <f>IF($N60="","",IF(NOT(ISNUMBER($D60)),"",IF($D60&lt;InicioCiclo,"Antes del ciclo",IF($D60&gt;=InicioCiclo+28,"Después del ciclo","Semana "&amp;(INT(($D60-InicioCiclo)/7)+1)))))</f>
        <v/>
      </c>
      <c r="F60" s="61">
        <f>IF($N60="","",IF($P60&gt;0,IF(1&lt;=SemanaActual,INDEX('Cronograma R. Operacional'!$AH$5:$AH$1000,$N60),""),IF(INDEX('Cronograma R. Operacional'!$I$5:$I$1000,$N60)="","",INDEX('Cronograma R. Operacional'!$I$5:$I$1000,$N60))))</f>
        <v/>
      </c>
      <c r="G60" s="61">
        <f>IF($N60="","",IF($P60&gt;0,IF(2&lt;=SemanaActual,INDEX('Cronograma R. Operacional'!$AI$5:$AI$1000,$N60),""),IF(INDEX('Cronograma R. Operacional'!$J$5:$J$1000,$N60)="","",INDEX('Cronograma R. Operacional'!$J$5:$J$1000,$N60))))</f>
        <v/>
      </c>
      <c r="H60" s="61">
        <f>IF($N60="","",IF($P60&gt;0,IF(3&lt;=SemanaActual,INDEX('Cronograma R. Operacional'!$AJ$5:$AJ$1000,$N60),""),IF(INDEX('Cronograma R. Operacional'!$K$5:$K$1000,$N60)="","",INDEX('Cronograma R. Operacional'!$K$5:$K$1000,$N60))))</f>
        <v/>
      </c>
      <c r="I60" s="61">
        <f>IF($N60="","",IF($P60&gt;0,IF(4&lt;=SemanaActual,INDEX('Cronograma R. Operacional'!$AK$5:$AK$1000,$N60),""),IF(INDEX('Cronograma R. Operacional'!$L$5:$L$1000,$N60)="","",INDEX('Cronograma R. Operacional'!$L$5:$L$1000,$N60))))</f>
        <v/>
      </c>
      <c r="J60" s="61">
        <f>IF($N60="","",INDEX('Cronograma R. Operacional'!$M$5:$M$1000,$N60))</f>
        <v/>
      </c>
      <c r="K60" s="56">
        <f>IF($N60="","",IF(N($J60)&gt;=1,"Completado",IF(AND(ISNUMBER($D60),$D60&lt;FechaRef),"Vencida",IF(N($J60)&gt;0,"En curso","Pendiente"))))</f>
        <v/>
      </c>
      <c r="L60" s="56">
        <f>IF($N60="","",INDEX('Cronograma R. Operacional'!$O$5:$O$1000,$N60)&amp;"")</f>
        <v/>
      </c>
      <c r="M60" s="62">
        <f>IF($N60="","",INDEX('Cronograma R. Operacional'!$Q$5:$Q$1000,$N60)&amp;"")</f>
        <v/>
      </c>
      <c r="N60">
        <f>IFERROR(MATCH(ROW()-4,rOrden_RO,0),"")</f>
        <v/>
      </c>
      <c r="O60">
        <f>IF($N60="","",INDEX('Cronograma R. Operacional'!$V$5:$V$1000,$N60))</f>
        <v/>
      </c>
      <c r="P60">
        <f>IF($N60="","",N(INDEX('Cronograma R. Operacional'!$W$5:$W$1000,$N60)))</f>
        <v/>
      </c>
      <c r="Q60">
        <f>IF(OR(LEFT($L60,7)="Vencida",LEFT($L60,5)="Vence"),SUMPRODUCT(--(LEFT($L$5:$L60,7)="Vencida"))+SUMPRODUCT(--(LEFT($L$5:$L60,5)="Vence")),"")</f>
        <v/>
      </c>
    </row>
    <row r="61">
      <c r="A61" s="56">
        <f>IF($N61="","",INDEX('Cronograma R. Operacional'!$A$5:$A$1000,$N61))</f>
        <v/>
      </c>
      <c r="B61" s="62">
        <f>IF($N61="","",IF($O61="Sub","      ↳  "&amp;INDEX('Cronograma R. Operacional'!$C$5:$C$1000,$N61),INDEX('Cronograma R. Operacional'!$C$5:$C$1000,$N61)&amp;""))</f>
        <v/>
      </c>
      <c r="C61" s="79">
        <f>IF($N61="","",IF(INDEX('Cronograma R. Operacional'!$AR$5:$AR$1000,$N61)="","",INDEX('Cronograma R. Operacional'!$AR$5:$AR$1000,$N61)))</f>
        <v/>
      </c>
      <c r="D61" s="79">
        <f>IF($N61="","",IF(INDEX('Cronograma R. Operacional'!$AS$5:$AS$1000,$N61)="","",INDEX('Cronograma R. Operacional'!$AS$5:$AS$1000,$N61)))</f>
        <v/>
      </c>
      <c r="E61" s="56">
        <f>IF($N61="","",IF(NOT(ISNUMBER($D61)),"",IF($D61&lt;InicioCiclo,"Antes del ciclo",IF($D61&gt;=InicioCiclo+28,"Después del ciclo","Semana "&amp;(INT(($D61-InicioCiclo)/7)+1)))))</f>
        <v/>
      </c>
      <c r="F61" s="61">
        <f>IF($N61="","",IF($P61&gt;0,IF(1&lt;=SemanaActual,INDEX('Cronograma R. Operacional'!$AH$5:$AH$1000,$N61),""),IF(INDEX('Cronograma R. Operacional'!$I$5:$I$1000,$N61)="","",INDEX('Cronograma R. Operacional'!$I$5:$I$1000,$N61))))</f>
        <v/>
      </c>
      <c r="G61" s="61">
        <f>IF($N61="","",IF($P61&gt;0,IF(2&lt;=SemanaActual,INDEX('Cronograma R. Operacional'!$AI$5:$AI$1000,$N61),""),IF(INDEX('Cronograma R. Operacional'!$J$5:$J$1000,$N61)="","",INDEX('Cronograma R. Operacional'!$J$5:$J$1000,$N61))))</f>
        <v/>
      </c>
      <c r="H61" s="61">
        <f>IF($N61="","",IF($P61&gt;0,IF(3&lt;=SemanaActual,INDEX('Cronograma R. Operacional'!$AJ$5:$AJ$1000,$N61),""),IF(INDEX('Cronograma R. Operacional'!$K$5:$K$1000,$N61)="","",INDEX('Cronograma R. Operacional'!$K$5:$K$1000,$N61))))</f>
        <v/>
      </c>
      <c r="I61" s="61">
        <f>IF($N61="","",IF($P61&gt;0,IF(4&lt;=SemanaActual,INDEX('Cronograma R. Operacional'!$AK$5:$AK$1000,$N61),""),IF(INDEX('Cronograma R. Operacional'!$L$5:$L$1000,$N61)="","",INDEX('Cronograma R. Operacional'!$L$5:$L$1000,$N61))))</f>
        <v/>
      </c>
      <c r="J61" s="61">
        <f>IF($N61="","",INDEX('Cronograma R. Operacional'!$M$5:$M$1000,$N61))</f>
        <v/>
      </c>
      <c r="K61" s="56">
        <f>IF($N61="","",IF(N($J61)&gt;=1,"Completado",IF(AND(ISNUMBER($D61),$D61&lt;FechaRef),"Vencida",IF(N($J61)&gt;0,"En curso","Pendiente"))))</f>
        <v/>
      </c>
      <c r="L61" s="56">
        <f>IF($N61="","",INDEX('Cronograma R. Operacional'!$O$5:$O$1000,$N61)&amp;"")</f>
        <v/>
      </c>
      <c r="M61" s="62">
        <f>IF($N61="","",INDEX('Cronograma R. Operacional'!$Q$5:$Q$1000,$N61)&amp;"")</f>
        <v/>
      </c>
      <c r="N61">
        <f>IFERROR(MATCH(ROW()-4,rOrden_RO,0),"")</f>
        <v/>
      </c>
      <c r="O61">
        <f>IF($N61="","",INDEX('Cronograma R. Operacional'!$V$5:$V$1000,$N61))</f>
        <v/>
      </c>
      <c r="P61">
        <f>IF($N61="","",N(INDEX('Cronograma R. Operacional'!$W$5:$W$1000,$N61)))</f>
        <v/>
      </c>
      <c r="Q61">
        <f>IF(OR(LEFT($L61,7)="Vencida",LEFT($L61,5)="Vence"),SUMPRODUCT(--(LEFT($L$5:$L61,7)="Vencida"))+SUMPRODUCT(--(LEFT($L$5:$L61,5)="Vence")),"")</f>
        <v/>
      </c>
    </row>
    <row r="62">
      <c r="A62" s="56">
        <f>IF($N62="","",INDEX('Cronograma R. Operacional'!$A$5:$A$1000,$N62))</f>
        <v/>
      </c>
      <c r="B62" s="62">
        <f>IF($N62="","",IF($O62="Sub","      ↳  "&amp;INDEX('Cronograma R. Operacional'!$C$5:$C$1000,$N62),INDEX('Cronograma R. Operacional'!$C$5:$C$1000,$N62)&amp;""))</f>
        <v/>
      </c>
      <c r="C62" s="79">
        <f>IF($N62="","",IF(INDEX('Cronograma R. Operacional'!$AR$5:$AR$1000,$N62)="","",INDEX('Cronograma R. Operacional'!$AR$5:$AR$1000,$N62)))</f>
        <v/>
      </c>
      <c r="D62" s="79">
        <f>IF($N62="","",IF(INDEX('Cronograma R. Operacional'!$AS$5:$AS$1000,$N62)="","",INDEX('Cronograma R. Operacional'!$AS$5:$AS$1000,$N62)))</f>
        <v/>
      </c>
      <c r="E62" s="56">
        <f>IF($N62="","",IF(NOT(ISNUMBER($D62)),"",IF($D62&lt;InicioCiclo,"Antes del ciclo",IF($D62&gt;=InicioCiclo+28,"Después del ciclo","Semana "&amp;(INT(($D62-InicioCiclo)/7)+1)))))</f>
        <v/>
      </c>
      <c r="F62" s="61">
        <f>IF($N62="","",IF($P62&gt;0,IF(1&lt;=SemanaActual,INDEX('Cronograma R. Operacional'!$AH$5:$AH$1000,$N62),""),IF(INDEX('Cronograma R. Operacional'!$I$5:$I$1000,$N62)="","",INDEX('Cronograma R. Operacional'!$I$5:$I$1000,$N62))))</f>
        <v/>
      </c>
      <c r="G62" s="61">
        <f>IF($N62="","",IF($P62&gt;0,IF(2&lt;=SemanaActual,INDEX('Cronograma R. Operacional'!$AI$5:$AI$1000,$N62),""),IF(INDEX('Cronograma R. Operacional'!$J$5:$J$1000,$N62)="","",INDEX('Cronograma R. Operacional'!$J$5:$J$1000,$N62))))</f>
        <v/>
      </c>
      <c r="H62" s="61">
        <f>IF($N62="","",IF($P62&gt;0,IF(3&lt;=SemanaActual,INDEX('Cronograma R. Operacional'!$AJ$5:$AJ$1000,$N62),""),IF(INDEX('Cronograma R. Operacional'!$K$5:$K$1000,$N62)="","",INDEX('Cronograma R. Operacional'!$K$5:$K$1000,$N62))))</f>
        <v/>
      </c>
      <c r="I62" s="61">
        <f>IF($N62="","",IF($P62&gt;0,IF(4&lt;=SemanaActual,INDEX('Cronograma R. Operacional'!$AK$5:$AK$1000,$N62),""),IF(INDEX('Cronograma R. Operacional'!$L$5:$L$1000,$N62)="","",INDEX('Cronograma R. Operacional'!$L$5:$L$1000,$N62))))</f>
        <v/>
      </c>
      <c r="J62" s="61">
        <f>IF($N62="","",INDEX('Cronograma R. Operacional'!$M$5:$M$1000,$N62))</f>
        <v/>
      </c>
      <c r="K62" s="56">
        <f>IF($N62="","",IF(N($J62)&gt;=1,"Completado",IF(AND(ISNUMBER($D62),$D62&lt;FechaRef),"Vencida",IF(N($J62)&gt;0,"En curso","Pendiente"))))</f>
        <v/>
      </c>
      <c r="L62" s="56">
        <f>IF($N62="","",INDEX('Cronograma R. Operacional'!$O$5:$O$1000,$N62)&amp;"")</f>
        <v/>
      </c>
      <c r="M62" s="62">
        <f>IF($N62="","",INDEX('Cronograma R. Operacional'!$Q$5:$Q$1000,$N62)&amp;"")</f>
        <v/>
      </c>
      <c r="N62">
        <f>IFERROR(MATCH(ROW()-4,rOrden_RO,0),"")</f>
        <v/>
      </c>
      <c r="O62">
        <f>IF($N62="","",INDEX('Cronograma R. Operacional'!$V$5:$V$1000,$N62))</f>
        <v/>
      </c>
      <c r="P62">
        <f>IF($N62="","",N(INDEX('Cronograma R. Operacional'!$W$5:$W$1000,$N62)))</f>
        <v/>
      </c>
      <c r="Q62">
        <f>IF(OR(LEFT($L62,7)="Vencida",LEFT($L62,5)="Vence"),SUMPRODUCT(--(LEFT($L$5:$L62,7)="Vencida"))+SUMPRODUCT(--(LEFT($L$5:$L62,5)="Vence")),"")</f>
        <v/>
      </c>
    </row>
    <row r="63">
      <c r="A63" s="56">
        <f>IF($N63="","",INDEX('Cronograma R. Operacional'!$A$5:$A$1000,$N63))</f>
        <v/>
      </c>
      <c r="B63" s="62">
        <f>IF($N63="","",IF($O63="Sub","      ↳  "&amp;INDEX('Cronograma R. Operacional'!$C$5:$C$1000,$N63),INDEX('Cronograma R. Operacional'!$C$5:$C$1000,$N63)&amp;""))</f>
        <v/>
      </c>
      <c r="C63" s="79">
        <f>IF($N63="","",IF(INDEX('Cronograma R. Operacional'!$AR$5:$AR$1000,$N63)="","",INDEX('Cronograma R. Operacional'!$AR$5:$AR$1000,$N63)))</f>
        <v/>
      </c>
      <c r="D63" s="79">
        <f>IF($N63="","",IF(INDEX('Cronograma R. Operacional'!$AS$5:$AS$1000,$N63)="","",INDEX('Cronograma R. Operacional'!$AS$5:$AS$1000,$N63)))</f>
        <v/>
      </c>
      <c r="E63" s="56">
        <f>IF($N63="","",IF(NOT(ISNUMBER($D63)),"",IF($D63&lt;InicioCiclo,"Antes del ciclo",IF($D63&gt;=InicioCiclo+28,"Después del ciclo","Semana "&amp;(INT(($D63-InicioCiclo)/7)+1)))))</f>
        <v/>
      </c>
      <c r="F63" s="61">
        <f>IF($N63="","",IF($P63&gt;0,IF(1&lt;=SemanaActual,INDEX('Cronograma R. Operacional'!$AH$5:$AH$1000,$N63),""),IF(INDEX('Cronograma R. Operacional'!$I$5:$I$1000,$N63)="","",INDEX('Cronograma R. Operacional'!$I$5:$I$1000,$N63))))</f>
        <v/>
      </c>
      <c r="G63" s="61">
        <f>IF($N63="","",IF($P63&gt;0,IF(2&lt;=SemanaActual,INDEX('Cronograma R. Operacional'!$AI$5:$AI$1000,$N63),""),IF(INDEX('Cronograma R. Operacional'!$J$5:$J$1000,$N63)="","",INDEX('Cronograma R. Operacional'!$J$5:$J$1000,$N63))))</f>
        <v/>
      </c>
      <c r="H63" s="61">
        <f>IF($N63="","",IF($P63&gt;0,IF(3&lt;=SemanaActual,INDEX('Cronograma R. Operacional'!$AJ$5:$AJ$1000,$N63),""),IF(INDEX('Cronograma R. Operacional'!$K$5:$K$1000,$N63)="","",INDEX('Cronograma R. Operacional'!$K$5:$K$1000,$N63))))</f>
        <v/>
      </c>
      <c r="I63" s="61">
        <f>IF($N63="","",IF($P63&gt;0,IF(4&lt;=SemanaActual,INDEX('Cronograma R. Operacional'!$AK$5:$AK$1000,$N63),""),IF(INDEX('Cronograma R. Operacional'!$L$5:$L$1000,$N63)="","",INDEX('Cronograma R. Operacional'!$L$5:$L$1000,$N63))))</f>
        <v/>
      </c>
      <c r="J63" s="61">
        <f>IF($N63="","",INDEX('Cronograma R. Operacional'!$M$5:$M$1000,$N63))</f>
        <v/>
      </c>
      <c r="K63" s="56">
        <f>IF($N63="","",IF(N($J63)&gt;=1,"Completado",IF(AND(ISNUMBER($D63),$D63&lt;FechaRef),"Vencida",IF(N($J63)&gt;0,"En curso","Pendiente"))))</f>
        <v/>
      </c>
      <c r="L63" s="56">
        <f>IF($N63="","",INDEX('Cronograma R. Operacional'!$O$5:$O$1000,$N63)&amp;"")</f>
        <v/>
      </c>
      <c r="M63" s="62">
        <f>IF($N63="","",INDEX('Cronograma R. Operacional'!$Q$5:$Q$1000,$N63)&amp;"")</f>
        <v/>
      </c>
      <c r="N63">
        <f>IFERROR(MATCH(ROW()-4,rOrden_RO,0),"")</f>
        <v/>
      </c>
      <c r="O63">
        <f>IF($N63="","",INDEX('Cronograma R. Operacional'!$V$5:$V$1000,$N63))</f>
        <v/>
      </c>
      <c r="P63">
        <f>IF($N63="","",N(INDEX('Cronograma R. Operacional'!$W$5:$W$1000,$N63)))</f>
        <v/>
      </c>
      <c r="Q63">
        <f>IF(OR(LEFT($L63,7)="Vencida",LEFT($L63,5)="Vence"),SUMPRODUCT(--(LEFT($L$5:$L63,7)="Vencida"))+SUMPRODUCT(--(LEFT($L$5:$L63,5)="Vence")),"")</f>
        <v/>
      </c>
    </row>
    <row r="64">
      <c r="A64" s="56">
        <f>IF($N64="","",INDEX('Cronograma R. Operacional'!$A$5:$A$1000,$N64))</f>
        <v/>
      </c>
      <c r="B64" s="62">
        <f>IF($N64="","",IF($O64="Sub","      ↳  "&amp;INDEX('Cronograma R. Operacional'!$C$5:$C$1000,$N64),INDEX('Cronograma R. Operacional'!$C$5:$C$1000,$N64)&amp;""))</f>
        <v/>
      </c>
      <c r="C64" s="79">
        <f>IF($N64="","",IF(INDEX('Cronograma R. Operacional'!$AR$5:$AR$1000,$N64)="","",INDEX('Cronograma R. Operacional'!$AR$5:$AR$1000,$N64)))</f>
        <v/>
      </c>
      <c r="D64" s="79">
        <f>IF($N64="","",IF(INDEX('Cronograma R. Operacional'!$AS$5:$AS$1000,$N64)="","",INDEX('Cronograma R. Operacional'!$AS$5:$AS$1000,$N64)))</f>
        <v/>
      </c>
      <c r="E64" s="56">
        <f>IF($N64="","",IF(NOT(ISNUMBER($D64)),"",IF($D64&lt;InicioCiclo,"Antes del ciclo",IF($D64&gt;=InicioCiclo+28,"Después del ciclo","Semana "&amp;(INT(($D64-InicioCiclo)/7)+1)))))</f>
        <v/>
      </c>
      <c r="F64" s="61">
        <f>IF($N64="","",IF($P64&gt;0,IF(1&lt;=SemanaActual,INDEX('Cronograma R. Operacional'!$AH$5:$AH$1000,$N64),""),IF(INDEX('Cronograma R. Operacional'!$I$5:$I$1000,$N64)="","",INDEX('Cronograma R. Operacional'!$I$5:$I$1000,$N64))))</f>
        <v/>
      </c>
      <c r="G64" s="61">
        <f>IF($N64="","",IF($P64&gt;0,IF(2&lt;=SemanaActual,INDEX('Cronograma R. Operacional'!$AI$5:$AI$1000,$N64),""),IF(INDEX('Cronograma R. Operacional'!$J$5:$J$1000,$N64)="","",INDEX('Cronograma R. Operacional'!$J$5:$J$1000,$N64))))</f>
        <v/>
      </c>
      <c r="H64" s="61">
        <f>IF($N64="","",IF($P64&gt;0,IF(3&lt;=SemanaActual,INDEX('Cronograma R. Operacional'!$AJ$5:$AJ$1000,$N64),""),IF(INDEX('Cronograma R. Operacional'!$K$5:$K$1000,$N64)="","",INDEX('Cronograma R. Operacional'!$K$5:$K$1000,$N64))))</f>
        <v/>
      </c>
      <c r="I64" s="61">
        <f>IF($N64="","",IF($P64&gt;0,IF(4&lt;=SemanaActual,INDEX('Cronograma R. Operacional'!$AK$5:$AK$1000,$N64),""),IF(INDEX('Cronograma R. Operacional'!$L$5:$L$1000,$N64)="","",INDEX('Cronograma R. Operacional'!$L$5:$L$1000,$N64))))</f>
        <v/>
      </c>
      <c r="J64" s="61">
        <f>IF($N64="","",INDEX('Cronograma R. Operacional'!$M$5:$M$1000,$N64))</f>
        <v/>
      </c>
      <c r="K64" s="56">
        <f>IF($N64="","",IF(N($J64)&gt;=1,"Completado",IF(AND(ISNUMBER($D64),$D64&lt;FechaRef),"Vencida",IF(N($J64)&gt;0,"En curso","Pendiente"))))</f>
        <v/>
      </c>
      <c r="L64" s="56">
        <f>IF($N64="","",INDEX('Cronograma R. Operacional'!$O$5:$O$1000,$N64)&amp;"")</f>
        <v/>
      </c>
      <c r="M64" s="62">
        <f>IF($N64="","",INDEX('Cronograma R. Operacional'!$Q$5:$Q$1000,$N64)&amp;"")</f>
        <v/>
      </c>
      <c r="N64">
        <f>IFERROR(MATCH(ROW()-4,rOrden_RO,0),"")</f>
        <v/>
      </c>
      <c r="O64">
        <f>IF($N64="","",INDEX('Cronograma R. Operacional'!$V$5:$V$1000,$N64))</f>
        <v/>
      </c>
      <c r="P64">
        <f>IF($N64="","",N(INDEX('Cronograma R. Operacional'!$W$5:$W$1000,$N64)))</f>
        <v/>
      </c>
      <c r="Q64">
        <f>IF(OR(LEFT($L64,7)="Vencida",LEFT($L64,5)="Vence"),SUMPRODUCT(--(LEFT($L$5:$L64,7)="Vencida"))+SUMPRODUCT(--(LEFT($L$5:$L64,5)="Vence")),"")</f>
        <v/>
      </c>
    </row>
    <row r="65">
      <c r="A65" s="56">
        <f>IF($N65="","",INDEX('Cronograma R. Operacional'!$A$5:$A$1000,$N65))</f>
        <v/>
      </c>
      <c r="B65" s="62">
        <f>IF($N65="","",IF($O65="Sub","      ↳  "&amp;INDEX('Cronograma R. Operacional'!$C$5:$C$1000,$N65),INDEX('Cronograma R. Operacional'!$C$5:$C$1000,$N65)&amp;""))</f>
        <v/>
      </c>
      <c r="C65" s="79">
        <f>IF($N65="","",IF(INDEX('Cronograma R. Operacional'!$AR$5:$AR$1000,$N65)="","",INDEX('Cronograma R. Operacional'!$AR$5:$AR$1000,$N65)))</f>
        <v/>
      </c>
      <c r="D65" s="79">
        <f>IF($N65="","",IF(INDEX('Cronograma R. Operacional'!$AS$5:$AS$1000,$N65)="","",INDEX('Cronograma R. Operacional'!$AS$5:$AS$1000,$N65)))</f>
        <v/>
      </c>
      <c r="E65" s="56">
        <f>IF($N65="","",IF(NOT(ISNUMBER($D65)),"",IF($D65&lt;InicioCiclo,"Antes del ciclo",IF($D65&gt;=InicioCiclo+28,"Después del ciclo","Semana "&amp;(INT(($D65-InicioCiclo)/7)+1)))))</f>
        <v/>
      </c>
      <c r="F65" s="61">
        <f>IF($N65="","",IF($P65&gt;0,IF(1&lt;=SemanaActual,INDEX('Cronograma R. Operacional'!$AH$5:$AH$1000,$N65),""),IF(INDEX('Cronograma R. Operacional'!$I$5:$I$1000,$N65)="","",INDEX('Cronograma R. Operacional'!$I$5:$I$1000,$N65))))</f>
        <v/>
      </c>
      <c r="G65" s="61">
        <f>IF($N65="","",IF($P65&gt;0,IF(2&lt;=SemanaActual,INDEX('Cronograma R. Operacional'!$AI$5:$AI$1000,$N65),""),IF(INDEX('Cronograma R. Operacional'!$J$5:$J$1000,$N65)="","",INDEX('Cronograma R. Operacional'!$J$5:$J$1000,$N65))))</f>
        <v/>
      </c>
      <c r="H65" s="61">
        <f>IF($N65="","",IF($P65&gt;0,IF(3&lt;=SemanaActual,INDEX('Cronograma R. Operacional'!$AJ$5:$AJ$1000,$N65),""),IF(INDEX('Cronograma R. Operacional'!$K$5:$K$1000,$N65)="","",INDEX('Cronograma R. Operacional'!$K$5:$K$1000,$N65))))</f>
        <v/>
      </c>
      <c r="I65" s="61">
        <f>IF($N65="","",IF($P65&gt;0,IF(4&lt;=SemanaActual,INDEX('Cronograma R. Operacional'!$AK$5:$AK$1000,$N65),""),IF(INDEX('Cronograma R. Operacional'!$L$5:$L$1000,$N65)="","",INDEX('Cronograma R. Operacional'!$L$5:$L$1000,$N65))))</f>
        <v/>
      </c>
      <c r="J65" s="61">
        <f>IF($N65="","",INDEX('Cronograma R. Operacional'!$M$5:$M$1000,$N65))</f>
        <v/>
      </c>
      <c r="K65" s="56">
        <f>IF($N65="","",IF(N($J65)&gt;=1,"Completado",IF(AND(ISNUMBER($D65),$D65&lt;FechaRef),"Vencida",IF(N($J65)&gt;0,"En curso","Pendiente"))))</f>
        <v/>
      </c>
      <c r="L65" s="56">
        <f>IF($N65="","",INDEX('Cronograma R. Operacional'!$O$5:$O$1000,$N65)&amp;"")</f>
        <v/>
      </c>
      <c r="M65" s="62">
        <f>IF($N65="","",INDEX('Cronograma R. Operacional'!$Q$5:$Q$1000,$N65)&amp;"")</f>
        <v/>
      </c>
      <c r="N65">
        <f>IFERROR(MATCH(ROW()-4,rOrden_RO,0),"")</f>
        <v/>
      </c>
      <c r="O65">
        <f>IF($N65="","",INDEX('Cronograma R. Operacional'!$V$5:$V$1000,$N65))</f>
        <v/>
      </c>
      <c r="P65">
        <f>IF($N65="","",N(INDEX('Cronograma R. Operacional'!$W$5:$W$1000,$N65)))</f>
        <v/>
      </c>
      <c r="Q65">
        <f>IF(OR(LEFT($L65,7)="Vencida",LEFT($L65,5)="Vence"),SUMPRODUCT(--(LEFT($L$5:$L65,7)="Vencida"))+SUMPRODUCT(--(LEFT($L$5:$L65,5)="Vence")),"")</f>
        <v/>
      </c>
    </row>
    <row r="66">
      <c r="A66" s="56">
        <f>IF($N66="","",INDEX('Cronograma R. Operacional'!$A$5:$A$1000,$N66))</f>
        <v/>
      </c>
      <c r="B66" s="62">
        <f>IF($N66="","",IF($O66="Sub","      ↳  "&amp;INDEX('Cronograma R. Operacional'!$C$5:$C$1000,$N66),INDEX('Cronograma R. Operacional'!$C$5:$C$1000,$N66)&amp;""))</f>
        <v/>
      </c>
      <c r="C66" s="79">
        <f>IF($N66="","",IF(INDEX('Cronograma R. Operacional'!$AR$5:$AR$1000,$N66)="","",INDEX('Cronograma R. Operacional'!$AR$5:$AR$1000,$N66)))</f>
        <v/>
      </c>
      <c r="D66" s="79">
        <f>IF($N66="","",IF(INDEX('Cronograma R. Operacional'!$AS$5:$AS$1000,$N66)="","",INDEX('Cronograma R. Operacional'!$AS$5:$AS$1000,$N66)))</f>
        <v/>
      </c>
      <c r="E66" s="56">
        <f>IF($N66="","",IF(NOT(ISNUMBER($D66)),"",IF($D66&lt;InicioCiclo,"Antes del ciclo",IF($D66&gt;=InicioCiclo+28,"Después del ciclo","Semana "&amp;(INT(($D66-InicioCiclo)/7)+1)))))</f>
        <v/>
      </c>
      <c r="F66" s="61">
        <f>IF($N66="","",IF($P66&gt;0,IF(1&lt;=SemanaActual,INDEX('Cronograma R. Operacional'!$AH$5:$AH$1000,$N66),""),IF(INDEX('Cronograma R. Operacional'!$I$5:$I$1000,$N66)="","",INDEX('Cronograma R. Operacional'!$I$5:$I$1000,$N66))))</f>
        <v/>
      </c>
      <c r="G66" s="61">
        <f>IF($N66="","",IF($P66&gt;0,IF(2&lt;=SemanaActual,INDEX('Cronograma R. Operacional'!$AI$5:$AI$1000,$N66),""),IF(INDEX('Cronograma R. Operacional'!$J$5:$J$1000,$N66)="","",INDEX('Cronograma R. Operacional'!$J$5:$J$1000,$N66))))</f>
        <v/>
      </c>
      <c r="H66" s="61">
        <f>IF($N66="","",IF($P66&gt;0,IF(3&lt;=SemanaActual,INDEX('Cronograma R. Operacional'!$AJ$5:$AJ$1000,$N66),""),IF(INDEX('Cronograma R. Operacional'!$K$5:$K$1000,$N66)="","",INDEX('Cronograma R. Operacional'!$K$5:$K$1000,$N66))))</f>
        <v/>
      </c>
      <c r="I66" s="61">
        <f>IF($N66="","",IF($P66&gt;0,IF(4&lt;=SemanaActual,INDEX('Cronograma R. Operacional'!$AK$5:$AK$1000,$N66),""),IF(INDEX('Cronograma R. Operacional'!$L$5:$L$1000,$N66)="","",INDEX('Cronograma R. Operacional'!$L$5:$L$1000,$N66))))</f>
        <v/>
      </c>
      <c r="J66" s="61">
        <f>IF($N66="","",INDEX('Cronograma R. Operacional'!$M$5:$M$1000,$N66))</f>
        <v/>
      </c>
      <c r="K66" s="56">
        <f>IF($N66="","",IF(N($J66)&gt;=1,"Completado",IF(AND(ISNUMBER($D66),$D66&lt;FechaRef),"Vencida",IF(N($J66)&gt;0,"En curso","Pendiente"))))</f>
        <v/>
      </c>
      <c r="L66" s="56">
        <f>IF($N66="","",INDEX('Cronograma R. Operacional'!$O$5:$O$1000,$N66)&amp;"")</f>
        <v/>
      </c>
      <c r="M66" s="62">
        <f>IF($N66="","",INDEX('Cronograma R. Operacional'!$Q$5:$Q$1000,$N66)&amp;"")</f>
        <v/>
      </c>
      <c r="N66">
        <f>IFERROR(MATCH(ROW()-4,rOrden_RO,0),"")</f>
        <v/>
      </c>
      <c r="O66">
        <f>IF($N66="","",INDEX('Cronograma R. Operacional'!$V$5:$V$1000,$N66))</f>
        <v/>
      </c>
      <c r="P66">
        <f>IF($N66="","",N(INDEX('Cronograma R. Operacional'!$W$5:$W$1000,$N66)))</f>
        <v/>
      </c>
      <c r="Q66">
        <f>IF(OR(LEFT($L66,7)="Vencida",LEFT($L66,5)="Vence"),SUMPRODUCT(--(LEFT($L$5:$L66,7)="Vencida"))+SUMPRODUCT(--(LEFT($L$5:$L66,5)="Vence")),"")</f>
        <v/>
      </c>
    </row>
    <row r="67">
      <c r="A67" s="56">
        <f>IF($N67="","",INDEX('Cronograma R. Operacional'!$A$5:$A$1000,$N67))</f>
        <v/>
      </c>
      <c r="B67" s="62">
        <f>IF($N67="","",IF($O67="Sub","      ↳  "&amp;INDEX('Cronograma R. Operacional'!$C$5:$C$1000,$N67),INDEX('Cronograma R. Operacional'!$C$5:$C$1000,$N67)&amp;""))</f>
        <v/>
      </c>
      <c r="C67" s="79">
        <f>IF($N67="","",IF(INDEX('Cronograma R. Operacional'!$AR$5:$AR$1000,$N67)="","",INDEX('Cronograma R. Operacional'!$AR$5:$AR$1000,$N67)))</f>
        <v/>
      </c>
      <c r="D67" s="79">
        <f>IF($N67="","",IF(INDEX('Cronograma R. Operacional'!$AS$5:$AS$1000,$N67)="","",INDEX('Cronograma R. Operacional'!$AS$5:$AS$1000,$N67)))</f>
        <v/>
      </c>
      <c r="E67" s="56">
        <f>IF($N67="","",IF(NOT(ISNUMBER($D67)),"",IF($D67&lt;InicioCiclo,"Antes del ciclo",IF($D67&gt;=InicioCiclo+28,"Después del ciclo","Semana "&amp;(INT(($D67-InicioCiclo)/7)+1)))))</f>
        <v/>
      </c>
      <c r="F67" s="61">
        <f>IF($N67="","",IF($P67&gt;0,IF(1&lt;=SemanaActual,INDEX('Cronograma R. Operacional'!$AH$5:$AH$1000,$N67),""),IF(INDEX('Cronograma R. Operacional'!$I$5:$I$1000,$N67)="","",INDEX('Cronograma R. Operacional'!$I$5:$I$1000,$N67))))</f>
        <v/>
      </c>
      <c r="G67" s="61">
        <f>IF($N67="","",IF($P67&gt;0,IF(2&lt;=SemanaActual,INDEX('Cronograma R. Operacional'!$AI$5:$AI$1000,$N67),""),IF(INDEX('Cronograma R. Operacional'!$J$5:$J$1000,$N67)="","",INDEX('Cronograma R. Operacional'!$J$5:$J$1000,$N67))))</f>
        <v/>
      </c>
      <c r="H67" s="61">
        <f>IF($N67="","",IF($P67&gt;0,IF(3&lt;=SemanaActual,INDEX('Cronograma R. Operacional'!$AJ$5:$AJ$1000,$N67),""),IF(INDEX('Cronograma R. Operacional'!$K$5:$K$1000,$N67)="","",INDEX('Cronograma R. Operacional'!$K$5:$K$1000,$N67))))</f>
        <v/>
      </c>
      <c r="I67" s="61">
        <f>IF($N67="","",IF($P67&gt;0,IF(4&lt;=SemanaActual,INDEX('Cronograma R. Operacional'!$AK$5:$AK$1000,$N67),""),IF(INDEX('Cronograma R. Operacional'!$L$5:$L$1000,$N67)="","",INDEX('Cronograma R. Operacional'!$L$5:$L$1000,$N67))))</f>
        <v/>
      </c>
      <c r="J67" s="61">
        <f>IF($N67="","",INDEX('Cronograma R. Operacional'!$M$5:$M$1000,$N67))</f>
        <v/>
      </c>
      <c r="K67" s="56">
        <f>IF($N67="","",IF(N($J67)&gt;=1,"Completado",IF(AND(ISNUMBER($D67),$D67&lt;FechaRef),"Vencida",IF(N($J67)&gt;0,"En curso","Pendiente"))))</f>
        <v/>
      </c>
      <c r="L67" s="56">
        <f>IF($N67="","",INDEX('Cronograma R. Operacional'!$O$5:$O$1000,$N67)&amp;"")</f>
        <v/>
      </c>
      <c r="M67" s="62">
        <f>IF($N67="","",INDEX('Cronograma R. Operacional'!$Q$5:$Q$1000,$N67)&amp;"")</f>
        <v/>
      </c>
      <c r="N67">
        <f>IFERROR(MATCH(ROW()-4,rOrden_RO,0),"")</f>
        <v/>
      </c>
      <c r="O67">
        <f>IF($N67="","",INDEX('Cronograma R. Operacional'!$V$5:$V$1000,$N67))</f>
        <v/>
      </c>
      <c r="P67">
        <f>IF($N67="","",N(INDEX('Cronograma R. Operacional'!$W$5:$W$1000,$N67)))</f>
        <v/>
      </c>
      <c r="Q67">
        <f>IF(OR(LEFT($L67,7)="Vencida",LEFT($L67,5)="Vence"),SUMPRODUCT(--(LEFT($L$5:$L67,7)="Vencida"))+SUMPRODUCT(--(LEFT($L$5:$L67,5)="Vence")),"")</f>
        <v/>
      </c>
    </row>
    <row r="68">
      <c r="A68" s="56">
        <f>IF($N68="","",INDEX('Cronograma R. Operacional'!$A$5:$A$1000,$N68))</f>
        <v/>
      </c>
      <c r="B68" s="62">
        <f>IF($N68="","",IF($O68="Sub","      ↳  "&amp;INDEX('Cronograma R. Operacional'!$C$5:$C$1000,$N68),INDEX('Cronograma R. Operacional'!$C$5:$C$1000,$N68)&amp;""))</f>
        <v/>
      </c>
      <c r="C68" s="79">
        <f>IF($N68="","",IF(INDEX('Cronograma R. Operacional'!$AR$5:$AR$1000,$N68)="","",INDEX('Cronograma R. Operacional'!$AR$5:$AR$1000,$N68)))</f>
        <v/>
      </c>
      <c r="D68" s="79">
        <f>IF($N68="","",IF(INDEX('Cronograma R. Operacional'!$AS$5:$AS$1000,$N68)="","",INDEX('Cronograma R. Operacional'!$AS$5:$AS$1000,$N68)))</f>
        <v/>
      </c>
      <c r="E68" s="56">
        <f>IF($N68="","",IF(NOT(ISNUMBER($D68)),"",IF($D68&lt;InicioCiclo,"Antes del ciclo",IF($D68&gt;=InicioCiclo+28,"Después del ciclo","Semana "&amp;(INT(($D68-InicioCiclo)/7)+1)))))</f>
        <v/>
      </c>
      <c r="F68" s="61">
        <f>IF($N68="","",IF($P68&gt;0,IF(1&lt;=SemanaActual,INDEX('Cronograma R. Operacional'!$AH$5:$AH$1000,$N68),""),IF(INDEX('Cronograma R. Operacional'!$I$5:$I$1000,$N68)="","",INDEX('Cronograma R. Operacional'!$I$5:$I$1000,$N68))))</f>
        <v/>
      </c>
      <c r="G68" s="61">
        <f>IF($N68="","",IF($P68&gt;0,IF(2&lt;=SemanaActual,INDEX('Cronograma R. Operacional'!$AI$5:$AI$1000,$N68),""),IF(INDEX('Cronograma R. Operacional'!$J$5:$J$1000,$N68)="","",INDEX('Cronograma R. Operacional'!$J$5:$J$1000,$N68))))</f>
        <v/>
      </c>
      <c r="H68" s="61">
        <f>IF($N68="","",IF($P68&gt;0,IF(3&lt;=SemanaActual,INDEX('Cronograma R. Operacional'!$AJ$5:$AJ$1000,$N68),""),IF(INDEX('Cronograma R. Operacional'!$K$5:$K$1000,$N68)="","",INDEX('Cronograma R. Operacional'!$K$5:$K$1000,$N68))))</f>
        <v/>
      </c>
      <c r="I68" s="61">
        <f>IF($N68="","",IF($P68&gt;0,IF(4&lt;=SemanaActual,INDEX('Cronograma R. Operacional'!$AK$5:$AK$1000,$N68),""),IF(INDEX('Cronograma R. Operacional'!$L$5:$L$1000,$N68)="","",INDEX('Cronograma R. Operacional'!$L$5:$L$1000,$N68))))</f>
        <v/>
      </c>
      <c r="J68" s="61">
        <f>IF($N68="","",INDEX('Cronograma R. Operacional'!$M$5:$M$1000,$N68))</f>
        <v/>
      </c>
      <c r="K68" s="56">
        <f>IF($N68="","",IF(N($J68)&gt;=1,"Completado",IF(AND(ISNUMBER($D68),$D68&lt;FechaRef),"Vencida",IF(N($J68)&gt;0,"En curso","Pendiente"))))</f>
        <v/>
      </c>
      <c r="L68" s="56">
        <f>IF($N68="","",INDEX('Cronograma R. Operacional'!$O$5:$O$1000,$N68)&amp;"")</f>
        <v/>
      </c>
      <c r="M68" s="62">
        <f>IF($N68="","",INDEX('Cronograma R. Operacional'!$Q$5:$Q$1000,$N68)&amp;"")</f>
        <v/>
      </c>
      <c r="N68">
        <f>IFERROR(MATCH(ROW()-4,rOrden_RO,0),"")</f>
        <v/>
      </c>
      <c r="O68">
        <f>IF($N68="","",INDEX('Cronograma R. Operacional'!$V$5:$V$1000,$N68))</f>
        <v/>
      </c>
      <c r="P68">
        <f>IF($N68="","",N(INDEX('Cronograma R. Operacional'!$W$5:$W$1000,$N68)))</f>
        <v/>
      </c>
      <c r="Q68">
        <f>IF(OR(LEFT($L68,7)="Vencida",LEFT($L68,5)="Vence"),SUMPRODUCT(--(LEFT($L$5:$L68,7)="Vencida"))+SUMPRODUCT(--(LEFT($L$5:$L68,5)="Vence")),"")</f>
        <v/>
      </c>
    </row>
    <row r="69">
      <c r="A69" s="56">
        <f>IF($N69="","",INDEX('Cronograma R. Operacional'!$A$5:$A$1000,$N69))</f>
        <v/>
      </c>
      <c r="B69" s="62">
        <f>IF($N69="","",IF($O69="Sub","      ↳  "&amp;INDEX('Cronograma R. Operacional'!$C$5:$C$1000,$N69),INDEX('Cronograma R. Operacional'!$C$5:$C$1000,$N69)&amp;""))</f>
        <v/>
      </c>
      <c r="C69" s="79">
        <f>IF($N69="","",IF(INDEX('Cronograma R. Operacional'!$AR$5:$AR$1000,$N69)="","",INDEX('Cronograma R. Operacional'!$AR$5:$AR$1000,$N69)))</f>
        <v/>
      </c>
      <c r="D69" s="79">
        <f>IF($N69="","",IF(INDEX('Cronograma R. Operacional'!$AS$5:$AS$1000,$N69)="","",INDEX('Cronograma R. Operacional'!$AS$5:$AS$1000,$N69)))</f>
        <v/>
      </c>
      <c r="E69" s="56">
        <f>IF($N69="","",IF(NOT(ISNUMBER($D69)),"",IF($D69&lt;InicioCiclo,"Antes del ciclo",IF($D69&gt;=InicioCiclo+28,"Después del ciclo","Semana "&amp;(INT(($D69-InicioCiclo)/7)+1)))))</f>
        <v/>
      </c>
      <c r="F69" s="61">
        <f>IF($N69="","",IF($P69&gt;0,IF(1&lt;=SemanaActual,INDEX('Cronograma R. Operacional'!$AH$5:$AH$1000,$N69),""),IF(INDEX('Cronograma R. Operacional'!$I$5:$I$1000,$N69)="","",INDEX('Cronograma R. Operacional'!$I$5:$I$1000,$N69))))</f>
        <v/>
      </c>
      <c r="G69" s="61">
        <f>IF($N69="","",IF($P69&gt;0,IF(2&lt;=SemanaActual,INDEX('Cronograma R. Operacional'!$AI$5:$AI$1000,$N69),""),IF(INDEX('Cronograma R. Operacional'!$J$5:$J$1000,$N69)="","",INDEX('Cronograma R. Operacional'!$J$5:$J$1000,$N69))))</f>
        <v/>
      </c>
      <c r="H69" s="61">
        <f>IF($N69="","",IF($P69&gt;0,IF(3&lt;=SemanaActual,INDEX('Cronograma R. Operacional'!$AJ$5:$AJ$1000,$N69),""),IF(INDEX('Cronograma R. Operacional'!$K$5:$K$1000,$N69)="","",INDEX('Cronograma R. Operacional'!$K$5:$K$1000,$N69))))</f>
        <v/>
      </c>
      <c r="I69" s="61">
        <f>IF($N69="","",IF($P69&gt;0,IF(4&lt;=SemanaActual,INDEX('Cronograma R. Operacional'!$AK$5:$AK$1000,$N69),""),IF(INDEX('Cronograma R. Operacional'!$L$5:$L$1000,$N69)="","",INDEX('Cronograma R. Operacional'!$L$5:$L$1000,$N69))))</f>
        <v/>
      </c>
      <c r="J69" s="61">
        <f>IF($N69="","",INDEX('Cronograma R. Operacional'!$M$5:$M$1000,$N69))</f>
        <v/>
      </c>
      <c r="K69" s="56">
        <f>IF($N69="","",IF(N($J69)&gt;=1,"Completado",IF(AND(ISNUMBER($D69),$D69&lt;FechaRef),"Vencida",IF(N($J69)&gt;0,"En curso","Pendiente"))))</f>
        <v/>
      </c>
      <c r="L69" s="56">
        <f>IF($N69="","",INDEX('Cronograma R. Operacional'!$O$5:$O$1000,$N69)&amp;"")</f>
        <v/>
      </c>
      <c r="M69" s="62">
        <f>IF($N69="","",INDEX('Cronograma R. Operacional'!$Q$5:$Q$1000,$N69)&amp;"")</f>
        <v/>
      </c>
      <c r="N69">
        <f>IFERROR(MATCH(ROW()-4,rOrden_RO,0),"")</f>
        <v/>
      </c>
      <c r="O69">
        <f>IF($N69="","",INDEX('Cronograma R. Operacional'!$V$5:$V$1000,$N69))</f>
        <v/>
      </c>
      <c r="P69">
        <f>IF($N69="","",N(INDEX('Cronograma R. Operacional'!$W$5:$W$1000,$N69)))</f>
        <v/>
      </c>
      <c r="Q69">
        <f>IF(OR(LEFT($L69,7)="Vencida",LEFT($L69,5)="Vence"),SUMPRODUCT(--(LEFT($L$5:$L69,7)="Vencida"))+SUMPRODUCT(--(LEFT($L$5:$L69,5)="Vence")),"")</f>
        <v/>
      </c>
    </row>
    <row r="70">
      <c r="A70" s="56">
        <f>IF($N70="","",INDEX('Cronograma R. Operacional'!$A$5:$A$1000,$N70))</f>
        <v/>
      </c>
      <c r="B70" s="62">
        <f>IF($N70="","",IF($O70="Sub","      ↳  "&amp;INDEX('Cronograma R. Operacional'!$C$5:$C$1000,$N70),INDEX('Cronograma R. Operacional'!$C$5:$C$1000,$N70)&amp;""))</f>
        <v/>
      </c>
      <c r="C70" s="79">
        <f>IF($N70="","",IF(INDEX('Cronograma R. Operacional'!$AR$5:$AR$1000,$N70)="","",INDEX('Cronograma R. Operacional'!$AR$5:$AR$1000,$N70)))</f>
        <v/>
      </c>
      <c r="D70" s="79">
        <f>IF($N70="","",IF(INDEX('Cronograma R. Operacional'!$AS$5:$AS$1000,$N70)="","",INDEX('Cronograma R. Operacional'!$AS$5:$AS$1000,$N70)))</f>
        <v/>
      </c>
      <c r="E70" s="56">
        <f>IF($N70="","",IF(NOT(ISNUMBER($D70)),"",IF($D70&lt;InicioCiclo,"Antes del ciclo",IF($D70&gt;=InicioCiclo+28,"Después del ciclo","Semana "&amp;(INT(($D70-InicioCiclo)/7)+1)))))</f>
        <v/>
      </c>
      <c r="F70" s="61">
        <f>IF($N70="","",IF($P70&gt;0,IF(1&lt;=SemanaActual,INDEX('Cronograma R. Operacional'!$AH$5:$AH$1000,$N70),""),IF(INDEX('Cronograma R. Operacional'!$I$5:$I$1000,$N70)="","",INDEX('Cronograma R. Operacional'!$I$5:$I$1000,$N70))))</f>
        <v/>
      </c>
      <c r="G70" s="61">
        <f>IF($N70="","",IF($P70&gt;0,IF(2&lt;=SemanaActual,INDEX('Cronograma R. Operacional'!$AI$5:$AI$1000,$N70),""),IF(INDEX('Cronograma R. Operacional'!$J$5:$J$1000,$N70)="","",INDEX('Cronograma R. Operacional'!$J$5:$J$1000,$N70))))</f>
        <v/>
      </c>
      <c r="H70" s="61">
        <f>IF($N70="","",IF($P70&gt;0,IF(3&lt;=SemanaActual,INDEX('Cronograma R. Operacional'!$AJ$5:$AJ$1000,$N70),""),IF(INDEX('Cronograma R. Operacional'!$K$5:$K$1000,$N70)="","",INDEX('Cronograma R. Operacional'!$K$5:$K$1000,$N70))))</f>
        <v/>
      </c>
      <c r="I70" s="61">
        <f>IF($N70="","",IF($P70&gt;0,IF(4&lt;=SemanaActual,INDEX('Cronograma R. Operacional'!$AK$5:$AK$1000,$N70),""),IF(INDEX('Cronograma R. Operacional'!$L$5:$L$1000,$N70)="","",INDEX('Cronograma R. Operacional'!$L$5:$L$1000,$N70))))</f>
        <v/>
      </c>
      <c r="J70" s="61">
        <f>IF($N70="","",INDEX('Cronograma R. Operacional'!$M$5:$M$1000,$N70))</f>
        <v/>
      </c>
      <c r="K70" s="56">
        <f>IF($N70="","",IF(N($J70)&gt;=1,"Completado",IF(AND(ISNUMBER($D70),$D70&lt;FechaRef),"Vencida",IF(N($J70)&gt;0,"En curso","Pendiente"))))</f>
        <v/>
      </c>
      <c r="L70" s="56">
        <f>IF($N70="","",INDEX('Cronograma R. Operacional'!$O$5:$O$1000,$N70)&amp;"")</f>
        <v/>
      </c>
      <c r="M70" s="62">
        <f>IF($N70="","",INDEX('Cronograma R. Operacional'!$Q$5:$Q$1000,$N70)&amp;"")</f>
        <v/>
      </c>
      <c r="N70">
        <f>IFERROR(MATCH(ROW()-4,rOrden_RO,0),"")</f>
        <v/>
      </c>
      <c r="O70">
        <f>IF($N70="","",INDEX('Cronograma R. Operacional'!$V$5:$V$1000,$N70))</f>
        <v/>
      </c>
      <c r="P70">
        <f>IF($N70="","",N(INDEX('Cronograma R. Operacional'!$W$5:$W$1000,$N70)))</f>
        <v/>
      </c>
      <c r="Q70">
        <f>IF(OR(LEFT($L70,7)="Vencida",LEFT($L70,5)="Vence"),SUMPRODUCT(--(LEFT($L$5:$L70,7)="Vencida"))+SUMPRODUCT(--(LEFT($L$5:$L70,5)="Vence")),"")</f>
        <v/>
      </c>
    </row>
    <row r="71">
      <c r="A71" s="56">
        <f>IF($N71="","",INDEX('Cronograma R. Operacional'!$A$5:$A$1000,$N71))</f>
        <v/>
      </c>
      <c r="B71" s="62">
        <f>IF($N71="","",IF($O71="Sub","      ↳  "&amp;INDEX('Cronograma R. Operacional'!$C$5:$C$1000,$N71),INDEX('Cronograma R. Operacional'!$C$5:$C$1000,$N71)&amp;""))</f>
        <v/>
      </c>
      <c r="C71" s="79">
        <f>IF($N71="","",IF(INDEX('Cronograma R. Operacional'!$AR$5:$AR$1000,$N71)="","",INDEX('Cronograma R. Operacional'!$AR$5:$AR$1000,$N71)))</f>
        <v/>
      </c>
      <c r="D71" s="79">
        <f>IF($N71="","",IF(INDEX('Cronograma R. Operacional'!$AS$5:$AS$1000,$N71)="","",INDEX('Cronograma R. Operacional'!$AS$5:$AS$1000,$N71)))</f>
        <v/>
      </c>
      <c r="E71" s="56">
        <f>IF($N71="","",IF(NOT(ISNUMBER($D71)),"",IF($D71&lt;InicioCiclo,"Antes del ciclo",IF($D71&gt;=InicioCiclo+28,"Después del ciclo","Semana "&amp;(INT(($D71-InicioCiclo)/7)+1)))))</f>
        <v/>
      </c>
      <c r="F71" s="61">
        <f>IF($N71="","",IF($P71&gt;0,IF(1&lt;=SemanaActual,INDEX('Cronograma R. Operacional'!$AH$5:$AH$1000,$N71),""),IF(INDEX('Cronograma R. Operacional'!$I$5:$I$1000,$N71)="","",INDEX('Cronograma R. Operacional'!$I$5:$I$1000,$N71))))</f>
        <v/>
      </c>
      <c r="G71" s="61">
        <f>IF($N71="","",IF($P71&gt;0,IF(2&lt;=SemanaActual,INDEX('Cronograma R. Operacional'!$AI$5:$AI$1000,$N71),""),IF(INDEX('Cronograma R. Operacional'!$J$5:$J$1000,$N71)="","",INDEX('Cronograma R. Operacional'!$J$5:$J$1000,$N71))))</f>
        <v/>
      </c>
      <c r="H71" s="61">
        <f>IF($N71="","",IF($P71&gt;0,IF(3&lt;=SemanaActual,INDEX('Cronograma R. Operacional'!$AJ$5:$AJ$1000,$N71),""),IF(INDEX('Cronograma R. Operacional'!$K$5:$K$1000,$N71)="","",INDEX('Cronograma R. Operacional'!$K$5:$K$1000,$N71))))</f>
        <v/>
      </c>
      <c r="I71" s="61">
        <f>IF($N71="","",IF($P71&gt;0,IF(4&lt;=SemanaActual,INDEX('Cronograma R. Operacional'!$AK$5:$AK$1000,$N71),""),IF(INDEX('Cronograma R. Operacional'!$L$5:$L$1000,$N71)="","",INDEX('Cronograma R. Operacional'!$L$5:$L$1000,$N71))))</f>
        <v/>
      </c>
      <c r="J71" s="61">
        <f>IF($N71="","",INDEX('Cronograma R. Operacional'!$M$5:$M$1000,$N71))</f>
        <v/>
      </c>
      <c r="K71" s="56">
        <f>IF($N71="","",IF(N($J71)&gt;=1,"Completado",IF(AND(ISNUMBER($D71),$D71&lt;FechaRef),"Vencida",IF(N($J71)&gt;0,"En curso","Pendiente"))))</f>
        <v/>
      </c>
      <c r="L71" s="56">
        <f>IF($N71="","",INDEX('Cronograma R. Operacional'!$O$5:$O$1000,$N71)&amp;"")</f>
        <v/>
      </c>
      <c r="M71" s="62">
        <f>IF($N71="","",INDEX('Cronograma R. Operacional'!$Q$5:$Q$1000,$N71)&amp;"")</f>
        <v/>
      </c>
      <c r="N71">
        <f>IFERROR(MATCH(ROW()-4,rOrden_RO,0),"")</f>
        <v/>
      </c>
      <c r="O71">
        <f>IF($N71="","",INDEX('Cronograma R. Operacional'!$V$5:$V$1000,$N71))</f>
        <v/>
      </c>
      <c r="P71">
        <f>IF($N71="","",N(INDEX('Cronograma R. Operacional'!$W$5:$W$1000,$N71)))</f>
        <v/>
      </c>
      <c r="Q71">
        <f>IF(OR(LEFT($L71,7)="Vencida",LEFT($L71,5)="Vence"),SUMPRODUCT(--(LEFT($L$5:$L71,7)="Vencida"))+SUMPRODUCT(--(LEFT($L$5:$L71,5)="Vence")),"")</f>
        <v/>
      </c>
    </row>
    <row r="72">
      <c r="A72" s="56">
        <f>IF($N72="","",INDEX('Cronograma R. Operacional'!$A$5:$A$1000,$N72))</f>
        <v/>
      </c>
      <c r="B72" s="62">
        <f>IF($N72="","",IF($O72="Sub","      ↳  "&amp;INDEX('Cronograma R. Operacional'!$C$5:$C$1000,$N72),INDEX('Cronograma R. Operacional'!$C$5:$C$1000,$N72)&amp;""))</f>
        <v/>
      </c>
      <c r="C72" s="79">
        <f>IF($N72="","",IF(INDEX('Cronograma R. Operacional'!$AR$5:$AR$1000,$N72)="","",INDEX('Cronograma R. Operacional'!$AR$5:$AR$1000,$N72)))</f>
        <v/>
      </c>
      <c r="D72" s="79">
        <f>IF($N72="","",IF(INDEX('Cronograma R. Operacional'!$AS$5:$AS$1000,$N72)="","",INDEX('Cronograma R. Operacional'!$AS$5:$AS$1000,$N72)))</f>
        <v/>
      </c>
      <c r="E72" s="56">
        <f>IF($N72="","",IF(NOT(ISNUMBER($D72)),"",IF($D72&lt;InicioCiclo,"Antes del ciclo",IF($D72&gt;=InicioCiclo+28,"Después del ciclo","Semana "&amp;(INT(($D72-InicioCiclo)/7)+1)))))</f>
        <v/>
      </c>
      <c r="F72" s="61">
        <f>IF($N72="","",IF($P72&gt;0,IF(1&lt;=SemanaActual,INDEX('Cronograma R. Operacional'!$AH$5:$AH$1000,$N72),""),IF(INDEX('Cronograma R. Operacional'!$I$5:$I$1000,$N72)="","",INDEX('Cronograma R. Operacional'!$I$5:$I$1000,$N72))))</f>
        <v/>
      </c>
      <c r="G72" s="61">
        <f>IF($N72="","",IF($P72&gt;0,IF(2&lt;=SemanaActual,INDEX('Cronograma R. Operacional'!$AI$5:$AI$1000,$N72),""),IF(INDEX('Cronograma R. Operacional'!$J$5:$J$1000,$N72)="","",INDEX('Cronograma R. Operacional'!$J$5:$J$1000,$N72))))</f>
        <v/>
      </c>
      <c r="H72" s="61">
        <f>IF($N72="","",IF($P72&gt;0,IF(3&lt;=SemanaActual,INDEX('Cronograma R. Operacional'!$AJ$5:$AJ$1000,$N72),""),IF(INDEX('Cronograma R. Operacional'!$K$5:$K$1000,$N72)="","",INDEX('Cronograma R. Operacional'!$K$5:$K$1000,$N72))))</f>
        <v/>
      </c>
      <c r="I72" s="61">
        <f>IF($N72="","",IF($P72&gt;0,IF(4&lt;=SemanaActual,INDEX('Cronograma R. Operacional'!$AK$5:$AK$1000,$N72),""),IF(INDEX('Cronograma R. Operacional'!$L$5:$L$1000,$N72)="","",INDEX('Cronograma R. Operacional'!$L$5:$L$1000,$N72))))</f>
        <v/>
      </c>
      <c r="J72" s="61">
        <f>IF($N72="","",INDEX('Cronograma R. Operacional'!$M$5:$M$1000,$N72))</f>
        <v/>
      </c>
      <c r="K72" s="56">
        <f>IF($N72="","",IF(N($J72)&gt;=1,"Completado",IF(AND(ISNUMBER($D72),$D72&lt;FechaRef),"Vencida",IF(N($J72)&gt;0,"En curso","Pendiente"))))</f>
        <v/>
      </c>
      <c r="L72" s="56">
        <f>IF($N72="","",INDEX('Cronograma R. Operacional'!$O$5:$O$1000,$N72)&amp;"")</f>
        <v/>
      </c>
      <c r="M72" s="62">
        <f>IF($N72="","",INDEX('Cronograma R. Operacional'!$Q$5:$Q$1000,$N72)&amp;"")</f>
        <v/>
      </c>
      <c r="N72">
        <f>IFERROR(MATCH(ROW()-4,rOrden_RO,0),"")</f>
        <v/>
      </c>
      <c r="O72">
        <f>IF($N72="","",INDEX('Cronograma R. Operacional'!$V$5:$V$1000,$N72))</f>
        <v/>
      </c>
      <c r="P72">
        <f>IF($N72="","",N(INDEX('Cronograma R. Operacional'!$W$5:$W$1000,$N72)))</f>
        <v/>
      </c>
      <c r="Q72">
        <f>IF(OR(LEFT($L72,7)="Vencida",LEFT($L72,5)="Vence"),SUMPRODUCT(--(LEFT($L$5:$L72,7)="Vencida"))+SUMPRODUCT(--(LEFT($L$5:$L72,5)="Vence")),"")</f>
        <v/>
      </c>
    </row>
    <row r="73">
      <c r="A73" s="56">
        <f>IF($N73="","",INDEX('Cronograma R. Operacional'!$A$5:$A$1000,$N73))</f>
        <v/>
      </c>
      <c r="B73" s="62">
        <f>IF($N73="","",IF($O73="Sub","      ↳  "&amp;INDEX('Cronograma R. Operacional'!$C$5:$C$1000,$N73),INDEX('Cronograma R. Operacional'!$C$5:$C$1000,$N73)&amp;""))</f>
        <v/>
      </c>
      <c r="C73" s="79">
        <f>IF($N73="","",IF(INDEX('Cronograma R. Operacional'!$AR$5:$AR$1000,$N73)="","",INDEX('Cronograma R. Operacional'!$AR$5:$AR$1000,$N73)))</f>
        <v/>
      </c>
      <c r="D73" s="79">
        <f>IF($N73="","",IF(INDEX('Cronograma R. Operacional'!$AS$5:$AS$1000,$N73)="","",INDEX('Cronograma R. Operacional'!$AS$5:$AS$1000,$N73)))</f>
        <v/>
      </c>
      <c r="E73" s="56">
        <f>IF($N73="","",IF(NOT(ISNUMBER($D73)),"",IF($D73&lt;InicioCiclo,"Antes del ciclo",IF($D73&gt;=InicioCiclo+28,"Después del ciclo","Semana "&amp;(INT(($D73-InicioCiclo)/7)+1)))))</f>
        <v/>
      </c>
      <c r="F73" s="61">
        <f>IF($N73="","",IF($P73&gt;0,IF(1&lt;=SemanaActual,INDEX('Cronograma R. Operacional'!$AH$5:$AH$1000,$N73),""),IF(INDEX('Cronograma R. Operacional'!$I$5:$I$1000,$N73)="","",INDEX('Cronograma R. Operacional'!$I$5:$I$1000,$N73))))</f>
        <v/>
      </c>
      <c r="G73" s="61">
        <f>IF($N73="","",IF($P73&gt;0,IF(2&lt;=SemanaActual,INDEX('Cronograma R. Operacional'!$AI$5:$AI$1000,$N73),""),IF(INDEX('Cronograma R. Operacional'!$J$5:$J$1000,$N73)="","",INDEX('Cronograma R. Operacional'!$J$5:$J$1000,$N73))))</f>
        <v/>
      </c>
      <c r="H73" s="61">
        <f>IF($N73="","",IF($P73&gt;0,IF(3&lt;=SemanaActual,INDEX('Cronograma R. Operacional'!$AJ$5:$AJ$1000,$N73),""),IF(INDEX('Cronograma R. Operacional'!$K$5:$K$1000,$N73)="","",INDEX('Cronograma R. Operacional'!$K$5:$K$1000,$N73))))</f>
        <v/>
      </c>
      <c r="I73" s="61">
        <f>IF($N73="","",IF($P73&gt;0,IF(4&lt;=SemanaActual,INDEX('Cronograma R. Operacional'!$AK$5:$AK$1000,$N73),""),IF(INDEX('Cronograma R. Operacional'!$L$5:$L$1000,$N73)="","",INDEX('Cronograma R. Operacional'!$L$5:$L$1000,$N73))))</f>
        <v/>
      </c>
      <c r="J73" s="61">
        <f>IF($N73="","",INDEX('Cronograma R. Operacional'!$M$5:$M$1000,$N73))</f>
        <v/>
      </c>
      <c r="K73" s="56">
        <f>IF($N73="","",IF(N($J73)&gt;=1,"Completado",IF(AND(ISNUMBER($D73),$D73&lt;FechaRef),"Vencida",IF(N($J73)&gt;0,"En curso","Pendiente"))))</f>
        <v/>
      </c>
      <c r="L73" s="56">
        <f>IF($N73="","",INDEX('Cronograma R. Operacional'!$O$5:$O$1000,$N73)&amp;"")</f>
        <v/>
      </c>
      <c r="M73" s="62">
        <f>IF($N73="","",INDEX('Cronograma R. Operacional'!$Q$5:$Q$1000,$N73)&amp;"")</f>
        <v/>
      </c>
      <c r="N73">
        <f>IFERROR(MATCH(ROW()-4,rOrden_RO,0),"")</f>
        <v/>
      </c>
      <c r="O73">
        <f>IF($N73="","",INDEX('Cronograma R. Operacional'!$V$5:$V$1000,$N73))</f>
        <v/>
      </c>
      <c r="P73">
        <f>IF($N73="","",N(INDEX('Cronograma R. Operacional'!$W$5:$W$1000,$N73)))</f>
        <v/>
      </c>
      <c r="Q73">
        <f>IF(OR(LEFT($L73,7)="Vencida",LEFT($L73,5)="Vence"),SUMPRODUCT(--(LEFT($L$5:$L73,7)="Vencida"))+SUMPRODUCT(--(LEFT($L$5:$L73,5)="Vence")),"")</f>
        <v/>
      </c>
    </row>
    <row r="74">
      <c r="A74" s="56">
        <f>IF($N74="","",INDEX('Cronograma R. Operacional'!$A$5:$A$1000,$N74))</f>
        <v/>
      </c>
      <c r="B74" s="62">
        <f>IF($N74="","",IF($O74="Sub","      ↳  "&amp;INDEX('Cronograma R. Operacional'!$C$5:$C$1000,$N74),INDEX('Cronograma R. Operacional'!$C$5:$C$1000,$N74)&amp;""))</f>
        <v/>
      </c>
      <c r="C74" s="79">
        <f>IF($N74="","",IF(INDEX('Cronograma R. Operacional'!$AR$5:$AR$1000,$N74)="","",INDEX('Cronograma R. Operacional'!$AR$5:$AR$1000,$N74)))</f>
        <v/>
      </c>
      <c r="D74" s="79">
        <f>IF($N74="","",IF(INDEX('Cronograma R. Operacional'!$AS$5:$AS$1000,$N74)="","",INDEX('Cronograma R. Operacional'!$AS$5:$AS$1000,$N74)))</f>
        <v/>
      </c>
      <c r="E74" s="56">
        <f>IF($N74="","",IF(NOT(ISNUMBER($D74)),"",IF($D74&lt;InicioCiclo,"Antes del ciclo",IF($D74&gt;=InicioCiclo+28,"Después del ciclo","Semana "&amp;(INT(($D74-InicioCiclo)/7)+1)))))</f>
        <v/>
      </c>
      <c r="F74" s="61">
        <f>IF($N74="","",IF($P74&gt;0,IF(1&lt;=SemanaActual,INDEX('Cronograma R. Operacional'!$AH$5:$AH$1000,$N74),""),IF(INDEX('Cronograma R. Operacional'!$I$5:$I$1000,$N74)="","",INDEX('Cronograma R. Operacional'!$I$5:$I$1000,$N74))))</f>
        <v/>
      </c>
      <c r="G74" s="61">
        <f>IF($N74="","",IF($P74&gt;0,IF(2&lt;=SemanaActual,INDEX('Cronograma R. Operacional'!$AI$5:$AI$1000,$N74),""),IF(INDEX('Cronograma R. Operacional'!$J$5:$J$1000,$N74)="","",INDEX('Cronograma R. Operacional'!$J$5:$J$1000,$N74))))</f>
        <v/>
      </c>
      <c r="H74" s="61">
        <f>IF($N74="","",IF($P74&gt;0,IF(3&lt;=SemanaActual,INDEX('Cronograma R. Operacional'!$AJ$5:$AJ$1000,$N74),""),IF(INDEX('Cronograma R. Operacional'!$K$5:$K$1000,$N74)="","",INDEX('Cronograma R. Operacional'!$K$5:$K$1000,$N74))))</f>
        <v/>
      </c>
      <c r="I74" s="61">
        <f>IF($N74="","",IF($P74&gt;0,IF(4&lt;=SemanaActual,INDEX('Cronograma R. Operacional'!$AK$5:$AK$1000,$N74),""),IF(INDEX('Cronograma R. Operacional'!$L$5:$L$1000,$N74)="","",INDEX('Cronograma R. Operacional'!$L$5:$L$1000,$N74))))</f>
        <v/>
      </c>
      <c r="J74" s="61">
        <f>IF($N74="","",INDEX('Cronograma R. Operacional'!$M$5:$M$1000,$N74))</f>
        <v/>
      </c>
      <c r="K74" s="56">
        <f>IF($N74="","",IF(N($J74)&gt;=1,"Completado",IF(AND(ISNUMBER($D74),$D74&lt;FechaRef),"Vencida",IF(N($J74)&gt;0,"En curso","Pendiente"))))</f>
        <v/>
      </c>
      <c r="L74" s="56">
        <f>IF($N74="","",INDEX('Cronograma R. Operacional'!$O$5:$O$1000,$N74)&amp;"")</f>
        <v/>
      </c>
      <c r="M74" s="62">
        <f>IF($N74="","",INDEX('Cronograma R. Operacional'!$Q$5:$Q$1000,$N74)&amp;"")</f>
        <v/>
      </c>
      <c r="N74">
        <f>IFERROR(MATCH(ROW()-4,rOrden_RO,0),"")</f>
        <v/>
      </c>
      <c r="O74">
        <f>IF($N74="","",INDEX('Cronograma R. Operacional'!$V$5:$V$1000,$N74))</f>
        <v/>
      </c>
      <c r="P74">
        <f>IF($N74="","",N(INDEX('Cronograma R. Operacional'!$W$5:$W$1000,$N74)))</f>
        <v/>
      </c>
      <c r="Q74">
        <f>IF(OR(LEFT($L74,7)="Vencida",LEFT($L74,5)="Vence"),SUMPRODUCT(--(LEFT($L$5:$L74,7)="Vencida"))+SUMPRODUCT(--(LEFT($L$5:$L74,5)="Vence")),"")</f>
        <v/>
      </c>
    </row>
    <row r="75">
      <c r="A75" s="56">
        <f>IF($N75="","",INDEX('Cronograma R. Operacional'!$A$5:$A$1000,$N75))</f>
        <v/>
      </c>
      <c r="B75" s="62">
        <f>IF($N75="","",IF($O75="Sub","      ↳  "&amp;INDEX('Cronograma R. Operacional'!$C$5:$C$1000,$N75),INDEX('Cronograma R. Operacional'!$C$5:$C$1000,$N75)&amp;""))</f>
        <v/>
      </c>
      <c r="C75" s="79">
        <f>IF($N75="","",IF(INDEX('Cronograma R. Operacional'!$AR$5:$AR$1000,$N75)="","",INDEX('Cronograma R. Operacional'!$AR$5:$AR$1000,$N75)))</f>
        <v/>
      </c>
      <c r="D75" s="79">
        <f>IF($N75="","",IF(INDEX('Cronograma R. Operacional'!$AS$5:$AS$1000,$N75)="","",INDEX('Cronograma R. Operacional'!$AS$5:$AS$1000,$N75)))</f>
        <v/>
      </c>
      <c r="E75" s="56">
        <f>IF($N75="","",IF(NOT(ISNUMBER($D75)),"",IF($D75&lt;InicioCiclo,"Antes del ciclo",IF($D75&gt;=InicioCiclo+28,"Después del ciclo","Semana "&amp;(INT(($D75-InicioCiclo)/7)+1)))))</f>
        <v/>
      </c>
      <c r="F75" s="61">
        <f>IF($N75="","",IF($P75&gt;0,IF(1&lt;=SemanaActual,INDEX('Cronograma R. Operacional'!$AH$5:$AH$1000,$N75),""),IF(INDEX('Cronograma R. Operacional'!$I$5:$I$1000,$N75)="","",INDEX('Cronograma R. Operacional'!$I$5:$I$1000,$N75))))</f>
        <v/>
      </c>
      <c r="G75" s="61">
        <f>IF($N75="","",IF($P75&gt;0,IF(2&lt;=SemanaActual,INDEX('Cronograma R. Operacional'!$AI$5:$AI$1000,$N75),""),IF(INDEX('Cronograma R. Operacional'!$J$5:$J$1000,$N75)="","",INDEX('Cronograma R. Operacional'!$J$5:$J$1000,$N75))))</f>
        <v/>
      </c>
      <c r="H75" s="61">
        <f>IF($N75="","",IF($P75&gt;0,IF(3&lt;=SemanaActual,INDEX('Cronograma R. Operacional'!$AJ$5:$AJ$1000,$N75),""),IF(INDEX('Cronograma R. Operacional'!$K$5:$K$1000,$N75)="","",INDEX('Cronograma R. Operacional'!$K$5:$K$1000,$N75))))</f>
        <v/>
      </c>
      <c r="I75" s="61">
        <f>IF($N75="","",IF($P75&gt;0,IF(4&lt;=SemanaActual,INDEX('Cronograma R. Operacional'!$AK$5:$AK$1000,$N75),""),IF(INDEX('Cronograma R. Operacional'!$L$5:$L$1000,$N75)="","",INDEX('Cronograma R. Operacional'!$L$5:$L$1000,$N75))))</f>
        <v/>
      </c>
      <c r="J75" s="61">
        <f>IF($N75="","",INDEX('Cronograma R. Operacional'!$M$5:$M$1000,$N75))</f>
        <v/>
      </c>
      <c r="K75" s="56">
        <f>IF($N75="","",IF(N($J75)&gt;=1,"Completado",IF(AND(ISNUMBER($D75),$D75&lt;FechaRef),"Vencida",IF(N($J75)&gt;0,"En curso","Pendiente"))))</f>
        <v/>
      </c>
      <c r="L75" s="56">
        <f>IF($N75="","",INDEX('Cronograma R. Operacional'!$O$5:$O$1000,$N75)&amp;"")</f>
        <v/>
      </c>
      <c r="M75" s="62">
        <f>IF($N75="","",INDEX('Cronograma R. Operacional'!$Q$5:$Q$1000,$N75)&amp;"")</f>
        <v/>
      </c>
      <c r="N75">
        <f>IFERROR(MATCH(ROW()-4,rOrden_RO,0),"")</f>
        <v/>
      </c>
      <c r="O75">
        <f>IF($N75="","",INDEX('Cronograma R. Operacional'!$V$5:$V$1000,$N75))</f>
        <v/>
      </c>
      <c r="P75">
        <f>IF($N75="","",N(INDEX('Cronograma R. Operacional'!$W$5:$W$1000,$N75)))</f>
        <v/>
      </c>
      <c r="Q75">
        <f>IF(OR(LEFT($L75,7)="Vencida",LEFT($L75,5)="Vence"),SUMPRODUCT(--(LEFT($L$5:$L75,7)="Vencida"))+SUMPRODUCT(--(LEFT($L$5:$L75,5)="Vence")),"")</f>
        <v/>
      </c>
    </row>
    <row r="76">
      <c r="A76" s="56">
        <f>IF($N76="","",INDEX('Cronograma R. Operacional'!$A$5:$A$1000,$N76))</f>
        <v/>
      </c>
      <c r="B76" s="62">
        <f>IF($N76="","",IF($O76="Sub","      ↳  "&amp;INDEX('Cronograma R. Operacional'!$C$5:$C$1000,$N76),INDEX('Cronograma R. Operacional'!$C$5:$C$1000,$N76)&amp;""))</f>
        <v/>
      </c>
      <c r="C76" s="79">
        <f>IF($N76="","",IF(INDEX('Cronograma R. Operacional'!$AR$5:$AR$1000,$N76)="","",INDEX('Cronograma R. Operacional'!$AR$5:$AR$1000,$N76)))</f>
        <v/>
      </c>
      <c r="D76" s="79">
        <f>IF($N76="","",IF(INDEX('Cronograma R. Operacional'!$AS$5:$AS$1000,$N76)="","",INDEX('Cronograma R. Operacional'!$AS$5:$AS$1000,$N76)))</f>
        <v/>
      </c>
      <c r="E76" s="56">
        <f>IF($N76="","",IF(NOT(ISNUMBER($D76)),"",IF($D76&lt;InicioCiclo,"Antes del ciclo",IF($D76&gt;=InicioCiclo+28,"Después del ciclo","Semana "&amp;(INT(($D76-InicioCiclo)/7)+1)))))</f>
        <v/>
      </c>
      <c r="F76" s="61">
        <f>IF($N76="","",IF($P76&gt;0,IF(1&lt;=SemanaActual,INDEX('Cronograma R. Operacional'!$AH$5:$AH$1000,$N76),""),IF(INDEX('Cronograma R. Operacional'!$I$5:$I$1000,$N76)="","",INDEX('Cronograma R. Operacional'!$I$5:$I$1000,$N76))))</f>
        <v/>
      </c>
      <c r="G76" s="61">
        <f>IF($N76="","",IF($P76&gt;0,IF(2&lt;=SemanaActual,INDEX('Cronograma R. Operacional'!$AI$5:$AI$1000,$N76),""),IF(INDEX('Cronograma R. Operacional'!$J$5:$J$1000,$N76)="","",INDEX('Cronograma R. Operacional'!$J$5:$J$1000,$N76))))</f>
        <v/>
      </c>
      <c r="H76" s="61">
        <f>IF($N76="","",IF($P76&gt;0,IF(3&lt;=SemanaActual,INDEX('Cronograma R. Operacional'!$AJ$5:$AJ$1000,$N76),""),IF(INDEX('Cronograma R. Operacional'!$K$5:$K$1000,$N76)="","",INDEX('Cronograma R. Operacional'!$K$5:$K$1000,$N76))))</f>
        <v/>
      </c>
      <c r="I76" s="61">
        <f>IF($N76="","",IF($P76&gt;0,IF(4&lt;=SemanaActual,INDEX('Cronograma R. Operacional'!$AK$5:$AK$1000,$N76),""),IF(INDEX('Cronograma R. Operacional'!$L$5:$L$1000,$N76)="","",INDEX('Cronograma R. Operacional'!$L$5:$L$1000,$N76))))</f>
        <v/>
      </c>
      <c r="J76" s="61">
        <f>IF($N76="","",INDEX('Cronograma R. Operacional'!$M$5:$M$1000,$N76))</f>
        <v/>
      </c>
      <c r="K76" s="56">
        <f>IF($N76="","",IF(N($J76)&gt;=1,"Completado",IF(AND(ISNUMBER($D76),$D76&lt;FechaRef),"Vencida",IF(N($J76)&gt;0,"En curso","Pendiente"))))</f>
        <v/>
      </c>
      <c r="L76" s="56">
        <f>IF($N76="","",INDEX('Cronograma R. Operacional'!$O$5:$O$1000,$N76)&amp;"")</f>
        <v/>
      </c>
      <c r="M76" s="62">
        <f>IF($N76="","",INDEX('Cronograma R. Operacional'!$Q$5:$Q$1000,$N76)&amp;"")</f>
        <v/>
      </c>
      <c r="N76">
        <f>IFERROR(MATCH(ROW()-4,rOrden_RO,0),"")</f>
        <v/>
      </c>
      <c r="O76">
        <f>IF($N76="","",INDEX('Cronograma R. Operacional'!$V$5:$V$1000,$N76))</f>
        <v/>
      </c>
      <c r="P76">
        <f>IF($N76="","",N(INDEX('Cronograma R. Operacional'!$W$5:$W$1000,$N76)))</f>
        <v/>
      </c>
      <c r="Q76">
        <f>IF(OR(LEFT($L76,7)="Vencida",LEFT($L76,5)="Vence"),SUMPRODUCT(--(LEFT($L$5:$L76,7)="Vencida"))+SUMPRODUCT(--(LEFT($L$5:$L76,5)="Vence")),"")</f>
        <v/>
      </c>
    </row>
    <row r="77">
      <c r="A77" s="56">
        <f>IF($N77="","",INDEX('Cronograma R. Operacional'!$A$5:$A$1000,$N77))</f>
        <v/>
      </c>
      <c r="B77" s="62">
        <f>IF($N77="","",IF($O77="Sub","      ↳  "&amp;INDEX('Cronograma R. Operacional'!$C$5:$C$1000,$N77),INDEX('Cronograma R. Operacional'!$C$5:$C$1000,$N77)&amp;""))</f>
        <v/>
      </c>
      <c r="C77" s="79">
        <f>IF($N77="","",IF(INDEX('Cronograma R. Operacional'!$AR$5:$AR$1000,$N77)="","",INDEX('Cronograma R. Operacional'!$AR$5:$AR$1000,$N77)))</f>
        <v/>
      </c>
      <c r="D77" s="79">
        <f>IF($N77="","",IF(INDEX('Cronograma R. Operacional'!$AS$5:$AS$1000,$N77)="","",INDEX('Cronograma R. Operacional'!$AS$5:$AS$1000,$N77)))</f>
        <v/>
      </c>
      <c r="E77" s="56">
        <f>IF($N77="","",IF(NOT(ISNUMBER($D77)),"",IF($D77&lt;InicioCiclo,"Antes del ciclo",IF($D77&gt;=InicioCiclo+28,"Después del ciclo","Semana "&amp;(INT(($D77-InicioCiclo)/7)+1)))))</f>
        <v/>
      </c>
      <c r="F77" s="61">
        <f>IF($N77="","",IF($P77&gt;0,IF(1&lt;=SemanaActual,INDEX('Cronograma R. Operacional'!$AH$5:$AH$1000,$N77),""),IF(INDEX('Cronograma R. Operacional'!$I$5:$I$1000,$N77)="","",INDEX('Cronograma R. Operacional'!$I$5:$I$1000,$N77))))</f>
        <v/>
      </c>
      <c r="G77" s="61">
        <f>IF($N77="","",IF($P77&gt;0,IF(2&lt;=SemanaActual,INDEX('Cronograma R. Operacional'!$AI$5:$AI$1000,$N77),""),IF(INDEX('Cronograma R. Operacional'!$J$5:$J$1000,$N77)="","",INDEX('Cronograma R. Operacional'!$J$5:$J$1000,$N77))))</f>
        <v/>
      </c>
      <c r="H77" s="61">
        <f>IF($N77="","",IF($P77&gt;0,IF(3&lt;=SemanaActual,INDEX('Cronograma R. Operacional'!$AJ$5:$AJ$1000,$N77),""),IF(INDEX('Cronograma R. Operacional'!$K$5:$K$1000,$N77)="","",INDEX('Cronograma R. Operacional'!$K$5:$K$1000,$N77))))</f>
        <v/>
      </c>
      <c r="I77" s="61">
        <f>IF($N77="","",IF($P77&gt;0,IF(4&lt;=SemanaActual,INDEX('Cronograma R. Operacional'!$AK$5:$AK$1000,$N77),""),IF(INDEX('Cronograma R. Operacional'!$L$5:$L$1000,$N77)="","",INDEX('Cronograma R. Operacional'!$L$5:$L$1000,$N77))))</f>
        <v/>
      </c>
      <c r="J77" s="61">
        <f>IF($N77="","",INDEX('Cronograma R. Operacional'!$M$5:$M$1000,$N77))</f>
        <v/>
      </c>
      <c r="K77" s="56">
        <f>IF($N77="","",IF(N($J77)&gt;=1,"Completado",IF(AND(ISNUMBER($D77),$D77&lt;FechaRef),"Vencida",IF(N($J77)&gt;0,"En curso","Pendiente"))))</f>
        <v/>
      </c>
      <c r="L77" s="56">
        <f>IF($N77="","",INDEX('Cronograma R. Operacional'!$O$5:$O$1000,$N77)&amp;"")</f>
        <v/>
      </c>
      <c r="M77" s="62">
        <f>IF($N77="","",INDEX('Cronograma R. Operacional'!$Q$5:$Q$1000,$N77)&amp;"")</f>
        <v/>
      </c>
      <c r="N77">
        <f>IFERROR(MATCH(ROW()-4,rOrden_RO,0),"")</f>
        <v/>
      </c>
      <c r="O77">
        <f>IF($N77="","",INDEX('Cronograma R. Operacional'!$V$5:$V$1000,$N77))</f>
        <v/>
      </c>
      <c r="P77">
        <f>IF($N77="","",N(INDEX('Cronograma R. Operacional'!$W$5:$W$1000,$N77)))</f>
        <v/>
      </c>
      <c r="Q77">
        <f>IF(OR(LEFT($L77,7)="Vencida",LEFT($L77,5)="Vence"),SUMPRODUCT(--(LEFT($L$5:$L77,7)="Vencida"))+SUMPRODUCT(--(LEFT($L$5:$L77,5)="Vence")),"")</f>
        <v/>
      </c>
    </row>
    <row r="78">
      <c r="A78" s="56">
        <f>IF($N78="","",INDEX('Cronograma R. Operacional'!$A$5:$A$1000,$N78))</f>
        <v/>
      </c>
      <c r="B78" s="62">
        <f>IF($N78="","",IF($O78="Sub","      ↳  "&amp;INDEX('Cronograma R. Operacional'!$C$5:$C$1000,$N78),INDEX('Cronograma R. Operacional'!$C$5:$C$1000,$N78)&amp;""))</f>
        <v/>
      </c>
      <c r="C78" s="79">
        <f>IF($N78="","",IF(INDEX('Cronograma R. Operacional'!$AR$5:$AR$1000,$N78)="","",INDEX('Cronograma R. Operacional'!$AR$5:$AR$1000,$N78)))</f>
        <v/>
      </c>
      <c r="D78" s="79">
        <f>IF($N78="","",IF(INDEX('Cronograma R. Operacional'!$AS$5:$AS$1000,$N78)="","",INDEX('Cronograma R. Operacional'!$AS$5:$AS$1000,$N78)))</f>
        <v/>
      </c>
      <c r="E78" s="56">
        <f>IF($N78="","",IF(NOT(ISNUMBER($D78)),"",IF($D78&lt;InicioCiclo,"Antes del ciclo",IF($D78&gt;=InicioCiclo+28,"Después del ciclo","Semana "&amp;(INT(($D78-InicioCiclo)/7)+1)))))</f>
        <v/>
      </c>
      <c r="F78" s="61">
        <f>IF($N78="","",IF($P78&gt;0,IF(1&lt;=SemanaActual,INDEX('Cronograma R. Operacional'!$AH$5:$AH$1000,$N78),""),IF(INDEX('Cronograma R. Operacional'!$I$5:$I$1000,$N78)="","",INDEX('Cronograma R. Operacional'!$I$5:$I$1000,$N78))))</f>
        <v/>
      </c>
      <c r="G78" s="61">
        <f>IF($N78="","",IF($P78&gt;0,IF(2&lt;=SemanaActual,INDEX('Cronograma R. Operacional'!$AI$5:$AI$1000,$N78),""),IF(INDEX('Cronograma R. Operacional'!$J$5:$J$1000,$N78)="","",INDEX('Cronograma R. Operacional'!$J$5:$J$1000,$N78))))</f>
        <v/>
      </c>
      <c r="H78" s="61">
        <f>IF($N78="","",IF($P78&gt;0,IF(3&lt;=SemanaActual,INDEX('Cronograma R. Operacional'!$AJ$5:$AJ$1000,$N78),""),IF(INDEX('Cronograma R. Operacional'!$K$5:$K$1000,$N78)="","",INDEX('Cronograma R. Operacional'!$K$5:$K$1000,$N78))))</f>
        <v/>
      </c>
      <c r="I78" s="61">
        <f>IF($N78="","",IF($P78&gt;0,IF(4&lt;=SemanaActual,INDEX('Cronograma R. Operacional'!$AK$5:$AK$1000,$N78),""),IF(INDEX('Cronograma R. Operacional'!$L$5:$L$1000,$N78)="","",INDEX('Cronograma R. Operacional'!$L$5:$L$1000,$N78))))</f>
        <v/>
      </c>
      <c r="J78" s="61">
        <f>IF($N78="","",INDEX('Cronograma R. Operacional'!$M$5:$M$1000,$N78))</f>
        <v/>
      </c>
      <c r="K78" s="56">
        <f>IF($N78="","",IF(N($J78)&gt;=1,"Completado",IF(AND(ISNUMBER($D78),$D78&lt;FechaRef),"Vencida",IF(N($J78)&gt;0,"En curso","Pendiente"))))</f>
        <v/>
      </c>
      <c r="L78" s="56">
        <f>IF($N78="","",INDEX('Cronograma R. Operacional'!$O$5:$O$1000,$N78)&amp;"")</f>
        <v/>
      </c>
      <c r="M78" s="62">
        <f>IF($N78="","",INDEX('Cronograma R. Operacional'!$Q$5:$Q$1000,$N78)&amp;"")</f>
        <v/>
      </c>
      <c r="N78">
        <f>IFERROR(MATCH(ROW()-4,rOrden_RO,0),"")</f>
        <v/>
      </c>
      <c r="O78">
        <f>IF($N78="","",INDEX('Cronograma R. Operacional'!$V$5:$V$1000,$N78))</f>
        <v/>
      </c>
      <c r="P78">
        <f>IF($N78="","",N(INDEX('Cronograma R. Operacional'!$W$5:$W$1000,$N78)))</f>
        <v/>
      </c>
      <c r="Q78">
        <f>IF(OR(LEFT($L78,7)="Vencida",LEFT($L78,5)="Vence"),SUMPRODUCT(--(LEFT($L$5:$L78,7)="Vencida"))+SUMPRODUCT(--(LEFT($L$5:$L78,5)="Vence")),"")</f>
        <v/>
      </c>
    </row>
    <row r="79">
      <c r="A79" s="56">
        <f>IF($N79="","",INDEX('Cronograma R. Operacional'!$A$5:$A$1000,$N79))</f>
        <v/>
      </c>
      <c r="B79" s="62">
        <f>IF($N79="","",IF($O79="Sub","      ↳  "&amp;INDEX('Cronograma R. Operacional'!$C$5:$C$1000,$N79),INDEX('Cronograma R. Operacional'!$C$5:$C$1000,$N79)&amp;""))</f>
        <v/>
      </c>
      <c r="C79" s="79">
        <f>IF($N79="","",IF(INDEX('Cronograma R. Operacional'!$AR$5:$AR$1000,$N79)="","",INDEX('Cronograma R. Operacional'!$AR$5:$AR$1000,$N79)))</f>
        <v/>
      </c>
      <c r="D79" s="79">
        <f>IF($N79="","",IF(INDEX('Cronograma R. Operacional'!$AS$5:$AS$1000,$N79)="","",INDEX('Cronograma R. Operacional'!$AS$5:$AS$1000,$N79)))</f>
        <v/>
      </c>
      <c r="E79" s="56">
        <f>IF($N79="","",IF(NOT(ISNUMBER($D79)),"",IF($D79&lt;InicioCiclo,"Antes del ciclo",IF($D79&gt;=InicioCiclo+28,"Después del ciclo","Semana "&amp;(INT(($D79-InicioCiclo)/7)+1)))))</f>
        <v/>
      </c>
      <c r="F79" s="61">
        <f>IF($N79="","",IF($P79&gt;0,IF(1&lt;=SemanaActual,INDEX('Cronograma R. Operacional'!$AH$5:$AH$1000,$N79),""),IF(INDEX('Cronograma R. Operacional'!$I$5:$I$1000,$N79)="","",INDEX('Cronograma R. Operacional'!$I$5:$I$1000,$N79))))</f>
        <v/>
      </c>
      <c r="G79" s="61">
        <f>IF($N79="","",IF($P79&gt;0,IF(2&lt;=SemanaActual,INDEX('Cronograma R. Operacional'!$AI$5:$AI$1000,$N79),""),IF(INDEX('Cronograma R. Operacional'!$J$5:$J$1000,$N79)="","",INDEX('Cronograma R. Operacional'!$J$5:$J$1000,$N79))))</f>
        <v/>
      </c>
      <c r="H79" s="61">
        <f>IF($N79="","",IF($P79&gt;0,IF(3&lt;=SemanaActual,INDEX('Cronograma R. Operacional'!$AJ$5:$AJ$1000,$N79),""),IF(INDEX('Cronograma R. Operacional'!$K$5:$K$1000,$N79)="","",INDEX('Cronograma R. Operacional'!$K$5:$K$1000,$N79))))</f>
        <v/>
      </c>
      <c r="I79" s="61">
        <f>IF($N79="","",IF($P79&gt;0,IF(4&lt;=SemanaActual,INDEX('Cronograma R. Operacional'!$AK$5:$AK$1000,$N79),""),IF(INDEX('Cronograma R. Operacional'!$L$5:$L$1000,$N79)="","",INDEX('Cronograma R. Operacional'!$L$5:$L$1000,$N79))))</f>
        <v/>
      </c>
      <c r="J79" s="61">
        <f>IF($N79="","",INDEX('Cronograma R. Operacional'!$M$5:$M$1000,$N79))</f>
        <v/>
      </c>
      <c r="K79" s="56">
        <f>IF($N79="","",IF(N($J79)&gt;=1,"Completado",IF(AND(ISNUMBER($D79),$D79&lt;FechaRef),"Vencida",IF(N($J79)&gt;0,"En curso","Pendiente"))))</f>
        <v/>
      </c>
      <c r="L79" s="56">
        <f>IF($N79="","",INDEX('Cronograma R. Operacional'!$O$5:$O$1000,$N79)&amp;"")</f>
        <v/>
      </c>
      <c r="M79" s="62">
        <f>IF($N79="","",INDEX('Cronograma R. Operacional'!$Q$5:$Q$1000,$N79)&amp;"")</f>
        <v/>
      </c>
      <c r="N79">
        <f>IFERROR(MATCH(ROW()-4,rOrden_RO,0),"")</f>
        <v/>
      </c>
      <c r="O79">
        <f>IF($N79="","",INDEX('Cronograma R. Operacional'!$V$5:$V$1000,$N79))</f>
        <v/>
      </c>
      <c r="P79">
        <f>IF($N79="","",N(INDEX('Cronograma R. Operacional'!$W$5:$W$1000,$N79)))</f>
        <v/>
      </c>
      <c r="Q79">
        <f>IF(OR(LEFT($L79,7)="Vencida",LEFT($L79,5)="Vence"),SUMPRODUCT(--(LEFT($L$5:$L79,7)="Vencida"))+SUMPRODUCT(--(LEFT($L$5:$L79,5)="Vence")),"")</f>
        <v/>
      </c>
    </row>
    <row r="80">
      <c r="A80" s="56">
        <f>IF($N80="","",INDEX('Cronograma R. Operacional'!$A$5:$A$1000,$N80))</f>
        <v/>
      </c>
      <c r="B80" s="62">
        <f>IF($N80="","",IF($O80="Sub","      ↳  "&amp;INDEX('Cronograma R. Operacional'!$C$5:$C$1000,$N80),INDEX('Cronograma R. Operacional'!$C$5:$C$1000,$N80)&amp;""))</f>
        <v/>
      </c>
      <c r="C80" s="79">
        <f>IF($N80="","",IF(INDEX('Cronograma R. Operacional'!$AR$5:$AR$1000,$N80)="","",INDEX('Cronograma R. Operacional'!$AR$5:$AR$1000,$N80)))</f>
        <v/>
      </c>
      <c r="D80" s="79">
        <f>IF($N80="","",IF(INDEX('Cronograma R. Operacional'!$AS$5:$AS$1000,$N80)="","",INDEX('Cronograma R. Operacional'!$AS$5:$AS$1000,$N80)))</f>
        <v/>
      </c>
      <c r="E80" s="56">
        <f>IF($N80="","",IF(NOT(ISNUMBER($D80)),"",IF($D80&lt;InicioCiclo,"Antes del ciclo",IF($D80&gt;=InicioCiclo+28,"Después del ciclo","Semana "&amp;(INT(($D80-InicioCiclo)/7)+1)))))</f>
        <v/>
      </c>
      <c r="F80" s="61">
        <f>IF($N80="","",IF($P80&gt;0,IF(1&lt;=SemanaActual,INDEX('Cronograma R. Operacional'!$AH$5:$AH$1000,$N80),""),IF(INDEX('Cronograma R. Operacional'!$I$5:$I$1000,$N80)="","",INDEX('Cronograma R. Operacional'!$I$5:$I$1000,$N80))))</f>
        <v/>
      </c>
      <c r="G80" s="61">
        <f>IF($N80="","",IF($P80&gt;0,IF(2&lt;=SemanaActual,INDEX('Cronograma R. Operacional'!$AI$5:$AI$1000,$N80),""),IF(INDEX('Cronograma R. Operacional'!$J$5:$J$1000,$N80)="","",INDEX('Cronograma R. Operacional'!$J$5:$J$1000,$N80))))</f>
        <v/>
      </c>
      <c r="H80" s="61">
        <f>IF($N80="","",IF($P80&gt;0,IF(3&lt;=SemanaActual,INDEX('Cronograma R. Operacional'!$AJ$5:$AJ$1000,$N80),""),IF(INDEX('Cronograma R. Operacional'!$K$5:$K$1000,$N80)="","",INDEX('Cronograma R. Operacional'!$K$5:$K$1000,$N80))))</f>
        <v/>
      </c>
      <c r="I80" s="61">
        <f>IF($N80="","",IF($P80&gt;0,IF(4&lt;=SemanaActual,INDEX('Cronograma R. Operacional'!$AK$5:$AK$1000,$N80),""),IF(INDEX('Cronograma R. Operacional'!$L$5:$L$1000,$N80)="","",INDEX('Cronograma R. Operacional'!$L$5:$L$1000,$N80))))</f>
        <v/>
      </c>
      <c r="J80" s="61">
        <f>IF($N80="","",INDEX('Cronograma R. Operacional'!$M$5:$M$1000,$N80))</f>
        <v/>
      </c>
      <c r="K80" s="56">
        <f>IF($N80="","",IF(N($J80)&gt;=1,"Completado",IF(AND(ISNUMBER($D80),$D80&lt;FechaRef),"Vencida",IF(N($J80)&gt;0,"En curso","Pendiente"))))</f>
        <v/>
      </c>
      <c r="L80" s="56">
        <f>IF($N80="","",INDEX('Cronograma R. Operacional'!$O$5:$O$1000,$N80)&amp;"")</f>
        <v/>
      </c>
      <c r="M80" s="62">
        <f>IF($N80="","",INDEX('Cronograma R. Operacional'!$Q$5:$Q$1000,$N80)&amp;"")</f>
        <v/>
      </c>
      <c r="N80">
        <f>IFERROR(MATCH(ROW()-4,rOrden_RO,0),"")</f>
        <v/>
      </c>
      <c r="O80">
        <f>IF($N80="","",INDEX('Cronograma R. Operacional'!$V$5:$V$1000,$N80))</f>
        <v/>
      </c>
      <c r="P80">
        <f>IF($N80="","",N(INDEX('Cronograma R. Operacional'!$W$5:$W$1000,$N80)))</f>
        <v/>
      </c>
      <c r="Q80">
        <f>IF(OR(LEFT($L80,7)="Vencida",LEFT($L80,5)="Vence"),SUMPRODUCT(--(LEFT($L$5:$L80,7)="Vencida"))+SUMPRODUCT(--(LEFT($L$5:$L80,5)="Vence")),"")</f>
        <v/>
      </c>
    </row>
    <row r="81">
      <c r="A81" s="56">
        <f>IF($N81="","",INDEX('Cronograma R. Operacional'!$A$5:$A$1000,$N81))</f>
        <v/>
      </c>
      <c r="B81" s="62">
        <f>IF($N81="","",IF($O81="Sub","      ↳  "&amp;INDEX('Cronograma R. Operacional'!$C$5:$C$1000,$N81),INDEX('Cronograma R. Operacional'!$C$5:$C$1000,$N81)&amp;""))</f>
        <v/>
      </c>
      <c r="C81" s="79">
        <f>IF($N81="","",IF(INDEX('Cronograma R. Operacional'!$AR$5:$AR$1000,$N81)="","",INDEX('Cronograma R. Operacional'!$AR$5:$AR$1000,$N81)))</f>
        <v/>
      </c>
      <c r="D81" s="79">
        <f>IF($N81="","",IF(INDEX('Cronograma R. Operacional'!$AS$5:$AS$1000,$N81)="","",INDEX('Cronograma R. Operacional'!$AS$5:$AS$1000,$N81)))</f>
        <v/>
      </c>
      <c r="E81" s="56">
        <f>IF($N81="","",IF(NOT(ISNUMBER($D81)),"",IF($D81&lt;InicioCiclo,"Antes del ciclo",IF($D81&gt;=InicioCiclo+28,"Después del ciclo","Semana "&amp;(INT(($D81-InicioCiclo)/7)+1)))))</f>
        <v/>
      </c>
      <c r="F81" s="61">
        <f>IF($N81="","",IF($P81&gt;0,IF(1&lt;=SemanaActual,INDEX('Cronograma R. Operacional'!$AH$5:$AH$1000,$N81),""),IF(INDEX('Cronograma R. Operacional'!$I$5:$I$1000,$N81)="","",INDEX('Cronograma R. Operacional'!$I$5:$I$1000,$N81))))</f>
        <v/>
      </c>
      <c r="G81" s="61">
        <f>IF($N81="","",IF($P81&gt;0,IF(2&lt;=SemanaActual,INDEX('Cronograma R. Operacional'!$AI$5:$AI$1000,$N81),""),IF(INDEX('Cronograma R. Operacional'!$J$5:$J$1000,$N81)="","",INDEX('Cronograma R. Operacional'!$J$5:$J$1000,$N81))))</f>
        <v/>
      </c>
      <c r="H81" s="61">
        <f>IF($N81="","",IF($P81&gt;0,IF(3&lt;=SemanaActual,INDEX('Cronograma R. Operacional'!$AJ$5:$AJ$1000,$N81),""),IF(INDEX('Cronograma R. Operacional'!$K$5:$K$1000,$N81)="","",INDEX('Cronograma R. Operacional'!$K$5:$K$1000,$N81))))</f>
        <v/>
      </c>
      <c r="I81" s="61">
        <f>IF($N81="","",IF($P81&gt;0,IF(4&lt;=SemanaActual,INDEX('Cronograma R. Operacional'!$AK$5:$AK$1000,$N81),""),IF(INDEX('Cronograma R. Operacional'!$L$5:$L$1000,$N81)="","",INDEX('Cronograma R. Operacional'!$L$5:$L$1000,$N81))))</f>
        <v/>
      </c>
      <c r="J81" s="61">
        <f>IF($N81="","",INDEX('Cronograma R. Operacional'!$M$5:$M$1000,$N81))</f>
        <v/>
      </c>
      <c r="K81" s="56">
        <f>IF($N81="","",IF(N($J81)&gt;=1,"Completado",IF(AND(ISNUMBER($D81),$D81&lt;FechaRef),"Vencida",IF(N($J81)&gt;0,"En curso","Pendiente"))))</f>
        <v/>
      </c>
      <c r="L81" s="56">
        <f>IF($N81="","",INDEX('Cronograma R. Operacional'!$O$5:$O$1000,$N81)&amp;"")</f>
        <v/>
      </c>
      <c r="M81" s="62">
        <f>IF($N81="","",INDEX('Cronograma R. Operacional'!$Q$5:$Q$1000,$N81)&amp;"")</f>
        <v/>
      </c>
      <c r="N81">
        <f>IFERROR(MATCH(ROW()-4,rOrden_RO,0),"")</f>
        <v/>
      </c>
      <c r="O81">
        <f>IF($N81="","",INDEX('Cronograma R. Operacional'!$V$5:$V$1000,$N81))</f>
        <v/>
      </c>
      <c r="P81">
        <f>IF($N81="","",N(INDEX('Cronograma R. Operacional'!$W$5:$W$1000,$N81)))</f>
        <v/>
      </c>
      <c r="Q81">
        <f>IF(OR(LEFT($L81,7)="Vencida",LEFT($L81,5)="Vence"),SUMPRODUCT(--(LEFT($L$5:$L81,7)="Vencida"))+SUMPRODUCT(--(LEFT($L$5:$L81,5)="Vence")),"")</f>
        <v/>
      </c>
    </row>
    <row r="82">
      <c r="A82" s="56">
        <f>IF($N82="","",INDEX('Cronograma R. Operacional'!$A$5:$A$1000,$N82))</f>
        <v/>
      </c>
      <c r="B82" s="62">
        <f>IF($N82="","",IF($O82="Sub","      ↳  "&amp;INDEX('Cronograma R. Operacional'!$C$5:$C$1000,$N82),INDEX('Cronograma R. Operacional'!$C$5:$C$1000,$N82)&amp;""))</f>
        <v/>
      </c>
      <c r="C82" s="79">
        <f>IF($N82="","",IF(INDEX('Cronograma R. Operacional'!$AR$5:$AR$1000,$N82)="","",INDEX('Cronograma R. Operacional'!$AR$5:$AR$1000,$N82)))</f>
        <v/>
      </c>
      <c r="D82" s="79">
        <f>IF($N82="","",IF(INDEX('Cronograma R. Operacional'!$AS$5:$AS$1000,$N82)="","",INDEX('Cronograma R. Operacional'!$AS$5:$AS$1000,$N82)))</f>
        <v/>
      </c>
      <c r="E82" s="56">
        <f>IF($N82="","",IF(NOT(ISNUMBER($D82)),"",IF($D82&lt;InicioCiclo,"Antes del ciclo",IF($D82&gt;=InicioCiclo+28,"Después del ciclo","Semana "&amp;(INT(($D82-InicioCiclo)/7)+1)))))</f>
        <v/>
      </c>
      <c r="F82" s="61">
        <f>IF($N82="","",IF($P82&gt;0,IF(1&lt;=SemanaActual,INDEX('Cronograma R. Operacional'!$AH$5:$AH$1000,$N82),""),IF(INDEX('Cronograma R. Operacional'!$I$5:$I$1000,$N82)="","",INDEX('Cronograma R. Operacional'!$I$5:$I$1000,$N82))))</f>
        <v/>
      </c>
      <c r="G82" s="61">
        <f>IF($N82="","",IF($P82&gt;0,IF(2&lt;=SemanaActual,INDEX('Cronograma R. Operacional'!$AI$5:$AI$1000,$N82),""),IF(INDEX('Cronograma R. Operacional'!$J$5:$J$1000,$N82)="","",INDEX('Cronograma R. Operacional'!$J$5:$J$1000,$N82))))</f>
        <v/>
      </c>
      <c r="H82" s="61">
        <f>IF($N82="","",IF($P82&gt;0,IF(3&lt;=SemanaActual,INDEX('Cronograma R. Operacional'!$AJ$5:$AJ$1000,$N82),""),IF(INDEX('Cronograma R. Operacional'!$K$5:$K$1000,$N82)="","",INDEX('Cronograma R. Operacional'!$K$5:$K$1000,$N82))))</f>
        <v/>
      </c>
      <c r="I82" s="61">
        <f>IF($N82="","",IF($P82&gt;0,IF(4&lt;=SemanaActual,INDEX('Cronograma R. Operacional'!$AK$5:$AK$1000,$N82),""),IF(INDEX('Cronograma R. Operacional'!$L$5:$L$1000,$N82)="","",INDEX('Cronograma R. Operacional'!$L$5:$L$1000,$N82))))</f>
        <v/>
      </c>
      <c r="J82" s="61">
        <f>IF($N82="","",INDEX('Cronograma R. Operacional'!$M$5:$M$1000,$N82))</f>
        <v/>
      </c>
      <c r="K82" s="56">
        <f>IF($N82="","",IF(N($J82)&gt;=1,"Completado",IF(AND(ISNUMBER($D82),$D82&lt;FechaRef),"Vencida",IF(N($J82)&gt;0,"En curso","Pendiente"))))</f>
        <v/>
      </c>
      <c r="L82" s="56">
        <f>IF($N82="","",INDEX('Cronograma R. Operacional'!$O$5:$O$1000,$N82)&amp;"")</f>
        <v/>
      </c>
      <c r="M82" s="62">
        <f>IF($N82="","",INDEX('Cronograma R. Operacional'!$Q$5:$Q$1000,$N82)&amp;"")</f>
        <v/>
      </c>
      <c r="N82">
        <f>IFERROR(MATCH(ROW()-4,rOrden_RO,0),"")</f>
        <v/>
      </c>
      <c r="O82">
        <f>IF($N82="","",INDEX('Cronograma R. Operacional'!$V$5:$V$1000,$N82))</f>
        <v/>
      </c>
      <c r="P82">
        <f>IF($N82="","",N(INDEX('Cronograma R. Operacional'!$W$5:$W$1000,$N82)))</f>
        <v/>
      </c>
      <c r="Q82">
        <f>IF(OR(LEFT($L82,7)="Vencida",LEFT($L82,5)="Vence"),SUMPRODUCT(--(LEFT($L$5:$L82,7)="Vencida"))+SUMPRODUCT(--(LEFT($L$5:$L82,5)="Vence")),"")</f>
        <v/>
      </c>
    </row>
    <row r="83">
      <c r="A83" s="56">
        <f>IF($N83="","",INDEX('Cronograma R. Operacional'!$A$5:$A$1000,$N83))</f>
        <v/>
      </c>
      <c r="B83" s="62">
        <f>IF($N83="","",IF($O83="Sub","      ↳  "&amp;INDEX('Cronograma R. Operacional'!$C$5:$C$1000,$N83),INDEX('Cronograma R. Operacional'!$C$5:$C$1000,$N83)&amp;""))</f>
        <v/>
      </c>
      <c r="C83" s="79">
        <f>IF($N83="","",IF(INDEX('Cronograma R. Operacional'!$AR$5:$AR$1000,$N83)="","",INDEX('Cronograma R. Operacional'!$AR$5:$AR$1000,$N83)))</f>
        <v/>
      </c>
      <c r="D83" s="79">
        <f>IF($N83="","",IF(INDEX('Cronograma R. Operacional'!$AS$5:$AS$1000,$N83)="","",INDEX('Cronograma R. Operacional'!$AS$5:$AS$1000,$N83)))</f>
        <v/>
      </c>
      <c r="E83" s="56">
        <f>IF($N83="","",IF(NOT(ISNUMBER($D83)),"",IF($D83&lt;InicioCiclo,"Antes del ciclo",IF($D83&gt;=InicioCiclo+28,"Después del ciclo","Semana "&amp;(INT(($D83-InicioCiclo)/7)+1)))))</f>
        <v/>
      </c>
      <c r="F83" s="61">
        <f>IF($N83="","",IF($P83&gt;0,IF(1&lt;=SemanaActual,INDEX('Cronograma R. Operacional'!$AH$5:$AH$1000,$N83),""),IF(INDEX('Cronograma R. Operacional'!$I$5:$I$1000,$N83)="","",INDEX('Cronograma R. Operacional'!$I$5:$I$1000,$N83))))</f>
        <v/>
      </c>
      <c r="G83" s="61">
        <f>IF($N83="","",IF($P83&gt;0,IF(2&lt;=SemanaActual,INDEX('Cronograma R. Operacional'!$AI$5:$AI$1000,$N83),""),IF(INDEX('Cronograma R. Operacional'!$J$5:$J$1000,$N83)="","",INDEX('Cronograma R. Operacional'!$J$5:$J$1000,$N83))))</f>
        <v/>
      </c>
      <c r="H83" s="61">
        <f>IF($N83="","",IF($P83&gt;0,IF(3&lt;=SemanaActual,INDEX('Cronograma R. Operacional'!$AJ$5:$AJ$1000,$N83),""),IF(INDEX('Cronograma R. Operacional'!$K$5:$K$1000,$N83)="","",INDEX('Cronograma R. Operacional'!$K$5:$K$1000,$N83))))</f>
        <v/>
      </c>
      <c r="I83" s="61">
        <f>IF($N83="","",IF($P83&gt;0,IF(4&lt;=SemanaActual,INDEX('Cronograma R. Operacional'!$AK$5:$AK$1000,$N83),""),IF(INDEX('Cronograma R. Operacional'!$L$5:$L$1000,$N83)="","",INDEX('Cronograma R. Operacional'!$L$5:$L$1000,$N83))))</f>
        <v/>
      </c>
      <c r="J83" s="61">
        <f>IF($N83="","",INDEX('Cronograma R. Operacional'!$M$5:$M$1000,$N83))</f>
        <v/>
      </c>
      <c r="K83" s="56">
        <f>IF($N83="","",IF(N($J83)&gt;=1,"Completado",IF(AND(ISNUMBER($D83),$D83&lt;FechaRef),"Vencida",IF(N($J83)&gt;0,"En curso","Pendiente"))))</f>
        <v/>
      </c>
      <c r="L83" s="56">
        <f>IF($N83="","",INDEX('Cronograma R. Operacional'!$O$5:$O$1000,$N83)&amp;"")</f>
        <v/>
      </c>
      <c r="M83" s="62">
        <f>IF($N83="","",INDEX('Cronograma R. Operacional'!$Q$5:$Q$1000,$N83)&amp;"")</f>
        <v/>
      </c>
      <c r="N83">
        <f>IFERROR(MATCH(ROW()-4,rOrden_RO,0),"")</f>
        <v/>
      </c>
      <c r="O83">
        <f>IF($N83="","",INDEX('Cronograma R. Operacional'!$V$5:$V$1000,$N83))</f>
        <v/>
      </c>
      <c r="P83">
        <f>IF($N83="","",N(INDEX('Cronograma R. Operacional'!$W$5:$W$1000,$N83)))</f>
        <v/>
      </c>
      <c r="Q83">
        <f>IF(OR(LEFT($L83,7)="Vencida",LEFT($L83,5)="Vence"),SUMPRODUCT(--(LEFT($L$5:$L83,7)="Vencida"))+SUMPRODUCT(--(LEFT($L$5:$L83,5)="Vence")),"")</f>
        <v/>
      </c>
    </row>
    <row r="84">
      <c r="A84" s="56">
        <f>IF($N84="","",INDEX('Cronograma R. Operacional'!$A$5:$A$1000,$N84))</f>
        <v/>
      </c>
      <c r="B84" s="62">
        <f>IF($N84="","",IF($O84="Sub","      ↳  "&amp;INDEX('Cronograma R. Operacional'!$C$5:$C$1000,$N84),INDEX('Cronograma R. Operacional'!$C$5:$C$1000,$N84)&amp;""))</f>
        <v/>
      </c>
      <c r="C84" s="79">
        <f>IF($N84="","",IF(INDEX('Cronograma R. Operacional'!$AR$5:$AR$1000,$N84)="","",INDEX('Cronograma R. Operacional'!$AR$5:$AR$1000,$N84)))</f>
        <v/>
      </c>
      <c r="D84" s="79">
        <f>IF($N84="","",IF(INDEX('Cronograma R. Operacional'!$AS$5:$AS$1000,$N84)="","",INDEX('Cronograma R. Operacional'!$AS$5:$AS$1000,$N84)))</f>
        <v/>
      </c>
      <c r="E84" s="56">
        <f>IF($N84="","",IF(NOT(ISNUMBER($D84)),"",IF($D84&lt;InicioCiclo,"Antes del ciclo",IF($D84&gt;=InicioCiclo+28,"Después del ciclo","Semana "&amp;(INT(($D84-InicioCiclo)/7)+1)))))</f>
        <v/>
      </c>
      <c r="F84" s="61">
        <f>IF($N84="","",IF($P84&gt;0,IF(1&lt;=SemanaActual,INDEX('Cronograma R. Operacional'!$AH$5:$AH$1000,$N84),""),IF(INDEX('Cronograma R. Operacional'!$I$5:$I$1000,$N84)="","",INDEX('Cronograma R. Operacional'!$I$5:$I$1000,$N84))))</f>
        <v/>
      </c>
      <c r="G84" s="61">
        <f>IF($N84="","",IF($P84&gt;0,IF(2&lt;=SemanaActual,INDEX('Cronograma R. Operacional'!$AI$5:$AI$1000,$N84),""),IF(INDEX('Cronograma R. Operacional'!$J$5:$J$1000,$N84)="","",INDEX('Cronograma R. Operacional'!$J$5:$J$1000,$N84))))</f>
        <v/>
      </c>
      <c r="H84" s="61">
        <f>IF($N84="","",IF($P84&gt;0,IF(3&lt;=SemanaActual,INDEX('Cronograma R. Operacional'!$AJ$5:$AJ$1000,$N84),""),IF(INDEX('Cronograma R. Operacional'!$K$5:$K$1000,$N84)="","",INDEX('Cronograma R. Operacional'!$K$5:$K$1000,$N84))))</f>
        <v/>
      </c>
      <c r="I84" s="61">
        <f>IF($N84="","",IF($P84&gt;0,IF(4&lt;=SemanaActual,INDEX('Cronograma R. Operacional'!$AK$5:$AK$1000,$N84),""),IF(INDEX('Cronograma R. Operacional'!$L$5:$L$1000,$N84)="","",INDEX('Cronograma R. Operacional'!$L$5:$L$1000,$N84))))</f>
        <v/>
      </c>
      <c r="J84" s="61">
        <f>IF($N84="","",INDEX('Cronograma R. Operacional'!$M$5:$M$1000,$N84))</f>
        <v/>
      </c>
      <c r="K84" s="56">
        <f>IF($N84="","",IF(N($J84)&gt;=1,"Completado",IF(AND(ISNUMBER($D84),$D84&lt;FechaRef),"Vencida",IF(N($J84)&gt;0,"En curso","Pendiente"))))</f>
        <v/>
      </c>
      <c r="L84" s="56">
        <f>IF($N84="","",INDEX('Cronograma R. Operacional'!$O$5:$O$1000,$N84)&amp;"")</f>
        <v/>
      </c>
      <c r="M84" s="62">
        <f>IF($N84="","",INDEX('Cronograma R. Operacional'!$Q$5:$Q$1000,$N84)&amp;"")</f>
        <v/>
      </c>
      <c r="N84">
        <f>IFERROR(MATCH(ROW()-4,rOrden_RO,0),"")</f>
        <v/>
      </c>
      <c r="O84">
        <f>IF($N84="","",INDEX('Cronograma R. Operacional'!$V$5:$V$1000,$N84))</f>
        <v/>
      </c>
      <c r="P84">
        <f>IF($N84="","",N(INDEX('Cronograma R. Operacional'!$W$5:$W$1000,$N84)))</f>
        <v/>
      </c>
      <c r="Q84">
        <f>IF(OR(LEFT($L84,7)="Vencida",LEFT($L84,5)="Vence"),SUMPRODUCT(--(LEFT($L$5:$L84,7)="Vencida"))+SUMPRODUCT(--(LEFT($L$5:$L84,5)="Vence")),"")</f>
        <v/>
      </c>
    </row>
    <row r="85">
      <c r="A85" s="56">
        <f>IF($N85="","",INDEX('Cronograma R. Operacional'!$A$5:$A$1000,$N85))</f>
        <v/>
      </c>
      <c r="B85" s="62">
        <f>IF($N85="","",IF($O85="Sub","      ↳  "&amp;INDEX('Cronograma R. Operacional'!$C$5:$C$1000,$N85),INDEX('Cronograma R. Operacional'!$C$5:$C$1000,$N85)&amp;""))</f>
        <v/>
      </c>
      <c r="C85" s="79">
        <f>IF($N85="","",IF(INDEX('Cronograma R. Operacional'!$AR$5:$AR$1000,$N85)="","",INDEX('Cronograma R. Operacional'!$AR$5:$AR$1000,$N85)))</f>
        <v/>
      </c>
      <c r="D85" s="79">
        <f>IF($N85="","",IF(INDEX('Cronograma R. Operacional'!$AS$5:$AS$1000,$N85)="","",INDEX('Cronograma R. Operacional'!$AS$5:$AS$1000,$N85)))</f>
        <v/>
      </c>
      <c r="E85" s="56">
        <f>IF($N85="","",IF(NOT(ISNUMBER($D85)),"",IF($D85&lt;InicioCiclo,"Antes del ciclo",IF($D85&gt;=InicioCiclo+28,"Después del ciclo","Semana "&amp;(INT(($D85-InicioCiclo)/7)+1)))))</f>
        <v/>
      </c>
      <c r="F85" s="61">
        <f>IF($N85="","",IF($P85&gt;0,IF(1&lt;=SemanaActual,INDEX('Cronograma R. Operacional'!$AH$5:$AH$1000,$N85),""),IF(INDEX('Cronograma R. Operacional'!$I$5:$I$1000,$N85)="","",INDEX('Cronograma R. Operacional'!$I$5:$I$1000,$N85))))</f>
        <v/>
      </c>
      <c r="G85" s="61">
        <f>IF($N85="","",IF($P85&gt;0,IF(2&lt;=SemanaActual,INDEX('Cronograma R. Operacional'!$AI$5:$AI$1000,$N85),""),IF(INDEX('Cronograma R. Operacional'!$J$5:$J$1000,$N85)="","",INDEX('Cronograma R. Operacional'!$J$5:$J$1000,$N85))))</f>
        <v/>
      </c>
      <c r="H85" s="61">
        <f>IF($N85="","",IF($P85&gt;0,IF(3&lt;=SemanaActual,INDEX('Cronograma R. Operacional'!$AJ$5:$AJ$1000,$N85),""),IF(INDEX('Cronograma R. Operacional'!$K$5:$K$1000,$N85)="","",INDEX('Cronograma R. Operacional'!$K$5:$K$1000,$N85))))</f>
        <v/>
      </c>
      <c r="I85" s="61">
        <f>IF($N85="","",IF($P85&gt;0,IF(4&lt;=SemanaActual,INDEX('Cronograma R. Operacional'!$AK$5:$AK$1000,$N85),""),IF(INDEX('Cronograma R. Operacional'!$L$5:$L$1000,$N85)="","",INDEX('Cronograma R. Operacional'!$L$5:$L$1000,$N85))))</f>
        <v/>
      </c>
      <c r="J85" s="61">
        <f>IF($N85="","",INDEX('Cronograma R. Operacional'!$M$5:$M$1000,$N85))</f>
        <v/>
      </c>
      <c r="K85" s="56">
        <f>IF($N85="","",IF(N($J85)&gt;=1,"Completado",IF(AND(ISNUMBER($D85),$D85&lt;FechaRef),"Vencida",IF(N($J85)&gt;0,"En curso","Pendiente"))))</f>
        <v/>
      </c>
      <c r="L85" s="56">
        <f>IF($N85="","",INDEX('Cronograma R. Operacional'!$O$5:$O$1000,$N85)&amp;"")</f>
        <v/>
      </c>
      <c r="M85" s="62">
        <f>IF($N85="","",INDEX('Cronograma R. Operacional'!$Q$5:$Q$1000,$N85)&amp;"")</f>
        <v/>
      </c>
      <c r="N85">
        <f>IFERROR(MATCH(ROW()-4,rOrden_RO,0),"")</f>
        <v/>
      </c>
      <c r="O85">
        <f>IF($N85="","",INDEX('Cronograma R. Operacional'!$V$5:$V$1000,$N85))</f>
        <v/>
      </c>
      <c r="P85">
        <f>IF($N85="","",N(INDEX('Cronograma R. Operacional'!$W$5:$W$1000,$N85)))</f>
        <v/>
      </c>
      <c r="Q85">
        <f>IF(OR(LEFT($L85,7)="Vencida",LEFT($L85,5)="Vence"),SUMPRODUCT(--(LEFT($L$5:$L85,7)="Vencida"))+SUMPRODUCT(--(LEFT($L$5:$L85,5)="Vence")),"")</f>
        <v/>
      </c>
    </row>
    <row r="86">
      <c r="A86" s="56">
        <f>IF($N86="","",INDEX('Cronograma R. Operacional'!$A$5:$A$1000,$N86))</f>
        <v/>
      </c>
      <c r="B86" s="62">
        <f>IF($N86="","",IF($O86="Sub","      ↳  "&amp;INDEX('Cronograma R. Operacional'!$C$5:$C$1000,$N86),INDEX('Cronograma R. Operacional'!$C$5:$C$1000,$N86)&amp;""))</f>
        <v/>
      </c>
      <c r="C86" s="79">
        <f>IF($N86="","",IF(INDEX('Cronograma R. Operacional'!$AR$5:$AR$1000,$N86)="","",INDEX('Cronograma R. Operacional'!$AR$5:$AR$1000,$N86)))</f>
        <v/>
      </c>
      <c r="D86" s="79">
        <f>IF($N86="","",IF(INDEX('Cronograma R. Operacional'!$AS$5:$AS$1000,$N86)="","",INDEX('Cronograma R. Operacional'!$AS$5:$AS$1000,$N86)))</f>
        <v/>
      </c>
      <c r="E86" s="56">
        <f>IF($N86="","",IF(NOT(ISNUMBER($D86)),"",IF($D86&lt;InicioCiclo,"Antes del ciclo",IF($D86&gt;=InicioCiclo+28,"Después del ciclo","Semana "&amp;(INT(($D86-InicioCiclo)/7)+1)))))</f>
        <v/>
      </c>
      <c r="F86" s="61">
        <f>IF($N86="","",IF($P86&gt;0,IF(1&lt;=SemanaActual,INDEX('Cronograma R. Operacional'!$AH$5:$AH$1000,$N86),""),IF(INDEX('Cronograma R. Operacional'!$I$5:$I$1000,$N86)="","",INDEX('Cronograma R. Operacional'!$I$5:$I$1000,$N86))))</f>
        <v/>
      </c>
      <c r="G86" s="61">
        <f>IF($N86="","",IF($P86&gt;0,IF(2&lt;=SemanaActual,INDEX('Cronograma R. Operacional'!$AI$5:$AI$1000,$N86),""),IF(INDEX('Cronograma R. Operacional'!$J$5:$J$1000,$N86)="","",INDEX('Cronograma R. Operacional'!$J$5:$J$1000,$N86))))</f>
        <v/>
      </c>
      <c r="H86" s="61">
        <f>IF($N86="","",IF($P86&gt;0,IF(3&lt;=SemanaActual,INDEX('Cronograma R. Operacional'!$AJ$5:$AJ$1000,$N86),""),IF(INDEX('Cronograma R. Operacional'!$K$5:$K$1000,$N86)="","",INDEX('Cronograma R. Operacional'!$K$5:$K$1000,$N86))))</f>
        <v/>
      </c>
      <c r="I86" s="61">
        <f>IF($N86="","",IF($P86&gt;0,IF(4&lt;=SemanaActual,INDEX('Cronograma R. Operacional'!$AK$5:$AK$1000,$N86),""),IF(INDEX('Cronograma R. Operacional'!$L$5:$L$1000,$N86)="","",INDEX('Cronograma R. Operacional'!$L$5:$L$1000,$N86))))</f>
        <v/>
      </c>
      <c r="J86" s="61">
        <f>IF($N86="","",INDEX('Cronograma R. Operacional'!$M$5:$M$1000,$N86))</f>
        <v/>
      </c>
      <c r="K86" s="56">
        <f>IF($N86="","",IF(N($J86)&gt;=1,"Completado",IF(AND(ISNUMBER($D86),$D86&lt;FechaRef),"Vencida",IF(N($J86)&gt;0,"En curso","Pendiente"))))</f>
        <v/>
      </c>
      <c r="L86" s="56">
        <f>IF($N86="","",INDEX('Cronograma R. Operacional'!$O$5:$O$1000,$N86)&amp;"")</f>
        <v/>
      </c>
      <c r="M86" s="62">
        <f>IF($N86="","",INDEX('Cronograma R. Operacional'!$Q$5:$Q$1000,$N86)&amp;"")</f>
        <v/>
      </c>
      <c r="N86">
        <f>IFERROR(MATCH(ROW()-4,rOrden_RO,0),"")</f>
        <v/>
      </c>
      <c r="O86">
        <f>IF($N86="","",INDEX('Cronograma R. Operacional'!$V$5:$V$1000,$N86))</f>
        <v/>
      </c>
      <c r="P86">
        <f>IF($N86="","",N(INDEX('Cronograma R. Operacional'!$W$5:$W$1000,$N86)))</f>
        <v/>
      </c>
      <c r="Q86">
        <f>IF(OR(LEFT($L86,7)="Vencida",LEFT($L86,5)="Vence"),SUMPRODUCT(--(LEFT($L$5:$L86,7)="Vencida"))+SUMPRODUCT(--(LEFT($L$5:$L86,5)="Vence")),"")</f>
        <v/>
      </c>
    </row>
    <row r="87">
      <c r="A87" s="56">
        <f>IF($N87="","",INDEX('Cronograma R. Operacional'!$A$5:$A$1000,$N87))</f>
        <v/>
      </c>
      <c r="B87" s="62">
        <f>IF($N87="","",IF($O87="Sub","      ↳  "&amp;INDEX('Cronograma R. Operacional'!$C$5:$C$1000,$N87),INDEX('Cronograma R. Operacional'!$C$5:$C$1000,$N87)&amp;""))</f>
        <v/>
      </c>
      <c r="C87" s="79">
        <f>IF($N87="","",IF(INDEX('Cronograma R. Operacional'!$AR$5:$AR$1000,$N87)="","",INDEX('Cronograma R. Operacional'!$AR$5:$AR$1000,$N87)))</f>
        <v/>
      </c>
      <c r="D87" s="79">
        <f>IF($N87="","",IF(INDEX('Cronograma R. Operacional'!$AS$5:$AS$1000,$N87)="","",INDEX('Cronograma R. Operacional'!$AS$5:$AS$1000,$N87)))</f>
        <v/>
      </c>
      <c r="E87" s="56">
        <f>IF($N87="","",IF(NOT(ISNUMBER($D87)),"",IF($D87&lt;InicioCiclo,"Antes del ciclo",IF($D87&gt;=InicioCiclo+28,"Después del ciclo","Semana "&amp;(INT(($D87-InicioCiclo)/7)+1)))))</f>
        <v/>
      </c>
      <c r="F87" s="61">
        <f>IF($N87="","",IF($P87&gt;0,IF(1&lt;=SemanaActual,INDEX('Cronograma R. Operacional'!$AH$5:$AH$1000,$N87),""),IF(INDEX('Cronograma R. Operacional'!$I$5:$I$1000,$N87)="","",INDEX('Cronograma R. Operacional'!$I$5:$I$1000,$N87))))</f>
        <v/>
      </c>
      <c r="G87" s="61">
        <f>IF($N87="","",IF($P87&gt;0,IF(2&lt;=SemanaActual,INDEX('Cronograma R. Operacional'!$AI$5:$AI$1000,$N87),""),IF(INDEX('Cronograma R. Operacional'!$J$5:$J$1000,$N87)="","",INDEX('Cronograma R. Operacional'!$J$5:$J$1000,$N87))))</f>
        <v/>
      </c>
      <c r="H87" s="61">
        <f>IF($N87="","",IF($P87&gt;0,IF(3&lt;=SemanaActual,INDEX('Cronograma R. Operacional'!$AJ$5:$AJ$1000,$N87),""),IF(INDEX('Cronograma R. Operacional'!$K$5:$K$1000,$N87)="","",INDEX('Cronograma R. Operacional'!$K$5:$K$1000,$N87))))</f>
        <v/>
      </c>
      <c r="I87" s="61">
        <f>IF($N87="","",IF($P87&gt;0,IF(4&lt;=SemanaActual,INDEX('Cronograma R. Operacional'!$AK$5:$AK$1000,$N87),""),IF(INDEX('Cronograma R. Operacional'!$L$5:$L$1000,$N87)="","",INDEX('Cronograma R. Operacional'!$L$5:$L$1000,$N87))))</f>
        <v/>
      </c>
      <c r="J87" s="61">
        <f>IF($N87="","",INDEX('Cronograma R. Operacional'!$M$5:$M$1000,$N87))</f>
        <v/>
      </c>
      <c r="K87" s="56">
        <f>IF($N87="","",IF(N($J87)&gt;=1,"Completado",IF(AND(ISNUMBER($D87),$D87&lt;FechaRef),"Vencida",IF(N($J87)&gt;0,"En curso","Pendiente"))))</f>
        <v/>
      </c>
      <c r="L87" s="56">
        <f>IF($N87="","",INDEX('Cronograma R. Operacional'!$O$5:$O$1000,$N87)&amp;"")</f>
        <v/>
      </c>
      <c r="M87" s="62">
        <f>IF($N87="","",INDEX('Cronograma R. Operacional'!$Q$5:$Q$1000,$N87)&amp;"")</f>
        <v/>
      </c>
      <c r="N87">
        <f>IFERROR(MATCH(ROW()-4,rOrden_RO,0),"")</f>
        <v/>
      </c>
      <c r="O87">
        <f>IF($N87="","",INDEX('Cronograma R. Operacional'!$V$5:$V$1000,$N87))</f>
        <v/>
      </c>
      <c r="P87">
        <f>IF($N87="","",N(INDEX('Cronograma R. Operacional'!$W$5:$W$1000,$N87)))</f>
        <v/>
      </c>
      <c r="Q87">
        <f>IF(OR(LEFT($L87,7)="Vencida",LEFT($L87,5)="Vence"),SUMPRODUCT(--(LEFT($L$5:$L87,7)="Vencida"))+SUMPRODUCT(--(LEFT($L$5:$L87,5)="Vence")),"")</f>
        <v/>
      </c>
    </row>
    <row r="88">
      <c r="A88" s="56">
        <f>IF($N88="","",INDEX('Cronograma R. Operacional'!$A$5:$A$1000,$N88))</f>
        <v/>
      </c>
      <c r="B88" s="62">
        <f>IF($N88="","",IF($O88="Sub","      ↳  "&amp;INDEX('Cronograma R. Operacional'!$C$5:$C$1000,$N88),INDEX('Cronograma R. Operacional'!$C$5:$C$1000,$N88)&amp;""))</f>
        <v/>
      </c>
      <c r="C88" s="79">
        <f>IF($N88="","",IF(INDEX('Cronograma R. Operacional'!$AR$5:$AR$1000,$N88)="","",INDEX('Cronograma R. Operacional'!$AR$5:$AR$1000,$N88)))</f>
        <v/>
      </c>
      <c r="D88" s="79">
        <f>IF($N88="","",IF(INDEX('Cronograma R. Operacional'!$AS$5:$AS$1000,$N88)="","",INDEX('Cronograma R. Operacional'!$AS$5:$AS$1000,$N88)))</f>
        <v/>
      </c>
      <c r="E88" s="56">
        <f>IF($N88="","",IF(NOT(ISNUMBER($D88)),"",IF($D88&lt;InicioCiclo,"Antes del ciclo",IF($D88&gt;=InicioCiclo+28,"Después del ciclo","Semana "&amp;(INT(($D88-InicioCiclo)/7)+1)))))</f>
        <v/>
      </c>
      <c r="F88" s="61">
        <f>IF($N88="","",IF($P88&gt;0,IF(1&lt;=SemanaActual,INDEX('Cronograma R. Operacional'!$AH$5:$AH$1000,$N88),""),IF(INDEX('Cronograma R. Operacional'!$I$5:$I$1000,$N88)="","",INDEX('Cronograma R. Operacional'!$I$5:$I$1000,$N88))))</f>
        <v/>
      </c>
      <c r="G88" s="61">
        <f>IF($N88="","",IF($P88&gt;0,IF(2&lt;=SemanaActual,INDEX('Cronograma R. Operacional'!$AI$5:$AI$1000,$N88),""),IF(INDEX('Cronograma R. Operacional'!$J$5:$J$1000,$N88)="","",INDEX('Cronograma R. Operacional'!$J$5:$J$1000,$N88))))</f>
        <v/>
      </c>
      <c r="H88" s="61">
        <f>IF($N88="","",IF($P88&gt;0,IF(3&lt;=SemanaActual,INDEX('Cronograma R. Operacional'!$AJ$5:$AJ$1000,$N88),""),IF(INDEX('Cronograma R. Operacional'!$K$5:$K$1000,$N88)="","",INDEX('Cronograma R. Operacional'!$K$5:$K$1000,$N88))))</f>
        <v/>
      </c>
      <c r="I88" s="61">
        <f>IF($N88="","",IF($P88&gt;0,IF(4&lt;=SemanaActual,INDEX('Cronograma R. Operacional'!$AK$5:$AK$1000,$N88),""),IF(INDEX('Cronograma R. Operacional'!$L$5:$L$1000,$N88)="","",INDEX('Cronograma R. Operacional'!$L$5:$L$1000,$N88))))</f>
        <v/>
      </c>
      <c r="J88" s="61">
        <f>IF($N88="","",INDEX('Cronograma R. Operacional'!$M$5:$M$1000,$N88))</f>
        <v/>
      </c>
      <c r="K88" s="56">
        <f>IF($N88="","",IF(N($J88)&gt;=1,"Completado",IF(AND(ISNUMBER($D88),$D88&lt;FechaRef),"Vencida",IF(N($J88)&gt;0,"En curso","Pendiente"))))</f>
        <v/>
      </c>
      <c r="L88" s="56">
        <f>IF($N88="","",INDEX('Cronograma R. Operacional'!$O$5:$O$1000,$N88)&amp;"")</f>
        <v/>
      </c>
      <c r="M88" s="62">
        <f>IF($N88="","",INDEX('Cronograma R. Operacional'!$Q$5:$Q$1000,$N88)&amp;"")</f>
        <v/>
      </c>
      <c r="N88">
        <f>IFERROR(MATCH(ROW()-4,rOrden_RO,0),"")</f>
        <v/>
      </c>
      <c r="O88">
        <f>IF($N88="","",INDEX('Cronograma R. Operacional'!$V$5:$V$1000,$N88))</f>
        <v/>
      </c>
      <c r="P88">
        <f>IF($N88="","",N(INDEX('Cronograma R. Operacional'!$W$5:$W$1000,$N88)))</f>
        <v/>
      </c>
      <c r="Q88">
        <f>IF(OR(LEFT($L88,7)="Vencida",LEFT($L88,5)="Vence"),SUMPRODUCT(--(LEFT($L$5:$L88,7)="Vencida"))+SUMPRODUCT(--(LEFT($L$5:$L88,5)="Vence")),"")</f>
        <v/>
      </c>
    </row>
    <row r="89">
      <c r="A89" s="56">
        <f>IF($N89="","",INDEX('Cronograma R. Operacional'!$A$5:$A$1000,$N89))</f>
        <v/>
      </c>
      <c r="B89" s="62">
        <f>IF($N89="","",IF($O89="Sub","      ↳  "&amp;INDEX('Cronograma R. Operacional'!$C$5:$C$1000,$N89),INDEX('Cronograma R. Operacional'!$C$5:$C$1000,$N89)&amp;""))</f>
        <v/>
      </c>
      <c r="C89" s="79">
        <f>IF($N89="","",IF(INDEX('Cronograma R. Operacional'!$AR$5:$AR$1000,$N89)="","",INDEX('Cronograma R. Operacional'!$AR$5:$AR$1000,$N89)))</f>
        <v/>
      </c>
      <c r="D89" s="79">
        <f>IF($N89="","",IF(INDEX('Cronograma R. Operacional'!$AS$5:$AS$1000,$N89)="","",INDEX('Cronograma R. Operacional'!$AS$5:$AS$1000,$N89)))</f>
        <v/>
      </c>
      <c r="E89" s="56">
        <f>IF($N89="","",IF(NOT(ISNUMBER($D89)),"",IF($D89&lt;InicioCiclo,"Antes del ciclo",IF($D89&gt;=InicioCiclo+28,"Después del ciclo","Semana "&amp;(INT(($D89-InicioCiclo)/7)+1)))))</f>
        <v/>
      </c>
      <c r="F89" s="61">
        <f>IF($N89="","",IF($P89&gt;0,IF(1&lt;=SemanaActual,INDEX('Cronograma R. Operacional'!$AH$5:$AH$1000,$N89),""),IF(INDEX('Cronograma R. Operacional'!$I$5:$I$1000,$N89)="","",INDEX('Cronograma R. Operacional'!$I$5:$I$1000,$N89))))</f>
        <v/>
      </c>
      <c r="G89" s="61">
        <f>IF($N89="","",IF($P89&gt;0,IF(2&lt;=SemanaActual,INDEX('Cronograma R. Operacional'!$AI$5:$AI$1000,$N89),""),IF(INDEX('Cronograma R. Operacional'!$J$5:$J$1000,$N89)="","",INDEX('Cronograma R. Operacional'!$J$5:$J$1000,$N89))))</f>
        <v/>
      </c>
      <c r="H89" s="61">
        <f>IF($N89="","",IF($P89&gt;0,IF(3&lt;=SemanaActual,INDEX('Cronograma R. Operacional'!$AJ$5:$AJ$1000,$N89),""),IF(INDEX('Cronograma R. Operacional'!$K$5:$K$1000,$N89)="","",INDEX('Cronograma R. Operacional'!$K$5:$K$1000,$N89))))</f>
        <v/>
      </c>
      <c r="I89" s="61">
        <f>IF($N89="","",IF($P89&gt;0,IF(4&lt;=SemanaActual,INDEX('Cronograma R. Operacional'!$AK$5:$AK$1000,$N89),""),IF(INDEX('Cronograma R. Operacional'!$L$5:$L$1000,$N89)="","",INDEX('Cronograma R. Operacional'!$L$5:$L$1000,$N89))))</f>
        <v/>
      </c>
      <c r="J89" s="61">
        <f>IF($N89="","",INDEX('Cronograma R. Operacional'!$M$5:$M$1000,$N89))</f>
        <v/>
      </c>
      <c r="K89" s="56">
        <f>IF($N89="","",IF(N($J89)&gt;=1,"Completado",IF(AND(ISNUMBER($D89),$D89&lt;FechaRef),"Vencida",IF(N($J89)&gt;0,"En curso","Pendiente"))))</f>
        <v/>
      </c>
      <c r="L89" s="56">
        <f>IF($N89="","",INDEX('Cronograma R. Operacional'!$O$5:$O$1000,$N89)&amp;"")</f>
        <v/>
      </c>
      <c r="M89" s="62">
        <f>IF($N89="","",INDEX('Cronograma R. Operacional'!$Q$5:$Q$1000,$N89)&amp;"")</f>
        <v/>
      </c>
      <c r="N89">
        <f>IFERROR(MATCH(ROW()-4,rOrden_RO,0),"")</f>
        <v/>
      </c>
      <c r="O89">
        <f>IF($N89="","",INDEX('Cronograma R. Operacional'!$V$5:$V$1000,$N89))</f>
        <v/>
      </c>
      <c r="P89">
        <f>IF($N89="","",N(INDEX('Cronograma R. Operacional'!$W$5:$W$1000,$N89)))</f>
        <v/>
      </c>
      <c r="Q89">
        <f>IF(OR(LEFT($L89,7)="Vencida",LEFT($L89,5)="Vence"),SUMPRODUCT(--(LEFT($L$5:$L89,7)="Vencida"))+SUMPRODUCT(--(LEFT($L$5:$L89,5)="Vence")),"")</f>
        <v/>
      </c>
    </row>
    <row r="90">
      <c r="A90" s="56">
        <f>IF($N90="","",INDEX('Cronograma R. Operacional'!$A$5:$A$1000,$N90))</f>
        <v/>
      </c>
      <c r="B90" s="62">
        <f>IF($N90="","",IF($O90="Sub","      ↳  "&amp;INDEX('Cronograma R. Operacional'!$C$5:$C$1000,$N90),INDEX('Cronograma R. Operacional'!$C$5:$C$1000,$N90)&amp;""))</f>
        <v/>
      </c>
      <c r="C90" s="79">
        <f>IF($N90="","",IF(INDEX('Cronograma R. Operacional'!$AR$5:$AR$1000,$N90)="","",INDEX('Cronograma R. Operacional'!$AR$5:$AR$1000,$N90)))</f>
        <v/>
      </c>
      <c r="D90" s="79">
        <f>IF($N90="","",IF(INDEX('Cronograma R. Operacional'!$AS$5:$AS$1000,$N90)="","",INDEX('Cronograma R. Operacional'!$AS$5:$AS$1000,$N90)))</f>
        <v/>
      </c>
      <c r="E90" s="56">
        <f>IF($N90="","",IF(NOT(ISNUMBER($D90)),"",IF($D90&lt;InicioCiclo,"Antes del ciclo",IF($D90&gt;=InicioCiclo+28,"Después del ciclo","Semana "&amp;(INT(($D90-InicioCiclo)/7)+1)))))</f>
        <v/>
      </c>
      <c r="F90" s="61">
        <f>IF($N90="","",IF($P90&gt;0,IF(1&lt;=SemanaActual,INDEX('Cronograma R. Operacional'!$AH$5:$AH$1000,$N90),""),IF(INDEX('Cronograma R. Operacional'!$I$5:$I$1000,$N90)="","",INDEX('Cronograma R. Operacional'!$I$5:$I$1000,$N90))))</f>
        <v/>
      </c>
      <c r="G90" s="61">
        <f>IF($N90="","",IF($P90&gt;0,IF(2&lt;=SemanaActual,INDEX('Cronograma R. Operacional'!$AI$5:$AI$1000,$N90),""),IF(INDEX('Cronograma R. Operacional'!$J$5:$J$1000,$N90)="","",INDEX('Cronograma R. Operacional'!$J$5:$J$1000,$N90))))</f>
        <v/>
      </c>
      <c r="H90" s="61">
        <f>IF($N90="","",IF($P90&gt;0,IF(3&lt;=SemanaActual,INDEX('Cronograma R. Operacional'!$AJ$5:$AJ$1000,$N90),""),IF(INDEX('Cronograma R. Operacional'!$K$5:$K$1000,$N90)="","",INDEX('Cronograma R. Operacional'!$K$5:$K$1000,$N90))))</f>
        <v/>
      </c>
      <c r="I90" s="61">
        <f>IF($N90="","",IF($P90&gt;0,IF(4&lt;=SemanaActual,INDEX('Cronograma R. Operacional'!$AK$5:$AK$1000,$N90),""),IF(INDEX('Cronograma R. Operacional'!$L$5:$L$1000,$N90)="","",INDEX('Cronograma R. Operacional'!$L$5:$L$1000,$N90))))</f>
        <v/>
      </c>
      <c r="J90" s="61">
        <f>IF($N90="","",INDEX('Cronograma R. Operacional'!$M$5:$M$1000,$N90))</f>
        <v/>
      </c>
      <c r="K90" s="56">
        <f>IF($N90="","",IF(N($J90)&gt;=1,"Completado",IF(AND(ISNUMBER($D90),$D90&lt;FechaRef),"Vencida",IF(N($J90)&gt;0,"En curso","Pendiente"))))</f>
        <v/>
      </c>
      <c r="L90" s="56">
        <f>IF($N90="","",INDEX('Cronograma R. Operacional'!$O$5:$O$1000,$N90)&amp;"")</f>
        <v/>
      </c>
      <c r="M90" s="62">
        <f>IF($N90="","",INDEX('Cronograma R. Operacional'!$Q$5:$Q$1000,$N90)&amp;"")</f>
        <v/>
      </c>
      <c r="N90">
        <f>IFERROR(MATCH(ROW()-4,rOrden_RO,0),"")</f>
        <v/>
      </c>
      <c r="O90">
        <f>IF($N90="","",INDEX('Cronograma R. Operacional'!$V$5:$V$1000,$N90))</f>
        <v/>
      </c>
      <c r="P90">
        <f>IF($N90="","",N(INDEX('Cronograma R. Operacional'!$W$5:$W$1000,$N90)))</f>
        <v/>
      </c>
      <c r="Q90">
        <f>IF(OR(LEFT($L90,7)="Vencida",LEFT($L90,5)="Vence"),SUMPRODUCT(--(LEFT($L$5:$L90,7)="Vencida"))+SUMPRODUCT(--(LEFT($L$5:$L90,5)="Vence")),"")</f>
        <v/>
      </c>
    </row>
    <row r="91">
      <c r="A91" s="56">
        <f>IF($N91="","",INDEX('Cronograma R. Operacional'!$A$5:$A$1000,$N91))</f>
        <v/>
      </c>
      <c r="B91" s="62">
        <f>IF($N91="","",IF($O91="Sub","      ↳  "&amp;INDEX('Cronograma R. Operacional'!$C$5:$C$1000,$N91),INDEX('Cronograma R. Operacional'!$C$5:$C$1000,$N91)&amp;""))</f>
        <v/>
      </c>
      <c r="C91" s="79">
        <f>IF($N91="","",IF(INDEX('Cronograma R. Operacional'!$AR$5:$AR$1000,$N91)="","",INDEX('Cronograma R. Operacional'!$AR$5:$AR$1000,$N91)))</f>
        <v/>
      </c>
      <c r="D91" s="79">
        <f>IF($N91="","",IF(INDEX('Cronograma R. Operacional'!$AS$5:$AS$1000,$N91)="","",INDEX('Cronograma R. Operacional'!$AS$5:$AS$1000,$N91)))</f>
        <v/>
      </c>
      <c r="E91" s="56">
        <f>IF($N91="","",IF(NOT(ISNUMBER($D91)),"",IF($D91&lt;InicioCiclo,"Antes del ciclo",IF($D91&gt;=InicioCiclo+28,"Después del ciclo","Semana "&amp;(INT(($D91-InicioCiclo)/7)+1)))))</f>
        <v/>
      </c>
      <c r="F91" s="61">
        <f>IF($N91="","",IF($P91&gt;0,IF(1&lt;=SemanaActual,INDEX('Cronograma R. Operacional'!$AH$5:$AH$1000,$N91),""),IF(INDEX('Cronograma R. Operacional'!$I$5:$I$1000,$N91)="","",INDEX('Cronograma R. Operacional'!$I$5:$I$1000,$N91))))</f>
        <v/>
      </c>
      <c r="G91" s="61">
        <f>IF($N91="","",IF($P91&gt;0,IF(2&lt;=SemanaActual,INDEX('Cronograma R. Operacional'!$AI$5:$AI$1000,$N91),""),IF(INDEX('Cronograma R. Operacional'!$J$5:$J$1000,$N91)="","",INDEX('Cronograma R. Operacional'!$J$5:$J$1000,$N91))))</f>
        <v/>
      </c>
      <c r="H91" s="61">
        <f>IF($N91="","",IF($P91&gt;0,IF(3&lt;=SemanaActual,INDEX('Cronograma R. Operacional'!$AJ$5:$AJ$1000,$N91),""),IF(INDEX('Cronograma R. Operacional'!$K$5:$K$1000,$N91)="","",INDEX('Cronograma R. Operacional'!$K$5:$K$1000,$N91))))</f>
        <v/>
      </c>
      <c r="I91" s="61">
        <f>IF($N91="","",IF($P91&gt;0,IF(4&lt;=SemanaActual,INDEX('Cronograma R. Operacional'!$AK$5:$AK$1000,$N91),""),IF(INDEX('Cronograma R. Operacional'!$L$5:$L$1000,$N91)="","",INDEX('Cronograma R. Operacional'!$L$5:$L$1000,$N91))))</f>
        <v/>
      </c>
      <c r="J91" s="61">
        <f>IF($N91="","",INDEX('Cronograma R. Operacional'!$M$5:$M$1000,$N91))</f>
        <v/>
      </c>
      <c r="K91" s="56">
        <f>IF($N91="","",IF(N($J91)&gt;=1,"Completado",IF(AND(ISNUMBER($D91),$D91&lt;FechaRef),"Vencida",IF(N($J91)&gt;0,"En curso","Pendiente"))))</f>
        <v/>
      </c>
      <c r="L91" s="56">
        <f>IF($N91="","",INDEX('Cronograma R. Operacional'!$O$5:$O$1000,$N91)&amp;"")</f>
        <v/>
      </c>
      <c r="M91" s="62">
        <f>IF($N91="","",INDEX('Cronograma R. Operacional'!$Q$5:$Q$1000,$N91)&amp;"")</f>
        <v/>
      </c>
      <c r="N91">
        <f>IFERROR(MATCH(ROW()-4,rOrden_RO,0),"")</f>
        <v/>
      </c>
      <c r="O91">
        <f>IF($N91="","",INDEX('Cronograma R. Operacional'!$V$5:$V$1000,$N91))</f>
        <v/>
      </c>
      <c r="P91">
        <f>IF($N91="","",N(INDEX('Cronograma R. Operacional'!$W$5:$W$1000,$N91)))</f>
        <v/>
      </c>
      <c r="Q91">
        <f>IF(OR(LEFT($L91,7)="Vencida",LEFT($L91,5)="Vence"),SUMPRODUCT(--(LEFT($L$5:$L91,7)="Vencida"))+SUMPRODUCT(--(LEFT($L$5:$L91,5)="Vence")),"")</f>
        <v/>
      </c>
    </row>
    <row r="92">
      <c r="A92" s="56">
        <f>IF($N92="","",INDEX('Cronograma R. Operacional'!$A$5:$A$1000,$N92))</f>
        <v/>
      </c>
      <c r="B92" s="62">
        <f>IF($N92="","",IF($O92="Sub","      ↳  "&amp;INDEX('Cronograma R. Operacional'!$C$5:$C$1000,$N92),INDEX('Cronograma R. Operacional'!$C$5:$C$1000,$N92)&amp;""))</f>
        <v/>
      </c>
      <c r="C92" s="79">
        <f>IF($N92="","",IF(INDEX('Cronograma R. Operacional'!$AR$5:$AR$1000,$N92)="","",INDEX('Cronograma R. Operacional'!$AR$5:$AR$1000,$N92)))</f>
        <v/>
      </c>
      <c r="D92" s="79">
        <f>IF($N92="","",IF(INDEX('Cronograma R. Operacional'!$AS$5:$AS$1000,$N92)="","",INDEX('Cronograma R. Operacional'!$AS$5:$AS$1000,$N92)))</f>
        <v/>
      </c>
      <c r="E92" s="56">
        <f>IF($N92="","",IF(NOT(ISNUMBER($D92)),"",IF($D92&lt;InicioCiclo,"Antes del ciclo",IF($D92&gt;=InicioCiclo+28,"Después del ciclo","Semana "&amp;(INT(($D92-InicioCiclo)/7)+1)))))</f>
        <v/>
      </c>
      <c r="F92" s="61">
        <f>IF($N92="","",IF($P92&gt;0,IF(1&lt;=SemanaActual,INDEX('Cronograma R. Operacional'!$AH$5:$AH$1000,$N92),""),IF(INDEX('Cronograma R. Operacional'!$I$5:$I$1000,$N92)="","",INDEX('Cronograma R. Operacional'!$I$5:$I$1000,$N92))))</f>
        <v/>
      </c>
      <c r="G92" s="61">
        <f>IF($N92="","",IF($P92&gt;0,IF(2&lt;=SemanaActual,INDEX('Cronograma R. Operacional'!$AI$5:$AI$1000,$N92),""),IF(INDEX('Cronograma R. Operacional'!$J$5:$J$1000,$N92)="","",INDEX('Cronograma R. Operacional'!$J$5:$J$1000,$N92))))</f>
        <v/>
      </c>
      <c r="H92" s="61">
        <f>IF($N92="","",IF($P92&gt;0,IF(3&lt;=SemanaActual,INDEX('Cronograma R. Operacional'!$AJ$5:$AJ$1000,$N92),""),IF(INDEX('Cronograma R. Operacional'!$K$5:$K$1000,$N92)="","",INDEX('Cronograma R. Operacional'!$K$5:$K$1000,$N92))))</f>
        <v/>
      </c>
      <c r="I92" s="61">
        <f>IF($N92="","",IF($P92&gt;0,IF(4&lt;=SemanaActual,INDEX('Cronograma R. Operacional'!$AK$5:$AK$1000,$N92),""),IF(INDEX('Cronograma R. Operacional'!$L$5:$L$1000,$N92)="","",INDEX('Cronograma R. Operacional'!$L$5:$L$1000,$N92))))</f>
        <v/>
      </c>
      <c r="J92" s="61">
        <f>IF($N92="","",INDEX('Cronograma R. Operacional'!$M$5:$M$1000,$N92))</f>
        <v/>
      </c>
      <c r="K92" s="56">
        <f>IF($N92="","",IF(N($J92)&gt;=1,"Completado",IF(AND(ISNUMBER($D92),$D92&lt;FechaRef),"Vencida",IF(N($J92)&gt;0,"En curso","Pendiente"))))</f>
        <v/>
      </c>
      <c r="L92" s="56">
        <f>IF($N92="","",INDEX('Cronograma R. Operacional'!$O$5:$O$1000,$N92)&amp;"")</f>
        <v/>
      </c>
      <c r="M92" s="62">
        <f>IF($N92="","",INDEX('Cronograma R. Operacional'!$Q$5:$Q$1000,$N92)&amp;"")</f>
        <v/>
      </c>
      <c r="N92">
        <f>IFERROR(MATCH(ROW()-4,rOrden_RO,0),"")</f>
        <v/>
      </c>
      <c r="O92">
        <f>IF($N92="","",INDEX('Cronograma R. Operacional'!$V$5:$V$1000,$N92))</f>
        <v/>
      </c>
      <c r="P92">
        <f>IF($N92="","",N(INDEX('Cronograma R. Operacional'!$W$5:$W$1000,$N92)))</f>
        <v/>
      </c>
      <c r="Q92">
        <f>IF(OR(LEFT($L92,7)="Vencida",LEFT($L92,5)="Vence"),SUMPRODUCT(--(LEFT($L$5:$L92,7)="Vencida"))+SUMPRODUCT(--(LEFT($L$5:$L92,5)="Vence")),"")</f>
        <v/>
      </c>
    </row>
    <row r="93">
      <c r="A93" s="56">
        <f>IF($N93="","",INDEX('Cronograma R. Operacional'!$A$5:$A$1000,$N93))</f>
        <v/>
      </c>
      <c r="B93" s="62">
        <f>IF($N93="","",IF($O93="Sub","      ↳  "&amp;INDEX('Cronograma R. Operacional'!$C$5:$C$1000,$N93),INDEX('Cronograma R. Operacional'!$C$5:$C$1000,$N93)&amp;""))</f>
        <v/>
      </c>
      <c r="C93" s="79">
        <f>IF($N93="","",IF(INDEX('Cronograma R. Operacional'!$AR$5:$AR$1000,$N93)="","",INDEX('Cronograma R. Operacional'!$AR$5:$AR$1000,$N93)))</f>
        <v/>
      </c>
      <c r="D93" s="79">
        <f>IF($N93="","",IF(INDEX('Cronograma R. Operacional'!$AS$5:$AS$1000,$N93)="","",INDEX('Cronograma R. Operacional'!$AS$5:$AS$1000,$N93)))</f>
        <v/>
      </c>
      <c r="E93" s="56">
        <f>IF($N93="","",IF(NOT(ISNUMBER($D93)),"",IF($D93&lt;InicioCiclo,"Antes del ciclo",IF($D93&gt;=InicioCiclo+28,"Después del ciclo","Semana "&amp;(INT(($D93-InicioCiclo)/7)+1)))))</f>
        <v/>
      </c>
      <c r="F93" s="61">
        <f>IF($N93="","",IF($P93&gt;0,IF(1&lt;=SemanaActual,INDEX('Cronograma R. Operacional'!$AH$5:$AH$1000,$N93),""),IF(INDEX('Cronograma R. Operacional'!$I$5:$I$1000,$N93)="","",INDEX('Cronograma R. Operacional'!$I$5:$I$1000,$N93))))</f>
        <v/>
      </c>
      <c r="G93" s="61">
        <f>IF($N93="","",IF($P93&gt;0,IF(2&lt;=SemanaActual,INDEX('Cronograma R. Operacional'!$AI$5:$AI$1000,$N93),""),IF(INDEX('Cronograma R. Operacional'!$J$5:$J$1000,$N93)="","",INDEX('Cronograma R. Operacional'!$J$5:$J$1000,$N93))))</f>
        <v/>
      </c>
      <c r="H93" s="61">
        <f>IF($N93="","",IF($P93&gt;0,IF(3&lt;=SemanaActual,INDEX('Cronograma R. Operacional'!$AJ$5:$AJ$1000,$N93),""),IF(INDEX('Cronograma R. Operacional'!$K$5:$K$1000,$N93)="","",INDEX('Cronograma R. Operacional'!$K$5:$K$1000,$N93))))</f>
        <v/>
      </c>
      <c r="I93" s="61">
        <f>IF($N93="","",IF($P93&gt;0,IF(4&lt;=SemanaActual,INDEX('Cronograma R. Operacional'!$AK$5:$AK$1000,$N93),""),IF(INDEX('Cronograma R. Operacional'!$L$5:$L$1000,$N93)="","",INDEX('Cronograma R. Operacional'!$L$5:$L$1000,$N93))))</f>
        <v/>
      </c>
      <c r="J93" s="61">
        <f>IF($N93="","",INDEX('Cronograma R. Operacional'!$M$5:$M$1000,$N93))</f>
        <v/>
      </c>
      <c r="K93" s="56">
        <f>IF($N93="","",IF(N($J93)&gt;=1,"Completado",IF(AND(ISNUMBER($D93),$D93&lt;FechaRef),"Vencida",IF(N($J93)&gt;0,"En curso","Pendiente"))))</f>
        <v/>
      </c>
      <c r="L93" s="56">
        <f>IF($N93="","",INDEX('Cronograma R. Operacional'!$O$5:$O$1000,$N93)&amp;"")</f>
        <v/>
      </c>
      <c r="M93" s="62">
        <f>IF($N93="","",INDEX('Cronograma R. Operacional'!$Q$5:$Q$1000,$N93)&amp;"")</f>
        <v/>
      </c>
      <c r="N93">
        <f>IFERROR(MATCH(ROW()-4,rOrden_RO,0),"")</f>
        <v/>
      </c>
      <c r="O93">
        <f>IF($N93="","",INDEX('Cronograma R. Operacional'!$V$5:$V$1000,$N93))</f>
        <v/>
      </c>
      <c r="P93">
        <f>IF($N93="","",N(INDEX('Cronograma R. Operacional'!$W$5:$W$1000,$N93)))</f>
        <v/>
      </c>
      <c r="Q93">
        <f>IF(OR(LEFT($L93,7)="Vencida",LEFT($L93,5)="Vence"),SUMPRODUCT(--(LEFT($L$5:$L93,7)="Vencida"))+SUMPRODUCT(--(LEFT($L$5:$L93,5)="Vence")),"")</f>
        <v/>
      </c>
    </row>
    <row r="94">
      <c r="A94" s="56">
        <f>IF($N94="","",INDEX('Cronograma R. Operacional'!$A$5:$A$1000,$N94))</f>
        <v/>
      </c>
      <c r="B94" s="62">
        <f>IF($N94="","",IF($O94="Sub","      ↳  "&amp;INDEX('Cronograma R. Operacional'!$C$5:$C$1000,$N94),INDEX('Cronograma R. Operacional'!$C$5:$C$1000,$N94)&amp;""))</f>
        <v/>
      </c>
      <c r="C94" s="79">
        <f>IF($N94="","",IF(INDEX('Cronograma R. Operacional'!$AR$5:$AR$1000,$N94)="","",INDEX('Cronograma R. Operacional'!$AR$5:$AR$1000,$N94)))</f>
        <v/>
      </c>
      <c r="D94" s="79">
        <f>IF($N94="","",IF(INDEX('Cronograma R. Operacional'!$AS$5:$AS$1000,$N94)="","",INDEX('Cronograma R. Operacional'!$AS$5:$AS$1000,$N94)))</f>
        <v/>
      </c>
      <c r="E94" s="56">
        <f>IF($N94="","",IF(NOT(ISNUMBER($D94)),"",IF($D94&lt;InicioCiclo,"Antes del ciclo",IF($D94&gt;=InicioCiclo+28,"Después del ciclo","Semana "&amp;(INT(($D94-InicioCiclo)/7)+1)))))</f>
        <v/>
      </c>
      <c r="F94" s="61">
        <f>IF($N94="","",IF($P94&gt;0,IF(1&lt;=SemanaActual,INDEX('Cronograma R. Operacional'!$AH$5:$AH$1000,$N94),""),IF(INDEX('Cronograma R. Operacional'!$I$5:$I$1000,$N94)="","",INDEX('Cronograma R. Operacional'!$I$5:$I$1000,$N94))))</f>
        <v/>
      </c>
      <c r="G94" s="61">
        <f>IF($N94="","",IF($P94&gt;0,IF(2&lt;=SemanaActual,INDEX('Cronograma R. Operacional'!$AI$5:$AI$1000,$N94),""),IF(INDEX('Cronograma R. Operacional'!$J$5:$J$1000,$N94)="","",INDEX('Cronograma R. Operacional'!$J$5:$J$1000,$N94))))</f>
        <v/>
      </c>
      <c r="H94" s="61">
        <f>IF($N94="","",IF($P94&gt;0,IF(3&lt;=SemanaActual,INDEX('Cronograma R. Operacional'!$AJ$5:$AJ$1000,$N94),""),IF(INDEX('Cronograma R. Operacional'!$K$5:$K$1000,$N94)="","",INDEX('Cronograma R. Operacional'!$K$5:$K$1000,$N94))))</f>
        <v/>
      </c>
      <c r="I94" s="61">
        <f>IF($N94="","",IF($P94&gt;0,IF(4&lt;=SemanaActual,INDEX('Cronograma R. Operacional'!$AK$5:$AK$1000,$N94),""),IF(INDEX('Cronograma R. Operacional'!$L$5:$L$1000,$N94)="","",INDEX('Cronograma R. Operacional'!$L$5:$L$1000,$N94))))</f>
        <v/>
      </c>
      <c r="J94" s="61">
        <f>IF($N94="","",INDEX('Cronograma R. Operacional'!$M$5:$M$1000,$N94))</f>
        <v/>
      </c>
      <c r="K94" s="56">
        <f>IF($N94="","",IF(N($J94)&gt;=1,"Completado",IF(AND(ISNUMBER($D94),$D94&lt;FechaRef),"Vencida",IF(N($J94)&gt;0,"En curso","Pendiente"))))</f>
        <v/>
      </c>
      <c r="L94" s="56">
        <f>IF($N94="","",INDEX('Cronograma R. Operacional'!$O$5:$O$1000,$N94)&amp;"")</f>
        <v/>
      </c>
      <c r="M94" s="62">
        <f>IF($N94="","",INDEX('Cronograma R. Operacional'!$Q$5:$Q$1000,$N94)&amp;"")</f>
        <v/>
      </c>
      <c r="N94">
        <f>IFERROR(MATCH(ROW()-4,rOrden_RO,0),"")</f>
        <v/>
      </c>
      <c r="O94">
        <f>IF($N94="","",INDEX('Cronograma R. Operacional'!$V$5:$V$1000,$N94))</f>
        <v/>
      </c>
      <c r="P94">
        <f>IF($N94="","",N(INDEX('Cronograma R. Operacional'!$W$5:$W$1000,$N94)))</f>
        <v/>
      </c>
      <c r="Q94">
        <f>IF(OR(LEFT($L94,7)="Vencida",LEFT($L94,5)="Vence"),SUMPRODUCT(--(LEFT($L$5:$L94,7)="Vencida"))+SUMPRODUCT(--(LEFT($L$5:$L94,5)="Vence")),"")</f>
        <v/>
      </c>
    </row>
    <row r="95">
      <c r="A95" s="56">
        <f>IF($N95="","",INDEX('Cronograma R. Operacional'!$A$5:$A$1000,$N95))</f>
        <v/>
      </c>
      <c r="B95" s="62">
        <f>IF($N95="","",IF($O95="Sub","      ↳  "&amp;INDEX('Cronograma R. Operacional'!$C$5:$C$1000,$N95),INDEX('Cronograma R. Operacional'!$C$5:$C$1000,$N95)&amp;""))</f>
        <v/>
      </c>
      <c r="C95" s="79">
        <f>IF($N95="","",IF(INDEX('Cronograma R. Operacional'!$AR$5:$AR$1000,$N95)="","",INDEX('Cronograma R. Operacional'!$AR$5:$AR$1000,$N95)))</f>
        <v/>
      </c>
      <c r="D95" s="79">
        <f>IF($N95="","",IF(INDEX('Cronograma R. Operacional'!$AS$5:$AS$1000,$N95)="","",INDEX('Cronograma R. Operacional'!$AS$5:$AS$1000,$N95)))</f>
        <v/>
      </c>
      <c r="E95" s="56">
        <f>IF($N95="","",IF(NOT(ISNUMBER($D95)),"",IF($D95&lt;InicioCiclo,"Antes del ciclo",IF($D95&gt;=InicioCiclo+28,"Después del ciclo","Semana "&amp;(INT(($D95-InicioCiclo)/7)+1)))))</f>
        <v/>
      </c>
      <c r="F95" s="61">
        <f>IF($N95="","",IF($P95&gt;0,IF(1&lt;=SemanaActual,INDEX('Cronograma R. Operacional'!$AH$5:$AH$1000,$N95),""),IF(INDEX('Cronograma R. Operacional'!$I$5:$I$1000,$N95)="","",INDEX('Cronograma R. Operacional'!$I$5:$I$1000,$N95))))</f>
        <v/>
      </c>
      <c r="G95" s="61">
        <f>IF($N95="","",IF($P95&gt;0,IF(2&lt;=SemanaActual,INDEX('Cronograma R. Operacional'!$AI$5:$AI$1000,$N95),""),IF(INDEX('Cronograma R. Operacional'!$J$5:$J$1000,$N95)="","",INDEX('Cronograma R. Operacional'!$J$5:$J$1000,$N95))))</f>
        <v/>
      </c>
      <c r="H95" s="61">
        <f>IF($N95="","",IF($P95&gt;0,IF(3&lt;=SemanaActual,INDEX('Cronograma R. Operacional'!$AJ$5:$AJ$1000,$N95),""),IF(INDEX('Cronograma R. Operacional'!$K$5:$K$1000,$N95)="","",INDEX('Cronograma R. Operacional'!$K$5:$K$1000,$N95))))</f>
        <v/>
      </c>
      <c r="I95" s="61">
        <f>IF($N95="","",IF($P95&gt;0,IF(4&lt;=SemanaActual,INDEX('Cronograma R. Operacional'!$AK$5:$AK$1000,$N95),""),IF(INDEX('Cronograma R. Operacional'!$L$5:$L$1000,$N95)="","",INDEX('Cronograma R. Operacional'!$L$5:$L$1000,$N95))))</f>
        <v/>
      </c>
      <c r="J95" s="61">
        <f>IF($N95="","",INDEX('Cronograma R. Operacional'!$M$5:$M$1000,$N95))</f>
        <v/>
      </c>
      <c r="K95" s="56">
        <f>IF($N95="","",IF(N($J95)&gt;=1,"Completado",IF(AND(ISNUMBER($D95),$D95&lt;FechaRef),"Vencida",IF(N($J95)&gt;0,"En curso","Pendiente"))))</f>
        <v/>
      </c>
      <c r="L95" s="56">
        <f>IF($N95="","",INDEX('Cronograma R. Operacional'!$O$5:$O$1000,$N95)&amp;"")</f>
        <v/>
      </c>
      <c r="M95" s="62">
        <f>IF($N95="","",INDEX('Cronograma R. Operacional'!$Q$5:$Q$1000,$N95)&amp;"")</f>
        <v/>
      </c>
      <c r="N95">
        <f>IFERROR(MATCH(ROW()-4,rOrden_RO,0),"")</f>
        <v/>
      </c>
      <c r="O95">
        <f>IF($N95="","",INDEX('Cronograma R. Operacional'!$V$5:$V$1000,$N95))</f>
        <v/>
      </c>
      <c r="P95">
        <f>IF($N95="","",N(INDEX('Cronograma R. Operacional'!$W$5:$W$1000,$N95)))</f>
        <v/>
      </c>
      <c r="Q95">
        <f>IF(OR(LEFT($L95,7)="Vencida",LEFT($L95,5)="Vence"),SUMPRODUCT(--(LEFT($L$5:$L95,7)="Vencida"))+SUMPRODUCT(--(LEFT($L$5:$L95,5)="Vence")),"")</f>
        <v/>
      </c>
    </row>
    <row r="96">
      <c r="A96" s="56">
        <f>IF($N96="","",INDEX('Cronograma R. Operacional'!$A$5:$A$1000,$N96))</f>
        <v/>
      </c>
      <c r="B96" s="62">
        <f>IF($N96="","",IF($O96="Sub","      ↳  "&amp;INDEX('Cronograma R. Operacional'!$C$5:$C$1000,$N96),INDEX('Cronograma R. Operacional'!$C$5:$C$1000,$N96)&amp;""))</f>
        <v/>
      </c>
      <c r="C96" s="79">
        <f>IF($N96="","",IF(INDEX('Cronograma R. Operacional'!$AR$5:$AR$1000,$N96)="","",INDEX('Cronograma R. Operacional'!$AR$5:$AR$1000,$N96)))</f>
        <v/>
      </c>
      <c r="D96" s="79">
        <f>IF($N96="","",IF(INDEX('Cronograma R. Operacional'!$AS$5:$AS$1000,$N96)="","",INDEX('Cronograma R. Operacional'!$AS$5:$AS$1000,$N96)))</f>
        <v/>
      </c>
      <c r="E96" s="56">
        <f>IF($N96="","",IF(NOT(ISNUMBER($D96)),"",IF($D96&lt;InicioCiclo,"Antes del ciclo",IF($D96&gt;=InicioCiclo+28,"Después del ciclo","Semana "&amp;(INT(($D96-InicioCiclo)/7)+1)))))</f>
        <v/>
      </c>
      <c r="F96" s="61">
        <f>IF($N96="","",IF($P96&gt;0,IF(1&lt;=SemanaActual,INDEX('Cronograma R. Operacional'!$AH$5:$AH$1000,$N96),""),IF(INDEX('Cronograma R. Operacional'!$I$5:$I$1000,$N96)="","",INDEX('Cronograma R. Operacional'!$I$5:$I$1000,$N96))))</f>
        <v/>
      </c>
      <c r="G96" s="61">
        <f>IF($N96="","",IF($P96&gt;0,IF(2&lt;=SemanaActual,INDEX('Cronograma R. Operacional'!$AI$5:$AI$1000,$N96),""),IF(INDEX('Cronograma R. Operacional'!$J$5:$J$1000,$N96)="","",INDEX('Cronograma R. Operacional'!$J$5:$J$1000,$N96))))</f>
        <v/>
      </c>
      <c r="H96" s="61">
        <f>IF($N96="","",IF($P96&gt;0,IF(3&lt;=SemanaActual,INDEX('Cronograma R. Operacional'!$AJ$5:$AJ$1000,$N96),""),IF(INDEX('Cronograma R. Operacional'!$K$5:$K$1000,$N96)="","",INDEX('Cronograma R. Operacional'!$K$5:$K$1000,$N96))))</f>
        <v/>
      </c>
      <c r="I96" s="61">
        <f>IF($N96="","",IF($P96&gt;0,IF(4&lt;=SemanaActual,INDEX('Cronograma R. Operacional'!$AK$5:$AK$1000,$N96),""),IF(INDEX('Cronograma R. Operacional'!$L$5:$L$1000,$N96)="","",INDEX('Cronograma R. Operacional'!$L$5:$L$1000,$N96))))</f>
        <v/>
      </c>
      <c r="J96" s="61">
        <f>IF($N96="","",INDEX('Cronograma R. Operacional'!$M$5:$M$1000,$N96))</f>
        <v/>
      </c>
      <c r="K96" s="56">
        <f>IF($N96="","",IF(N($J96)&gt;=1,"Completado",IF(AND(ISNUMBER($D96),$D96&lt;FechaRef),"Vencida",IF(N($J96)&gt;0,"En curso","Pendiente"))))</f>
        <v/>
      </c>
      <c r="L96" s="56">
        <f>IF($N96="","",INDEX('Cronograma R. Operacional'!$O$5:$O$1000,$N96)&amp;"")</f>
        <v/>
      </c>
      <c r="M96" s="62">
        <f>IF($N96="","",INDEX('Cronograma R. Operacional'!$Q$5:$Q$1000,$N96)&amp;"")</f>
        <v/>
      </c>
      <c r="N96">
        <f>IFERROR(MATCH(ROW()-4,rOrden_RO,0),"")</f>
        <v/>
      </c>
      <c r="O96">
        <f>IF($N96="","",INDEX('Cronograma R. Operacional'!$V$5:$V$1000,$N96))</f>
        <v/>
      </c>
      <c r="P96">
        <f>IF($N96="","",N(INDEX('Cronograma R. Operacional'!$W$5:$W$1000,$N96)))</f>
        <v/>
      </c>
      <c r="Q96">
        <f>IF(OR(LEFT($L96,7)="Vencida",LEFT($L96,5)="Vence"),SUMPRODUCT(--(LEFT($L$5:$L96,7)="Vencida"))+SUMPRODUCT(--(LEFT($L$5:$L96,5)="Vence")),"")</f>
        <v/>
      </c>
    </row>
    <row r="97">
      <c r="A97" s="56">
        <f>IF($N97="","",INDEX('Cronograma R. Operacional'!$A$5:$A$1000,$N97))</f>
        <v/>
      </c>
      <c r="B97" s="62">
        <f>IF($N97="","",IF($O97="Sub","      ↳  "&amp;INDEX('Cronograma R. Operacional'!$C$5:$C$1000,$N97),INDEX('Cronograma R. Operacional'!$C$5:$C$1000,$N97)&amp;""))</f>
        <v/>
      </c>
      <c r="C97" s="79">
        <f>IF($N97="","",IF(INDEX('Cronograma R. Operacional'!$AR$5:$AR$1000,$N97)="","",INDEX('Cronograma R. Operacional'!$AR$5:$AR$1000,$N97)))</f>
        <v/>
      </c>
      <c r="D97" s="79">
        <f>IF($N97="","",IF(INDEX('Cronograma R. Operacional'!$AS$5:$AS$1000,$N97)="","",INDEX('Cronograma R. Operacional'!$AS$5:$AS$1000,$N97)))</f>
        <v/>
      </c>
      <c r="E97" s="56">
        <f>IF($N97="","",IF(NOT(ISNUMBER($D97)),"",IF($D97&lt;InicioCiclo,"Antes del ciclo",IF($D97&gt;=InicioCiclo+28,"Después del ciclo","Semana "&amp;(INT(($D97-InicioCiclo)/7)+1)))))</f>
        <v/>
      </c>
      <c r="F97" s="61">
        <f>IF($N97="","",IF($P97&gt;0,IF(1&lt;=SemanaActual,INDEX('Cronograma R. Operacional'!$AH$5:$AH$1000,$N97),""),IF(INDEX('Cronograma R. Operacional'!$I$5:$I$1000,$N97)="","",INDEX('Cronograma R. Operacional'!$I$5:$I$1000,$N97))))</f>
        <v/>
      </c>
      <c r="G97" s="61">
        <f>IF($N97="","",IF($P97&gt;0,IF(2&lt;=SemanaActual,INDEX('Cronograma R. Operacional'!$AI$5:$AI$1000,$N97),""),IF(INDEX('Cronograma R. Operacional'!$J$5:$J$1000,$N97)="","",INDEX('Cronograma R. Operacional'!$J$5:$J$1000,$N97))))</f>
        <v/>
      </c>
      <c r="H97" s="61">
        <f>IF($N97="","",IF($P97&gt;0,IF(3&lt;=SemanaActual,INDEX('Cronograma R. Operacional'!$AJ$5:$AJ$1000,$N97),""),IF(INDEX('Cronograma R. Operacional'!$K$5:$K$1000,$N97)="","",INDEX('Cronograma R. Operacional'!$K$5:$K$1000,$N97))))</f>
        <v/>
      </c>
      <c r="I97" s="61">
        <f>IF($N97="","",IF($P97&gt;0,IF(4&lt;=SemanaActual,INDEX('Cronograma R. Operacional'!$AK$5:$AK$1000,$N97),""),IF(INDEX('Cronograma R. Operacional'!$L$5:$L$1000,$N97)="","",INDEX('Cronograma R. Operacional'!$L$5:$L$1000,$N97))))</f>
        <v/>
      </c>
      <c r="J97" s="61">
        <f>IF($N97="","",INDEX('Cronograma R. Operacional'!$M$5:$M$1000,$N97))</f>
        <v/>
      </c>
      <c r="K97" s="56">
        <f>IF($N97="","",IF(N($J97)&gt;=1,"Completado",IF(AND(ISNUMBER($D97),$D97&lt;FechaRef),"Vencida",IF(N($J97)&gt;0,"En curso","Pendiente"))))</f>
        <v/>
      </c>
      <c r="L97" s="56">
        <f>IF($N97="","",INDEX('Cronograma R. Operacional'!$O$5:$O$1000,$N97)&amp;"")</f>
        <v/>
      </c>
      <c r="M97" s="62">
        <f>IF($N97="","",INDEX('Cronograma R. Operacional'!$Q$5:$Q$1000,$N97)&amp;"")</f>
        <v/>
      </c>
      <c r="N97">
        <f>IFERROR(MATCH(ROW()-4,rOrden_RO,0),"")</f>
        <v/>
      </c>
      <c r="O97">
        <f>IF($N97="","",INDEX('Cronograma R. Operacional'!$V$5:$V$1000,$N97))</f>
        <v/>
      </c>
      <c r="P97">
        <f>IF($N97="","",N(INDEX('Cronograma R. Operacional'!$W$5:$W$1000,$N97)))</f>
        <v/>
      </c>
      <c r="Q97">
        <f>IF(OR(LEFT($L97,7)="Vencida",LEFT($L97,5)="Vence"),SUMPRODUCT(--(LEFT($L$5:$L97,7)="Vencida"))+SUMPRODUCT(--(LEFT($L$5:$L97,5)="Vence")),"")</f>
        <v/>
      </c>
    </row>
    <row r="98">
      <c r="A98" s="56">
        <f>IF($N98="","",INDEX('Cronograma R. Operacional'!$A$5:$A$1000,$N98))</f>
        <v/>
      </c>
      <c r="B98" s="62">
        <f>IF($N98="","",IF($O98="Sub","      ↳  "&amp;INDEX('Cronograma R. Operacional'!$C$5:$C$1000,$N98),INDEX('Cronograma R. Operacional'!$C$5:$C$1000,$N98)&amp;""))</f>
        <v/>
      </c>
      <c r="C98" s="79">
        <f>IF($N98="","",IF(INDEX('Cronograma R. Operacional'!$AR$5:$AR$1000,$N98)="","",INDEX('Cronograma R. Operacional'!$AR$5:$AR$1000,$N98)))</f>
        <v/>
      </c>
      <c r="D98" s="79">
        <f>IF($N98="","",IF(INDEX('Cronograma R. Operacional'!$AS$5:$AS$1000,$N98)="","",INDEX('Cronograma R. Operacional'!$AS$5:$AS$1000,$N98)))</f>
        <v/>
      </c>
      <c r="E98" s="56">
        <f>IF($N98="","",IF(NOT(ISNUMBER($D98)),"",IF($D98&lt;InicioCiclo,"Antes del ciclo",IF($D98&gt;=InicioCiclo+28,"Después del ciclo","Semana "&amp;(INT(($D98-InicioCiclo)/7)+1)))))</f>
        <v/>
      </c>
      <c r="F98" s="61">
        <f>IF($N98="","",IF($P98&gt;0,IF(1&lt;=SemanaActual,INDEX('Cronograma R. Operacional'!$AH$5:$AH$1000,$N98),""),IF(INDEX('Cronograma R. Operacional'!$I$5:$I$1000,$N98)="","",INDEX('Cronograma R. Operacional'!$I$5:$I$1000,$N98))))</f>
        <v/>
      </c>
      <c r="G98" s="61">
        <f>IF($N98="","",IF($P98&gt;0,IF(2&lt;=SemanaActual,INDEX('Cronograma R. Operacional'!$AI$5:$AI$1000,$N98),""),IF(INDEX('Cronograma R. Operacional'!$J$5:$J$1000,$N98)="","",INDEX('Cronograma R. Operacional'!$J$5:$J$1000,$N98))))</f>
        <v/>
      </c>
      <c r="H98" s="61">
        <f>IF($N98="","",IF($P98&gt;0,IF(3&lt;=SemanaActual,INDEX('Cronograma R. Operacional'!$AJ$5:$AJ$1000,$N98),""),IF(INDEX('Cronograma R. Operacional'!$K$5:$K$1000,$N98)="","",INDEX('Cronograma R. Operacional'!$K$5:$K$1000,$N98))))</f>
        <v/>
      </c>
      <c r="I98" s="61">
        <f>IF($N98="","",IF($P98&gt;0,IF(4&lt;=SemanaActual,INDEX('Cronograma R. Operacional'!$AK$5:$AK$1000,$N98),""),IF(INDEX('Cronograma R. Operacional'!$L$5:$L$1000,$N98)="","",INDEX('Cronograma R. Operacional'!$L$5:$L$1000,$N98))))</f>
        <v/>
      </c>
      <c r="J98" s="61">
        <f>IF($N98="","",INDEX('Cronograma R. Operacional'!$M$5:$M$1000,$N98))</f>
        <v/>
      </c>
      <c r="K98" s="56">
        <f>IF($N98="","",IF(N($J98)&gt;=1,"Completado",IF(AND(ISNUMBER($D98),$D98&lt;FechaRef),"Vencida",IF(N($J98)&gt;0,"En curso","Pendiente"))))</f>
        <v/>
      </c>
      <c r="L98" s="56">
        <f>IF($N98="","",INDEX('Cronograma R. Operacional'!$O$5:$O$1000,$N98)&amp;"")</f>
        <v/>
      </c>
      <c r="M98" s="62">
        <f>IF($N98="","",INDEX('Cronograma R. Operacional'!$Q$5:$Q$1000,$N98)&amp;"")</f>
        <v/>
      </c>
      <c r="N98">
        <f>IFERROR(MATCH(ROW()-4,rOrden_RO,0),"")</f>
        <v/>
      </c>
      <c r="O98">
        <f>IF($N98="","",INDEX('Cronograma R. Operacional'!$V$5:$V$1000,$N98))</f>
        <v/>
      </c>
      <c r="P98">
        <f>IF($N98="","",N(INDEX('Cronograma R. Operacional'!$W$5:$W$1000,$N98)))</f>
        <v/>
      </c>
      <c r="Q98">
        <f>IF(OR(LEFT($L98,7)="Vencida",LEFT($L98,5)="Vence"),SUMPRODUCT(--(LEFT($L$5:$L98,7)="Vencida"))+SUMPRODUCT(--(LEFT($L$5:$L98,5)="Vence")),"")</f>
        <v/>
      </c>
    </row>
    <row r="99">
      <c r="A99" s="56">
        <f>IF($N99="","",INDEX('Cronograma R. Operacional'!$A$5:$A$1000,$N99))</f>
        <v/>
      </c>
      <c r="B99" s="62">
        <f>IF($N99="","",IF($O99="Sub","      ↳  "&amp;INDEX('Cronograma R. Operacional'!$C$5:$C$1000,$N99),INDEX('Cronograma R. Operacional'!$C$5:$C$1000,$N99)&amp;""))</f>
        <v/>
      </c>
      <c r="C99" s="79">
        <f>IF($N99="","",IF(INDEX('Cronograma R. Operacional'!$AR$5:$AR$1000,$N99)="","",INDEX('Cronograma R. Operacional'!$AR$5:$AR$1000,$N99)))</f>
        <v/>
      </c>
      <c r="D99" s="79">
        <f>IF($N99="","",IF(INDEX('Cronograma R. Operacional'!$AS$5:$AS$1000,$N99)="","",INDEX('Cronograma R. Operacional'!$AS$5:$AS$1000,$N99)))</f>
        <v/>
      </c>
      <c r="E99" s="56">
        <f>IF($N99="","",IF(NOT(ISNUMBER($D99)),"",IF($D99&lt;InicioCiclo,"Antes del ciclo",IF($D99&gt;=InicioCiclo+28,"Después del ciclo","Semana "&amp;(INT(($D99-InicioCiclo)/7)+1)))))</f>
        <v/>
      </c>
      <c r="F99" s="61">
        <f>IF($N99="","",IF($P99&gt;0,IF(1&lt;=SemanaActual,INDEX('Cronograma R. Operacional'!$AH$5:$AH$1000,$N99),""),IF(INDEX('Cronograma R. Operacional'!$I$5:$I$1000,$N99)="","",INDEX('Cronograma R. Operacional'!$I$5:$I$1000,$N99))))</f>
        <v/>
      </c>
      <c r="G99" s="61">
        <f>IF($N99="","",IF($P99&gt;0,IF(2&lt;=SemanaActual,INDEX('Cronograma R. Operacional'!$AI$5:$AI$1000,$N99),""),IF(INDEX('Cronograma R. Operacional'!$J$5:$J$1000,$N99)="","",INDEX('Cronograma R. Operacional'!$J$5:$J$1000,$N99))))</f>
        <v/>
      </c>
      <c r="H99" s="61">
        <f>IF($N99="","",IF($P99&gt;0,IF(3&lt;=SemanaActual,INDEX('Cronograma R. Operacional'!$AJ$5:$AJ$1000,$N99),""),IF(INDEX('Cronograma R. Operacional'!$K$5:$K$1000,$N99)="","",INDEX('Cronograma R. Operacional'!$K$5:$K$1000,$N99))))</f>
        <v/>
      </c>
      <c r="I99" s="61">
        <f>IF($N99="","",IF($P99&gt;0,IF(4&lt;=SemanaActual,INDEX('Cronograma R. Operacional'!$AK$5:$AK$1000,$N99),""),IF(INDEX('Cronograma R. Operacional'!$L$5:$L$1000,$N99)="","",INDEX('Cronograma R. Operacional'!$L$5:$L$1000,$N99))))</f>
        <v/>
      </c>
      <c r="J99" s="61">
        <f>IF($N99="","",INDEX('Cronograma R. Operacional'!$M$5:$M$1000,$N99))</f>
        <v/>
      </c>
      <c r="K99" s="56">
        <f>IF($N99="","",IF(N($J99)&gt;=1,"Completado",IF(AND(ISNUMBER($D99),$D99&lt;FechaRef),"Vencida",IF(N($J99)&gt;0,"En curso","Pendiente"))))</f>
        <v/>
      </c>
      <c r="L99" s="56">
        <f>IF($N99="","",INDEX('Cronograma R. Operacional'!$O$5:$O$1000,$N99)&amp;"")</f>
        <v/>
      </c>
      <c r="M99" s="62">
        <f>IF($N99="","",INDEX('Cronograma R. Operacional'!$Q$5:$Q$1000,$N99)&amp;"")</f>
        <v/>
      </c>
      <c r="N99">
        <f>IFERROR(MATCH(ROW()-4,rOrden_RO,0),"")</f>
        <v/>
      </c>
      <c r="O99">
        <f>IF($N99="","",INDEX('Cronograma R. Operacional'!$V$5:$V$1000,$N99))</f>
        <v/>
      </c>
      <c r="P99">
        <f>IF($N99="","",N(INDEX('Cronograma R. Operacional'!$W$5:$W$1000,$N99)))</f>
        <v/>
      </c>
      <c r="Q99">
        <f>IF(OR(LEFT($L99,7)="Vencida",LEFT($L99,5)="Vence"),SUMPRODUCT(--(LEFT($L$5:$L99,7)="Vencida"))+SUMPRODUCT(--(LEFT($L$5:$L99,5)="Vence")),"")</f>
        <v/>
      </c>
    </row>
    <row r="100">
      <c r="A100" s="56">
        <f>IF($N100="","",INDEX('Cronograma R. Operacional'!$A$5:$A$1000,$N100))</f>
        <v/>
      </c>
      <c r="B100" s="62">
        <f>IF($N100="","",IF($O100="Sub","      ↳  "&amp;INDEX('Cronograma R. Operacional'!$C$5:$C$1000,$N100),INDEX('Cronograma R. Operacional'!$C$5:$C$1000,$N100)&amp;""))</f>
        <v/>
      </c>
      <c r="C100" s="79">
        <f>IF($N100="","",IF(INDEX('Cronograma R. Operacional'!$AR$5:$AR$1000,$N100)="","",INDEX('Cronograma R. Operacional'!$AR$5:$AR$1000,$N100)))</f>
        <v/>
      </c>
      <c r="D100" s="79">
        <f>IF($N100="","",IF(INDEX('Cronograma R. Operacional'!$AS$5:$AS$1000,$N100)="","",INDEX('Cronograma R. Operacional'!$AS$5:$AS$1000,$N100)))</f>
        <v/>
      </c>
      <c r="E100" s="56">
        <f>IF($N100="","",IF(NOT(ISNUMBER($D100)),"",IF($D100&lt;InicioCiclo,"Antes del ciclo",IF($D100&gt;=InicioCiclo+28,"Después del ciclo","Semana "&amp;(INT(($D100-InicioCiclo)/7)+1)))))</f>
        <v/>
      </c>
      <c r="F100" s="61">
        <f>IF($N100="","",IF($P100&gt;0,IF(1&lt;=SemanaActual,INDEX('Cronograma R. Operacional'!$AH$5:$AH$1000,$N100),""),IF(INDEX('Cronograma R. Operacional'!$I$5:$I$1000,$N100)="","",INDEX('Cronograma R. Operacional'!$I$5:$I$1000,$N100))))</f>
        <v/>
      </c>
      <c r="G100" s="61">
        <f>IF($N100="","",IF($P100&gt;0,IF(2&lt;=SemanaActual,INDEX('Cronograma R. Operacional'!$AI$5:$AI$1000,$N100),""),IF(INDEX('Cronograma R. Operacional'!$J$5:$J$1000,$N100)="","",INDEX('Cronograma R. Operacional'!$J$5:$J$1000,$N100))))</f>
        <v/>
      </c>
      <c r="H100" s="61">
        <f>IF($N100="","",IF($P100&gt;0,IF(3&lt;=SemanaActual,INDEX('Cronograma R. Operacional'!$AJ$5:$AJ$1000,$N100),""),IF(INDEX('Cronograma R. Operacional'!$K$5:$K$1000,$N100)="","",INDEX('Cronograma R. Operacional'!$K$5:$K$1000,$N100))))</f>
        <v/>
      </c>
      <c r="I100" s="61">
        <f>IF($N100="","",IF($P100&gt;0,IF(4&lt;=SemanaActual,INDEX('Cronograma R. Operacional'!$AK$5:$AK$1000,$N100),""),IF(INDEX('Cronograma R. Operacional'!$L$5:$L$1000,$N100)="","",INDEX('Cronograma R. Operacional'!$L$5:$L$1000,$N100))))</f>
        <v/>
      </c>
      <c r="J100" s="61">
        <f>IF($N100="","",INDEX('Cronograma R. Operacional'!$M$5:$M$1000,$N100))</f>
        <v/>
      </c>
      <c r="K100" s="56">
        <f>IF($N100="","",IF(N($J100)&gt;=1,"Completado",IF(AND(ISNUMBER($D100),$D100&lt;FechaRef),"Vencida",IF(N($J100)&gt;0,"En curso","Pendiente"))))</f>
        <v/>
      </c>
      <c r="L100" s="56">
        <f>IF($N100="","",INDEX('Cronograma R. Operacional'!$O$5:$O$1000,$N100)&amp;"")</f>
        <v/>
      </c>
      <c r="M100" s="62">
        <f>IF($N100="","",INDEX('Cronograma R. Operacional'!$Q$5:$Q$1000,$N100)&amp;"")</f>
        <v/>
      </c>
      <c r="N100">
        <f>IFERROR(MATCH(ROW()-4,rOrden_RO,0),"")</f>
        <v/>
      </c>
      <c r="O100">
        <f>IF($N100="","",INDEX('Cronograma R. Operacional'!$V$5:$V$1000,$N100))</f>
        <v/>
      </c>
      <c r="P100">
        <f>IF($N100="","",N(INDEX('Cronograma R. Operacional'!$W$5:$W$1000,$N100)))</f>
        <v/>
      </c>
      <c r="Q100">
        <f>IF(OR(LEFT($L100,7)="Vencida",LEFT($L100,5)="Vence"),SUMPRODUCT(--(LEFT($L$5:$L100,7)="Vencida"))+SUMPRODUCT(--(LEFT($L$5:$L100,5)="Vence")),"")</f>
        <v/>
      </c>
    </row>
    <row r="101">
      <c r="A101" s="56">
        <f>IF($N101="","",INDEX('Cronograma R. Operacional'!$A$5:$A$1000,$N101))</f>
        <v/>
      </c>
      <c r="B101" s="62">
        <f>IF($N101="","",IF($O101="Sub","      ↳  "&amp;INDEX('Cronograma R. Operacional'!$C$5:$C$1000,$N101),INDEX('Cronograma R. Operacional'!$C$5:$C$1000,$N101)&amp;""))</f>
        <v/>
      </c>
      <c r="C101" s="79">
        <f>IF($N101="","",IF(INDEX('Cronograma R. Operacional'!$AR$5:$AR$1000,$N101)="","",INDEX('Cronograma R. Operacional'!$AR$5:$AR$1000,$N101)))</f>
        <v/>
      </c>
      <c r="D101" s="79">
        <f>IF($N101="","",IF(INDEX('Cronograma R. Operacional'!$AS$5:$AS$1000,$N101)="","",INDEX('Cronograma R. Operacional'!$AS$5:$AS$1000,$N101)))</f>
        <v/>
      </c>
      <c r="E101" s="56">
        <f>IF($N101="","",IF(NOT(ISNUMBER($D101)),"",IF($D101&lt;InicioCiclo,"Antes del ciclo",IF($D101&gt;=InicioCiclo+28,"Después del ciclo","Semana "&amp;(INT(($D101-InicioCiclo)/7)+1)))))</f>
        <v/>
      </c>
      <c r="F101" s="61">
        <f>IF($N101="","",IF($P101&gt;0,IF(1&lt;=SemanaActual,INDEX('Cronograma R. Operacional'!$AH$5:$AH$1000,$N101),""),IF(INDEX('Cronograma R. Operacional'!$I$5:$I$1000,$N101)="","",INDEX('Cronograma R. Operacional'!$I$5:$I$1000,$N101))))</f>
        <v/>
      </c>
      <c r="G101" s="61">
        <f>IF($N101="","",IF($P101&gt;0,IF(2&lt;=SemanaActual,INDEX('Cronograma R. Operacional'!$AI$5:$AI$1000,$N101),""),IF(INDEX('Cronograma R. Operacional'!$J$5:$J$1000,$N101)="","",INDEX('Cronograma R. Operacional'!$J$5:$J$1000,$N101))))</f>
        <v/>
      </c>
      <c r="H101" s="61">
        <f>IF($N101="","",IF($P101&gt;0,IF(3&lt;=SemanaActual,INDEX('Cronograma R. Operacional'!$AJ$5:$AJ$1000,$N101),""),IF(INDEX('Cronograma R. Operacional'!$K$5:$K$1000,$N101)="","",INDEX('Cronograma R. Operacional'!$K$5:$K$1000,$N101))))</f>
        <v/>
      </c>
      <c r="I101" s="61">
        <f>IF($N101="","",IF($P101&gt;0,IF(4&lt;=SemanaActual,INDEX('Cronograma R. Operacional'!$AK$5:$AK$1000,$N101),""),IF(INDEX('Cronograma R. Operacional'!$L$5:$L$1000,$N101)="","",INDEX('Cronograma R. Operacional'!$L$5:$L$1000,$N101))))</f>
        <v/>
      </c>
      <c r="J101" s="61">
        <f>IF($N101="","",INDEX('Cronograma R. Operacional'!$M$5:$M$1000,$N101))</f>
        <v/>
      </c>
      <c r="K101" s="56">
        <f>IF($N101="","",IF(N($J101)&gt;=1,"Completado",IF(AND(ISNUMBER($D101),$D101&lt;FechaRef),"Vencida",IF(N($J101)&gt;0,"En curso","Pendiente"))))</f>
        <v/>
      </c>
      <c r="L101" s="56">
        <f>IF($N101="","",INDEX('Cronograma R. Operacional'!$O$5:$O$1000,$N101)&amp;"")</f>
        <v/>
      </c>
      <c r="M101" s="62">
        <f>IF($N101="","",INDEX('Cronograma R. Operacional'!$Q$5:$Q$1000,$N101)&amp;"")</f>
        <v/>
      </c>
      <c r="N101">
        <f>IFERROR(MATCH(ROW()-4,rOrden_RO,0),"")</f>
        <v/>
      </c>
      <c r="O101">
        <f>IF($N101="","",INDEX('Cronograma R. Operacional'!$V$5:$V$1000,$N101))</f>
        <v/>
      </c>
      <c r="P101">
        <f>IF($N101="","",N(INDEX('Cronograma R. Operacional'!$W$5:$W$1000,$N101)))</f>
        <v/>
      </c>
      <c r="Q101">
        <f>IF(OR(LEFT($L101,7)="Vencida",LEFT($L101,5)="Vence"),SUMPRODUCT(--(LEFT($L$5:$L101,7)="Vencida"))+SUMPRODUCT(--(LEFT($L$5:$L101,5)="Vence")),"")</f>
        <v/>
      </c>
    </row>
    <row r="102">
      <c r="A102" s="56">
        <f>IF($N102="","",INDEX('Cronograma R. Operacional'!$A$5:$A$1000,$N102))</f>
        <v/>
      </c>
      <c r="B102" s="62">
        <f>IF($N102="","",IF($O102="Sub","      ↳  "&amp;INDEX('Cronograma R. Operacional'!$C$5:$C$1000,$N102),INDEX('Cronograma R. Operacional'!$C$5:$C$1000,$N102)&amp;""))</f>
        <v/>
      </c>
      <c r="C102" s="79">
        <f>IF($N102="","",IF(INDEX('Cronograma R. Operacional'!$AR$5:$AR$1000,$N102)="","",INDEX('Cronograma R. Operacional'!$AR$5:$AR$1000,$N102)))</f>
        <v/>
      </c>
      <c r="D102" s="79">
        <f>IF($N102="","",IF(INDEX('Cronograma R. Operacional'!$AS$5:$AS$1000,$N102)="","",INDEX('Cronograma R. Operacional'!$AS$5:$AS$1000,$N102)))</f>
        <v/>
      </c>
      <c r="E102" s="56">
        <f>IF($N102="","",IF(NOT(ISNUMBER($D102)),"",IF($D102&lt;InicioCiclo,"Antes del ciclo",IF($D102&gt;=InicioCiclo+28,"Después del ciclo","Semana "&amp;(INT(($D102-InicioCiclo)/7)+1)))))</f>
        <v/>
      </c>
      <c r="F102" s="61">
        <f>IF($N102="","",IF($P102&gt;0,IF(1&lt;=SemanaActual,INDEX('Cronograma R. Operacional'!$AH$5:$AH$1000,$N102),""),IF(INDEX('Cronograma R. Operacional'!$I$5:$I$1000,$N102)="","",INDEX('Cronograma R. Operacional'!$I$5:$I$1000,$N102))))</f>
        <v/>
      </c>
      <c r="G102" s="61">
        <f>IF($N102="","",IF($P102&gt;0,IF(2&lt;=SemanaActual,INDEX('Cronograma R. Operacional'!$AI$5:$AI$1000,$N102),""),IF(INDEX('Cronograma R. Operacional'!$J$5:$J$1000,$N102)="","",INDEX('Cronograma R. Operacional'!$J$5:$J$1000,$N102))))</f>
        <v/>
      </c>
      <c r="H102" s="61">
        <f>IF($N102="","",IF($P102&gt;0,IF(3&lt;=SemanaActual,INDEX('Cronograma R. Operacional'!$AJ$5:$AJ$1000,$N102),""),IF(INDEX('Cronograma R. Operacional'!$K$5:$K$1000,$N102)="","",INDEX('Cronograma R. Operacional'!$K$5:$K$1000,$N102))))</f>
        <v/>
      </c>
      <c r="I102" s="61">
        <f>IF($N102="","",IF($P102&gt;0,IF(4&lt;=SemanaActual,INDEX('Cronograma R. Operacional'!$AK$5:$AK$1000,$N102),""),IF(INDEX('Cronograma R. Operacional'!$L$5:$L$1000,$N102)="","",INDEX('Cronograma R. Operacional'!$L$5:$L$1000,$N102))))</f>
        <v/>
      </c>
      <c r="J102" s="61">
        <f>IF($N102="","",INDEX('Cronograma R. Operacional'!$M$5:$M$1000,$N102))</f>
        <v/>
      </c>
      <c r="K102" s="56">
        <f>IF($N102="","",IF(N($J102)&gt;=1,"Completado",IF(AND(ISNUMBER($D102),$D102&lt;FechaRef),"Vencida",IF(N($J102)&gt;0,"En curso","Pendiente"))))</f>
        <v/>
      </c>
      <c r="L102" s="56">
        <f>IF($N102="","",INDEX('Cronograma R. Operacional'!$O$5:$O$1000,$N102)&amp;"")</f>
        <v/>
      </c>
      <c r="M102" s="62">
        <f>IF($N102="","",INDEX('Cronograma R. Operacional'!$Q$5:$Q$1000,$N102)&amp;"")</f>
        <v/>
      </c>
      <c r="N102">
        <f>IFERROR(MATCH(ROW()-4,rOrden_RO,0),"")</f>
        <v/>
      </c>
      <c r="O102">
        <f>IF($N102="","",INDEX('Cronograma R. Operacional'!$V$5:$V$1000,$N102))</f>
        <v/>
      </c>
      <c r="P102">
        <f>IF($N102="","",N(INDEX('Cronograma R. Operacional'!$W$5:$W$1000,$N102)))</f>
        <v/>
      </c>
      <c r="Q102">
        <f>IF(OR(LEFT($L102,7)="Vencida",LEFT($L102,5)="Vence"),SUMPRODUCT(--(LEFT($L$5:$L102,7)="Vencida"))+SUMPRODUCT(--(LEFT($L$5:$L102,5)="Vence")),"")</f>
        <v/>
      </c>
    </row>
    <row r="103">
      <c r="A103" s="56">
        <f>IF($N103="","",INDEX('Cronograma R. Operacional'!$A$5:$A$1000,$N103))</f>
        <v/>
      </c>
      <c r="B103" s="62">
        <f>IF($N103="","",IF($O103="Sub","      ↳  "&amp;INDEX('Cronograma R. Operacional'!$C$5:$C$1000,$N103),INDEX('Cronograma R. Operacional'!$C$5:$C$1000,$N103)&amp;""))</f>
        <v/>
      </c>
      <c r="C103" s="79">
        <f>IF($N103="","",IF(INDEX('Cronograma R. Operacional'!$AR$5:$AR$1000,$N103)="","",INDEX('Cronograma R. Operacional'!$AR$5:$AR$1000,$N103)))</f>
        <v/>
      </c>
      <c r="D103" s="79">
        <f>IF($N103="","",IF(INDEX('Cronograma R. Operacional'!$AS$5:$AS$1000,$N103)="","",INDEX('Cronograma R. Operacional'!$AS$5:$AS$1000,$N103)))</f>
        <v/>
      </c>
      <c r="E103" s="56">
        <f>IF($N103="","",IF(NOT(ISNUMBER($D103)),"",IF($D103&lt;InicioCiclo,"Antes del ciclo",IF($D103&gt;=InicioCiclo+28,"Después del ciclo","Semana "&amp;(INT(($D103-InicioCiclo)/7)+1)))))</f>
        <v/>
      </c>
      <c r="F103" s="61">
        <f>IF($N103="","",IF($P103&gt;0,IF(1&lt;=SemanaActual,INDEX('Cronograma R. Operacional'!$AH$5:$AH$1000,$N103),""),IF(INDEX('Cronograma R. Operacional'!$I$5:$I$1000,$N103)="","",INDEX('Cronograma R. Operacional'!$I$5:$I$1000,$N103))))</f>
        <v/>
      </c>
      <c r="G103" s="61">
        <f>IF($N103="","",IF($P103&gt;0,IF(2&lt;=SemanaActual,INDEX('Cronograma R. Operacional'!$AI$5:$AI$1000,$N103),""),IF(INDEX('Cronograma R. Operacional'!$J$5:$J$1000,$N103)="","",INDEX('Cronograma R. Operacional'!$J$5:$J$1000,$N103))))</f>
        <v/>
      </c>
      <c r="H103" s="61">
        <f>IF($N103="","",IF($P103&gt;0,IF(3&lt;=SemanaActual,INDEX('Cronograma R. Operacional'!$AJ$5:$AJ$1000,$N103),""),IF(INDEX('Cronograma R. Operacional'!$K$5:$K$1000,$N103)="","",INDEX('Cronograma R. Operacional'!$K$5:$K$1000,$N103))))</f>
        <v/>
      </c>
      <c r="I103" s="61">
        <f>IF($N103="","",IF($P103&gt;0,IF(4&lt;=SemanaActual,INDEX('Cronograma R. Operacional'!$AK$5:$AK$1000,$N103),""),IF(INDEX('Cronograma R. Operacional'!$L$5:$L$1000,$N103)="","",INDEX('Cronograma R. Operacional'!$L$5:$L$1000,$N103))))</f>
        <v/>
      </c>
      <c r="J103" s="61">
        <f>IF($N103="","",INDEX('Cronograma R. Operacional'!$M$5:$M$1000,$N103))</f>
        <v/>
      </c>
      <c r="K103" s="56">
        <f>IF($N103="","",IF(N($J103)&gt;=1,"Completado",IF(AND(ISNUMBER($D103),$D103&lt;FechaRef),"Vencida",IF(N($J103)&gt;0,"En curso","Pendiente"))))</f>
        <v/>
      </c>
      <c r="L103" s="56">
        <f>IF($N103="","",INDEX('Cronograma R. Operacional'!$O$5:$O$1000,$N103)&amp;"")</f>
        <v/>
      </c>
      <c r="M103" s="62">
        <f>IF($N103="","",INDEX('Cronograma R. Operacional'!$Q$5:$Q$1000,$N103)&amp;"")</f>
        <v/>
      </c>
      <c r="N103">
        <f>IFERROR(MATCH(ROW()-4,rOrden_RO,0),"")</f>
        <v/>
      </c>
      <c r="O103">
        <f>IF($N103="","",INDEX('Cronograma R. Operacional'!$V$5:$V$1000,$N103))</f>
        <v/>
      </c>
      <c r="P103">
        <f>IF($N103="","",N(INDEX('Cronograma R. Operacional'!$W$5:$W$1000,$N103)))</f>
        <v/>
      </c>
      <c r="Q103">
        <f>IF(OR(LEFT($L103,7)="Vencida",LEFT($L103,5)="Vence"),SUMPRODUCT(--(LEFT($L$5:$L103,7)="Vencida"))+SUMPRODUCT(--(LEFT($L$5:$L103,5)="Vence")),"")</f>
        <v/>
      </c>
    </row>
    <row r="104">
      <c r="A104" s="56">
        <f>IF($N104="","",INDEX('Cronograma R. Operacional'!$A$5:$A$1000,$N104))</f>
        <v/>
      </c>
      <c r="B104" s="62">
        <f>IF($N104="","",IF($O104="Sub","      ↳  "&amp;INDEX('Cronograma R. Operacional'!$C$5:$C$1000,$N104),INDEX('Cronograma R. Operacional'!$C$5:$C$1000,$N104)&amp;""))</f>
        <v/>
      </c>
      <c r="C104" s="79">
        <f>IF($N104="","",IF(INDEX('Cronograma R. Operacional'!$AR$5:$AR$1000,$N104)="","",INDEX('Cronograma R. Operacional'!$AR$5:$AR$1000,$N104)))</f>
        <v/>
      </c>
      <c r="D104" s="79">
        <f>IF($N104="","",IF(INDEX('Cronograma R. Operacional'!$AS$5:$AS$1000,$N104)="","",INDEX('Cronograma R. Operacional'!$AS$5:$AS$1000,$N104)))</f>
        <v/>
      </c>
      <c r="E104" s="56">
        <f>IF($N104="","",IF(NOT(ISNUMBER($D104)),"",IF($D104&lt;InicioCiclo,"Antes del ciclo",IF($D104&gt;=InicioCiclo+28,"Después del ciclo","Semana "&amp;(INT(($D104-InicioCiclo)/7)+1)))))</f>
        <v/>
      </c>
      <c r="F104" s="61">
        <f>IF($N104="","",IF($P104&gt;0,IF(1&lt;=SemanaActual,INDEX('Cronograma R. Operacional'!$AH$5:$AH$1000,$N104),""),IF(INDEX('Cronograma R. Operacional'!$I$5:$I$1000,$N104)="","",INDEX('Cronograma R. Operacional'!$I$5:$I$1000,$N104))))</f>
        <v/>
      </c>
      <c r="G104" s="61">
        <f>IF($N104="","",IF($P104&gt;0,IF(2&lt;=SemanaActual,INDEX('Cronograma R. Operacional'!$AI$5:$AI$1000,$N104),""),IF(INDEX('Cronograma R. Operacional'!$J$5:$J$1000,$N104)="","",INDEX('Cronograma R. Operacional'!$J$5:$J$1000,$N104))))</f>
        <v/>
      </c>
      <c r="H104" s="61">
        <f>IF($N104="","",IF($P104&gt;0,IF(3&lt;=SemanaActual,INDEX('Cronograma R. Operacional'!$AJ$5:$AJ$1000,$N104),""),IF(INDEX('Cronograma R. Operacional'!$K$5:$K$1000,$N104)="","",INDEX('Cronograma R. Operacional'!$K$5:$K$1000,$N104))))</f>
        <v/>
      </c>
      <c r="I104" s="61">
        <f>IF($N104="","",IF($P104&gt;0,IF(4&lt;=SemanaActual,INDEX('Cronograma R. Operacional'!$AK$5:$AK$1000,$N104),""),IF(INDEX('Cronograma R. Operacional'!$L$5:$L$1000,$N104)="","",INDEX('Cronograma R. Operacional'!$L$5:$L$1000,$N104))))</f>
        <v/>
      </c>
      <c r="J104" s="61">
        <f>IF($N104="","",INDEX('Cronograma R. Operacional'!$M$5:$M$1000,$N104))</f>
        <v/>
      </c>
      <c r="K104" s="56">
        <f>IF($N104="","",IF(N($J104)&gt;=1,"Completado",IF(AND(ISNUMBER($D104),$D104&lt;FechaRef),"Vencida",IF(N($J104)&gt;0,"En curso","Pendiente"))))</f>
        <v/>
      </c>
      <c r="L104" s="56">
        <f>IF($N104="","",INDEX('Cronograma R. Operacional'!$O$5:$O$1000,$N104)&amp;"")</f>
        <v/>
      </c>
      <c r="M104" s="62">
        <f>IF($N104="","",INDEX('Cronograma R. Operacional'!$Q$5:$Q$1000,$N104)&amp;"")</f>
        <v/>
      </c>
      <c r="N104">
        <f>IFERROR(MATCH(ROW()-4,rOrden_RO,0),"")</f>
        <v/>
      </c>
      <c r="O104">
        <f>IF($N104="","",INDEX('Cronograma R. Operacional'!$V$5:$V$1000,$N104))</f>
        <v/>
      </c>
      <c r="P104">
        <f>IF($N104="","",N(INDEX('Cronograma R. Operacional'!$W$5:$W$1000,$N104)))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1">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4"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007030A0"/>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80" t="inlineStr">
        <is>
          <t>Cronograma – Riesgo Normativo</t>
        </is>
      </c>
      <c r="B1" s="80" t="n"/>
      <c r="C1" s="80" t="n"/>
      <c r="D1" s="80" t="n"/>
      <c r="E1" s="80" t="n"/>
      <c r="F1" s="80" t="n"/>
      <c r="G1" s="80" t="n"/>
      <c r="H1" s="80" t="n"/>
      <c r="I1" s="80" t="n"/>
      <c r="J1" s="80" t="n"/>
      <c r="K1" s="80" t="n"/>
      <c r="L1" s="80" t="n"/>
      <c r="M1" s="80" t="n"/>
      <c r="N1" s="80" t="n"/>
      <c r="O1" s="80" t="n"/>
      <c r="P1" s="80" t="n"/>
      <c r="Q1" s="80" t="n"/>
      <c r="R1" s="80" t="n"/>
      <c r="S1" s="80"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81"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IF(COUNTIFS('Administración'!$D$5:$D$1000,"Riesgo Normativo",'Administración'!$S$5:$S$1000,MesCiclo,'Administración'!$V$5:$V$1000,"Macro")=0,"Sin actividades delegadas por la jefatura este mes","★ La jefatura le delegó "&amp;COUNTIFS('Administración'!$D$5:$D$1000,"Riesgo Normativo",'Administración'!$S$5:$S$1000,MesCiclo,'Administración'!$V$5:$V$1000,"Macro")&amp;" actividad(es) este mes · "&amp;(COUNTIFS('Administración'!$D$5:$D$1000,"Riesgo Normativo",'Administración'!$S$5:$S$1000,MesCiclo,'Administración'!$V$5:$V$1000,"Macro")-COUNTIFS('Administración'!$D$5:$D$1000,"Riesgo Normativo",'Administración'!$S$5:$S$1000,MesCiclo,'Administración'!$V$5:$V$1000,"Macro",'Administración'!$AM$5:$AM$1000,"&gt;0"))&amp;" pendiente(s) de agregar (elíjalas en la lista de «Actividad»). Cuentan en su avance del mes.")</f>
        <v/>
      </c>
      <c r="R3" s="45" t="n"/>
      <c r="S3" s="45" t="n"/>
    </row>
    <row r="4" ht="42" customHeight="1">
      <c r="A4" s="54" t="inlineStr">
        <is>
          <t>N°</t>
        </is>
      </c>
      <c r="B4" s="68" t="inlineStr">
        <is>
          <t>Tipo</t>
        </is>
      </c>
      <c r="C4" s="68" t="inlineStr">
        <is>
          <t>Actividad</t>
        </is>
      </c>
      <c r="D4" s="68" t="inlineStr">
        <is>
          <t>Delegar a</t>
        </is>
      </c>
      <c r="E4" s="68" t="inlineStr">
        <is>
          <t>Fecha de inicio</t>
        </is>
      </c>
      <c r="F4" s="68" t="inlineStr">
        <is>
          <t>Fecha límite</t>
        </is>
      </c>
      <c r="G4" s="68" t="inlineStr">
        <is>
          <t>Fecha de cumplimiento</t>
        </is>
      </c>
      <c r="H4" s="68" t="inlineStr">
        <is>
          <t>Peso / % de la subactividad</t>
        </is>
      </c>
      <c r="I4" s="68" t="inlineStr">
        <is>
          <t>Avance Semana 1 (%)</t>
        </is>
      </c>
      <c r="J4" s="68" t="inlineStr">
        <is>
          <t>Avance Semana 2 (%)</t>
        </is>
      </c>
      <c r="K4" s="68" t="inlineStr">
        <is>
          <t>Avance Semana 3 (%)</t>
        </is>
      </c>
      <c r="L4" s="68" t="inlineStr">
        <is>
          <t>Avance Semana 4 (%)</t>
        </is>
      </c>
      <c r="M4" s="54" t="inlineStr">
        <is>
          <t>% de Avance Total Actual</t>
        </is>
      </c>
      <c r="N4" s="54" t="inlineStr">
        <is>
          <t>Estado</t>
        </is>
      </c>
      <c r="O4" s="54" t="inlineStr">
        <is>
          <t>Alerta de plazo</t>
        </is>
      </c>
      <c r="P4" s="54" t="inlineStr">
        <is>
          <t>Seguimiento de la delegación</t>
        </is>
      </c>
      <c r="Q4" s="68"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inlineStr">
        <is>
          <t>Macroactividad</t>
        </is>
      </c>
      <c r="C5" s="58" t="inlineStr">
        <is>
          <t>Requerimiento según nota DS-SABAO-BCS-BC-22741</t>
        </is>
      </c>
      <c r="D5" s="58" t="n"/>
      <c r="E5" s="59" t="n">
        <v>46296</v>
      </c>
      <c r="F5" s="59">
        <f>IF(N($AQ5)&gt;0,INDEX(rLim_ADM,$AQ5),"")</f>
        <v/>
      </c>
      <c r="G5" s="59" t="n"/>
      <c r="H5" s="60" t="n"/>
      <c r="I5" s="60">
        <f>IF(N($W5)=0,"",IF(AND($S5=MesCiclo,1&gt;SemanaActual),"",MIN(1,SUMIFS(OFFSET($A$1,ROW(),29,1000-ROW(),1),OFFSET($A$1,ROW(),20,1000-ROW(),1),ROW(),OFFSET($A$1,ROW(),21,1000-ROW(),1),"Sub"))))</f>
        <v/>
      </c>
      <c r="J5" s="60">
        <f>IF(N($W5)=0,"",IF(AND($S5=MesCiclo,2&gt;SemanaActual),"",MIN(1,SUMIFS(OFFSET($A$1,ROW(),30,1000-ROW(),1),OFFSET($A$1,ROW(),20,1000-ROW(),1),ROW(),OFFSET($A$1,ROW(),21,1000-ROW(),1),"Sub"))))</f>
        <v/>
      </c>
      <c r="K5" s="60">
        <f>IF(N($W5)=0,"",IF(AND($S5=MesCiclo,3&gt;SemanaActual),"",MIN(1,SUMIFS(OFFSET($A$1,ROW(),31,1000-ROW(),1),OFFSET($A$1,ROW(),20,1000-ROW(),1),ROW(),OFFSET($A$1,ROW(),21,1000-ROW(),1),"Sub"))))</f>
        <v/>
      </c>
      <c r="L5" s="60">
        <f>IF(N($W5)=0,"",IF(AND($S5=MesCiclo,4&gt;SemanaActual),"",MIN(1,SUMIFS(OFFSET($A$1,ROW(),32,1000-ROW(),1),OFFSET($A$1,ROW(),20,1000-ROW(),1),ROW(),OFFSET($A$1,ROW(),21,1000-ROW(),1),"Sub"))))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IF($V5&lt;&gt;"Sub","",N($X5)*IF(AND(ISNUMBER($G5),$G5&lt;=IF($S5=MesCiclo,InicioCiclo,$S5+MOD(2-WEEKDAY($S5),7))+6),1,MIN(1,MAX(0,IF(ISNUMBER(OFFSET($A$1,ROW()-1,8)),OFFSET($A$1,ROW()-1,8),0)))))</f>
        <v/>
      </c>
      <c r="AE5" s="62">
        <f>IF($V5&lt;&gt;"Sub","",N($X5)*IF(AND(ISNUMBER($G5),$G5&lt;=IF($S5=MesCiclo,InicioCiclo,$S5+MOD(2-WEEKDAY($S5),7))+13),1,MIN(1,MAX(0,IF(ISNUMBER(OFFSET($A$1,ROW()-1,9)),OFFSET($A$1,ROW()-1,9),IF(ISNUMBER(OFFSET($A$1,ROW()-1,8)),OFFSET($A$1,ROW()-1,8),0))))))</f>
        <v/>
      </c>
      <c r="AF5" s="62">
        <f>IF($V5&lt;&gt;"Sub","",N($X5)*IF(AND(ISNUMBER($G5),$G5&lt;=IF($S5=MesCiclo,InicioCiclo,$S5+MOD(2-WEEKDAY($S5),7))+20),1,MIN(1,MAX(0,IF(ISNUMBER(OFFSET($A$1,ROW()-1,10)),OFFSET($A$1,ROW()-1,10),IF(ISNUMBER(OFFSET($A$1,ROW()-1,9)),OFFSET($A$1,ROW()-1,9),IF(ISNUMBER(OFFSET($A$1,ROW()-1,8)),OFFSET($A$1,ROW()-1,8),0)))))))</f>
        <v/>
      </c>
      <c r="AG5" s="62">
        <f>IF($V5&lt;&gt;"Sub","",N($X5)*IF(AND(ISNUMBER($G5),$G5&lt;=IF($S5=MesCiclo,InicioCiclo,$S5+MOD(2-WEEKDAY($S5),7))+27),1,MIN(1,MAX(0,IF(ISNUMBER(OFFSET($A$1,ROW()-1,11)),OFFSET($A$1,ROW()-1,11),IF(ISNUMBER(OFFSET($A$1,ROW()-1,10)),OFFSET($A$1,ROW()-1,10),IF(ISNUMBER(OFFSET($A$1,ROW()-1,9)),OFFSET($A$1,ROW()-1,9),IF(ISNUMBER(OFFSET($A$1,ROW()-1,8)),OFFSET($A$1,ROW()-1,8),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",IFERROR(MATCH("Riesgo Normativo|"&amp;MID($C5,12,500),rDname_ADM,0),0),"")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inlineStr">
        <is>
          <t>Subactividad</t>
        </is>
      </c>
      <c r="C6" s="58" t="inlineStr">
        <is>
          <t>Elaboración matriz de requerimiento</t>
        </is>
      </c>
      <c r="D6" s="58" t="n"/>
      <c r="E6" s="59" t="n">
        <v>46296</v>
      </c>
      <c r="F6" s="59">
        <f>IF(N($AQ6)&gt;0,INDEX(rLim_ADM,$AQ6),"")</f>
        <v/>
      </c>
      <c r="G6" s="59" t="n"/>
      <c r="H6" s="60" t="n"/>
      <c r="I6" s="60">
        <f>IF(N($W6)=0,"",IF(AND($S6=MesCiclo,1&gt;SemanaActual),"",MIN(1,SUMIFS(OFFSET($A$1,ROW(),29,1000-ROW(),1),OFFSET($A$1,ROW(),20,1000-ROW(),1),ROW(),OFFSET($A$1,ROW(),21,1000-ROW(),1),"Sub"))))</f>
        <v/>
      </c>
      <c r="J6" s="60">
        <f>IF(N($W6)=0,"",IF(AND($S6=MesCiclo,2&gt;SemanaActual),"",MIN(1,SUMIFS(OFFSET($A$1,ROW(),30,1000-ROW(),1),OFFSET($A$1,ROW(),20,1000-ROW(),1),ROW(),OFFSET($A$1,ROW(),21,1000-ROW(),1),"Sub"))))</f>
        <v/>
      </c>
      <c r="K6" s="60">
        <f>IF(N($W6)=0,"",IF(AND($S6=MesCiclo,3&gt;SemanaActual),"",MIN(1,SUMIFS(OFFSET($A$1,ROW(),31,1000-ROW(),1),OFFSET($A$1,ROW(),20,1000-ROW(),1),ROW(),OFFSET($A$1,ROW(),21,1000-ROW(),1),"Sub"))))</f>
        <v/>
      </c>
      <c r="L6" s="60">
        <f>IF(N($W6)=0,"",IF(AND($S6=MesCiclo,4&gt;SemanaActual),"",MIN(1,SUMIFS(OFFSET($A$1,ROW(),32,1000-ROW(),1),OFFSET($A$1,ROW(),20,1000-ROW(),1),ROW(),OFFSET($A$1,ROW(),21,1000-ROW(),1),"Sub"))))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IF($V6&lt;&gt;"Sub","",N($X6)*IF(AND(ISNUMBER($G6),$G6&lt;=IF($S6=MesCiclo,InicioCiclo,$S6+MOD(2-WEEKDAY($S6),7))+6),1,MIN(1,MAX(0,IF(ISNUMBER(OFFSET($A$1,ROW()-1,8)),OFFSET($A$1,ROW()-1,8),0)))))</f>
        <v/>
      </c>
      <c r="AE6" s="62">
        <f>IF($V6&lt;&gt;"Sub","",N($X6)*IF(AND(ISNUMBER($G6),$G6&lt;=IF($S6=MesCiclo,InicioCiclo,$S6+MOD(2-WEEKDAY($S6),7))+13),1,MIN(1,MAX(0,IF(ISNUMBER(OFFSET($A$1,ROW()-1,9)),OFFSET($A$1,ROW()-1,9),IF(ISNUMBER(OFFSET($A$1,ROW()-1,8)),OFFSET($A$1,ROW()-1,8),0))))))</f>
        <v/>
      </c>
      <c r="AF6" s="62">
        <f>IF($V6&lt;&gt;"Sub","",N($X6)*IF(AND(ISNUMBER($G6),$G6&lt;=IF($S6=MesCiclo,InicioCiclo,$S6+MOD(2-WEEKDAY($S6),7))+20),1,MIN(1,MAX(0,IF(ISNUMBER(OFFSET($A$1,ROW()-1,10)),OFFSET($A$1,ROW()-1,10),IF(ISNUMBER(OFFSET($A$1,ROW()-1,9)),OFFSET($A$1,ROW()-1,9),IF(ISNUMBER(OFFSET($A$1,ROW()-1,8)),OFFSET($A$1,ROW()-1,8),0)))))))</f>
        <v/>
      </c>
      <c r="AG6" s="62">
        <f>IF($V6&lt;&gt;"Sub","",N($X6)*IF(AND(ISNUMBER($G6),$G6&lt;=IF($S6=MesCiclo,InicioCiclo,$S6+MOD(2-WEEKDAY($S6),7))+27),1,MIN(1,MAX(0,IF(ISNUMBER(OFFSET($A$1,ROW()-1,11)),OFFSET($A$1,ROW()-1,11),IF(ISNUMBER(OFFSET($A$1,ROW()-1,10)),OFFSET($A$1,ROW()-1,10),IF(ISNUMBER(OFFSET($A$1,ROW()-1,9)),OFFSET($A$1,ROW()-1,9),IF(ISNUMBER(OFFSET($A$1,ROW()-1,8)),OFFSET($A$1,ROW()-1,8),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",IFERROR(MATCH("Riesgo Normativo|"&amp;MID($C6,12,500),rDname_ADM,0),0),"")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inlineStr">
        <is>
          <t>Subactividad</t>
        </is>
      </c>
      <c r="C7" s="58" t="inlineStr">
        <is>
          <t>Envío requerimiento para dar respuesta a observaciones de visita SABAO-BCS-BC-18432, se envió correo electrónico a todas las áreas involucradas; Gerencia Financiera, Gerencia de Cumplimiento, Talento Humano, Depto. de Procesos, Administración de Riesgos, Depto. de Educación y Responsabilidad Social.</t>
        </is>
      </c>
      <c r="D7" s="58" t="n"/>
      <c r="E7" s="59" t="n">
        <v>46296</v>
      </c>
      <c r="F7" s="59">
        <f>IF(N($AQ7)&gt;0,INDEX(rLim_ADM,$AQ7),"")</f>
        <v/>
      </c>
      <c r="G7" s="59" t="n"/>
      <c r="H7" s="60" t="n"/>
      <c r="I7" s="60">
        <f>IF(N($W7)=0,"",IF(AND($S7=MesCiclo,1&gt;SemanaActual),"",MIN(1,SUMIFS(OFFSET($A$1,ROW(),29,1000-ROW(),1),OFFSET($A$1,ROW(),20,1000-ROW(),1),ROW(),OFFSET($A$1,ROW(),21,1000-ROW(),1),"Sub"))))</f>
        <v/>
      </c>
      <c r="J7" s="60">
        <f>IF(N($W7)=0,"",IF(AND($S7=MesCiclo,2&gt;SemanaActual),"",MIN(1,SUMIFS(OFFSET($A$1,ROW(),30,1000-ROW(),1),OFFSET($A$1,ROW(),20,1000-ROW(),1),ROW(),OFFSET($A$1,ROW(),21,1000-ROW(),1),"Sub"))))</f>
        <v/>
      </c>
      <c r="K7" s="60">
        <f>IF(N($W7)=0,"",IF(AND($S7=MesCiclo,3&gt;SemanaActual),"",MIN(1,SUMIFS(OFFSET($A$1,ROW(),31,1000-ROW(),1),OFFSET($A$1,ROW(),20,1000-ROW(),1),ROW(),OFFSET($A$1,ROW(),21,1000-ROW(),1),"Sub"))))</f>
        <v/>
      </c>
      <c r="L7" s="60">
        <f>IF(N($W7)=0,"",IF(AND($S7=MesCiclo,4&gt;SemanaActual),"",MIN(1,SUMIFS(OFFSET($A$1,ROW(),32,1000-ROW(),1),OFFSET($A$1,ROW(),20,1000-ROW(),1),ROW(),OFFSET($A$1,ROW(),21,1000-ROW(),1),"Sub"))))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IF($V7&lt;&gt;"Sub","",N($X7)*IF(AND(ISNUMBER($G7),$G7&lt;=IF($S7=MesCiclo,InicioCiclo,$S7+MOD(2-WEEKDAY($S7),7))+6),1,MIN(1,MAX(0,IF(ISNUMBER(OFFSET($A$1,ROW()-1,8)),OFFSET($A$1,ROW()-1,8),0)))))</f>
        <v/>
      </c>
      <c r="AE7" s="62">
        <f>IF($V7&lt;&gt;"Sub","",N($X7)*IF(AND(ISNUMBER($G7),$G7&lt;=IF($S7=MesCiclo,InicioCiclo,$S7+MOD(2-WEEKDAY($S7),7))+13),1,MIN(1,MAX(0,IF(ISNUMBER(OFFSET($A$1,ROW()-1,9)),OFFSET($A$1,ROW()-1,9),IF(ISNUMBER(OFFSET($A$1,ROW()-1,8)),OFFSET($A$1,ROW()-1,8),0))))))</f>
        <v/>
      </c>
      <c r="AF7" s="62">
        <f>IF($V7&lt;&gt;"Sub","",N($X7)*IF(AND(ISNUMBER($G7),$G7&lt;=IF($S7=MesCiclo,InicioCiclo,$S7+MOD(2-WEEKDAY($S7),7))+20),1,MIN(1,MAX(0,IF(ISNUMBER(OFFSET($A$1,ROW()-1,10)),OFFSET($A$1,ROW()-1,10),IF(ISNUMBER(OFFSET($A$1,ROW()-1,9)),OFFSET($A$1,ROW()-1,9),IF(ISNUMBER(OFFSET($A$1,ROW()-1,8)),OFFSET($A$1,ROW()-1,8),0)))))))</f>
        <v/>
      </c>
      <c r="AG7" s="62">
        <f>IF($V7&lt;&gt;"Sub","",N($X7)*IF(AND(ISNUMBER($G7),$G7&lt;=IF($S7=MesCiclo,InicioCiclo,$S7+MOD(2-WEEKDAY($S7),7))+27),1,MIN(1,MAX(0,IF(ISNUMBER(OFFSET($A$1,ROW()-1,11)),OFFSET($A$1,ROW()-1,11),IF(ISNUMBER(OFFSET($A$1,ROW()-1,10)),OFFSET($A$1,ROW()-1,10),IF(ISNUMBER(OFFSET($A$1,ROW()-1,9)),OFFSET($A$1,ROW()-1,9),IF(ISNUMBER(OFFSET($A$1,ROW()-1,8)),OFFSET($A$1,ROW()-1,8),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",IFERROR(MATCH("Riesgo Normativo|"&amp;MID($C7,12,500),rDname_ADM,0),0),"")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inlineStr">
        <is>
          <t>Subactividad</t>
        </is>
      </c>
      <c r="C8" s="58" t="inlineStr">
        <is>
          <t>Envío requerimiento para dar respuesta a plan de Solución según nota DS-SABAO-BCS-BC-22741 en seguimiento a observaciones de visitas anteriores, se envió correo a Administración de Riesgos, Auditoría Interna, Servicios Generales y Talento Humano.</t>
        </is>
      </c>
      <c r="D8" s="58" t="n"/>
      <c r="E8" s="59" t="n">
        <v>46296</v>
      </c>
      <c r="F8" s="59">
        <f>IF(N($AQ8)&gt;0,INDEX(rLim_ADM,$AQ8),"")</f>
        <v/>
      </c>
      <c r="G8" s="59" t="n"/>
      <c r="H8" s="60" t="n"/>
      <c r="I8" s="60">
        <f>IF(N($W8)=0,"",IF(AND($S8=MesCiclo,1&gt;SemanaActual),"",MIN(1,SUMIFS(OFFSET($A$1,ROW(),29,1000-ROW(),1),OFFSET($A$1,ROW(),20,1000-ROW(),1),ROW(),OFFSET($A$1,ROW(),21,1000-ROW(),1),"Sub"))))</f>
        <v/>
      </c>
      <c r="J8" s="60">
        <f>IF(N($W8)=0,"",IF(AND($S8=MesCiclo,2&gt;SemanaActual),"",MIN(1,SUMIFS(OFFSET($A$1,ROW(),30,1000-ROW(),1),OFFSET($A$1,ROW(),20,1000-ROW(),1),ROW(),OFFSET($A$1,ROW(),21,1000-ROW(),1),"Sub"))))</f>
        <v/>
      </c>
      <c r="K8" s="60">
        <f>IF(N($W8)=0,"",IF(AND($S8=MesCiclo,3&gt;SemanaActual),"",MIN(1,SUMIFS(OFFSET($A$1,ROW(),31,1000-ROW(),1),OFFSET($A$1,ROW(),20,1000-ROW(),1),ROW(),OFFSET($A$1,ROW(),21,1000-ROW(),1),"Sub"))))</f>
        <v/>
      </c>
      <c r="L8" s="60">
        <f>IF(N($W8)=0,"",IF(AND($S8=MesCiclo,4&gt;SemanaActual),"",MIN(1,SUMIFS(OFFSET($A$1,ROW(),32,1000-ROW(),1),OFFSET($A$1,ROW(),20,1000-ROW(),1),ROW(),OFFSET($A$1,ROW(),21,1000-ROW(),1),"Sub"))))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IF($V8&lt;&gt;"Sub","",N($X8)*IF(AND(ISNUMBER($G8),$G8&lt;=IF($S8=MesCiclo,InicioCiclo,$S8+MOD(2-WEEKDAY($S8),7))+6),1,MIN(1,MAX(0,IF(ISNUMBER(OFFSET($A$1,ROW()-1,8)),OFFSET($A$1,ROW()-1,8),0)))))</f>
        <v/>
      </c>
      <c r="AE8" s="62">
        <f>IF($V8&lt;&gt;"Sub","",N($X8)*IF(AND(ISNUMBER($G8),$G8&lt;=IF($S8=MesCiclo,InicioCiclo,$S8+MOD(2-WEEKDAY($S8),7))+13),1,MIN(1,MAX(0,IF(ISNUMBER(OFFSET($A$1,ROW()-1,9)),OFFSET($A$1,ROW()-1,9),IF(ISNUMBER(OFFSET($A$1,ROW()-1,8)),OFFSET($A$1,ROW()-1,8),0))))))</f>
        <v/>
      </c>
      <c r="AF8" s="62">
        <f>IF($V8&lt;&gt;"Sub","",N($X8)*IF(AND(ISNUMBER($G8),$G8&lt;=IF($S8=MesCiclo,InicioCiclo,$S8+MOD(2-WEEKDAY($S8),7))+20),1,MIN(1,MAX(0,IF(ISNUMBER(OFFSET($A$1,ROW()-1,10)),OFFSET($A$1,ROW()-1,10),IF(ISNUMBER(OFFSET($A$1,ROW()-1,9)),OFFSET($A$1,ROW()-1,9),IF(ISNUMBER(OFFSET($A$1,ROW()-1,8)),OFFSET($A$1,ROW()-1,8),0)))))))</f>
        <v/>
      </c>
      <c r="AG8" s="62">
        <f>IF($V8&lt;&gt;"Sub","",N($X8)*IF(AND(ISNUMBER($G8),$G8&lt;=IF($S8=MesCiclo,InicioCiclo,$S8+MOD(2-WEEKDAY($S8),7))+27),1,MIN(1,MAX(0,IF(ISNUMBER(OFFSET($A$1,ROW()-1,11)),OFFSET($A$1,ROW()-1,11),IF(ISNUMBER(OFFSET($A$1,ROW()-1,10)),OFFSET($A$1,ROW()-1,10),IF(ISNUMBER(OFFSET($A$1,ROW()-1,9)),OFFSET($A$1,ROW()-1,9),IF(ISNUMBER(OFFSET($A$1,ROW()-1,8)),OFFSET($A$1,ROW()-1,8),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",IFERROR(MATCH("Riesgo Normativo|"&amp;MID($C8,12,500),rDname_ADM,0),0),"")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inlineStr">
        <is>
          <t>Subactividad</t>
        </is>
      </c>
      <c r="C9" s="58" t="inlineStr">
        <is>
          <t>Seguimiento al envío de las pruebas de descargo para dar respuesta a nota</t>
        </is>
      </c>
      <c r="D9" s="58" t="n"/>
      <c r="E9" s="59" t="n">
        <v>46296</v>
      </c>
      <c r="F9" s="59">
        <f>IF(N($AQ9)&gt;0,INDEX(rLim_ADM,$AQ9),"")</f>
        <v/>
      </c>
      <c r="G9" s="59" t="n"/>
      <c r="H9" s="60" t="n"/>
      <c r="I9" s="60">
        <f>IF(N($W9)=0,"",IF(AND($S9=MesCiclo,1&gt;SemanaActual),"",MIN(1,SUMIFS(OFFSET($A$1,ROW(),29,1000-ROW(),1),OFFSET($A$1,ROW(),20,1000-ROW(),1),ROW(),OFFSET($A$1,ROW(),21,1000-ROW(),1),"Sub"))))</f>
        <v/>
      </c>
      <c r="J9" s="60">
        <f>IF(N($W9)=0,"",IF(AND($S9=MesCiclo,2&gt;SemanaActual),"",MIN(1,SUMIFS(OFFSET($A$1,ROW(),30,1000-ROW(),1),OFFSET($A$1,ROW(),20,1000-ROW(),1),ROW(),OFFSET($A$1,ROW(),21,1000-ROW(),1),"Sub"))))</f>
        <v/>
      </c>
      <c r="K9" s="60">
        <f>IF(N($W9)=0,"",IF(AND($S9=MesCiclo,3&gt;SemanaActual),"",MIN(1,SUMIFS(OFFSET($A$1,ROW(),31,1000-ROW(),1),OFFSET($A$1,ROW(),20,1000-ROW(),1),ROW(),OFFSET($A$1,ROW(),21,1000-ROW(),1),"Sub"))))</f>
        <v/>
      </c>
      <c r="L9" s="60">
        <f>IF(N($W9)=0,"",IF(AND($S9=MesCiclo,4&gt;SemanaActual),"",MIN(1,SUMIFS(OFFSET($A$1,ROW(),32,1000-ROW(),1),OFFSET($A$1,ROW(),20,1000-ROW(),1),ROW(),OFFSET($A$1,ROW(),21,1000-ROW(),1),"Sub"))))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IF($V9&lt;&gt;"Sub","",N($X9)*IF(AND(ISNUMBER($G9),$G9&lt;=IF($S9=MesCiclo,InicioCiclo,$S9+MOD(2-WEEKDAY($S9),7))+6),1,MIN(1,MAX(0,IF(ISNUMBER(OFFSET($A$1,ROW()-1,8)),OFFSET($A$1,ROW()-1,8),0)))))</f>
        <v/>
      </c>
      <c r="AE9" s="62">
        <f>IF($V9&lt;&gt;"Sub","",N($X9)*IF(AND(ISNUMBER($G9),$G9&lt;=IF($S9=MesCiclo,InicioCiclo,$S9+MOD(2-WEEKDAY($S9),7))+13),1,MIN(1,MAX(0,IF(ISNUMBER(OFFSET($A$1,ROW()-1,9)),OFFSET($A$1,ROW()-1,9),IF(ISNUMBER(OFFSET($A$1,ROW()-1,8)),OFFSET($A$1,ROW()-1,8),0))))))</f>
        <v/>
      </c>
      <c r="AF9" s="62">
        <f>IF($V9&lt;&gt;"Sub","",N($X9)*IF(AND(ISNUMBER($G9),$G9&lt;=IF($S9=MesCiclo,InicioCiclo,$S9+MOD(2-WEEKDAY($S9),7))+20),1,MIN(1,MAX(0,IF(ISNUMBER(OFFSET($A$1,ROW()-1,10)),OFFSET($A$1,ROW()-1,10),IF(ISNUMBER(OFFSET($A$1,ROW()-1,9)),OFFSET($A$1,ROW()-1,9),IF(ISNUMBER(OFFSET($A$1,ROW()-1,8)),OFFSET($A$1,ROW()-1,8),0)))))))</f>
        <v/>
      </c>
      <c r="AG9" s="62">
        <f>IF($V9&lt;&gt;"Sub","",N($X9)*IF(AND(ISNUMBER($G9),$G9&lt;=IF($S9=MesCiclo,InicioCiclo,$S9+MOD(2-WEEKDAY($S9),7))+27),1,MIN(1,MAX(0,IF(ISNUMBER(OFFSET($A$1,ROW()-1,11)),OFFSET($A$1,ROW()-1,11),IF(ISNUMBER(OFFSET($A$1,ROW()-1,10)),OFFSET($A$1,ROW()-1,10),IF(ISNUMBER(OFFSET($A$1,ROW()-1,9)),OFFSET($A$1,ROW()-1,9),IF(ISNUMBER(OFFSET($A$1,ROW()-1,8)),OFFSET($A$1,ROW()-1,8),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",IFERROR(MATCH("Riesgo Normativo|"&amp;MID($C9,12,500),rDname_ADM,0),0),"")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inlineStr">
        <is>
          <t>Macroactividad</t>
        </is>
      </c>
      <c r="C10" s="58" t="inlineStr">
        <is>
          <t>Requerimiento según nota DS-SABAO-BCS-BC-23486</t>
        </is>
      </c>
      <c r="D10" s="58" t="n"/>
      <c r="E10" s="59" t="n">
        <v>46296</v>
      </c>
      <c r="F10" s="59">
        <f>IF(N($AQ10)&gt;0,INDEX(rLim_ADM,$AQ10),"")</f>
        <v/>
      </c>
      <c r="G10" s="59" t="n"/>
      <c r="H10" s="60" t="n"/>
      <c r="I10" s="60">
        <f>IF(N($W10)=0,"",IF(AND($S10=MesCiclo,1&gt;SemanaActual),"",MIN(1,SUMIFS(OFFSET($A$1,ROW(),29,1000-ROW(),1),OFFSET($A$1,ROW(),20,1000-ROW(),1),ROW(),OFFSET($A$1,ROW(),21,1000-ROW(),1),"Sub"))))</f>
        <v/>
      </c>
      <c r="J10" s="60">
        <f>IF(N($W10)=0,"",IF(AND($S10=MesCiclo,2&gt;SemanaActual),"",MIN(1,SUMIFS(OFFSET($A$1,ROW(),30,1000-ROW(),1),OFFSET($A$1,ROW(),20,1000-ROW(),1),ROW(),OFFSET($A$1,ROW(),21,1000-ROW(),1),"Sub"))))</f>
        <v/>
      </c>
      <c r="K10" s="60">
        <f>IF(N($W10)=0,"",IF(AND($S10=MesCiclo,3&gt;SemanaActual),"",MIN(1,SUMIFS(OFFSET($A$1,ROW(),31,1000-ROW(),1),OFFSET($A$1,ROW(),20,1000-ROW(),1),ROW(),OFFSET($A$1,ROW(),21,1000-ROW(),1),"Sub"))))</f>
        <v/>
      </c>
      <c r="L10" s="60">
        <f>IF(N($W10)=0,"",IF(AND($S10=MesCiclo,4&gt;SemanaActual),"",MIN(1,SUMIFS(OFFSET($A$1,ROW(),32,1000-ROW(),1),OFFSET($A$1,ROW(),20,1000-ROW(),1),ROW(),OFFSET($A$1,ROW(),21,1000-ROW(),1),"Sub"))))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IF($V10&lt;&gt;"Sub","",N($X10)*IF(AND(ISNUMBER($G10),$G10&lt;=IF($S10=MesCiclo,InicioCiclo,$S10+MOD(2-WEEKDAY($S10),7))+6),1,MIN(1,MAX(0,IF(ISNUMBER(OFFSET($A$1,ROW()-1,8)),OFFSET($A$1,ROW()-1,8),0)))))</f>
        <v/>
      </c>
      <c r="AE10" s="62">
        <f>IF($V10&lt;&gt;"Sub","",N($X10)*IF(AND(ISNUMBER($G10),$G10&lt;=IF($S10=MesCiclo,InicioCiclo,$S10+MOD(2-WEEKDAY($S10),7))+13),1,MIN(1,MAX(0,IF(ISNUMBER(OFFSET($A$1,ROW()-1,9)),OFFSET($A$1,ROW()-1,9),IF(ISNUMBER(OFFSET($A$1,ROW()-1,8)),OFFSET($A$1,ROW()-1,8),0))))))</f>
        <v/>
      </c>
      <c r="AF10" s="62">
        <f>IF($V10&lt;&gt;"Sub","",N($X10)*IF(AND(ISNUMBER($G10),$G10&lt;=IF($S10=MesCiclo,InicioCiclo,$S10+MOD(2-WEEKDAY($S10),7))+20),1,MIN(1,MAX(0,IF(ISNUMBER(OFFSET($A$1,ROW()-1,10)),OFFSET($A$1,ROW()-1,10),IF(ISNUMBER(OFFSET($A$1,ROW()-1,9)),OFFSET($A$1,ROW()-1,9),IF(ISNUMBER(OFFSET($A$1,ROW()-1,8)),OFFSET($A$1,ROW()-1,8),0)))))))</f>
        <v/>
      </c>
      <c r="AG10" s="62">
        <f>IF($V10&lt;&gt;"Sub","",N($X10)*IF(AND(ISNUMBER($G10),$G10&lt;=IF($S10=MesCiclo,InicioCiclo,$S10+MOD(2-WEEKDAY($S10),7))+27),1,MIN(1,MAX(0,IF(ISNUMBER(OFFSET($A$1,ROW()-1,11)),OFFSET($A$1,ROW()-1,11),IF(ISNUMBER(OFFSET($A$1,ROW()-1,10)),OFFSET($A$1,ROW()-1,10),IF(ISNUMBER(OFFSET($A$1,ROW()-1,9)),OFFSET($A$1,ROW()-1,9),IF(ISNUMBER(OFFSET($A$1,ROW()-1,8)),OFFSET($A$1,ROW()-1,8),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",IFERROR(MATCH("Riesgo Normativo|"&amp;MID($C10,12,500),rDname_ADM,0),0),"")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inlineStr">
        <is>
          <t>Subactividad</t>
        </is>
      </c>
      <c r="C11" s="58" t="inlineStr">
        <is>
          <t>Seguimiento al envío de pruebas de descargo para dar respuesta a nota</t>
        </is>
      </c>
      <c r="D11" s="58" t="n"/>
      <c r="E11" s="59" t="n">
        <v>46296</v>
      </c>
      <c r="F11" s="59">
        <f>IF(N($AQ11)&gt;0,INDEX(rLim_ADM,$AQ11),"")</f>
        <v/>
      </c>
      <c r="G11" s="59" t="n"/>
      <c r="H11" s="60" t="n"/>
      <c r="I11" s="60">
        <f>IF(N($W11)=0,"",IF(AND($S11=MesCiclo,1&gt;SemanaActual),"",MIN(1,SUMIFS(OFFSET($A$1,ROW(),29,1000-ROW(),1),OFFSET($A$1,ROW(),20,1000-ROW(),1),ROW(),OFFSET($A$1,ROW(),21,1000-ROW(),1),"Sub"))))</f>
        <v/>
      </c>
      <c r="J11" s="60">
        <f>IF(N($W11)=0,"",IF(AND($S11=MesCiclo,2&gt;SemanaActual),"",MIN(1,SUMIFS(OFFSET($A$1,ROW(),30,1000-ROW(),1),OFFSET($A$1,ROW(),20,1000-ROW(),1),ROW(),OFFSET($A$1,ROW(),21,1000-ROW(),1),"Sub"))))</f>
        <v/>
      </c>
      <c r="K11" s="60">
        <f>IF(N($W11)=0,"",IF(AND($S11=MesCiclo,3&gt;SemanaActual),"",MIN(1,SUMIFS(OFFSET($A$1,ROW(),31,1000-ROW(),1),OFFSET($A$1,ROW(),20,1000-ROW(),1),ROW(),OFFSET($A$1,ROW(),21,1000-ROW(),1),"Sub"))))</f>
        <v/>
      </c>
      <c r="L11" s="60">
        <f>IF(N($W11)=0,"",IF(AND($S11=MesCiclo,4&gt;SemanaActual),"",MIN(1,SUMIFS(OFFSET($A$1,ROW(),32,1000-ROW(),1),OFFSET($A$1,ROW(),20,1000-ROW(),1),ROW(),OFFSET($A$1,ROW(),21,1000-ROW(),1),"Sub"))))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IF($V11&lt;&gt;"Sub","",N($X11)*IF(AND(ISNUMBER($G11),$G11&lt;=IF($S11=MesCiclo,InicioCiclo,$S11+MOD(2-WEEKDAY($S11),7))+6),1,MIN(1,MAX(0,IF(ISNUMBER(OFFSET($A$1,ROW()-1,8)),OFFSET($A$1,ROW()-1,8),0)))))</f>
        <v/>
      </c>
      <c r="AE11" s="62">
        <f>IF($V11&lt;&gt;"Sub","",N($X11)*IF(AND(ISNUMBER($G11),$G11&lt;=IF($S11=MesCiclo,InicioCiclo,$S11+MOD(2-WEEKDAY($S11),7))+13),1,MIN(1,MAX(0,IF(ISNUMBER(OFFSET($A$1,ROW()-1,9)),OFFSET($A$1,ROW()-1,9),IF(ISNUMBER(OFFSET($A$1,ROW()-1,8)),OFFSET($A$1,ROW()-1,8),0))))))</f>
        <v/>
      </c>
      <c r="AF11" s="62">
        <f>IF($V11&lt;&gt;"Sub","",N($X11)*IF(AND(ISNUMBER($G11),$G11&lt;=IF($S11=MesCiclo,InicioCiclo,$S11+MOD(2-WEEKDAY($S11),7))+20),1,MIN(1,MAX(0,IF(ISNUMBER(OFFSET($A$1,ROW()-1,10)),OFFSET($A$1,ROW()-1,10),IF(ISNUMBER(OFFSET($A$1,ROW()-1,9)),OFFSET($A$1,ROW()-1,9),IF(ISNUMBER(OFFSET($A$1,ROW()-1,8)),OFFSET($A$1,ROW()-1,8),0)))))))</f>
        <v/>
      </c>
      <c r="AG11" s="62">
        <f>IF($V11&lt;&gt;"Sub","",N($X11)*IF(AND(ISNUMBER($G11),$G11&lt;=IF($S11=MesCiclo,InicioCiclo,$S11+MOD(2-WEEKDAY($S11),7))+27),1,MIN(1,MAX(0,IF(ISNUMBER(OFFSET($A$1,ROW()-1,11)),OFFSET($A$1,ROW()-1,11),IF(ISNUMBER(OFFSET($A$1,ROW()-1,10)),OFFSET($A$1,ROW()-1,10),IF(ISNUMBER(OFFSET($A$1,ROW()-1,9)),OFFSET($A$1,ROW()-1,9),IF(ISNUMBER(OFFSET($A$1,ROW()-1,8)),OFFSET($A$1,ROW()-1,8),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",IFERROR(MATCH("Riesgo Normativo|"&amp;MID($C11,12,500),rDname_ADM,0),0),"")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inlineStr">
        <is>
          <t>Macroactividad</t>
        </is>
      </c>
      <c r="C12" s="58" t="inlineStr">
        <is>
          <t>Control de avalúos</t>
        </is>
      </c>
      <c r="D12" s="58" t="n"/>
      <c r="E12" s="59" t="n">
        <v>46296</v>
      </c>
      <c r="F12" s="59">
        <f>IF(N($AQ12)&gt;0,INDEX(rLim_ADM,$AQ12),"")</f>
        <v/>
      </c>
      <c r="G12" s="59" t="n"/>
      <c r="H12" s="60" t="n"/>
      <c r="I12" s="60">
        <f>IF(N($W12)=0,"",IF(AND($S12=MesCiclo,1&gt;SemanaActual),"",MIN(1,SUMIFS(OFFSET($A$1,ROW(),29,1000-ROW(),1),OFFSET($A$1,ROW(),20,1000-ROW(),1),ROW(),OFFSET($A$1,ROW(),21,1000-ROW(),1),"Sub"))))</f>
        <v/>
      </c>
      <c r="J12" s="60">
        <f>IF(N($W12)=0,"",IF(AND($S12=MesCiclo,2&gt;SemanaActual),"",MIN(1,SUMIFS(OFFSET($A$1,ROW(),30,1000-ROW(),1),OFFSET($A$1,ROW(),20,1000-ROW(),1),ROW(),OFFSET($A$1,ROW(),21,1000-ROW(),1),"Sub"))))</f>
        <v/>
      </c>
      <c r="K12" s="60">
        <f>IF(N($W12)=0,"",IF(AND($S12=MesCiclo,3&gt;SemanaActual),"",MIN(1,SUMIFS(OFFSET($A$1,ROW(),31,1000-ROW(),1),OFFSET($A$1,ROW(),20,1000-ROW(),1),ROW(),OFFSET($A$1,ROW(),21,1000-ROW(),1),"Sub"))))</f>
        <v/>
      </c>
      <c r="L12" s="60">
        <f>IF(N($W12)=0,"",IF(AND($S12=MesCiclo,4&gt;SemanaActual),"",MIN(1,SUMIFS(OFFSET($A$1,ROW(),32,1000-ROW(),1),OFFSET($A$1,ROW(),20,1000-ROW(),1),ROW(),OFFSET($A$1,ROW(),21,1000-ROW(),1),"Sub"))))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IF($V12&lt;&gt;"Sub","",N($X12)*IF(AND(ISNUMBER($G12),$G12&lt;=IF($S12=MesCiclo,InicioCiclo,$S12+MOD(2-WEEKDAY($S12),7))+6),1,MIN(1,MAX(0,IF(ISNUMBER(OFFSET($A$1,ROW()-1,8)),OFFSET($A$1,ROW()-1,8),0)))))</f>
        <v/>
      </c>
      <c r="AE12" s="62">
        <f>IF($V12&lt;&gt;"Sub","",N($X12)*IF(AND(ISNUMBER($G12),$G12&lt;=IF($S12=MesCiclo,InicioCiclo,$S12+MOD(2-WEEKDAY($S12),7))+13),1,MIN(1,MAX(0,IF(ISNUMBER(OFFSET($A$1,ROW()-1,9)),OFFSET($A$1,ROW()-1,9),IF(ISNUMBER(OFFSET($A$1,ROW()-1,8)),OFFSET($A$1,ROW()-1,8),0))))))</f>
        <v/>
      </c>
      <c r="AF12" s="62">
        <f>IF($V12&lt;&gt;"Sub","",N($X12)*IF(AND(ISNUMBER($G12),$G12&lt;=IF($S12=MesCiclo,InicioCiclo,$S12+MOD(2-WEEKDAY($S12),7))+20),1,MIN(1,MAX(0,IF(ISNUMBER(OFFSET($A$1,ROW()-1,10)),OFFSET($A$1,ROW()-1,10),IF(ISNUMBER(OFFSET($A$1,ROW()-1,9)),OFFSET($A$1,ROW()-1,9),IF(ISNUMBER(OFFSET($A$1,ROW()-1,8)),OFFSET($A$1,ROW()-1,8),0)))))))</f>
        <v/>
      </c>
      <c r="AG12" s="62">
        <f>IF($V12&lt;&gt;"Sub","",N($X12)*IF(AND(ISNUMBER($G12),$G12&lt;=IF($S12=MesCiclo,InicioCiclo,$S12+MOD(2-WEEKDAY($S12),7))+27),1,MIN(1,MAX(0,IF(ISNUMBER(OFFSET($A$1,ROW()-1,11)),OFFSET($A$1,ROW()-1,11),IF(ISNUMBER(OFFSET($A$1,ROW()-1,10)),OFFSET($A$1,ROW()-1,10),IF(ISNUMBER(OFFSET($A$1,ROW()-1,9)),OFFSET($A$1,ROW()-1,9),IF(ISNUMBER(OFFSET($A$1,ROW()-1,8)),OFFSET($A$1,ROW()-1,8),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",IFERROR(MATCH("Riesgo Normativo|"&amp;MID($C12,12,500),rDname_ADM,0),0),"")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inlineStr">
        <is>
          <t>Subactividad</t>
        </is>
      </c>
      <c r="C13" s="58" t="inlineStr">
        <is>
          <t>Descargo de avalúo anterior y documento mutuo hipotecario</t>
        </is>
      </c>
      <c r="D13" s="58" t="n"/>
      <c r="E13" s="59" t="n">
        <v>46296</v>
      </c>
      <c r="F13" s="59">
        <f>IF(N($AQ13)&gt;0,INDEX(rLim_ADM,$AQ13),"")</f>
        <v/>
      </c>
      <c r="G13" s="59" t="n"/>
      <c r="H13" s="60" t="n"/>
      <c r="I13" s="60">
        <f>IF(N($W13)=0,"",IF(AND($S13=MesCiclo,1&gt;SemanaActual),"",MIN(1,SUMIFS(OFFSET($A$1,ROW(),29,1000-ROW(),1),OFFSET($A$1,ROW(),20,1000-ROW(),1),ROW(),OFFSET($A$1,ROW(),21,1000-ROW(),1),"Sub"))))</f>
        <v/>
      </c>
      <c r="J13" s="60">
        <f>IF(N($W13)=0,"",IF(AND($S13=MesCiclo,2&gt;SemanaActual),"",MIN(1,SUMIFS(OFFSET($A$1,ROW(),30,1000-ROW(),1),OFFSET($A$1,ROW(),20,1000-ROW(),1),ROW(),OFFSET($A$1,ROW(),21,1000-ROW(),1),"Sub"))))</f>
        <v/>
      </c>
      <c r="K13" s="60">
        <f>IF(N($W13)=0,"",IF(AND($S13=MesCiclo,3&gt;SemanaActual),"",MIN(1,SUMIFS(OFFSET($A$1,ROW(),31,1000-ROW(),1),OFFSET($A$1,ROW(),20,1000-ROW(),1),ROW(),OFFSET($A$1,ROW(),21,1000-ROW(),1),"Sub"))))</f>
        <v/>
      </c>
      <c r="L13" s="60">
        <f>IF(N($W13)=0,"",IF(AND($S13=MesCiclo,4&gt;SemanaActual),"",MIN(1,SUMIFS(OFFSET($A$1,ROW(),32,1000-ROW(),1),OFFSET($A$1,ROW(),20,1000-ROW(),1),ROW(),OFFSET($A$1,ROW(),21,1000-ROW(),1),"Sub"))))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IF($V13&lt;&gt;"Sub","",N($X13)*IF(AND(ISNUMBER($G13),$G13&lt;=IF($S13=MesCiclo,InicioCiclo,$S13+MOD(2-WEEKDAY($S13),7))+6),1,MIN(1,MAX(0,IF(ISNUMBER(OFFSET($A$1,ROW()-1,8)),OFFSET($A$1,ROW()-1,8),0)))))</f>
        <v/>
      </c>
      <c r="AE13" s="62">
        <f>IF($V13&lt;&gt;"Sub","",N($X13)*IF(AND(ISNUMBER($G13),$G13&lt;=IF($S13=MesCiclo,InicioCiclo,$S13+MOD(2-WEEKDAY($S13),7))+13),1,MIN(1,MAX(0,IF(ISNUMBER(OFFSET($A$1,ROW()-1,9)),OFFSET($A$1,ROW()-1,9),IF(ISNUMBER(OFFSET($A$1,ROW()-1,8)),OFFSET($A$1,ROW()-1,8),0))))))</f>
        <v/>
      </c>
      <c r="AF13" s="62">
        <f>IF($V13&lt;&gt;"Sub","",N($X13)*IF(AND(ISNUMBER($G13),$G13&lt;=IF($S13=MesCiclo,InicioCiclo,$S13+MOD(2-WEEKDAY($S13),7))+20),1,MIN(1,MAX(0,IF(ISNUMBER(OFFSET($A$1,ROW()-1,10)),OFFSET($A$1,ROW()-1,10),IF(ISNUMBER(OFFSET($A$1,ROW()-1,9)),OFFSET($A$1,ROW()-1,9),IF(ISNUMBER(OFFSET($A$1,ROW()-1,8)),OFFSET($A$1,ROW()-1,8),0)))))))</f>
        <v/>
      </c>
      <c r="AG13" s="62">
        <f>IF($V13&lt;&gt;"Sub","",N($X13)*IF(AND(ISNUMBER($G13),$G13&lt;=IF($S13=MesCiclo,InicioCiclo,$S13+MOD(2-WEEKDAY($S13),7))+27),1,MIN(1,MAX(0,IF(ISNUMBER(OFFSET($A$1,ROW()-1,11)),OFFSET($A$1,ROW()-1,11),IF(ISNUMBER(OFFSET($A$1,ROW()-1,10)),OFFSET($A$1,ROW()-1,10),IF(ISNUMBER(OFFSET($A$1,ROW()-1,9)),OFFSET($A$1,ROW()-1,9),IF(ISNUMBER(OFFSET($A$1,ROW()-1,8)),OFFSET($A$1,ROW()-1,8),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",IFERROR(MATCH("Riesgo Normativo|"&amp;MID($C13,12,500),rDname_ADM,0),0),"")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inlineStr">
        <is>
          <t>Subactividad</t>
        </is>
      </c>
      <c r="C14" s="58" t="inlineStr">
        <is>
          <t>Asignación a perito valuador</t>
        </is>
      </c>
      <c r="D14" s="58" t="n"/>
      <c r="E14" s="59" t="n">
        <v>46296</v>
      </c>
      <c r="F14" s="59">
        <f>IF(N($AQ14)&gt;0,INDEX(rLim_ADM,$AQ14),"")</f>
        <v/>
      </c>
      <c r="G14" s="59" t="n"/>
      <c r="H14" s="60" t="n"/>
      <c r="I14" s="60">
        <f>IF(N($W14)=0,"",IF(AND($S14=MesCiclo,1&gt;SemanaActual),"",MIN(1,SUMIFS(OFFSET($A$1,ROW(),29,1000-ROW(),1),OFFSET($A$1,ROW(),20,1000-ROW(),1),ROW(),OFFSET($A$1,ROW(),21,1000-ROW(),1),"Sub"))))</f>
        <v/>
      </c>
      <c r="J14" s="60">
        <f>IF(N($W14)=0,"",IF(AND($S14=MesCiclo,2&gt;SemanaActual),"",MIN(1,SUMIFS(OFFSET($A$1,ROW(),30,1000-ROW(),1),OFFSET($A$1,ROW(),20,1000-ROW(),1),ROW(),OFFSET($A$1,ROW(),21,1000-ROW(),1),"Sub"))))</f>
        <v/>
      </c>
      <c r="K14" s="60">
        <f>IF(N($W14)=0,"",IF(AND($S14=MesCiclo,3&gt;SemanaActual),"",MIN(1,SUMIFS(OFFSET($A$1,ROW(),31,1000-ROW(),1),OFFSET($A$1,ROW(),20,1000-ROW(),1),ROW(),OFFSET($A$1,ROW(),21,1000-ROW(),1),"Sub"))))</f>
        <v/>
      </c>
      <c r="L14" s="60">
        <f>IF(N($W14)=0,"",IF(AND($S14=MesCiclo,4&gt;SemanaActual),"",MIN(1,SUMIFS(OFFSET($A$1,ROW(),32,1000-ROW(),1),OFFSET($A$1,ROW(),20,1000-ROW(),1),ROW(),OFFSET($A$1,ROW(),21,1000-ROW(),1),"Sub"))))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IF($V14&lt;&gt;"Sub","",N($X14)*IF(AND(ISNUMBER($G14),$G14&lt;=IF($S14=MesCiclo,InicioCiclo,$S14+MOD(2-WEEKDAY($S14),7))+6),1,MIN(1,MAX(0,IF(ISNUMBER(OFFSET($A$1,ROW()-1,8)),OFFSET($A$1,ROW()-1,8),0)))))</f>
        <v/>
      </c>
      <c r="AE14" s="62">
        <f>IF($V14&lt;&gt;"Sub","",N($X14)*IF(AND(ISNUMBER($G14),$G14&lt;=IF($S14=MesCiclo,InicioCiclo,$S14+MOD(2-WEEKDAY($S14),7))+13),1,MIN(1,MAX(0,IF(ISNUMBER(OFFSET($A$1,ROW()-1,9)),OFFSET($A$1,ROW()-1,9),IF(ISNUMBER(OFFSET($A$1,ROW()-1,8)),OFFSET($A$1,ROW()-1,8),0))))))</f>
        <v/>
      </c>
      <c r="AF14" s="62">
        <f>IF($V14&lt;&gt;"Sub","",N($X14)*IF(AND(ISNUMBER($G14),$G14&lt;=IF($S14=MesCiclo,InicioCiclo,$S14+MOD(2-WEEKDAY($S14),7))+20),1,MIN(1,MAX(0,IF(ISNUMBER(OFFSET($A$1,ROW()-1,10)),OFFSET($A$1,ROW()-1,10),IF(ISNUMBER(OFFSET($A$1,ROW()-1,9)),OFFSET($A$1,ROW()-1,9),IF(ISNUMBER(OFFSET($A$1,ROW()-1,8)),OFFSET($A$1,ROW()-1,8),0)))))))</f>
        <v/>
      </c>
      <c r="AG14" s="62">
        <f>IF($V14&lt;&gt;"Sub","",N($X14)*IF(AND(ISNUMBER($G14),$G14&lt;=IF($S14=MesCiclo,InicioCiclo,$S14+MOD(2-WEEKDAY($S14),7))+27),1,MIN(1,MAX(0,IF(ISNUMBER(OFFSET($A$1,ROW()-1,11)),OFFSET($A$1,ROW()-1,11),IF(ISNUMBER(OFFSET($A$1,ROW()-1,10)),OFFSET($A$1,ROW()-1,10),IF(ISNUMBER(OFFSET($A$1,ROW()-1,9)),OFFSET($A$1,ROW()-1,9),IF(ISNUMBER(OFFSET($A$1,ROW()-1,8)),OFFSET($A$1,ROW()-1,8),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",IFERROR(MATCH("Riesgo Normativo|"&amp;MID($C14,12,500),rDname_ADM,0),0),"")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inlineStr">
        <is>
          <t>Subactividad</t>
        </is>
      </c>
      <c r="C15" s="58" t="inlineStr">
        <is>
          <t>Gestiones para asignación de avalúo por medios electrónicos sin utilizar dispositivo extraíble</t>
        </is>
      </c>
      <c r="D15" s="58" t="n"/>
      <c r="E15" s="59" t="n">
        <v>46296</v>
      </c>
      <c r="F15" s="59">
        <f>IF(N($AQ15)&gt;0,INDEX(rLim_ADM,$AQ15),"")</f>
        <v/>
      </c>
      <c r="G15" s="59" t="n"/>
      <c r="H15" s="60" t="n"/>
      <c r="I15" s="60">
        <f>IF(N($W15)=0,"",IF(AND($S15=MesCiclo,1&gt;SemanaActual),"",MIN(1,SUMIFS(OFFSET($A$1,ROW(),29,1000-ROW(),1),OFFSET($A$1,ROW(),20,1000-ROW(),1),ROW(),OFFSET($A$1,ROW(),21,1000-ROW(),1),"Sub"))))</f>
        <v/>
      </c>
      <c r="J15" s="60" t="n">
        <v>0.3</v>
      </c>
      <c r="K15" s="60">
        <f>IF(N($W15)=0,"",IF(AND($S15=MesCiclo,3&gt;SemanaActual),"",MIN(1,SUMIFS(OFFSET($A$1,ROW(),31,1000-ROW(),1),OFFSET($A$1,ROW(),20,1000-ROW(),1),ROW(),OFFSET($A$1,ROW(),21,1000-ROW(),1),"Sub"))))</f>
        <v/>
      </c>
      <c r="L15" s="60">
        <f>IF(N($W15)=0,"",IF(AND($S15=MesCiclo,4&gt;SemanaActual),"",MIN(1,SUMIFS(OFFSET($A$1,ROW(),32,1000-ROW(),1),OFFSET($A$1,ROW(),20,1000-ROW(),1),ROW(),OFFSET($A$1,ROW(),21,1000-ROW(),1),"Sub"))))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IF($V15&lt;&gt;"Sub","",N($X15)*IF(AND(ISNUMBER($G15),$G15&lt;=IF($S15=MesCiclo,InicioCiclo,$S15+MOD(2-WEEKDAY($S15),7))+6),1,MIN(1,MAX(0,IF(ISNUMBER(OFFSET($A$1,ROW()-1,8)),OFFSET($A$1,ROW()-1,8),0)))))</f>
        <v/>
      </c>
      <c r="AE15" s="62">
        <f>IF($V15&lt;&gt;"Sub","",N($X15)*IF(AND(ISNUMBER($G15),$G15&lt;=IF($S15=MesCiclo,InicioCiclo,$S15+MOD(2-WEEKDAY($S15),7))+13),1,MIN(1,MAX(0,IF(ISNUMBER(OFFSET($A$1,ROW()-1,9)),OFFSET($A$1,ROW()-1,9),IF(ISNUMBER(OFFSET($A$1,ROW()-1,8)),OFFSET($A$1,ROW()-1,8),0))))))</f>
        <v/>
      </c>
      <c r="AF15" s="62">
        <f>IF($V15&lt;&gt;"Sub","",N($X15)*IF(AND(ISNUMBER($G15),$G15&lt;=IF($S15=MesCiclo,InicioCiclo,$S15+MOD(2-WEEKDAY($S15),7))+20),1,MIN(1,MAX(0,IF(ISNUMBER(OFFSET($A$1,ROW()-1,10)),OFFSET($A$1,ROW()-1,10),IF(ISNUMBER(OFFSET($A$1,ROW()-1,9)),OFFSET($A$1,ROW()-1,9),IF(ISNUMBER(OFFSET($A$1,ROW()-1,8)),OFFSET($A$1,ROW()-1,8),0)))))))</f>
        <v/>
      </c>
      <c r="AG15" s="62">
        <f>IF($V15&lt;&gt;"Sub","",N($X15)*IF(AND(ISNUMBER($G15),$G15&lt;=IF($S15=MesCiclo,InicioCiclo,$S15+MOD(2-WEEKDAY($S15),7))+27),1,MIN(1,MAX(0,IF(ISNUMBER(OFFSET($A$1,ROW()-1,11)),OFFSET($A$1,ROW()-1,11),IF(ISNUMBER(OFFSET($A$1,ROW()-1,10)),OFFSET($A$1,ROW()-1,10),IF(ISNUMBER(OFFSET($A$1,ROW()-1,9)),OFFSET($A$1,ROW()-1,9),IF(ISNUMBER(OFFSET($A$1,ROW()-1,8)),OFFSET($A$1,ROW()-1,8),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",IFERROR(MATCH("Riesgo Normativo|"&amp;MID($C15,12,500),rDname_ADM,0),0),"")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inlineStr">
        <is>
          <t>Subactividad</t>
        </is>
      </c>
      <c r="C16" s="58" t="inlineStr">
        <is>
          <t>Notas por medio de correo masivo para asociados, informando sobre actualización de avalúos</t>
        </is>
      </c>
      <c r="D16" s="58" t="n"/>
      <c r="E16" s="59" t="n">
        <v>46296</v>
      </c>
      <c r="F16" s="59">
        <f>IF(N($AQ16)&gt;0,INDEX(rLim_ADM,$AQ16),"")</f>
        <v/>
      </c>
      <c r="G16" s="59" t="n"/>
      <c r="H16" s="60" t="n"/>
      <c r="I16" s="60">
        <f>IF(N($W16)=0,"",IF(AND($S16=MesCiclo,1&gt;SemanaActual),"",MIN(1,SUMIFS(OFFSET($A$1,ROW(),29,1000-ROW(),1),OFFSET($A$1,ROW(),20,1000-ROW(),1),ROW(),OFFSET($A$1,ROW(),21,1000-ROW(),1),"Sub"))))</f>
        <v/>
      </c>
      <c r="J16" s="60">
        <f>IF(N($W16)=0,"",IF(AND($S16=MesCiclo,2&gt;SemanaActual),"",MIN(1,SUMIFS(OFFSET($A$1,ROW(),30,1000-ROW(),1),OFFSET($A$1,ROW(),20,1000-ROW(),1),ROW(),OFFSET($A$1,ROW(),21,1000-ROW(),1),"Sub"))))</f>
        <v/>
      </c>
      <c r="K16" s="60">
        <f>IF(N($W16)=0,"",IF(AND($S16=MesCiclo,3&gt;SemanaActual),"",MIN(1,SUMIFS(OFFSET($A$1,ROW(),31,1000-ROW(),1),OFFSET($A$1,ROW(),20,1000-ROW(),1),ROW(),OFFSET($A$1,ROW(),21,1000-ROW(),1),"Sub"))))</f>
        <v/>
      </c>
      <c r="L16" s="60">
        <f>IF(N($W16)=0,"",IF(AND($S16=MesCiclo,4&gt;SemanaActual),"",MIN(1,SUMIFS(OFFSET($A$1,ROW(),32,1000-ROW(),1),OFFSET($A$1,ROW(),20,1000-ROW(),1),ROW(),OFFSET($A$1,ROW(),21,1000-ROW(),1),"Sub"))))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IF($V16&lt;&gt;"Sub","",N($X16)*IF(AND(ISNUMBER($G16),$G16&lt;=IF($S16=MesCiclo,InicioCiclo,$S16+MOD(2-WEEKDAY($S16),7))+6),1,MIN(1,MAX(0,IF(ISNUMBER(OFFSET($A$1,ROW()-1,8)),OFFSET($A$1,ROW()-1,8),0)))))</f>
        <v/>
      </c>
      <c r="AE16" s="62">
        <f>IF($V16&lt;&gt;"Sub","",N($X16)*IF(AND(ISNUMBER($G16),$G16&lt;=IF($S16=MesCiclo,InicioCiclo,$S16+MOD(2-WEEKDAY($S16),7))+13),1,MIN(1,MAX(0,IF(ISNUMBER(OFFSET($A$1,ROW()-1,9)),OFFSET($A$1,ROW()-1,9),IF(ISNUMBER(OFFSET($A$1,ROW()-1,8)),OFFSET($A$1,ROW()-1,8),0))))))</f>
        <v/>
      </c>
      <c r="AF16" s="62">
        <f>IF($V16&lt;&gt;"Sub","",N($X16)*IF(AND(ISNUMBER($G16),$G16&lt;=IF($S16=MesCiclo,InicioCiclo,$S16+MOD(2-WEEKDAY($S16),7))+20),1,MIN(1,MAX(0,IF(ISNUMBER(OFFSET($A$1,ROW()-1,10)),OFFSET($A$1,ROW()-1,10),IF(ISNUMBER(OFFSET($A$1,ROW()-1,9)),OFFSET($A$1,ROW()-1,9),IF(ISNUMBER(OFFSET($A$1,ROW()-1,8)),OFFSET($A$1,ROW()-1,8),0)))))))</f>
        <v/>
      </c>
      <c r="AG16" s="62">
        <f>IF($V16&lt;&gt;"Sub","",N($X16)*IF(AND(ISNUMBER($G16),$G16&lt;=IF($S16=MesCiclo,InicioCiclo,$S16+MOD(2-WEEKDAY($S16),7))+27),1,MIN(1,MAX(0,IF(ISNUMBER(OFFSET($A$1,ROW()-1,11)),OFFSET($A$1,ROW()-1,11),IF(ISNUMBER(OFFSET($A$1,ROW()-1,10)),OFFSET($A$1,ROW()-1,10),IF(ISNUMBER(OFFSET($A$1,ROW()-1,9)),OFFSET($A$1,ROW()-1,9),IF(ISNUMBER(OFFSET($A$1,ROW()-1,8)),OFFSET($A$1,ROW()-1,8),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",IFERROR(MATCH("Riesgo Normativo|"&amp;MID($C16,12,500),rDname_ADM,0),0),"")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inlineStr">
        <is>
          <t>Macroactividad</t>
        </is>
      </c>
      <c r="C17" s="58" t="inlineStr">
        <is>
          <t>Elaboración de acta de sesión de fecha 29/08/2026</t>
        </is>
      </c>
      <c r="D17" s="58" t="n"/>
      <c r="E17" s="59" t="n">
        <v>46296</v>
      </c>
      <c r="F17" s="59">
        <f>IF(N($AQ17)&gt;0,INDEX(rLim_ADM,$AQ17),"")</f>
        <v/>
      </c>
      <c r="G17" s="59" t="n"/>
      <c r="H17" s="60" t="n"/>
      <c r="I17" s="60">
        <f>IF(N($W17)=0,"",IF(AND($S17=MesCiclo,1&gt;SemanaActual),"",MIN(1,SUMIFS(OFFSET($A$1,ROW(),29,1000-ROW(),1),OFFSET($A$1,ROW(),20,1000-ROW(),1),ROW(),OFFSET($A$1,ROW(),21,1000-ROW(),1),"Sub"))))</f>
        <v/>
      </c>
      <c r="J17" s="60" t="n">
        <v>0.2</v>
      </c>
      <c r="K17" s="60">
        <f>IF(N($W17)=0,"",IF(AND($S17=MesCiclo,3&gt;SemanaActual),"",MIN(1,SUMIFS(OFFSET($A$1,ROW(),31,1000-ROW(),1),OFFSET($A$1,ROW(),20,1000-ROW(),1),ROW(),OFFSET($A$1,ROW(),21,1000-ROW(),1),"Sub"))))</f>
        <v/>
      </c>
      <c r="L17" s="60">
        <f>IF(N($W17)=0,"",IF(AND($S17=MesCiclo,4&gt;SemanaActual),"",MIN(1,SUMIFS(OFFSET($A$1,ROW(),32,1000-ROW(),1),OFFSET($A$1,ROW(),20,1000-ROW(),1),ROW(),OFFSET($A$1,ROW(),21,1000-ROW(),1),"Sub"))))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IF($V17&lt;&gt;"Sub","",N($X17)*IF(AND(ISNUMBER($G17),$G17&lt;=IF($S17=MesCiclo,InicioCiclo,$S17+MOD(2-WEEKDAY($S17),7))+6),1,MIN(1,MAX(0,IF(ISNUMBER(OFFSET($A$1,ROW()-1,8)),OFFSET($A$1,ROW()-1,8),0)))))</f>
        <v/>
      </c>
      <c r="AE17" s="62">
        <f>IF($V17&lt;&gt;"Sub","",N($X17)*IF(AND(ISNUMBER($G17),$G17&lt;=IF($S17=MesCiclo,InicioCiclo,$S17+MOD(2-WEEKDAY($S17),7))+13),1,MIN(1,MAX(0,IF(ISNUMBER(OFFSET($A$1,ROW()-1,9)),OFFSET($A$1,ROW()-1,9),IF(ISNUMBER(OFFSET($A$1,ROW()-1,8)),OFFSET($A$1,ROW()-1,8),0))))))</f>
        <v/>
      </c>
      <c r="AF17" s="62">
        <f>IF($V17&lt;&gt;"Sub","",N($X17)*IF(AND(ISNUMBER($G17),$G17&lt;=IF($S17=MesCiclo,InicioCiclo,$S17+MOD(2-WEEKDAY($S17),7))+20),1,MIN(1,MAX(0,IF(ISNUMBER(OFFSET($A$1,ROW()-1,10)),OFFSET($A$1,ROW()-1,10),IF(ISNUMBER(OFFSET($A$1,ROW()-1,9)),OFFSET($A$1,ROW()-1,9),IF(ISNUMBER(OFFSET($A$1,ROW()-1,8)),OFFSET($A$1,ROW()-1,8),0)))))))</f>
        <v/>
      </c>
      <c r="AG17" s="62">
        <f>IF($V17&lt;&gt;"Sub","",N($X17)*IF(AND(ISNUMBER($G17),$G17&lt;=IF($S17=MesCiclo,InicioCiclo,$S17+MOD(2-WEEKDAY($S17),7))+27),1,MIN(1,MAX(0,IF(ISNUMBER(OFFSET($A$1,ROW()-1,11)),OFFSET($A$1,ROW()-1,11),IF(ISNUMBER(OFFSET($A$1,ROW()-1,10)),OFFSET($A$1,ROW()-1,10),IF(ISNUMBER(OFFSET($A$1,ROW()-1,9)),OFFSET($A$1,ROW()-1,9),IF(ISNUMBER(OFFSET($A$1,ROW()-1,8)),OFFSET($A$1,ROW()-1,8),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",IFERROR(MATCH("Riesgo Normativo|"&amp;MID($C17,12,500),rDname_ADM,0),0),"")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f>IF(N($AQ18)&gt;0,INDEX(rIni_ADM,$AQ18),"")</f>
        <v/>
      </c>
      <c r="F18" s="59">
        <f>IF(N($AQ18)&gt;0,INDEX(rLim_ADM,$AQ18),"")</f>
        <v/>
      </c>
      <c r="G18" s="59" t="n"/>
      <c r="H18" s="60" t="n"/>
      <c r="I18" s="60">
        <f>IF(N($W18)=0,"",IF(AND($S18=MesCiclo,1&gt;SemanaActual),"",MIN(1,SUMIFS(OFFSET($A$1,ROW(),29,1000-ROW(),1),OFFSET($A$1,ROW(),20,1000-ROW(),1),ROW(),OFFSET($A$1,ROW(),21,1000-ROW(),1),"Sub"))))</f>
        <v/>
      </c>
      <c r="J18" s="60">
        <f>IF(N($W18)=0,"",IF(AND($S18=MesCiclo,2&gt;SemanaActual),"",MIN(1,SUMIFS(OFFSET($A$1,ROW(),30,1000-ROW(),1),OFFSET($A$1,ROW(),20,1000-ROW(),1),ROW(),OFFSET($A$1,ROW(),21,1000-ROW(),1),"Sub"))))</f>
        <v/>
      </c>
      <c r="K18" s="60">
        <f>IF(N($W18)=0,"",IF(AND($S18=MesCiclo,3&gt;SemanaActual),"",MIN(1,SUMIFS(OFFSET($A$1,ROW(),31,1000-ROW(),1),OFFSET($A$1,ROW(),20,1000-ROW(),1),ROW(),OFFSET($A$1,ROW(),21,1000-ROW(),1),"Sub"))))</f>
        <v/>
      </c>
      <c r="L18" s="60">
        <f>IF(N($W18)=0,"",IF(AND($S18=MesCiclo,4&gt;SemanaActual),"",MIN(1,SUMIFS(OFFSET($A$1,ROW(),32,1000-ROW(),1),OFFSET($A$1,ROW(),20,1000-ROW(),1),ROW(),OFFSET($A$1,ROW(),21,1000-ROW(),1),"Sub"))))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IF($V18&lt;&gt;"Sub","",N($X18)*IF(AND(ISNUMBER($G18),$G18&lt;=IF($S18=MesCiclo,InicioCiclo,$S18+MOD(2-WEEKDAY($S18),7))+6),1,MIN(1,MAX(0,IF(ISNUMBER(OFFSET($A$1,ROW()-1,8)),OFFSET($A$1,ROW()-1,8),0)))))</f>
        <v/>
      </c>
      <c r="AE18" s="62">
        <f>IF($V18&lt;&gt;"Sub","",N($X18)*IF(AND(ISNUMBER($G18),$G18&lt;=IF($S18=MesCiclo,InicioCiclo,$S18+MOD(2-WEEKDAY($S18),7))+13),1,MIN(1,MAX(0,IF(ISNUMBER(OFFSET($A$1,ROW()-1,9)),OFFSET($A$1,ROW()-1,9),IF(ISNUMBER(OFFSET($A$1,ROW()-1,8)),OFFSET($A$1,ROW()-1,8),0))))))</f>
        <v/>
      </c>
      <c r="AF18" s="62">
        <f>IF($V18&lt;&gt;"Sub","",N($X18)*IF(AND(ISNUMBER($G18),$G18&lt;=IF($S18=MesCiclo,InicioCiclo,$S18+MOD(2-WEEKDAY($S18),7))+20),1,MIN(1,MAX(0,IF(ISNUMBER(OFFSET($A$1,ROW()-1,10)),OFFSET($A$1,ROW()-1,10),IF(ISNUMBER(OFFSET($A$1,ROW()-1,9)),OFFSET($A$1,ROW()-1,9),IF(ISNUMBER(OFFSET($A$1,ROW()-1,8)),OFFSET($A$1,ROW()-1,8),0)))))))</f>
        <v/>
      </c>
      <c r="AG18" s="62">
        <f>IF($V18&lt;&gt;"Sub","",N($X18)*IF(AND(ISNUMBER($G18),$G18&lt;=IF($S18=MesCiclo,InicioCiclo,$S18+MOD(2-WEEKDAY($S18),7))+27),1,MIN(1,MAX(0,IF(ISNUMBER(OFFSET($A$1,ROW()-1,11)),OFFSET($A$1,ROW()-1,11),IF(ISNUMBER(OFFSET($A$1,ROW()-1,10)),OFFSET($A$1,ROW()-1,10),IF(ISNUMBER(OFFSET($A$1,ROW()-1,9)),OFFSET($A$1,ROW()-1,9),IF(ISNUMBER(OFFSET($A$1,ROW()-1,8)),OFFSET($A$1,ROW()-1,8),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",IFERROR(MATCH("Riesgo Normativo|"&amp;MID($C18,12,500),rDname_ADM,0),0),"")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f>IF(N($AQ19)&gt;0,INDEX(rIni_ADM,$AQ19),"")</f>
        <v/>
      </c>
      <c r="F19" s="59">
        <f>IF(N($AQ19)&gt;0,INDEX(rLim_ADM,$AQ19),"")</f>
        <v/>
      </c>
      <c r="G19" s="59" t="n"/>
      <c r="H19" s="60" t="n"/>
      <c r="I19" s="60">
        <f>IF(N($W19)=0,"",IF(AND($S19=MesCiclo,1&gt;SemanaActual),"",MIN(1,SUMIFS(OFFSET($A$1,ROW(),29,1000-ROW(),1),OFFSET($A$1,ROW(),20,1000-ROW(),1),ROW(),OFFSET($A$1,ROW(),21,1000-ROW(),1),"Sub"))))</f>
        <v/>
      </c>
      <c r="J19" s="60">
        <f>IF(N($W19)=0,"",IF(AND($S19=MesCiclo,2&gt;SemanaActual),"",MIN(1,SUMIFS(OFFSET($A$1,ROW(),30,1000-ROW(),1),OFFSET($A$1,ROW(),20,1000-ROW(),1),ROW(),OFFSET($A$1,ROW(),21,1000-ROW(),1),"Sub"))))</f>
        <v/>
      </c>
      <c r="K19" s="60">
        <f>IF(N($W19)=0,"",IF(AND($S19=MesCiclo,3&gt;SemanaActual),"",MIN(1,SUMIFS(OFFSET($A$1,ROW(),31,1000-ROW(),1),OFFSET($A$1,ROW(),20,1000-ROW(),1),ROW(),OFFSET($A$1,ROW(),21,1000-ROW(),1),"Sub"))))</f>
        <v/>
      </c>
      <c r="L19" s="60">
        <f>IF(N($W19)=0,"",IF(AND($S19=MesCiclo,4&gt;SemanaActual),"",MIN(1,SUMIFS(OFFSET($A$1,ROW(),32,1000-ROW(),1),OFFSET($A$1,ROW(),20,1000-ROW(),1),ROW(),OFFSET($A$1,ROW(),21,1000-ROW(),1),"Sub"))))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IF($V19&lt;&gt;"Sub","",N($X19)*IF(AND(ISNUMBER($G19),$G19&lt;=IF($S19=MesCiclo,InicioCiclo,$S19+MOD(2-WEEKDAY($S19),7))+6),1,MIN(1,MAX(0,IF(ISNUMBER(OFFSET($A$1,ROW()-1,8)),OFFSET($A$1,ROW()-1,8),0)))))</f>
        <v/>
      </c>
      <c r="AE19" s="62">
        <f>IF($V19&lt;&gt;"Sub","",N($X19)*IF(AND(ISNUMBER($G19),$G19&lt;=IF($S19=MesCiclo,InicioCiclo,$S19+MOD(2-WEEKDAY($S19),7))+13),1,MIN(1,MAX(0,IF(ISNUMBER(OFFSET($A$1,ROW()-1,9)),OFFSET($A$1,ROW()-1,9),IF(ISNUMBER(OFFSET($A$1,ROW()-1,8)),OFFSET($A$1,ROW()-1,8),0))))))</f>
        <v/>
      </c>
      <c r="AF19" s="62">
        <f>IF($V19&lt;&gt;"Sub","",N($X19)*IF(AND(ISNUMBER($G19),$G19&lt;=IF($S19=MesCiclo,InicioCiclo,$S19+MOD(2-WEEKDAY($S19),7))+20),1,MIN(1,MAX(0,IF(ISNUMBER(OFFSET($A$1,ROW()-1,10)),OFFSET($A$1,ROW()-1,10),IF(ISNUMBER(OFFSET($A$1,ROW()-1,9)),OFFSET($A$1,ROW()-1,9),IF(ISNUMBER(OFFSET($A$1,ROW()-1,8)),OFFSET($A$1,ROW()-1,8),0)))))))</f>
        <v/>
      </c>
      <c r="AG19" s="62">
        <f>IF($V19&lt;&gt;"Sub","",N($X19)*IF(AND(ISNUMBER($G19),$G19&lt;=IF($S19=MesCiclo,InicioCiclo,$S19+MOD(2-WEEKDAY($S19),7))+27),1,MIN(1,MAX(0,IF(ISNUMBER(OFFSET($A$1,ROW()-1,11)),OFFSET($A$1,ROW()-1,11),IF(ISNUMBER(OFFSET($A$1,ROW()-1,10)),OFFSET($A$1,ROW()-1,10),IF(ISNUMBER(OFFSET($A$1,ROW()-1,9)),OFFSET($A$1,ROW()-1,9),IF(ISNUMBER(OFFSET($A$1,ROW()-1,8)),OFFSET($A$1,ROW()-1,8),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",IFERROR(MATCH("Riesgo Normativo|"&amp;MID($C19,12,500),rDname_ADM,0),0),"")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f>IF(N($AQ20)&gt;0,INDEX(rIni_ADM,$AQ20),"")</f>
        <v/>
      </c>
      <c r="F20" s="59">
        <f>IF(N($AQ20)&gt;0,INDEX(rLim_ADM,$AQ20),"")</f>
        <v/>
      </c>
      <c r="G20" s="59" t="n"/>
      <c r="H20" s="60" t="n"/>
      <c r="I20" s="60">
        <f>IF(N($W20)=0,"",IF(AND($S20=MesCiclo,1&gt;SemanaActual),"",MIN(1,SUMIFS(OFFSET($A$1,ROW(),29,1000-ROW(),1),OFFSET($A$1,ROW(),20,1000-ROW(),1),ROW(),OFFSET($A$1,ROW(),21,1000-ROW(),1),"Sub"))))</f>
        <v/>
      </c>
      <c r="J20" s="60">
        <f>IF(N($W20)=0,"",IF(AND($S20=MesCiclo,2&gt;SemanaActual),"",MIN(1,SUMIFS(OFFSET($A$1,ROW(),30,1000-ROW(),1),OFFSET($A$1,ROW(),20,1000-ROW(),1),ROW(),OFFSET($A$1,ROW(),21,1000-ROW(),1),"Sub"))))</f>
        <v/>
      </c>
      <c r="K20" s="60">
        <f>IF(N($W20)=0,"",IF(AND($S20=MesCiclo,3&gt;SemanaActual),"",MIN(1,SUMIFS(OFFSET($A$1,ROW(),31,1000-ROW(),1),OFFSET($A$1,ROW(),20,1000-ROW(),1),ROW(),OFFSET($A$1,ROW(),21,1000-ROW(),1),"Sub"))))</f>
        <v/>
      </c>
      <c r="L20" s="60">
        <f>IF(N($W20)=0,"",IF(AND($S20=MesCiclo,4&gt;SemanaActual),"",MIN(1,SUMIFS(OFFSET($A$1,ROW(),32,1000-ROW(),1),OFFSET($A$1,ROW(),20,1000-ROW(),1),ROW(),OFFSET($A$1,ROW(),21,1000-ROW(),1),"Sub"))))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IF($V20&lt;&gt;"Sub","",N($X20)*IF(AND(ISNUMBER($G20),$G20&lt;=IF($S20=MesCiclo,InicioCiclo,$S20+MOD(2-WEEKDAY($S20),7))+6),1,MIN(1,MAX(0,IF(ISNUMBER(OFFSET($A$1,ROW()-1,8)),OFFSET($A$1,ROW()-1,8),0)))))</f>
        <v/>
      </c>
      <c r="AE20" s="62">
        <f>IF($V20&lt;&gt;"Sub","",N($X20)*IF(AND(ISNUMBER($G20),$G20&lt;=IF($S20=MesCiclo,InicioCiclo,$S20+MOD(2-WEEKDAY($S20),7))+13),1,MIN(1,MAX(0,IF(ISNUMBER(OFFSET($A$1,ROW()-1,9)),OFFSET($A$1,ROW()-1,9),IF(ISNUMBER(OFFSET($A$1,ROW()-1,8)),OFFSET($A$1,ROW()-1,8),0))))))</f>
        <v/>
      </c>
      <c r="AF20" s="62">
        <f>IF($V20&lt;&gt;"Sub","",N($X20)*IF(AND(ISNUMBER($G20),$G20&lt;=IF($S20=MesCiclo,InicioCiclo,$S20+MOD(2-WEEKDAY($S20),7))+20),1,MIN(1,MAX(0,IF(ISNUMBER(OFFSET($A$1,ROW()-1,10)),OFFSET($A$1,ROW()-1,10),IF(ISNUMBER(OFFSET($A$1,ROW()-1,9)),OFFSET($A$1,ROW()-1,9),IF(ISNUMBER(OFFSET($A$1,ROW()-1,8)),OFFSET($A$1,ROW()-1,8),0)))))))</f>
        <v/>
      </c>
      <c r="AG20" s="62">
        <f>IF($V20&lt;&gt;"Sub","",N($X20)*IF(AND(ISNUMBER($G20),$G20&lt;=IF($S20=MesCiclo,InicioCiclo,$S20+MOD(2-WEEKDAY($S20),7))+27),1,MIN(1,MAX(0,IF(ISNUMBER(OFFSET($A$1,ROW()-1,11)),OFFSET($A$1,ROW()-1,11),IF(ISNUMBER(OFFSET($A$1,ROW()-1,10)),OFFSET($A$1,ROW()-1,10),IF(ISNUMBER(OFFSET($A$1,ROW()-1,9)),OFFSET($A$1,ROW()-1,9),IF(ISNUMBER(OFFSET($A$1,ROW()-1,8)),OFFSET($A$1,ROW()-1,8),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",IFERROR(MATCH("Riesgo Normativo|"&amp;MID($C20,12,500),rDname_ADM,0),0),"")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f>IF(N($AQ21)&gt;0,INDEX(rIni_ADM,$AQ21),"")</f>
        <v/>
      </c>
      <c r="F21" s="59">
        <f>IF(N($AQ21)&gt;0,INDEX(rLim_ADM,$AQ21),"")</f>
        <v/>
      </c>
      <c r="G21" s="59" t="n"/>
      <c r="H21" s="60" t="n"/>
      <c r="I21" s="60">
        <f>IF(N($W21)=0,"",IF(AND($S21=MesCiclo,1&gt;SemanaActual),"",MIN(1,SUMIFS(OFFSET($A$1,ROW(),29,1000-ROW(),1),OFFSET($A$1,ROW(),20,1000-ROW(),1),ROW(),OFFSET($A$1,ROW(),21,1000-ROW(),1),"Sub"))))</f>
        <v/>
      </c>
      <c r="J21" s="60">
        <f>IF(N($W21)=0,"",IF(AND($S21=MesCiclo,2&gt;SemanaActual),"",MIN(1,SUMIFS(OFFSET($A$1,ROW(),30,1000-ROW(),1),OFFSET($A$1,ROW(),20,1000-ROW(),1),ROW(),OFFSET($A$1,ROW(),21,1000-ROW(),1),"Sub"))))</f>
        <v/>
      </c>
      <c r="K21" s="60">
        <f>IF(N($W21)=0,"",IF(AND($S21=MesCiclo,3&gt;SemanaActual),"",MIN(1,SUMIFS(OFFSET($A$1,ROW(),31,1000-ROW(),1),OFFSET($A$1,ROW(),20,1000-ROW(),1),ROW(),OFFSET($A$1,ROW(),21,1000-ROW(),1),"Sub"))))</f>
        <v/>
      </c>
      <c r="L21" s="60">
        <f>IF(N($W21)=0,"",IF(AND($S21=MesCiclo,4&gt;SemanaActual),"",MIN(1,SUMIFS(OFFSET($A$1,ROW(),32,1000-ROW(),1),OFFSET($A$1,ROW(),20,1000-ROW(),1),ROW(),OFFSET($A$1,ROW(),21,1000-ROW(),1),"Sub"))))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IF($V21&lt;&gt;"Sub","",N($X21)*IF(AND(ISNUMBER($G21),$G21&lt;=IF($S21=MesCiclo,InicioCiclo,$S21+MOD(2-WEEKDAY($S21),7))+6),1,MIN(1,MAX(0,IF(ISNUMBER(OFFSET($A$1,ROW()-1,8)),OFFSET($A$1,ROW()-1,8),0)))))</f>
        <v/>
      </c>
      <c r="AE21" s="62">
        <f>IF($V21&lt;&gt;"Sub","",N($X21)*IF(AND(ISNUMBER($G21),$G21&lt;=IF($S21=MesCiclo,InicioCiclo,$S21+MOD(2-WEEKDAY($S21),7))+13),1,MIN(1,MAX(0,IF(ISNUMBER(OFFSET($A$1,ROW()-1,9)),OFFSET($A$1,ROW()-1,9),IF(ISNUMBER(OFFSET($A$1,ROW()-1,8)),OFFSET($A$1,ROW()-1,8),0))))))</f>
        <v/>
      </c>
      <c r="AF21" s="62">
        <f>IF($V21&lt;&gt;"Sub","",N($X21)*IF(AND(ISNUMBER($G21),$G21&lt;=IF($S21=MesCiclo,InicioCiclo,$S21+MOD(2-WEEKDAY($S21),7))+20),1,MIN(1,MAX(0,IF(ISNUMBER(OFFSET($A$1,ROW()-1,10)),OFFSET($A$1,ROW()-1,10),IF(ISNUMBER(OFFSET($A$1,ROW()-1,9)),OFFSET($A$1,ROW()-1,9),IF(ISNUMBER(OFFSET($A$1,ROW()-1,8)),OFFSET($A$1,ROW()-1,8),0)))))))</f>
        <v/>
      </c>
      <c r="AG21" s="62">
        <f>IF($V21&lt;&gt;"Sub","",N($X21)*IF(AND(ISNUMBER($G21),$G21&lt;=IF($S21=MesCiclo,InicioCiclo,$S21+MOD(2-WEEKDAY($S21),7))+27),1,MIN(1,MAX(0,IF(ISNUMBER(OFFSET($A$1,ROW()-1,11)),OFFSET($A$1,ROW()-1,11),IF(ISNUMBER(OFFSET($A$1,ROW()-1,10)),OFFSET($A$1,ROW()-1,10),IF(ISNUMBER(OFFSET($A$1,ROW()-1,9)),OFFSET($A$1,ROW()-1,9),IF(ISNUMBER(OFFSET($A$1,ROW()-1,8)),OFFSET($A$1,ROW()-1,8),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",IFERROR(MATCH("Riesgo Normativo|"&amp;MID($C21,12,500),rDname_ADM,0),0),"")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f>IF(N($AQ22)&gt;0,INDEX(rIni_ADM,$AQ22),"")</f>
        <v/>
      </c>
      <c r="F22" s="59">
        <f>IF(N($AQ22)&gt;0,INDEX(rLim_ADM,$AQ22),"")</f>
        <v/>
      </c>
      <c r="G22" s="59" t="n"/>
      <c r="H22" s="60" t="n"/>
      <c r="I22" s="60">
        <f>IF(N($W22)=0,"",IF(AND($S22=MesCiclo,1&gt;SemanaActual),"",MIN(1,SUMIFS(OFFSET($A$1,ROW(),29,1000-ROW(),1),OFFSET($A$1,ROW(),20,1000-ROW(),1),ROW(),OFFSET($A$1,ROW(),21,1000-ROW(),1),"Sub"))))</f>
        <v/>
      </c>
      <c r="J22" s="60">
        <f>IF(N($W22)=0,"",IF(AND($S22=MesCiclo,2&gt;SemanaActual),"",MIN(1,SUMIFS(OFFSET($A$1,ROW(),30,1000-ROW(),1),OFFSET($A$1,ROW(),20,1000-ROW(),1),ROW(),OFFSET($A$1,ROW(),21,1000-ROW(),1),"Sub"))))</f>
        <v/>
      </c>
      <c r="K22" s="60">
        <f>IF(N($W22)=0,"",IF(AND($S22=MesCiclo,3&gt;SemanaActual),"",MIN(1,SUMIFS(OFFSET($A$1,ROW(),31,1000-ROW(),1),OFFSET($A$1,ROW(),20,1000-ROW(),1),ROW(),OFFSET($A$1,ROW(),21,1000-ROW(),1),"Sub"))))</f>
        <v/>
      </c>
      <c r="L22" s="60">
        <f>IF(N($W22)=0,"",IF(AND($S22=MesCiclo,4&gt;SemanaActual),"",MIN(1,SUMIFS(OFFSET($A$1,ROW(),32,1000-ROW(),1),OFFSET($A$1,ROW(),20,1000-ROW(),1),ROW(),OFFSET($A$1,ROW(),21,1000-ROW(),1),"Sub"))))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IF($V22&lt;&gt;"Sub","",N($X22)*IF(AND(ISNUMBER($G22),$G22&lt;=IF($S22=MesCiclo,InicioCiclo,$S22+MOD(2-WEEKDAY($S22),7))+6),1,MIN(1,MAX(0,IF(ISNUMBER(OFFSET($A$1,ROW()-1,8)),OFFSET($A$1,ROW()-1,8),0)))))</f>
        <v/>
      </c>
      <c r="AE22" s="62">
        <f>IF($V22&lt;&gt;"Sub","",N($X22)*IF(AND(ISNUMBER($G22),$G22&lt;=IF($S22=MesCiclo,InicioCiclo,$S22+MOD(2-WEEKDAY($S22),7))+13),1,MIN(1,MAX(0,IF(ISNUMBER(OFFSET($A$1,ROW()-1,9)),OFFSET($A$1,ROW()-1,9),IF(ISNUMBER(OFFSET($A$1,ROW()-1,8)),OFFSET($A$1,ROW()-1,8),0))))))</f>
        <v/>
      </c>
      <c r="AF22" s="62">
        <f>IF($V22&lt;&gt;"Sub","",N($X22)*IF(AND(ISNUMBER($G22),$G22&lt;=IF($S22=MesCiclo,InicioCiclo,$S22+MOD(2-WEEKDAY($S22),7))+20),1,MIN(1,MAX(0,IF(ISNUMBER(OFFSET($A$1,ROW()-1,10)),OFFSET($A$1,ROW()-1,10),IF(ISNUMBER(OFFSET($A$1,ROW()-1,9)),OFFSET($A$1,ROW()-1,9),IF(ISNUMBER(OFFSET($A$1,ROW()-1,8)),OFFSET($A$1,ROW()-1,8),0)))))))</f>
        <v/>
      </c>
      <c r="AG22" s="62">
        <f>IF($V22&lt;&gt;"Sub","",N($X22)*IF(AND(ISNUMBER($G22),$G22&lt;=IF($S22=MesCiclo,InicioCiclo,$S22+MOD(2-WEEKDAY($S22),7))+27),1,MIN(1,MAX(0,IF(ISNUMBER(OFFSET($A$1,ROW()-1,11)),OFFSET($A$1,ROW()-1,11),IF(ISNUMBER(OFFSET($A$1,ROW()-1,10)),OFFSET($A$1,ROW()-1,10),IF(ISNUMBER(OFFSET($A$1,ROW()-1,9)),OFFSET($A$1,ROW()-1,9),IF(ISNUMBER(OFFSET($A$1,ROW()-1,8)),OFFSET($A$1,ROW()-1,8),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",IFERROR(MATCH("Riesgo Normativo|"&amp;MID($C22,12,500),rDname_ADM,0),0),"")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f>IF(N($AQ23)&gt;0,INDEX(rIni_ADM,$AQ23),"")</f>
        <v/>
      </c>
      <c r="F23" s="59">
        <f>IF(N($AQ23)&gt;0,INDEX(rLim_ADM,$AQ23),"")</f>
        <v/>
      </c>
      <c r="G23" s="59" t="n"/>
      <c r="H23" s="60" t="n"/>
      <c r="I23" s="60">
        <f>IF(N($W23)=0,"",IF(AND($S23=MesCiclo,1&gt;SemanaActual),"",MIN(1,SUMIFS(OFFSET($A$1,ROW(),29,1000-ROW(),1),OFFSET($A$1,ROW(),20,1000-ROW(),1),ROW(),OFFSET($A$1,ROW(),21,1000-ROW(),1),"Sub"))))</f>
        <v/>
      </c>
      <c r="J23" s="60">
        <f>IF(N($W23)=0,"",IF(AND($S23=MesCiclo,2&gt;SemanaActual),"",MIN(1,SUMIFS(OFFSET($A$1,ROW(),30,1000-ROW(),1),OFFSET($A$1,ROW(),20,1000-ROW(),1),ROW(),OFFSET($A$1,ROW(),21,1000-ROW(),1),"Sub"))))</f>
        <v/>
      </c>
      <c r="K23" s="60">
        <f>IF(N($W23)=0,"",IF(AND($S23=MesCiclo,3&gt;SemanaActual),"",MIN(1,SUMIFS(OFFSET($A$1,ROW(),31,1000-ROW(),1),OFFSET($A$1,ROW(),20,1000-ROW(),1),ROW(),OFFSET($A$1,ROW(),21,1000-ROW(),1),"Sub"))))</f>
        <v/>
      </c>
      <c r="L23" s="60">
        <f>IF(N($W23)=0,"",IF(AND($S23=MesCiclo,4&gt;SemanaActual),"",MIN(1,SUMIFS(OFFSET($A$1,ROW(),32,1000-ROW(),1),OFFSET($A$1,ROW(),20,1000-ROW(),1),ROW(),OFFSET($A$1,ROW(),21,1000-ROW(),1),"Sub"))))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IF($V23&lt;&gt;"Sub","",N($X23)*IF(AND(ISNUMBER($G23),$G23&lt;=IF($S23=MesCiclo,InicioCiclo,$S23+MOD(2-WEEKDAY($S23),7))+6),1,MIN(1,MAX(0,IF(ISNUMBER(OFFSET($A$1,ROW()-1,8)),OFFSET($A$1,ROW()-1,8),0)))))</f>
        <v/>
      </c>
      <c r="AE23" s="62">
        <f>IF($V23&lt;&gt;"Sub","",N($X23)*IF(AND(ISNUMBER($G23),$G23&lt;=IF($S23=MesCiclo,InicioCiclo,$S23+MOD(2-WEEKDAY($S23),7))+13),1,MIN(1,MAX(0,IF(ISNUMBER(OFFSET($A$1,ROW()-1,9)),OFFSET($A$1,ROW()-1,9),IF(ISNUMBER(OFFSET($A$1,ROW()-1,8)),OFFSET($A$1,ROW()-1,8),0))))))</f>
        <v/>
      </c>
      <c r="AF23" s="62">
        <f>IF($V23&lt;&gt;"Sub","",N($X23)*IF(AND(ISNUMBER($G23),$G23&lt;=IF($S23=MesCiclo,InicioCiclo,$S23+MOD(2-WEEKDAY($S23),7))+20),1,MIN(1,MAX(0,IF(ISNUMBER(OFFSET($A$1,ROW()-1,10)),OFFSET($A$1,ROW()-1,10),IF(ISNUMBER(OFFSET($A$1,ROW()-1,9)),OFFSET($A$1,ROW()-1,9),IF(ISNUMBER(OFFSET($A$1,ROW()-1,8)),OFFSET($A$1,ROW()-1,8),0)))))))</f>
        <v/>
      </c>
      <c r="AG23" s="62">
        <f>IF($V23&lt;&gt;"Sub","",N($X23)*IF(AND(ISNUMBER($G23),$G23&lt;=IF($S23=MesCiclo,InicioCiclo,$S23+MOD(2-WEEKDAY($S23),7))+27),1,MIN(1,MAX(0,IF(ISNUMBER(OFFSET($A$1,ROW()-1,11)),OFFSET($A$1,ROW()-1,11),IF(ISNUMBER(OFFSET($A$1,ROW()-1,10)),OFFSET($A$1,ROW()-1,10),IF(ISNUMBER(OFFSET($A$1,ROW()-1,9)),OFFSET($A$1,ROW()-1,9),IF(ISNUMBER(OFFSET($A$1,ROW()-1,8)),OFFSET($A$1,ROW()-1,8),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",IFERROR(MATCH("Riesgo Normativo|"&amp;MID($C23,12,500),rDname_ADM,0),0),"")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IF(N($W24)=0,"",IF(AND($S24=MesCiclo,1&gt;SemanaActual),"",MIN(1,SUMIFS(OFFSET($A$1,ROW(),29,1000-ROW(),1),OFFSET($A$1,ROW(),20,1000-ROW(),1),ROW(),OFFSET($A$1,ROW(),21,1000-ROW(),1),"Sub"))))</f>
        <v/>
      </c>
      <c r="J24" s="60">
        <f>IF(N($W24)=0,"",IF(AND($S24=MesCiclo,2&gt;SemanaActual),"",MIN(1,SUMIFS(OFFSET($A$1,ROW(),30,1000-ROW(),1),OFFSET($A$1,ROW(),20,1000-ROW(),1),ROW(),OFFSET($A$1,ROW(),21,1000-ROW(),1),"Sub"))))</f>
        <v/>
      </c>
      <c r="K24" s="60">
        <f>IF(N($W24)=0,"",IF(AND($S24=MesCiclo,3&gt;SemanaActual),"",MIN(1,SUMIFS(OFFSET($A$1,ROW(),31,1000-ROW(),1),OFFSET($A$1,ROW(),20,1000-ROW(),1),ROW(),OFFSET($A$1,ROW(),21,1000-ROW(),1),"Sub"))))</f>
        <v/>
      </c>
      <c r="L24" s="60">
        <f>IF(N($W24)=0,"",IF(AND($S24=MesCiclo,4&gt;SemanaActual),"",MIN(1,SUMIFS(OFFSET($A$1,ROW(),32,1000-ROW(),1),OFFSET($A$1,ROW(),20,1000-ROW(),1),ROW(),OFFSET($A$1,ROW(),21,1000-ROW(),1),"Sub"))))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IF($V24&lt;&gt;"Sub","",N($X24)*IF(AND(ISNUMBER($G24),$G24&lt;=IF($S24=MesCiclo,InicioCiclo,$S24+MOD(2-WEEKDAY($S24),7))+6),1,MIN(1,MAX(0,IF(ISNUMBER(OFFSET($A$1,ROW()-1,8)),OFFSET($A$1,ROW()-1,8),0)))))</f>
        <v/>
      </c>
      <c r="AE24" s="62">
        <f>IF($V24&lt;&gt;"Sub","",N($X24)*IF(AND(ISNUMBER($G24),$G24&lt;=IF($S24=MesCiclo,InicioCiclo,$S24+MOD(2-WEEKDAY($S24),7))+13),1,MIN(1,MAX(0,IF(ISNUMBER(OFFSET($A$1,ROW()-1,9)),OFFSET($A$1,ROW()-1,9),IF(ISNUMBER(OFFSET($A$1,ROW()-1,8)),OFFSET($A$1,ROW()-1,8),0))))))</f>
        <v/>
      </c>
      <c r="AF24" s="62">
        <f>IF($V24&lt;&gt;"Sub","",N($X24)*IF(AND(ISNUMBER($G24),$G24&lt;=IF($S24=MesCiclo,InicioCiclo,$S24+MOD(2-WEEKDAY($S24),7))+20),1,MIN(1,MAX(0,IF(ISNUMBER(OFFSET($A$1,ROW()-1,10)),OFFSET($A$1,ROW()-1,10),IF(ISNUMBER(OFFSET($A$1,ROW()-1,9)),OFFSET($A$1,ROW()-1,9),IF(ISNUMBER(OFFSET($A$1,ROW()-1,8)),OFFSET($A$1,ROW()-1,8),0)))))))</f>
        <v/>
      </c>
      <c r="AG24" s="62">
        <f>IF($V24&lt;&gt;"Sub","",N($X24)*IF(AND(ISNUMBER($G24),$G24&lt;=IF($S24=MesCiclo,InicioCiclo,$S24+MOD(2-WEEKDAY($S24),7))+27),1,MIN(1,MAX(0,IF(ISNUMBER(OFFSET($A$1,ROW()-1,11)),OFFSET($A$1,ROW()-1,11),IF(ISNUMBER(OFFSET($A$1,ROW()-1,10)),OFFSET($A$1,ROW()-1,10),IF(ISNUMBER(OFFSET($A$1,ROW()-1,9)),OFFSET($A$1,ROW()-1,9),IF(ISNUMBER(OFFSET($A$1,ROW()-1,8)),OFFSET($A$1,ROW()-1,8),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",IFERROR(MATCH("Riesgo Normativo|"&amp;MID($C24,12,500),rDname_ADM,0),0),"")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IF(N($W25)=0,"",IF(AND($S25=MesCiclo,1&gt;SemanaActual),"",MIN(1,SUMIFS(OFFSET($A$1,ROW(),29,1000-ROW(),1),OFFSET($A$1,ROW(),20,1000-ROW(),1),ROW(),OFFSET($A$1,ROW(),21,1000-ROW(),1),"Sub"))))</f>
        <v/>
      </c>
      <c r="J25" s="60">
        <f>IF(N($W25)=0,"",IF(AND($S25=MesCiclo,2&gt;SemanaActual),"",MIN(1,SUMIFS(OFFSET($A$1,ROW(),30,1000-ROW(),1),OFFSET($A$1,ROW(),20,1000-ROW(),1),ROW(),OFFSET($A$1,ROW(),21,1000-ROW(),1),"Sub"))))</f>
        <v/>
      </c>
      <c r="K25" s="60">
        <f>IF(N($W25)=0,"",IF(AND($S25=MesCiclo,3&gt;SemanaActual),"",MIN(1,SUMIFS(OFFSET($A$1,ROW(),31,1000-ROW(),1),OFFSET($A$1,ROW(),20,1000-ROW(),1),ROW(),OFFSET($A$1,ROW(),21,1000-ROW(),1),"Sub"))))</f>
        <v/>
      </c>
      <c r="L25" s="60">
        <f>IF(N($W25)=0,"",IF(AND($S25=MesCiclo,4&gt;SemanaActual),"",MIN(1,SUMIFS(OFFSET($A$1,ROW(),32,1000-ROW(),1),OFFSET($A$1,ROW(),20,1000-ROW(),1),ROW(),OFFSET($A$1,ROW(),21,1000-ROW(),1),"Sub"))))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IF($V25&lt;&gt;"Sub","",N($X25)*IF(AND(ISNUMBER($G25),$G25&lt;=IF($S25=MesCiclo,InicioCiclo,$S25+MOD(2-WEEKDAY($S25),7))+6),1,MIN(1,MAX(0,IF(ISNUMBER(OFFSET($A$1,ROW()-1,8)),OFFSET($A$1,ROW()-1,8),0)))))</f>
        <v/>
      </c>
      <c r="AE25" s="62">
        <f>IF($V25&lt;&gt;"Sub","",N($X25)*IF(AND(ISNUMBER($G25),$G25&lt;=IF($S25=MesCiclo,InicioCiclo,$S25+MOD(2-WEEKDAY($S25),7))+13),1,MIN(1,MAX(0,IF(ISNUMBER(OFFSET($A$1,ROW()-1,9)),OFFSET($A$1,ROW()-1,9),IF(ISNUMBER(OFFSET($A$1,ROW()-1,8)),OFFSET($A$1,ROW()-1,8),0))))))</f>
        <v/>
      </c>
      <c r="AF25" s="62">
        <f>IF($V25&lt;&gt;"Sub","",N($X25)*IF(AND(ISNUMBER($G25),$G25&lt;=IF($S25=MesCiclo,InicioCiclo,$S25+MOD(2-WEEKDAY($S25),7))+20),1,MIN(1,MAX(0,IF(ISNUMBER(OFFSET($A$1,ROW()-1,10)),OFFSET($A$1,ROW()-1,10),IF(ISNUMBER(OFFSET($A$1,ROW()-1,9)),OFFSET($A$1,ROW()-1,9),IF(ISNUMBER(OFFSET($A$1,ROW()-1,8)),OFFSET($A$1,ROW()-1,8),0)))))))</f>
        <v/>
      </c>
      <c r="AG25" s="62">
        <f>IF($V25&lt;&gt;"Sub","",N($X25)*IF(AND(ISNUMBER($G25),$G25&lt;=IF($S25=MesCiclo,InicioCiclo,$S25+MOD(2-WEEKDAY($S25),7))+27),1,MIN(1,MAX(0,IF(ISNUMBER(OFFSET($A$1,ROW()-1,11)),OFFSET($A$1,ROW()-1,11),IF(ISNUMBER(OFFSET($A$1,ROW()-1,10)),OFFSET($A$1,ROW()-1,10),IF(ISNUMBER(OFFSET($A$1,ROW()-1,9)),OFFSET($A$1,ROW()-1,9),IF(ISNUMBER(OFFSET($A$1,ROW()-1,8)),OFFSET($A$1,ROW()-1,8),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",IFERROR(MATCH("Riesgo Normativo|"&amp;MID($C25,12,500),rDname_ADM,0),0),"")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IF(N($W26)=0,"",IF(AND($S26=MesCiclo,1&gt;SemanaActual),"",MIN(1,SUMIFS(OFFSET($A$1,ROW(),29,1000-ROW(),1),OFFSET($A$1,ROW(),20,1000-ROW(),1),ROW(),OFFSET($A$1,ROW(),21,1000-ROW(),1),"Sub"))))</f>
        <v/>
      </c>
      <c r="J26" s="60">
        <f>IF(N($W26)=0,"",IF(AND($S26=MesCiclo,2&gt;SemanaActual),"",MIN(1,SUMIFS(OFFSET($A$1,ROW(),30,1000-ROW(),1),OFFSET($A$1,ROW(),20,1000-ROW(),1),ROW(),OFFSET($A$1,ROW(),21,1000-ROW(),1),"Sub"))))</f>
        <v/>
      </c>
      <c r="K26" s="60">
        <f>IF(N($W26)=0,"",IF(AND($S26=MesCiclo,3&gt;SemanaActual),"",MIN(1,SUMIFS(OFFSET($A$1,ROW(),31,1000-ROW(),1),OFFSET($A$1,ROW(),20,1000-ROW(),1),ROW(),OFFSET($A$1,ROW(),21,1000-ROW(),1),"Sub"))))</f>
        <v/>
      </c>
      <c r="L26" s="60">
        <f>IF(N($W26)=0,"",IF(AND($S26=MesCiclo,4&gt;SemanaActual),"",MIN(1,SUMIFS(OFFSET($A$1,ROW(),32,1000-ROW(),1),OFFSET($A$1,ROW(),20,1000-ROW(),1),ROW(),OFFSET($A$1,ROW(),21,1000-ROW(),1),"Sub"))))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IF($V26&lt;&gt;"Sub","",N($X26)*IF(AND(ISNUMBER($G26),$G26&lt;=IF($S26=MesCiclo,InicioCiclo,$S26+MOD(2-WEEKDAY($S26),7))+6),1,MIN(1,MAX(0,IF(ISNUMBER(OFFSET($A$1,ROW()-1,8)),OFFSET($A$1,ROW()-1,8),0)))))</f>
        <v/>
      </c>
      <c r="AE26" s="62">
        <f>IF($V26&lt;&gt;"Sub","",N($X26)*IF(AND(ISNUMBER($G26),$G26&lt;=IF($S26=MesCiclo,InicioCiclo,$S26+MOD(2-WEEKDAY($S26),7))+13),1,MIN(1,MAX(0,IF(ISNUMBER(OFFSET($A$1,ROW()-1,9)),OFFSET($A$1,ROW()-1,9),IF(ISNUMBER(OFFSET($A$1,ROW()-1,8)),OFFSET($A$1,ROW()-1,8),0))))))</f>
        <v/>
      </c>
      <c r="AF26" s="62">
        <f>IF($V26&lt;&gt;"Sub","",N($X26)*IF(AND(ISNUMBER($G26),$G26&lt;=IF($S26=MesCiclo,InicioCiclo,$S26+MOD(2-WEEKDAY($S26),7))+20),1,MIN(1,MAX(0,IF(ISNUMBER(OFFSET($A$1,ROW()-1,10)),OFFSET($A$1,ROW()-1,10),IF(ISNUMBER(OFFSET($A$1,ROW()-1,9)),OFFSET($A$1,ROW()-1,9),IF(ISNUMBER(OFFSET($A$1,ROW()-1,8)),OFFSET($A$1,ROW()-1,8),0)))))))</f>
        <v/>
      </c>
      <c r="AG26" s="62">
        <f>IF($V26&lt;&gt;"Sub","",N($X26)*IF(AND(ISNUMBER($G26),$G26&lt;=IF($S26=MesCiclo,InicioCiclo,$S26+MOD(2-WEEKDAY($S26),7))+27),1,MIN(1,MAX(0,IF(ISNUMBER(OFFSET($A$1,ROW()-1,11)),OFFSET($A$1,ROW()-1,11),IF(ISNUMBER(OFFSET($A$1,ROW()-1,10)),OFFSET($A$1,ROW()-1,10),IF(ISNUMBER(OFFSET($A$1,ROW()-1,9)),OFFSET($A$1,ROW()-1,9),IF(ISNUMBER(OFFSET($A$1,ROW()-1,8)),OFFSET($A$1,ROW()-1,8),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",IFERROR(MATCH("Riesgo Normativo|"&amp;MID($C26,12,500),rDname_ADM,0),0),"")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IF(N($W27)=0,"",IF(AND($S27=MesCiclo,1&gt;SemanaActual),"",MIN(1,SUMIFS(OFFSET($A$1,ROW(),29,1000-ROW(),1),OFFSET($A$1,ROW(),20,1000-ROW(),1),ROW(),OFFSET($A$1,ROW(),21,1000-ROW(),1),"Sub"))))</f>
        <v/>
      </c>
      <c r="J27" s="60">
        <f>IF(N($W27)=0,"",IF(AND($S27=MesCiclo,2&gt;SemanaActual),"",MIN(1,SUMIFS(OFFSET($A$1,ROW(),30,1000-ROW(),1),OFFSET($A$1,ROW(),20,1000-ROW(),1),ROW(),OFFSET($A$1,ROW(),21,1000-ROW(),1),"Sub"))))</f>
        <v/>
      </c>
      <c r="K27" s="60">
        <f>IF(N($W27)=0,"",IF(AND($S27=MesCiclo,3&gt;SemanaActual),"",MIN(1,SUMIFS(OFFSET($A$1,ROW(),31,1000-ROW(),1),OFFSET($A$1,ROW(),20,1000-ROW(),1),ROW(),OFFSET($A$1,ROW(),21,1000-ROW(),1),"Sub"))))</f>
        <v/>
      </c>
      <c r="L27" s="60">
        <f>IF(N($W27)=0,"",IF(AND($S27=MesCiclo,4&gt;SemanaActual),"",MIN(1,SUMIFS(OFFSET($A$1,ROW(),32,1000-ROW(),1),OFFSET($A$1,ROW(),20,1000-ROW(),1),ROW(),OFFSET($A$1,ROW(),21,1000-ROW(),1),"Sub"))))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IF($V27&lt;&gt;"Sub","",N($X27)*IF(AND(ISNUMBER($G27),$G27&lt;=IF($S27=MesCiclo,InicioCiclo,$S27+MOD(2-WEEKDAY($S27),7))+6),1,MIN(1,MAX(0,IF(ISNUMBER(OFFSET($A$1,ROW()-1,8)),OFFSET($A$1,ROW()-1,8),0)))))</f>
        <v/>
      </c>
      <c r="AE27" s="62">
        <f>IF($V27&lt;&gt;"Sub","",N($X27)*IF(AND(ISNUMBER($G27),$G27&lt;=IF($S27=MesCiclo,InicioCiclo,$S27+MOD(2-WEEKDAY($S27),7))+13),1,MIN(1,MAX(0,IF(ISNUMBER(OFFSET($A$1,ROW()-1,9)),OFFSET($A$1,ROW()-1,9),IF(ISNUMBER(OFFSET($A$1,ROW()-1,8)),OFFSET($A$1,ROW()-1,8),0))))))</f>
        <v/>
      </c>
      <c r="AF27" s="62">
        <f>IF($V27&lt;&gt;"Sub","",N($X27)*IF(AND(ISNUMBER($G27),$G27&lt;=IF($S27=MesCiclo,InicioCiclo,$S27+MOD(2-WEEKDAY($S27),7))+20),1,MIN(1,MAX(0,IF(ISNUMBER(OFFSET($A$1,ROW()-1,10)),OFFSET($A$1,ROW()-1,10),IF(ISNUMBER(OFFSET($A$1,ROW()-1,9)),OFFSET($A$1,ROW()-1,9),IF(ISNUMBER(OFFSET($A$1,ROW()-1,8)),OFFSET($A$1,ROW()-1,8),0)))))))</f>
        <v/>
      </c>
      <c r="AG27" s="62">
        <f>IF($V27&lt;&gt;"Sub","",N($X27)*IF(AND(ISNUMBER($G27),$G27&lt;=IF($S27=MesCiclo,InicioCiclo,$S27+MOD(2-WEEKDAY($S27),7))+27),1,MIN(1,MAX(0,IF(ISNUMBER(OFFSET($A$1,ROW()-1,11)),OFFSET($A$1,ROW()-1,11),IF(ISNUMBER(OFFSET($A$1,ROW()-1,10)),OFFSET($A$1,ROW()-1,10),IF(ISNUMBER(OFFSET($A$1,ROW()-1,9)),OFFSET($A$1,ROW()-1,9),IF(ISNUMBER(OFFSET($A$1,ROW()-1,8)),OFFSET($A$1,ROW()-1,8),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",IFERROR(MATCH("Riesgo Normativo|"&amp;MID($C27,12,500),rDname_ADM,0),0),"")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IF(N($W28)=0,"",IF(AND($S28=MesCiclo,1&gt;SemanaActual),"",MIN(1,SUMIFS(OFFSET($A$1,ROW(),29,1000-ROW(),1),OFFSET($A$1,ROW(),20,1000-ROW(),1),ROW(),OFFSET($A$1,ROW(),21,1000-ROW(),1),"Sub"))))</f>
        <v/>
      </c>
      <c r="J28" s="60">
        <f>IF(N($W28)=0,"",IF(AND($S28=MesCiclo,2&gt;SemanaActual),"",MIN(1,SUMIFS(OFFSET($A$1,ROW(),30,1000-ROW(),1),OFFSET($A$1,ROW(),20,1000-ROW(),1),ROW(),OFFSET($A$1,ROW(),21,1000-ROW(),1),"Sub"))))</f>
        <v/>
      </c>
      <c r="K28" s="60">
        <f>IF(N($W28)=0,"",IF(AND($S28=MesCiclo,3&gt;SemanaActual),"",MIN(1,SUMIFS(OFFSET($A$1,ROW(),31,1000-ROW(),1),OFFSET($A$1,ROW(),20,1000-ROW(),1),ROW(),OFFSET($A$1,ROW(),21,1000-ROW(),1),"Sub"))))</f>
        <v/>
      </c>
      <c r="L28" s="60">
        <f>IF(N($W28)=0,"",IF(AND($S28=MesCiclo,4&gt;SemanaActual),"",MIN(1,SUMIFS(OFFSET($A$1,ROW(),32,1000-ROW(),1),OFFSET($A$1,ROW(),20,1000-ROW(),1),ROW(),OFFSET($A$1,ROW(),21,1000-ROW(),1),"Sub"))))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IF($V28&lt;&gt;"Sub","",N($X28)*IF(AND(ISNUMBER($G28),$G28&lt;=IF($S28=MesCiclo,InicioCiclo,$S28+MOD(2-WEEKDAY($S28),7))+6),1,MIN(1,MAX(0,IF(ISNUMBER(OFFSET($A$1,ROW()-1,8)),OFFSET($A$1,ROW()-1,8),0)))))</f>
        <v/>
      </c>
      <c r="AE28" s="62">
        <f>IF($V28&lt;&gt;"Sub","",N($X28)*IF(AND(ISNUMBER($G28),$G28&lt;=IF($S28=MesCiclo,InicioCiclo,$S28+MOD(2-WEEKDAY($S28),7))+13),1,MIN(1,MAX(0,IF(ISNUMBER(OFFSET($A$1,ROW()-1,9)),OFFSET($A$1,ROW()-1,9),IF(ISNUMBER(OFFSET($A$1,ROW()-1,8)),OFFSET($A$1,ROW()-1,8),0))))))</f>
        <v/>
      </c>
      <c r="AF28" s="62">
        <f>IF($V28&lt;&gt;"Sub","",N($X28)*IF(AND(ISNUMBER($G28),$G28&lt;=IF($S28=MesCiclo,InicioCiclo,$S28+MOD(2-WEEKDAY($S28),7))+20),1,MIN(1,MAX(0,IF(ISNUMBER(OFFSET($A$1,ROW()-1,10)),OFFSET($A$1,ROW()-1,10),IF(ISNUMBER(OFFSET($A$1,ROW()-1,9)),OFFSET($A$1,ROW()-1,9),IF(ISNUMBER(OFFSET($A$1,ROW()-1,8)),OFFSET($A$1,ROW()-1,8),0)))))))</f>
        <v/>
      </c>
      <c r="AG28" s="62">
        <f>IF($V28&lt;&gt;"Sub","",N($X28)*IF(AND(ISNUMBER($G28),$G28&lt;=IF($S28=MesCiclo,InicioCiclo,$S28+MOD(2-WEEKDAY($S28),7))+27),1,MIN(1,MAX(0,IF(ISNUMBER(OFFSET($A$1,ROW()-1,11)),OFFSET($A$1,ROW()-1,11),IF(ISNUMBER(OFFSET($A$1,ROW()-1,10)),OFFSET($A$1,ROW()-1,10),IF(ISNUMBER(OFFSET($A$1,ROW()-1,9)),OFFSET($A$1,ROW()-1,9),IF(ISNUMBER(OFFSET($A$1,ROW()-1,8)),OFFSET($A$1,ROW()-1,8),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",IFERROR(MATCH("Riesgo Normativo|"&amp;MID($C28,12,500),rDname_ADM,0),0),"")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IF(N($W29)=0,"",IF(AND($S29=MesCiclo,1&gt;SemanaActual),"",MIN(1,SUMIFS(OFFSET($A$1,ROW(),29,1000-ROW(),1),OFFSET($A$1,ROW(),20,1000-ROW(),1),ROW(),OFFSET($A$1,ROW(),21,1000-ROW(),1),"Sub"))))</f>
        <v/>
      </c>
      <c r="J29" s="60">
        <f>IF(N($W29)=0,"",IF(AND($S29=MesCiclo,2&gt;SemanaActual),"",MIN(1,SUMIFS(OFFSET($A$1,ROW(),30,1000-ROW(),1),OFFSET($A$1,ROW(),20,1000-ROW(),1),ROW(),OFFSET($A$1,ROW(),21,1000-ROW(),1),"Sub"))))</f>
        <v/>
      </c>
      <c r="K29" s="60">
        <f>IF(N($W29)=0,"",IF(AND($S29=MesCiclo,3&gt;SemanaActual),"",MIN(1,SUMIFS(OFFSET($A$1,ROW(),31,1000-ROW(),1),OFFSET($A$1,ROW(),20,1000-ROW(),1),ROW(),OFFSET($A$1,ROW(),21,1000-ROW(),1),"Sub"))))</f>
        <v/>
      </c>
      <c r="L29" s="60">
        <f>IF(N($W29)=0,"",IF(AND($S29=MesCiclo,4&gt;SemanaActual),"",MIN(1,SUMIFS(OFFSET($A$1,ROW(),32,1000-ROW(),1),OFFSET($A$1,ROW(),20,1000-ROW(),1),ROW(),OFFSET($A$1,ROW(),21,1000-ROW(),1),"Sub"))))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IF($V29&lt;&gt;"Sub","",N($X29)*IF(AND(ISNUMBER($G29),$G29&lt;=IF($S29=MesCiclo,InicioCiclo,$S29+MOD(2-WEEKDAY($S29),7))+6),1,MIN(1,MAX(0,IF(ISNUMBER(OFFSET($A$1,ROW()-1,8)),OFFSET($A$1,ROW()-1,8),0)))))</f>
        <v/>
      </c>
      <c r="AE29" s="62">
        <f>IF($V29&lt;&gt;"Sub","",N($X29)*IF(AND(ISNUMBER($G29),$G29&lt;=IF($S29=MesCiclo,InicioCiclo,$S29+MOD(2-WEEKDAY($S29),7))+13),1,MIN(1,MAX(0,IF(ISNUMBER(OFFSET($A$1,ROW()-1,9)),OFFSET($A$1,ROW()-1,9),IF(ISNUMBER(OFFSET($A$1,ROW()-1,8)),OFFSET($A$1,ROW()-1,8),0))))))</f>
        <v/>
      </c>
      <c r="AF29" s="62">
        <f>IF($V29&lt;&gt;"Sub","",N($X29)*IF(AND(ISNUMBER($G29),$G29&lt;=IF($S29=MesCiclo,InicioCiclo,$S29+MOD(2-WEEKDAY($S29),7))+20),1,MIN(1,MAX(0,IF(ISNUMBER(OFFSET($A$1,ROW()-1,10)),OFFSET($A$1,ROW()-1,10),IF(ISNUMBER(OFFSET($A$1,ROW()-1,9)),OFFSET($A$1,ROW()-1,9),IF(ISNUMBER(OFFSET($A$1,ROW()-1,8)),OFFSET($A$1,ROW()-1,8),0)))))))</f>
        <v/>
      </c>
      <c r="AG29" s="62">
        <f>IF($V29&lt;&gt;"Sub","",N($X29)*IF(AND(ISNUMBER($G29),$G29&lt;=IF($S29=MesCiclo,InicioCiclo,$S29+MOD(2-WEEKDAY($S29),7))+27),1,MIN(1,MAX(0,IF(ISNUMBER(OFFSET($A$1,ROW()-1,11)),OFFSET($A$1,ROW()-1,11),IF(ISNUMBER(OFFSET($A$1,ROW()-1,10)),OFFSET($A$1,ROW()-1,10),IF(ISNUMBER(OFFSET($A$1,ROW()-1,9)),OFFSET($A$1,ROW()-1,9),IF(ISNUMBER(OFFSET($A$1,ROW()-1,8)),OFFSET($A$1,ROW()-1,8),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",IFERROR(MATCH("Riesgo Normativo|"&amp;MID($C29,12,500),rDname_ADM,0),0),"")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IF(N($W30)=0,"",IF(AND($S30=MesCiclo,1&gt;SemanaActual),"",MIN(1,SUMIFS(OFFSET($A$1,ROW(),29,1000-ROW(),1),OFFSET($A$1,ROW(),20,1000-ROW(),1),ROW(),OFFSET($A$1,ROW(),21,1000-ROW(),1),"Sub"))))</f>
        <v/>
      </c>
      <c r="J30" s="60">
        <f>IF(N($W30)=0,"",IF(AND($S30=MesCiclo,2&gt;SemanaActual),"",MIN(1,SUMIFS(OFFSET($A$1,ROW(),30,1000-ROW(),1),OFFSET($A$1,ROW(),20,1000-ROW(),1),ROW(),OFFSET($A$1,ROW(),21,1000-ROW(),1),"Sub"))))</f>
        <v/>
      </c>
      <c r="K30" s="60">
        <f>IF(N($W30)=0,"",IF(AND($S30=MesCiclo,3&gt;SemanaActual),"",MIN(1,SUMIFS(OFFSET($A$1,ROW(),31,1000-ROW(),1),OFFSET($A$1,ROW(),20,1000-ROW(),1),ROW(),OFFSET($A$1,ROW(),21,1000-ROW(),1),"Sub"))))</f>
        <v/>
      </c>
      <c r="L30" s="60">
        <f>IF(N($W30)=0,"",IF(AND($S30=MesCiclo,4&gt;SemanaActual),"",MIN(1,SUMIFS(OFFSET($A$1,ROW(),32,1000-ROW(),1),OFFSET($A$1,ROW(),20,1000-ROW(),1),ROW(),OFFSET($A$1,ROW(),21,1000-ROW(),1),"Sub"))))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IF($V30&lt;&gt;"Sub","",N($X30)*IF(AND(ISNUMBER($G30),$G30&lt;=IF($S30=MesCiclo,InicioCiclo,$S30+MOD(2-WEEKDAY($S30),7))+6),1,MIN(1,MAX(0,IF(ISNUMBER(OFFSET($A$1,ROW()-1,8)),OFFSET($A$1,ROW()-1,8),0)))))</f>
        <v/>
      </c>
      <c r="AE30" s="62">
        <f>IF($V30&lt;&gt;"Sub","",N($X30)*IF(AND(ISNUMBER($G30),$G30&lt;=IF($S30=MesCiclo,InicioCiclo,$S30+MOD(2-WEEKDAY($S30),7))+13),1,MIN(1,MAX(0,IF(ISNUMBER(OFFSET($A$1,ROW()-1,9)),OFFSET($A$1,ROW()-1,9),IF(ISNUMBER(OFFSET($A$1,ROW()-1,8)),OFFSET($A$1,ROW()-1,8),0))))))</f>
        <v/>
      </c>
      <c r="AF30" s="62">
        <f>IF($V30&lt;&gt;"Sub","",N($X30)*IF(AND(ISNUMBER($G30),$G30&lt;=IF($S30=MesCiclo,InicioCiclo,$S30+MOD(2-WEEKDAY($S30),7))+20),1,MIN(1,MAX(0,IF(ISNUMBER(OFFSET($A$1,ROW()-1,10)),OFFSET($A$1,ROW()-1,10),IF(ISNUMBER(OFFSET($A$1,ROW()-1,9)),OFFSET($A$1,ROW()-1,9),IF(ISNUMBER(OFFSET($A$1,ROW()-1,8)),OFFSET($A$1,ROW()-1,8),0)))))))</f>
        <v/>
      </c>
      <c r="AG30" s="62">
        <f>IF($V30&lt;&gt;"Sub","",N($X30)*IF(AND(ISNUMBER($G30),$G30&lt;=IF($S30=MesCiclo,InicioCiclo,$S30+MOD(2-WEEKDAY($S30),7))+27),1,MIN(1,MAX(0,IF(ISNUMBER(OFFSET($A$1,ROW()-1,11)),OFFSET($A$1,ROW()-1,11),IF(ISNUMBER(OFFSET($A$1,ROW()-1,10)),OFFSET($A$1,ROW()-1,10),IF(ISNUMBER(OFFSET($A$1,ROW()-1,9)),OFFSET($A$1,ROW()-1,9),IF(ISNUMBER(OFFSET($A$1,ROW()-1,8)),OFFSET($A$1,ROW()-1,8),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",IFERROR(MATCH("Riesgo Normativo|"&amp;MID($C30,12,500),rDname_ADM,0),0),"")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IF(N($W31)=0,"",IF(AND($S31=MesCiclo,1&gt;SemanaActual),"",MIN(1,SUMIFS(OFFSET($A$1,ROW(),29,1000-ROW(),1),OFFSET($A$1,ROW(),20,1000-ROW(),1),ROW(),OFFSET($A$1,ROW(),21,1000-ROW(),1),"Sub"))))</f>
        <v/>
      </c>
      <c r="J31" s="60">
        <f>IF(N($W31)=0,"",IF(AND($S31=MesCiclo,2&gt;SemanaActual),"",MIN(1,SUMIFS(OFFSET($A$1,ROW(),30,1000-ROW(),1),OFFSET($A$1,ROW(),20,1000-ROW(),1),ROW(),OFFSET($A$1,ROW(),21,1000-ROW(),1),"Sub"))))</f>
        <v/>
      </c>
      <c r="K31" s="60">
        <f>IF(N($W31)=0,"",IF(AND($S31=MesCiclo,3&gt;SemanaActual),"",MIN(1,SUMIFS(OFFSET($A$1,ROW(),31,1000-ROW(),1),OFFSET($A$1,ROW(),20,1000-ROW(),1),ROW(),OFFSET($A$1,ROW(),21,1000-ROW(),1),"Sub"))))</f>
        <v/>
      </c>
      <c r="L31" s="60">
        <f>IF(N($W31)=0,"",IF(AND($S31=MesCiclo,4&gt;SemanaActual),"",MIN(1,SUMIFS(OFFSET($A$1,ROW(),32,1000-ROW(),1),OFFSET($A$1,ROW(),20,1000-ROW(),1),ROW(),OFFSET($A$1,ROW(),21,1000-ROW(),1),"Sub"))))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IF($V31&lt;&gt;"Sub","",N($X31)*IF(AND(ISNUMBER($G31),$G31&lt;=IF($S31=MesCiclo,InicioCiclo,$S31+MOD(2-WEEKDAY($S31),7))+6),1,MIN(1,MAX(0,IF(ISNUMBER(OFFSET($A$1,ROW()-1,8)),OFFSET($A$1,ROW()-1,8),0)))))</f>
        <v/>
      </c>
      <c r="AE31" s="62">
        <f>IF($V31&lt;&gt;"Sub","",N($X31)*IF(AND(ISNUMBER($G31),$G31&lt;=IF($S31=MesCiclo,InicioCiclo,$S31+MOD(2-WEEKDAY($S31),7))+13),1,MIN(1,MAX(0,IF(ISNUMBER(OFFSET($A$1,ROW()-1,9)),OFFSET($A$1,ROW()-1,9),IF(ISNUMBER(OFFSET($A$1,ROW()-1,8)),OFFSET($A$1,ROW()-1,8),0))))))</f>
        <v/>
      </c>
      <c r="AF31" s="62">
        <f>IF($V31&lt;&gt;"Sub","",N($X31)*IF(AND(ISNUMBER($G31),$G31&lt;=IF($S31=MesCiclo,InicioCiclo,$S31+MOD(2-WEEKDAY($S31),7))+20),1,MIN(1,MAX(0,IF(ISNUMBER(OFFSET($A$1,ROW()-1,10)),OFFSET($A$1,ROW()-1,10),IF(ISNUMBER(OFFSET($A$1,ROW()-1,9)),OFFSET($A$1,ROW()-1,9),IF(ISNUMBER(OFFSET($A$1,ROW()-1,8)),OFFSET($A$1,ROW()-1,8),0)))))))</f>
        <v/>
      </c>
      <c r="AG31" s="62">
        <f>IF($V31&lt;&gt;"Sub","",N($X31)*IF(AND(ISNUMBER($G31),$G31&lt;=IF($S31=MesCiclo,InicioCiclo,$S31+MOD(2-WEEKDAY($S31),7))+27),1,MIN(1,MAX(0,IF(ISNUMBER(OFFSET($A$1,ROW()-1,11)),OFFSET($A$1,ROW()-1,11),IF(ISNUMBER(OFFSET($A$1,ROW()-1,10)),OFFSET($A$1,ROW()-1,10),IF(ISNUMBER(OFFSET($A$1,ROW()-1,9)),OFFSET($A$1,ROW()-1,9),IF(ISNUMBER(OFFSET($A$1,ROW()-1,8)),OFFSET($A$1,ROW()-1,8),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",IFERROR(MATCH("Riesgo Normativo|"&amp;MID($C31,12,500),rDname_ADM,0),0),"")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IF(N($W32)=0,"",IF(AND($S32=MesCiclo,1&gt;SemanaActual),"",MIN(1,SUMIFS(OFFSET($A$1,ROW(),29,1000-ROW(),1),OFFSET($A$1,ROW(),20,1000-ROW(),1),ROW(),OFFSET($A$1,ROW(),21,1000-ROW(),1),"Sub"))))</f>
        <v/>
      </c>
      <c r="J32" s="60">
        <f>IF(N($W32)=0,"",IF(AND($S32=MesCiclo,2&gt;SemanaActual),"",MIN(1,SUMIFS(OFFSET($A$1,ROW(),30,1000-ROW(),1),OFFSET($A$1,ROW(),20,1000-ROW(),1),ROW(),OFFSET($A$1,ROW(),21,1000-ROW(),1),"Sub"))))</f>
        <v/>
      </c>
      <c r="K32" s="60">
        <f>IF(N($W32)=0,"",IF(AND($S32=MesCiclo,3&gt;SemanaActual),"",MIN(1,SUMIFS(OFFSET($A$1,ROW(),31,1000-ROW(),1),OFFSET($A$1,ROW(),20,1000-ROW(),1),ROW(),OFFSET($A$1,ROW(),21,1000-ROW(),1),"Sub"))))</f>
        <v/>
      </c>
      <c r="L32" s="60">
        <f>IF(N($W32)=0,"",IF(AND($S32=MesCiclo,4&gt;SemanaActual),"",MIN(1,SUMIFS(OFFSET($A$1,ROW(),32,1000-ROW(),1),OFFSET($A$1,ROW(),20,1000-ROW(),1),ROW(),OFFSET($A$1,ROW(),21,1000-ROW(),1),"Sub"))))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IF($V32&lt;&gt;"Sub","",N($X32)*IF(AND(ISNUMBER($G32),$G32&lt;=IF($S32=MesCiclo,InicioCiclo,$S32+MOD(2-WEEKDAY($S32),7))+6),1,MIN(1,MAX(0,IF(ISNUMBER(OFFSET($A$1,ROW()-1,8)),OFFSET($A$1,ROW()-1,8),0)))))</f>
        <v/>
      </c>
      <c r="AE32" s="62">
        <f>IF($V32&lt;&gt;"Sub","",N($X32)*IF(AND(ISNUMBER($G32),$G32&lt;=IF($S32=MesCiclo,InicioCiclo,$S32+MOD(2-WEEKDAY($S32),7))+13),1,MIN(1,MAX(0,IF(ISNUMBER(OFFSET($A$1,ROW()-1,9)),OFFSET($A$1,ROW()-1,9),IF(ISNUMBER(OFFSET($A$1,ROW()-1,8)),OFFSET($A$1,ROW()-1,8),0))))))</f>
        <v/>
      </c>
      <c r="AF32" s="62">
        <f>IF($V32&lt;&gt;"Sub","",N($X32)*IF(AND(ISNUMBER($G32),$G32&lt;=IF($S32=MesCiclo,InicioCiclo,$S32+MOD(2-WEEKDAY($S32),7))+20),1,MIN(1,MAX(0,IF(ISNUMBER(OFFSET($A$1,ROW()-1,10)),OFFSET($A$1,ROW()-1,10),IF(ISNUMBER(OFFSET($A$1,ROW()-1,9)),OFFSET($A$1,ROW()-1,9),IF(ISNUMBER(OFFSET($A$1,ROW()-1,8)),OFFSET($A$1,ROW()-1,8),0)))))))</f>
        <v/>
      </c>
      <c r="AG32" s="62">
        <f>IF($V32&lt;&gt;"Sub","",N($X32)*IF(AND(ISNUMBER($G32),$G32&lt;=IF($S32=MesCiclo,InicioCiclo,$S32+MOD(2-WEEKDAY($S32),7))+27),1,MIN(1,MAX(0,IF(ISNUMBER(OFFSET($A$1,ROW()-1,11)),OFFSET($A$1,ROW()-1,11),IF(ISNUMBER(OFFSET($A$1,ROW()-1,10)),OFFSET($A$1,ROW()-1,10),IF(ISNUMBER(OFFSET($A$1,ROW()-1,9)),OFFSET($A$1,ROW()-1,9),IF(ISNUMBER(OFFSET($A$1,ROW()-1,8)),OFFSET($A$1,ROW()-1,8),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",IFERROR(MATCH("Riesgo Normativo|"&amp;MID($C32,12,500),rDname_ADM,0),0),"")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IF(N($W33)=0,"",IF(AND($S33=MesCiclo,1&gt;SemanaActual),"",MIN(1,SUMIFS(OFFSET($A$1,ROW(),29,1000-ROW(),1),OFFSET($A$1,ROW(),20,1000-ROW(),1),ROW(),OFFSET($A$1,ROW(),21,1000-ROW(),1),"Sub"))))</f>
        <v/>
      </c>
      <c r="J33" s="60">
        <f>IF(N($W33)=0,"",IF(AND($S33=MesCiclo,2&gt;SemanaActual),"",MIN(1,SUMIFS(OFFSET($A$1,ROW(),30,1000-ROW(),1),OFFSET($A$1,ROW(),20,1000-ROW(),1),ROW(),OFFSET($A$1,ROW(),21,1000-ROW(),1),"Sub"))))</f>
        <v/>
      </c>
      <c r="K33" s="60">
        <f>IF(N($W33)=0,"",IF(AND($S33=MesCiclo,3&gt;SemanaActual),"",MIN(1,SUMIFS(OFFSET($A$1,ROW(),31,1000-ROW(),1),OFFSET($A$1,ROW(),20,1000-ROW(),1),ROW(),OFFSET($A$1,ROW(),21,1000-ROW(),1),"Sub"))))</f>
        <v/>
      </c>
      <c r="L33" s="60">
        <f>IF(N($W33)=0,"",IF(AND($S33=MesCiclo,4&gt;SemanaActual),"",MIN(1,SUMIFS(OFFSET($A$1,ROW(),32,1000-ROW(),1),OFFSET($A$1,ROW(),20,1000-ROW(),1),ROW(),OFFSET($A$1,ROW(),21,1000-ROW(),1),"Sub"))))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IF($V33&lt;&gt;"Sub","",N($X33)*IF(AND(ISNUMBER($G33),$G33&lt;=IF($S33=MesCiclo,InicioCiclo,$S33+MOD(2-WEEKDAY($S33),7))+6),1,MIN(1,MAX(0,IF(ISNUMBER(OFFSET($A$1,ROW()-1,8)),OFFSET($A$1,ROW()-1,8),0)))))</f>
        <v/>
      </c>
      <c r="AE33" s="62">
        <f>IF($V33&lt;&gt;"Sub","",N($X33)*IF(AND(ISNUMBER($G33),$G33&lt;=IF($S33=MesCiclo,InicioCiclo,$S33+MOD(2-WEEKDAY($S33),7))+13),1,MIN(1,MAX(0,IF(ISNUMBER(OFFSET($A$1,ROW()-1,9)),OFFSET($A$1,ROW()-1,9),IF(ISNUMBER(OFFSET($A$1,ROW()-1,8)),OFFSET($A$1,ROW()-1,8),0))))))</f>
        <v/>
      </c>
      <c r="AF33" s="62">
        <f>IF($V33&lt;&gt;"Sub","",N($X33)*IF(AND(ISNUMBER($G33),$G33&lt;=IF($S33=MesCiclo,InicioCiclo,$S33+MOD(2-WEEKDAY($S33),7))+20),1,MIN(1,MAX(0,IF(ISNUMBER(OFFSET($A$1,ROW()-1,10)),OFFSET($A$1,ROW()-1,10),IF(ISNUMBER(OFFSET($A$1,ROW()-1,9)),OFFSET($A$1,ROW()-1,9),IF(ISNUMBER(OFFSET($A$1,ROW()-1,8)),OFFSET($A$1,ROW()-1,8),0)))))))</f>
        <v/>
      </c>
      <c r="AG33" s="62">
        <f>IF($V33&lt;&gt;"Sub","",N($X33)*IF(AND(ISNUMBER($G33),$G33&lt;=IF($S33=MesCiclo,InicioCiclo,$S33+MOD(2-WEEKDAY($S33),7))+27),1,MIN(1,MAX(0,IF(ISNUMBER(OFFSET($A$1,ROW()-1,11)),OFFSET($A$1,ROW()-1,11),IF(ISNUMBER(OFFSET($A$1,ROW()-1,10)),OFFSET($A$1,ROW()-1,10),IF(ISNUMBER(OFFSET($A$1,ROW()-1,9)),OFFSET($A$1,ROW()-1,9),IF(ISNUMBER(OFFSET($A$1,ROW()-1,8)),OFFSET($A$1,ROW()-1,8),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",IFERROR(MATCH("Riesgo Normativo|"&amp;MID($C33,12,500),rDname_ADM,0),0),"")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IF(N($W34)=0,"",IF(AND($S34=MesCiclo,1&gt;SemanaActual),"",MIN(1,SUMIFS(OFFSET($A$1,ROW(),29,1000-ROW(),1),OFFSET($A$1,ROW(),20,1000-ROW(),1),ROW(),OFFSET($A$1,ROW(),21,1000-ROW(),1),"Sub"))))</f>
        <v/>
      </c>
      <c r="J34" s="60">
        <f>IF(N($W34)=0,"",IF(AND($S34=MesCiclo,2&gt;SemanaActual),"",MIN(1,SUMIFS(OFFSET($A$1,ROW(),30,1000-ROW(),1),OFFSET($A$1,ROW(),20,1000-ROW(),1),ROW(),OFFSET($A$1,ROW(),21,1000-ROW(),1),"Sub"))))</f>
        <v/>
      </c>
      <c r="K34" s="60">
        <f>IF(N($W34)=0,"",IF(AND($S34=MesCiclo,3&gt;SemanaActual),"",MIN(1,SUMIFS(OFFSET($A$1,ROW(),31,1000-ROW(),1),OFFSET($A$1,ROW(),20,1000-ROW(),1),ROW(),OFFSET($A$1,ROW(),21,1000-ROW(),1),"Sub"))))</f>
        <v/>
      </c>
      <c r="L34" s="60">
        <f>IF(N($W34)=0,"",IF(AND($S34=MesCiclo,4&gt;SemanaActual),"",MIN(1,SUMIFS(OFFSET($A$1,ROW(),32,1000-ROW(),1),OFFSET($A$1,ROW(),20,1000-ROW(),1),ROW(),OFFSET($A$1,ROW(),21,1000-ROW(),1),"Sub"))))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IF($V34&lt;&gt;"Sub","",N($X34)*IF(AND(ISNUMBER($G34),$G34&lt;=IF($S34=MesCiclo,InicioCiclo,$S34+MOD(2-WEEKDAY($S34),7))+6),1,MIN(1,MAX(0,IF(ISNUMBER(OFFSET($A$1,ROW()-1,8)),OFFSET($A$1,ROW()-1,8),0)))))</f>
        <v/>
      </c>
      <c r="AE34" s="62">
        <f>IF($V34&lt;&gt;"Sub","",N($X34)*IF(AND(ISNUMBER($G34),$G34&lt;=IF($S34=MesCiclo,InicioCiclo,$S34+MOD(2-WEEKDAY($S34),7))+13),1,MIN(1,MAX(0,IF(ISNUMBER(OFFSET($A$1,ROW()-1,9)),OFFSET($A$1,ROW()-1,9),IF(ISNUMBER(OFFSET($A$1,ROW()-1,8)),OFFSET($A$1,ROW()-1,8),0))))))</f>
        <v/>
      </c>
      <c r="AF34" s="62">
        <f>IF($V34&lt;&gt;"Sub","",N($X34)*IF(AND(ISNUMBER($G34),$G34&lt;=IF($S34=MesCiclo,InicioCiclo,$S34+MOD(2-WEEKDAY($S34),7))+20),1,MIN(1,MAX(0,IF(ISNUMBER(OFFSET($A$1,ROW()-1,10)),OFFSET($A$1,ROW()-1,10),IF(ISNUMBER(OFFSET($A$1,ROW()-1,9)),OFFSET($A$1,ROW()-1,9),IF(ISNUMBER(OFFSET($A$1,ROW()-1,8)),OFFSET($A$1,ROW()-1,8),0)))))))</f>
        <v/>
      </c>
      <c r="AG34" s="62">
        <f>IF($V34&lt;&gt;"Sub","",N($X34)*IF(AND(ISNUMBER($G34),$G34&lt;=IF($S34=MesCiclo,InicioCiclo,$S34+MOD(2-WEEKDAY($S34),7))+27),1,MIN(1,MAX(0,IF(ISNUMBER(OFFSET($A$1,ROW()-1,11)),OFFSET($A$1,ROW()-1,11),IF(ISNUMBER(OFFSET($A$1,ROW()-1,10)),OFFSET($A$1,ROW()-1,10),IF(ISNUMBER(OFFSET($A$1,ROW()-1,9)),OFFSET($A$1,ROW()-1,9),IF(ISNUMBER(OFFSET($A$1,ROW()-1,8)),OFFSET($A$1,ROW()-1,8),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",IFERROR(MATCH("Riesgo Normativo|"&amp;MID($C34,12,500),rDname_ADM,0),0),"")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IF(N($W35)=0,"",IF(AND($S35=MesCiclo,1&gt;SemanaActual),"",MIN(1,SUMIFS(OFFSET($A$1,ROW(),29,1000-ROW(),1),OFFSET($A$1,ROW(),20,1000-ROW(),1),ROW(),OFFSET($A$1,ROW(),21,1000-ROW(),1),"Sub"))))</f>
        <v/>
      </c>
      <c r="J35" s="60">
        <f>IF(N($W35)=0,"",IF(AND($S35=MesCiclo,2&gt;SemanaActual),"",MIN(1,SUMIFS(OFFSET($A$1,ROW(),30,1000-ROW(),1),OFFSET($A$1,ROW(),20,1000-ROW(),1),ROW(),OFFSET($A$1,ROW(),21,1000-ROW(),1),"Sub"))))</f>
        <v/>
      </c>
      <c r="K35" s="60">
        <f>IF(N($W35)=0,"",IF(AND($S35=MesCiclo,3&gt;SemanaActual),"",MIN(1,SUMIFS(OFFSET($A$1,ROW(),31,1000-ROW(),1),OFFSET($A$1,ROW(),20,1000-ROW(),1),ROW(),OFFSET($A$1,ROW(),21,1000-ROW(),1),"Sub"))))</f>
        <v/>
      </c>
      <c r="L35" s="60">
        <f>IF(N($W35)=0,"",IF(AND($S35=MesCiclo,4&gt;SemanaActual),"",MIN(1,SUMIFS(OFFSET($A$1,ROW(),32,1000-ROW(),1),OFFSET($A$1,ROW(),20,1000-ROW(),1),ROW(),OFFSET($A$1,ROW(),21,1000-ROW(),1),"Sub"))))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IF($V35&lt;&gt;"Sub","",N($X35)*IF(AND(ISNUMBER($G35),$G35&lt;=IF($S35=MesCiclo,InicioCiclo,$S35+MOD(2-WEEKDAY($S35),7))+6),1,MIN(1,MAX(0,IF(ISNUMBER(OFFSET($A$1,ROW()-1,8)),OFFSET($A$1,ROW()-1,8),0)))))</f>
        <v/>
      </c>
      <c r="AE35" s="62">
        <f>IF($V35&lt;&gt;"Sub","",N($X35)*IF(AND(ISNUMBER($G35),$G35&lt;=IF($S35=MesCiclo,InicioCiclo,$S35+MOD(2-WEEKDAY($S35),7))+13),1,MIN(1,MAX(0,IF(ISNUMBER(OFFSET($A$1,ROW()-1,9)),OFFSET($A$1,ROW()-1,9),IF(ISNUMBER(OFFSET($A$1,ROW()-1,8)),OFFSET($A$1,ROW()-1,8),0))))))</f>
        <v/>
      </c>
      <c r="AF35" s="62">
        <f>IF($V35&lt;&gt;"Sub","",N($X35)*IF(AND(ISNUMBER($G35),$G35&lt;=IF($S35=MesCiclo,InicioCiclo,$S35+MOD(2-WEEKDAY($S35),7))+20),1,MIN(1,MAX(0,IF(ISNUMBER(OFFSET($A$1,ROW()-1,10)),OFFSET($A$1,ROW()-1,10),IF(ISNUMBER(OFFSET($A$1,ROW()-1,9)),OFFSET($A$1,ROW()-1,9),IF(ISNUMBER(OFFSET($A$1,ROW()-1,8)),OFFSET($A$1,ROW()-1,8),0)))))))</f>
        <v/>
      </c>
      <c r="AG35" s="62">
        <f>IF($V35&lt;&gt;"Sub","",N($X35)*IF(AND(ISNUMBER($G35),$G35&lt;=IF($S35=MesCiclo,InicioCiclo,$S35+MOD(2-WEEKDAY($S35),7))+27),1,MIN(1,MAX(0,IF(ISNUMBER(OFFSET($A$1,ROW()-1,11)),OFFSET($A$1,ROW()-1,11),IF(ISNUMBER(OFFSET($A$1,ROW()-1,10)),OFFSET($A$1,ROW()-1,10),IF(ISNUMBER(OFFSET($A$1,ROW()-1,9)),OFFSET($A$1,ROW()-1,9),IF(ISNUMBER(OFFSET($A$1,ROW()-1,8)),OFFSET($A$1,ROW()-1,8),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",IFERROR(MATCH("Riesgo Normativo|"&amp;MID($C35,12,500),rDname_ADM,0),0),"")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IF(N($W36)=0,"",IF(AND($S36=MesCiclo,1&gt;SemanaActual),"",MIN(1,SUMIFS(OFFSET($A$1,ROW(),29,1000-ROW(),1),OFFSET($A$1,ROW(),20,1000-ROW(),1),ROW(),OFFSET($A$1,ROW(),21,1000-ROW(),1),"Sub"))))</f>
        <v/>
      </c>
      <c r="J36" s="60">
        <f>IF(N($W36)=0,"",IF(AND($S36=MesCiclo,2&gt;SemanaActual),"",MIN(1,SUMIFS(OFFSET($A$1,ROW(),30,1000-ROW(),1),OFFSET($A$1,ROW(),20,1000-ROW(),1),ROW(),OFFSET($A$1,ROW(),21,1000-ROW(),1),"Sub"))))</f>
        <v/>
      </c>
      <c r="K36" s="60">
        <f>IF(N($W36)=0,"",IF(AND($S36=MesCiclo,3&gt;SemanaActual),"",MIN(1,SUMIFS(OFFSET($A$1,ROW(),31,1000-ROW(),1),OFFSET($A$1,ROW(),20,1000-ROW(),1),ROW(),OFFSET($A$1,ROW(),21,1000-ROW(),1),"Sub"))))</f>
        <v/>
      </c>
      <c r="L36" s="60">
        <f>IF(N($W36)=0,"",IF(AND($S36=MesCiclo,4&gt;SemanaActual),"",MIN(1,SUMIFS(OFFSET($A$1,ROW(),32,1000-ROW(),1),OFFSET($A$1,ROW(),20,1000-ROW(),1),ROW(),OFFSET($A$1,ROW(),21,1000-ROW(),1),"Sub"))))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IF($V36&lt;&gt;"Sub","",N($X36)*IF(AND(ISNUMBER($G36),$G36&lt;=IF($S36=MesCiclo,InicioCiclo,$S36+MOD(2-WEEKDAY($S36),7))+6),1,MIN(1,MAX(0,IF(ISNUMBER(OFFSET($A$1,ROW()-1,8)),OFFSET($A$1,ROW()-1,8),0)))))</f>
        <v/>
      </c>
      <c r="AE36" s="62">
        <f>IF($V36&lt;&gt;"Sub","",N($X36)*IF(AND(ISNUMBER($G36),$G36&lt;=IF($S36=MesCiclo,InicioCiclo,$S36+MOD(2-WEEKDAY($S36),7))+13),1,MIN(1,MAX(0,IF(ISNUMBER(OFFSET($A$1,ROW()-1,9)),OFFSET($A$1,ROW()-1,9),IF(ISNUMBER(OFFSET($A$1,ROW()-1,8)),OFFSET($A$1,ROW()-1,8),0))))))</f>
        <v/>
      </c>
      <c r="AF36" s="62">
        <f>IF($V36&lt;&gt;"Sub","",N($X36)*IF(AND(ISNUMBER($G36),$G36&lt;=IF($S36=MesCiclo,InicioCiclo,$S36+MOD(2-WEEKDAY($S36),7))+20),1,MIN(1,MAX(0,IF(ISNUMBER(OFFSET($A$1,ROW()-1,10)),OFFSET($A$1,ROW()-1,10),IF(ISNUMBER(OFFSET($A$1,ROW()-1,9)),OFFSET($A$1,ROW()-1,9),IF(ISNUMBER(OFFSET($A$1,ROW()-1,8)),OFFSET($A$1,ROW()-1,8),0)))))))</f>
        <v/>
      </c>
      <c r="AG36" s="62">
        <f>IF($V36&lt;&gt;"Sub","",N($X36)*IF(AND(ISNUMBER($G36),$G36&lt;=IF($S36=MesCiclo,InicioCiclo,$S36+MOD(2-WEEKDAY($S36),7))+27),1,MIN(1,MAX(0,IF(ISNUMBER(OFFSET($A$1,ROW()-1,11)),OFFSET($A$1,ROW()-1,11),IF(ISNUMBER(OFFSET($A$1,ROW()-1,10)),OFFSET($A$1,ROW()-1,10),IF(ISNUMBER(OFFSET($A$1,ROW()-1,9)),OFFSET($A$1,ROW()-1,9),IF(ISNUMBER(OFFSET($A$1,ROW()-1,8)),OFFSET($A$1,ROW()-1,8),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",IFERROR(MATCH("Riesgo Normativo|"&amp;MID($C36,12,500),rDname_ADM,0),0),"")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IF(N($W37)=0,"",IF(AND($S37=MesCiclo,1&gt;SemanaActual),"",MIN(1,SUMIFS(OFFSET($A$1,ROW(),29,1000-ROW(),1),OFFSET($A$1,ROW(),20,1000-ROW(),1),ROW(),OFFSET($A$1,ROW(),21,1000-ROW(),1),"Sub"))))</f>
        <v/>
      </c>
      <c r="J37" s="60">
        <f>IF(N($W37)=0,"",IF(AND($S37=MesCiclo,2&gt;SemanaActual),"",MIN(1,SUMIFS(OFFSET($A$1,ROW(),30,1000-ROW(),1),OFFSET($A$1,ROW(),20,1000-ROW(),1),ROW(),OFFSET($A$1,ROW(),21,1000-ROW(),1),"Sub"))))</f>
        <v/>
      </c>
      <c r="K37" s="60">
        <f>IF(N($W37)=0,"",IF(AND($S37=MesCiclo,3&gt;SemanaActual),"",MIN(1,SUMIFS(OFFSET($A$1,ROW(),31,1000-ROW(),1),OFFSET($A$1,ROW(),20,1000-ROW(),1),ROW(),OFFSET($A$1,ROW(),21,1000-ROW(),1),"Sub"))))</f>
        <v/>
      </c>
      <c r="L37" s="60">
        <f>IF(N($W37)=0,"",IF(AND($S37=MesCiclo,4&gt;SemanaActual),"",MIN(1,SUMIFS(OFFSET($A$1,ROW(),32,1000-ROW(),1),OFFSET($A$1,ROW(),20,1000-ROW(),1),ROW(),OFFSET($A$1,ROW(),21,1000-ROW(),1),"Sub"))))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IF($V37&lt;&gt;"Sub","",N($X37)*IF(AND(ISNUMBER($G37),$G37&lt;=IF($S37=MesCiclo,InicioCiclo,$S37+MOD(2-WEEKDAY($S37),7))+6),1,MIN(1,MAX(0,IF(ISNUMBER(OFFSET($A$1,ROW()-1,8)),OFFSET($A$1,ROW()-1,8),0)))))</f>
        <v/>
      </c>
      <c r="AE37" s="62">
        <f>IF($V37&lt;&gt;"Sub","",N($X37)*IF(AND(ISNUMBER($G37),$G37&lt;=IF($S37=MesCiclo,InicioCiclo,$S37+MOD(2-WEEKDAY($S37),7))+13),1,MIN(1,MAX(0,IF(ISNUMBER(OFFSET($A$1,ROW()-1,9)),OFFSET($A$1,ROW()-1,9),IF(ISNUMBER(OFFSET($A$1,ROW()-1,8)),OFFSET($A$1,ROW()-1,8),0))))))</f>
        <v/>
      </c>
      <c r="AF37" s="62">
        <f>IF($V37&lt;&gt;"Sub","",N($X37)*IF(AND(ISNUMBER($G37),$G37&lt;=IF($S37=MesCiclo,InicioCiclo,$S37+MOD(2-WEEKDAY($S37),7))+20),1,MIN(1,MAX(0,IF(ISNUMBER(OFFSET($A$1,ROW()-1,10)),OFFSET($A$1,ROW()-1,10),IF(ISNUMBER(OFFSET($A$1,ROW()-1,9)),OFFSET($A$1,ROW()-1,9),IF(ISNUMBER(OFFSET($A$1,ROW()-1,8)),OFFSET($A$1,ROW()-1,8),0)))))))</f>
        <v/>
      </c>
      <c r="AG37" s="62">
        <f>IF($V37&lt;&gt;"Sub","",N($X37)*IF(AND(ISNUMBER($G37),$G37&lt;=IF($S37=MesCiclo,InicioCiclo,$S37+MOD(2-WEEKDAY($S37),7))+27),1,MIN(1,MAX(0,IF(ISNUMBER(OFFSET($A$1,ROW()-1,11)),OFFSET($A$1,ROW()-1,11),IF(ISNUMBER(OFFSET($A$1,ROW()-1,10)),OFFSET($A$1,ROW()-1,10),IF(ISNUMBER(OFFSET($A$1,ROW()-1,9)),OFFSET($A$1,ROW()-1,9),IF(ISNUMBER(OFFSET($A$1,ROW()-1,8)),OFFSET($A$1,ROW()-1,8),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",IFERROR(MATCH("Riesgo Normativo|"&amp;MID($C37,12,500),rDname_ADM,0),0),"")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IF(N($W38)=0,"",IF(AND($S38=MesCiclo,1&gt;SemanaActual),"",MIN(1,SUMIFS(OFFSET($A$1,ROW(),29,1000-ROW(),1),OFFSET($A$1,ROW(),20,1000-ROW(),1),ROW(),OFFSET($A$1,ROW(),21,1000-ROW(),1),"Sub"))))</f>
        <v/>
      </c>
      <c r="J38" s="60">
        <f>IF(N($W38)=0,"",IF(AND($S38=MesCiclo,2&gt;SemanaActual),"",MIN(1,SUMIFS(OFFSET($A$1,ROW(),30,1000-ROW(),1),OFFSET($A$1,ROW(),20,1000-ROW(),1),ROW(),OFFSET($A$1,ROW(),21,1000-ROW(),1),"Sub"))))</f>
        <v/>
      </c>
      <c r="K38" s="60">
        <f>IF(N($W38)=0,"",IF(AND($S38=MesCiclo,3&gt;SemanaActual),"",MIN(1,SUMIFS(OFFSET($A$1,ROW(),31,1000-ROW(),1),OFFSET($A$1,ROW(),20,1000-ROW(),1),ROW(),OFFSET($A$1,ROW(),21,1000-ROW(),1),"Sub"))))</f>
        <v/>
      </c>
      <c r="L38" s="60">
        <f>IF(N($W38)=0,"",IF(AND($S38=MesCiclo,4&gt;SemanaActual),"",MIN(1,SUMIFS(OFFSET($A$1,ROW(),32,1000-ROW(),1),OFFSET($A$1,ROW(),20,1000-ROW(),1),ROW(),OFFSET($A$1,ROW(),21,1000-ROW(),1),"Sub"))))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IF($V38&lt;&gt;"Sub","",N($X38)*IF(AND(ISNUMBER($G38),$G38&lt;=IF($S38=MesCiclo,InicioCiclo,$S38+MOD(2-WEEKDAY($S38),7))+6),1,MIN(1,MAX(0,IF(ISNUMBER(OFFSET($A$1,ROW()-1,8)),OFFSET($A$1,ROW()-1,8),0)))))</f>
        <v/>
      </c>
      <c r="AE38" s="62">
        <f>IF($V38&lt;&gt;"Sub","",N($X38)*IF(AND(ISNUMBER($G38),$G38&lt;=IF($S38=MesCiclo,InicioCiclo,$S38+MOD(2-WEEKDAY($S38),7))+13),1,MIN(1,MAX(0,IF(ISNUMBER(OFFSET($A$1,ROW()-1,9)),OFFSET($A$1,ROW()-1,9),IF(ISNUMBER(OFFSET($A$1,ROW()-1,8)),OFFSET($A$1,ROW()-1,8),0))))))</f>
        <v/>
      </c>
      <c r="AF38" s="62">
        <f>IF($V38&lt;&gt;"Sub","",N($X38)*IF(AND(ISNUMBER($G38),$G38&lt;=IF($S38=MesCiclo,InicioCiclo,$S38+MOD(2-WEEKDAY($S38),7))+20),1,MIN(1,MAX(0,IF(ISNUMBER(OFFSET($A$1,ROW()-1,10)),OFFSET($A$1,ROW()-1,10),IF(ISNUMBER(OFFSET($A$1,ROW()-1,9)),OFFSET($A$1,ROW()-1,9),IF(ISNUMBER(OFFSET($A$1,ROW()-1,8)),OFFSET($A$1,ROW()-1,8),0)))))))</f>
        <v/>
      </c>
      <c r="AG38" s="62">
        <f>IF($V38&lt;&gt;"Sub","",N($X38)*IF(AND(ISNUMBER($G38),$G38&lt;=IF($S38=MesCiclo,InicioCiclo,$S38+MOD(2-WEEKDAY($S38),7))+27),1,MIN(1,MAX(0,IF(ISNUMBER(OFFSET($A$1,ROW()-1,11)),OFFSET($A$1,ROW()-1,11),IF(ISNUMBER(OFFSET($A$1,ROW()-1,10)),OFFSET($A$1,ROW()-1,10),IF(ISNUMBER(OFFSET($A$1,ROW()-1,9)),OFFSET($A$1,ROW()-1,9),IF(ISNUMBER(OFFSET($A$1,ROW()-1,8)),OFFSET($A$1,ROW()-1,8),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",IFERROR(MATCH("Riesgo Normativo|"&amp;MID($C38,12,500),rDname_ADM,0),0),"")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IF(N($W39)=0,"",IF(AND($S39=MesCiclo,1&gt;SemanaActual),"",MIN(1,SUMIFS(OFFSET($A$1,ROW(),29,1000-ROW(),1),OFFSET($A$1,ROW(),20,1000-ROW(),1),ROW(),OFFSET($A$1,ROW(),21,1000-ROW(),1),"Sub"))))</f>
        <v/>
      </c>
      <c r="J39" s="60">
        <f>IF(N($W39)=0,"",IF(AND($S39=MesCiclo,2&gt;SemanaActual),"",MIN(1,SUMIFS(OFFSET($A$1,ROW(),30,1000-ROW(),1),OFFSET($A$1,ROW(),20,1000-ROW(),1),ROW(),OFFSET($A$1,ROW(),21,1000-ROW(),1),"Sub"))))</f>
        <v/>
      </c>
      <c r="K39" s="60">
        <f>IF(N($W39)=0,"",IF(AND($S39=MesCiclo,3&gt;SemanaActual),"",MIN(1,SUMIFS(OFFSET($A$1,ROW(),31,1000-ROW(),1),OFFSET($A$1,ROW(),20,1000-ROW(),1),ROW(),OFFSET($A$1,ROW(),21,1000-ROW(),1),"Sub"))))</f>
        <v/>
      </c>
      <c r="L39" s="60">
        <f>IF(N($W39)=0,"",IF(AND($S39=MesCiclo,4&gt;SemanaActual),"",MIN(1,SUMIFS(OFFSET($A$1,ROW(),32,1000-ROW(),1),OFFSET($A$1,ROW(),20,1000-ROW(),1),ROW(),OFFSET($A$1,ROW(),21,1000-ROW(),1),"Sub"))))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IF($V39&lt;&gt;"Sub","",N($X39)*IF(AND(ISNUMBER($G39),$G39&lt;=IF($S39=MesCiclo,InicioCiclo,$S39+MOD(2-WEEKDAY($S39),7))+6),1,MIN(1,MAX(0,IF(ISNUMBER(OFFSET($A$1,ROW()-1,8)),OFFSET($A$1,ROW()-1,8),0)))))</f>
        <v/>
      </c>
      <c r="AE39" s="62">
        <f>IF($V39&lt;&gt;"Sub","",N($X39)*IF(AND(ISNUMBER($G39),$G39&lt;=IF($S39=MesCiclo,InicioCiclo,$S39+MOD(2-WEEKDAY($S39),7))+13),1,MIN(1,MAX(0,IF(ISNUMBER(OFFSET($A$1,ROW()-1,9)),OFFSET($A$1,ROW()-1,9),IF(ISNUMBER(OFFSET($A$1,ROW()-1,8)),OFFSET($A$1,ROW()-1,8),0))))))</f>
        <v/>
      </c>
      <c r="AF39" s="62">
        <f>IF($V39&lt;&gt;"Sub","",N($X39)*IF(AND(ISNUMBER($G39),$G39&lt;=IF($S39=MesCiclo,InicioCiclo,$S39+MOD(2-WEEKDAY($S39),7))+20),1,MIN(1,MAX(0,IF(ISNUMBER(OFFSET($A$1,ROW()-1,10)),OFFSET($A$1,ROW()-1,10),IF(ISNUMBER(OFFSET($A$1,ROW()-1,9)),OFFSET($A$1,ROW()-1,9),IF(ISNUMBER(OFFSET($A$1,ROW()-1,8)),OFFSET($A$1,ROW()-1,8),0)))))))</f>
        <v/>
      </c>
      <c r="AG39" s="62">
        <f>IF($V39&lt;&gt;"Sub","",N($X39)*IF(AND(ISNUMBER($G39),$G39&lt;=IF($S39=MesCiclo,InicioCiclo,$S39+MOD(2-WEEKDAY($S39),7))+27),1,MIN(1,MAX(0,IF(ISNUMBER(OFFSET($A$1,ROW()-1,11)),OFFSET($A$1,ROW()-1,11),IF(ISNUMBER(OFFSET($A$1,ROW()-1,10)),OFFSET($A$1,ROW()-1,10),IF(ISNUMBER(OFFSET($A$1,ROW()-1,9)),OFFSET($A$1,ROW()-1,9),IF(ISNUMBER(OFFSET($A$1,ROW()-1,8)),OFFSET($A$1,ROW()-1,8),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",IFERROR(MATCH("Riesgo Normativo|"&amp;MID($C39,12,500),rDname_ADM,0),0),"")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IF(N($W40)=0,"",IF(AND($S40=MesCiclo,1&gt;SemanaActual),"",MIN(1,SUMIFS(OFFSET($A$1,ROW(),29,1000-ROW(),1),OFFSET($A$1,ROW(),20,1000-ROW(),1),ROW(),OFFSET($A$1,ROW(),21,1000-ROW(),1),"Sub"))))</f>
        <v/>
      </c>
      <c r="J40" s="60">
        <f>IF(N($W40)=0,"",IF(AND($S40=MesCiclo,2&gt;SemanaActual),"",MIN(1,SUMIFS(OFFSET($A$1,ROW(),30,1000-ROW(),1),OFFSET($A$1,ROW(),20,1000-ROW(),1),ROW(),OFFSET($A$1,ROW(),21,1000-ROW(),1),"Sub"))))</f>
        <v/>
      </c>
      <c r="K40" s="60">
        <f>IF(N($W40)=0,"",IF(AND($S40=MesCiclo,3&gt;SemanaActual),"",MIN(1,SUMIFS(OFFSET($A$1,ROW(),31,1000-ROW(),1),OFFSET($A$1,ROW(),20,1000-ROW(),1),ROW(),OFFSET($A$1,ROW(),21,1000-ROW(),1),"Sub"))))</f>
        <v/>
      </c>
      <c r="L40" s="60">
        <f>IF(N($W40)=0,"",IF(AND($S40=MesCiclo,4&gt;SemanaActual),"",MIN(1,SUMIFS(OFFSET($A$1,ROW(),32,1000-ROW(),1),OFFSET($A$1,ROW(),20,1000-ROW(),1),ROW(),OFFSET($A$1,ROW(),21,1000-ROW(),1),"Sub"))))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IF($V40&lt;&gt;"Sub","",N($X40)*IF(AND(ISNUMBER($G40),$G40&lt;=IF($S40=MesCiclo,InicioCiclo,$S40+MOD(2-WEEKDAY($S40),7))+6),1,MIN(1,MAX(0,IF(ISNUMBER(OFFSET($A$1,ROW()-1,8)),OFFSET($A$1,ROW()-1,8),0)))))</f>
        <v/>
      </c>
      <c r="AE40" s="62">
        <f>IF($V40&lt;&gt;"Sub","",N($X40)*IF(AND(ISNUMBER($G40),$G40&lt;=IF($S40=MesCiclo,InicioCiclo,$S40+MOD(2-WEEKDAY($S40),7))+13),1,MIN(1,MAX(0,IF(ISNUMBER(OFFSET($A$1,ROW()-1,9)),OFFSET($A$1,ROW()-1,9),IF(ISNUMBER(OFFSET($A$1,ROW()-1,8)),OFFSET($A$1,ROW()-1,8),0))))))</f>
        <v/>
      </c>
      <c r="AF40" s="62">
        <f>IF($V40&lt;&gt;"Sub","",N($X40)*IF(AND(ISNUMBER($G40),$G40&lt;=IF($S40=MesCiclo,InicioCiclo,$S40+MOD(2-WEEKDAY($S40),7))+20),1,MIN(1,MAX(0,IF(ISNUMBER(OFFSET($A$1,ROW()-1,10)),OFFSET($A$1,ROW()-1,10),IF(ISNUMBER(OFFSET($A$1,ROW()-1,9)),OFFSET($A$1,ROW()-1,9),IF(ISNUMBER(OFFSET($A$1,ROW()-1,8)),OFFSET($A$1,ROW()-1,8),0)))))))</f>
        <v/>
      </c>
      <c r="AG40" s="62">
        <f>IF($V40&lt;&gt;"Sub","",N($X40)*IF(AND(ISNUMBER($G40),$G40&lt;=IF($S40=MesCiclo,InicioCiclo,$S40+MOD(2-WEEKDAY($S40),7))+27),1,MIN(1,MAX(0,IF(ISNUMBER(OFFSET($A$1,ROW()-1,11)),OFFSET($A$1,ROW()-1,11),IF(ISNUMBER(OFFSET($A$1,ROW()-1,10)),OFFSET($A$1,ROW()-1,10),IF(ISNUMBER(OFFSET($A$1,ROW()-1,9)),OFFSET($A$1,ROW()-1,9),IF(ISNUMBER(OFFSET($A$1,ROW()-1,8)),OFFSET($A$1,ROW()-1,8),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",IFERROR(MATCH("Riesgo Normativo|"&amp;MID($C40,12,500),rDname_ADM,0),0),"")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IF(N($W41)=0,"",IF(AND($S41=MesCiclo,1&gt;SemanaActual),"",MIN(1,SUMIFS(OFFSET($A$1,ROW(),29,1000-ROW(),1),OFFSET($A$1,ROW(),20,1000-ROW(),1),ROW(),OFFSET($A$1,ROW(),21,1000-ROW(),1),"Sub"))))</f>
        <v/>
      </c>
      <c r="J41" s="60">
        <f>IF(N($W41)=0,"",IF(AND($S41=MesCiclo,2&gt;SemanaActual),"",MIN(1,SUMIFS(OFFSET($A$1,ROW(),30,1000-ROW(),1),OFFSET($A$1,ROW(),20,1000-ROW(),1),ROW(),OFFSET($A$1,ROW(),21,1000-ROW(),1),"Sub"))))</f>
        <v/>
      </c>
      <c r="K41" s="60">
        <f>IF(N($W41)=0,"",IF(AND($S41=MesCiclo,3&gt;SemanaActual),"",MIN(1,SUMIFS(OFFSET($A$1,ROW(),31,1000-ROW(),1),OFFSET($A$1,ROW(),20,1000-ROW(),1),ROW(),OFFSET($A$1,ROW(),21,1000-ROW(),1),"Sub"))))</f>
        <v/>
      </c>
      <c r="L41" s="60">
        <f>IF(N($W41)=0,"",IF(AND($S41=MesCiclo,4&gt;SemanaActual),"",MIN(1,SUMIFS(OFFSET($A$1,ROW(),32,1000-ROW(),1),OFFSET($A$1,ROW(),20,1000-ROW(),1),ROW(),OFFSET($A$1,ROW(),21,1000-ROW(),1),"Sub"))))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IF($V41&lt;&gt;"Sub","",N($X41)*IF(AND(ISNUMBER($G41),$G41&lt;=IF($S41=MesCiclo,InicioCiclo,$S41+MOD(2-WEEKDAY($S41),7))+6),1,MIN(1,MAX(0,IF(ISNUMBER(OFFSET($A$1,ROW()-1,8)),OFFSET($A$1,ROW()-1,8),0)))))</f>
        <v/>
      </c>
      <c r="AE41" s="62">
        <f>IF($V41&lt;&gt;"Sub","",N($X41)*IF(AND(ISNUMBER($G41),$G41&lt;=IF($S41=MesCiclo,InicioCiclo,$S41+MOD(2-WEEKDAY($S41),7))+13),1,MIN(1,MAX(0,IF(ISNUMBER(OFFSET($A$1,ROW()-1,9)),OFFSET($A$1,ROW()-1,9),IF(ISNUMBER(OFFSET($A$1,ROW()-1,8)),OFFSET($A$1,ROW()-1,8),0))))))</f>
        <v/>
      </c>
      <c r="AF41" s="62">
        <f>IF($V41&lt;&gt;"Sub","",N($X41)*IF(AND(ISNUMBER($G41),$G41&lt;=IF($S41=MesCiclo,InicioCiclo,$S41+MOD(2-WEEKDAY($S41),7))+20),1,MIN(1,MAX(0,IF(ISNUMBER(OFFSET($A$1,ROW()-1,10)),OFFSET($A$1,ROW()-1,10),IF(ISNUMBER(OFFSET($A$1,ROW()-1,9)),OFFSET($A$1,ROW()-1,9),IF(ISNUMBER(OFFSET($A$1,ROW()-1,8)),OFFSET($A$1,ROW()-1,8),0)))))))</f>
        <v/>
      </c>
      <c r="AG41" s="62">
        <f>IF($V41&lt;&gt;"Sub","",N($X41)*IF(AND(ISNUMBER($G41),$G41&lt;=IF($S41=MesCiclo,InicioCiclo,$S41+MOD(2-WEEKDAY($S41),7))+27),1,MIN(1,MAX(0,IF(ISNUMBER(OFFSET($A$1,ROW()-1,11)),OFFSET($A$1,ROW()-1,11),IF(ISNUMBER(OFFSET($A$1,ROW()-1,10)),OFFSET($A$1,ROW()-1,10),IF(ISNUMBER(OFFSET($A$1,ROW()-1,9)),OFFSET($A$1,ROW()-1,9),IF(ISNUMBER(OFFSET($A$1,ROW()-1,8)),OFFSET($A$1,ROW()-1,8),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",IFERROR(MATCH("Riesgo Normativo|"&amp;MID($C41,12,500),rDname_ADM,0),0),"")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IF(N($W42)=0,"",IF(AND($S42=MesCiclo,1&gt;SemanaActual),"",MIN(1,SUMIFS(OFFSET($A$1,ROW(),29,1000-ROW(),1),OFFSET($A$1,ROW(),20,1000-ROW(),1),ROW(),OFFSET($A$1,ROW(),21,1000-ROW(),1),"Sub"))))</f>
        <v/>
      </c>
      <c r="J42" s="60">
        <f>IF(N($W42)=0,"",IF(AND($S42=MesCiclo,2&gt;SemanaActual),"",MIN(1,SUMIFS(OFFSET($A$1,ROW(),30,1000-ROW(),1),OFFSET($A$1,ROW(),20,1000-ROW(),1),ROW(),OFFSET($A$1,ROW(),21,1000-ROW(),1),"Sub"))))</f>
        <v/>
      </c>
      <c r="K42" s="60">
        <f>IF(N($W42)=0,"",IF(AND($S42=MesCiclo,3&gt;SemanaActual),"",MIN(1,SUMIFS(OFFSET($A$1,ROW(),31,1000-ROW(),1),OFFSET($A$1,ROW(),20,1000-ROW(),1),ROW(),OFFSET($A$1,ROW(),21,1000-ROW(),1),"Sub"))))</f>
        <v/>
      </c>
      <c r="L42" s="60">
        <f>IF(N($W42)=0,"",IF(AND($S42=MesCiclo,4&gt;SemanaActual),"",MIN(1,SUMIFS(OFFSET($A$1,ROW(),32,1000-ROW(),1),OFFSET($A$1,ROW(),20,1000-ROW(),1),ROW(),OFFSET($A$1,ROW(),21,1000-ROW(),1),"Sub"))))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IF($V42&lt;&gt;"Sub","",N($X42)*IF(AND(ISNUMBER($G42),$G42&lt;=IF($S42=MesCiclo,InicioCiclo,$S42+MOD(2-WEEKDAY($S42),7))+6),1,MIN(1,MAX(0,IF(ISNUMBER(OFFSET($A$1,ROW()-1,8)),OFFSET($A$1,ROW()-1,8),0)))))</f>
        <v/>
      </c>
      <c r="AE42" s="62">
        <f>IF($V42&lt;&gt;"Sub","",N($X42)*IF(AND(ISNUMBER($G42),$G42&lt;=IF($S42=MesCiclo,InicioCiclo,$S42+MOD(2-WEEKDAY($S42),7))+13),1,MIN(1,MAX(0,IF(ISNUMBER(OFFSET($A$1,ROW()-1,9)),OFFSET($A$1,ROW()-1,9),IF(ISNUMBER(OFFSET($A$1,ROW()-1,8)),OFFSET($A$1,ROW()-1,8),0))))))</f>
        <v/>
      </c>
      <c r="AF42" s="62">
        <f>IF($V42&lt;&gt;"Sub","",N($X42)*IF(AND(ISNUMBER($G42),$G42&lt;=IF($S42=MesCiclo,InicioCiclo,$S42+MOD(2-WEEKDAY($S42),7))+20),1,MIN(1,MAX(0,IF(ISNUMBER(OFFSET($A$1,ROW()-1,10)),OFFSET($A$1,ROW()-1,10),IF(ISNUMBER(OFFSET($A$1,ROW()-1,9)),OFFSET($A$1,ROW()-1,9),IF(ISNUMBER(OFFSET($A$1,ROW()-1,8)),OFFSET($A$1,ROW()-1,8),0)))))))</f>
        <v/>
      </c>
      <c r="AG42" s="62">
        <f>IF($V42&lt;&gt;"Sub","",N($X42)*IF(AND(ISNUMBER($G42),$G42&lt;=IF($S42=MesCiclo,InicioCiclo,$S42+MOD(2-WEEKDAY($S42),7))+27),1,MIN(1,MAX(0,IF(ISNUMBER(OFFSET($A$1,ROW()-1,11)),OFFSET($A$1,ROW()-1,11),IF(ISNUMBER(OFFSET($A$1,ROW()-1,10)),OFFSET($A$1,ROW()-1,10),IF(ISNUMBER(OFFSET($A$1,ROW()-1,9)),OFFSET($A$1,ROW()-1,9),IF(ISNUMBER(OFFSET($A$1,ROW()-1,8)),OFFSET($A$1,ROW()-1,8),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",IFERROR(MATCH("Riesgo Normativo|"&amp;MID($C42,12,500),rDname_ADM,0),0),"")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IF(N($W43)=0,"",IF(AND($S43=MesCiclo,1&gt;SemanaActual),"",MIN(1,SUMIFS(OFFSET($A$1,ROW(),29,1000-ROW(),1),OFFSET($A$1,ROW(),20,1000-ROW(),1),ROW(),OFFSET($A$1,ROW(),21,1000-ROW(),1),"Sub"))))</f>
        <v/>
      </c>
      <c r="J43" s="60">
        <f>IF(N($W43)=0,"",IF(AND($S43=MesCiclo,2&gt;SemanaActual),"",MIN(1,SUMIFS(OFFSET($A$1,ROW(),30,1000-ROW(),1),OFFSET($A$1,ROW(),20,1000-ROW(),1),ROW(),OFFSET($A$1,ROW(),21,1000-ROW(),1),"Sub"))))</f>
        <v/>
      </c>
      <c r="K43" s="60">
        <f>IF(N($W43)=0,"",IF(AND($S43=MesCiclo,3&gt;SemanaActual),"",MIN(1,SUMIFS(OFFSET($A$1,ROW(),31,1000-ROW(),1),OFFSET($A$1,ROW(),20,1000-ROW(),1),ROW(),OFFSET($A$1,ROW(),21,1000-ROW(),1),"Sub"))))</f>
        <v/>
      </c>
      <c r="L43" s="60">
        <f>IF(N($W43)=0,"",IF(AND($S43=MesCiclo,4&gt;SemanaActual),"",MIN(1,SUMIFS(OFFSET($A$1,ROW(),32,1000-ROW(),1),OFFSET($A$1,ROW(),20,1000-ROW(),1),ROW(),OFFSET($A$1,ROW(),21,1000-ROW(),1),"Sub"))))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IF($V43&lt;&gt;"Sub","",N($X43)*IF(AND(ISNUMBER($G43),$G43&lt;=IF($S43=MesCiclo,InicioCiclo,$S43+MOD(2-WEEKDAY($S43),7))+6),1,MIN(1,MAX(0,IF(ISNUMBER(OFFSET($A$1,ROW()-1,8)),OFFSET($A$1,ROW()-1,8),0)))))</f>
        <v/>
      </c>
      <c r="AE43" s="62">
        <f>IF($V43&lt;&gt;"Sub","",N($X43)*IF(AND(ISNUMBER($G43),$G43&lt;=IF($S43=MesCiclo,InicioCiclo,$S43+MOD(2-WEEKDAY($S43),7))+13),1,MIN(1,MAX(0,IF(ISNUMBER(OFFSET($A$1,ROW()-1,9)),OFFSET($A$1,ROW()-1,9),IF(ISNUMBER(OFFSET($A$1,ROW()-1,8)),OFFSET($A$1,ROW()-1,8),0))))))</f>
        <v/>
      </c>
      <c r="AF43" s="62">
        <f>IF($V43&lt;&gt;"Sub","",N($X43)*IF(AND(ISNUMBER($G43),$G43&lt;=IF($S43=MesCiclo,InicioCiclo,$S43+MOD(2-WEEKDAY($S43),7))+20),1,MIN(1,MAX(0,IF(ISNUMBER(OFFSET($A$1,ROW()-1,10)),OFFSET($A$1,ROW()-1,10),IF(ISNUMBER(OFFSET($A$1,ROW()-1,9)),OFFSET($A$1,ROW()-1,9),IF(ISNUMBER(OFFSET($A$1,ROW()-1,8)),OFFSET($A$1,ROW()-1,8),0)))))))</f>
        <v/>
      </c>
      <c r="AG43" s="62">
        <f>IF($V43&lt;&gt;"Sub","",N($X43)*IF(AND(ISNUMBER($G43),$G43&lt;=IF($S43=MesCiclo,InicioCiclo,$S43+MOD(2-WEEKDAY($S43),7))+27),1,MIN(1,MAX(0,IF(ISNUMBER(OFFSET($A$1,ROW()-1,11)),OFFSET($A$1,ROW()-1,11),IF(ISNUMBER(OFFSET($A$1,ROW()-1,10)),OFFSET($A$1,ROW()-1,10),IF(ISNUMBER(OFFSET($A$1,ROW()-1,9)),OFFSET($A$1,ROW()-1,9),IF(ISNUMBER(OFFSET($A$1,ROW()-1,8)),OFFSET($A$1,ROW()-1,8),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",IFERROR(MATCH("Riesgo Normativo|"&amp;MID($C43,12,500),rDname_ADM,0),0),"")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IF(N($W44)=0,"",IF(AND($S44=MesCiclo,1&gt;SemanaActual),"",MIN(1,SUMIFS(OFFSET($A$1,ROW(),29,1000-ROW(),1),OFFSET($A$1,ROW(),20,1000-ROW(),1),ROW(),OFFSET($A$1,ROW(),21,1000-ROW(),1),"Sub"))))</f>
        <v/>
      </c>
      <c r="J44" s="60">
        <f>IF(N($W44)=0,"",IF(AND($S44=MesCiclo,2&gt;SemanaActual),"",MIN(1,SUMIFS(OFFSET($A$1,ROW(),30,1000-ROW(),1),OFFSET($A$1,ROW(),20,1000-ROW(),1),ROW(),OFFSET($A$1,ROW(),21,1000-ROW(),1),"Sub"))))</f>
        <v/>
      </c>
      <c r="K44" s="60">
        <f>IF(N($W44)=0,"",IF(AND($S44=MesCiclo,3&gt;SemanaActual),"",MIN(1,SUMIFS(OFFSET($A$1,ROW(),31,1000-ROW(),1),OFFSET($A$1,ROW(),20,1000-ROW(),1),ROW(),OFFSET($A$1,ROW(),21,1000-ROW(),1),"Sub"))))</f>
        <v/>
      </c>
      <c r="L44" s="60">
        <f>IF(N($W44)=0,"",IF(AND($S44=MesCiclo,4&gt;SemanaActual),"",MIN(1,SUMIFS(OFFSET($A$1,ROW(),32,1000-ROW(),1),OFFSET($A$1,ROW(),20,1000-ROW(),1),ROW(),OFFSET($A$1,ROW(),21,1000-ROW(),1),"Sub"))))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IF($V44&lt;&gt;"Sub","",N($X44)*IF(AND(ISNUMBER($G44),$G44&lt;=IF($S44=MesCiclo,InicioCiclo,$S44+MOD(2-WEEKDAY($S44),7))+6),1,MIN(1,MAX(0,IF(ISNUMBER(OFFSET($A$1,ROW()-1,8)),OFFSET($A$1,ROW()-1,8),0)))))</f>
        <v/>
      </c>
      <c r="AE44" s="62">
        <f>IF($V44&lt;&gt;"Sub","",N($X44)*IF(AND(ISNUMBER($G44),$G44&lt;=IF($S44=MesCiclo,InicioCiclo,$S44+MOD(2-WEEKDAY($S44),7))+13),1,MIN(1,MAX(0,IF(ISNUMBER(OFFSET($A$1,ROW()-1,9)),OFFSET($A$1,ROW()-1,9),IF(ISNUMBER(OFFSET($A$1,ROW()-1,8)),OFFSET($A$1,ROW()-1,8),0))))))</f>
        <v/>
      </c>
      <c r="AF44" s="62">
        <f>IF($V44&lt;&gt;"Sub","",N($X44)*IF(AND(ISNUMBER($G44),$G44&lt;=IF($S44=MesCiclo,InicioCiclo,$S44+MOD(2-WEEKDAY($S44),7))+20),1,MIN(1,MAX(0,IF(ISNUMBER(OFFSET($A$1,ROW()-1,10)),OFFSET($A$1,ROW()-1,10),IF(ISNUMBER(OFFSET($A$1,ROW()-1,9)),OFFSET($A$1,ROW()-1,9),IF(ISNUMBER(OFFSET($A$1,ROW()-1,8)),OFFSET($A$1,ROW()-1,8),0)))))))</f>
        <v/>
      </c>
      <c r="AG44" s="62">
        <f>IF($V44&lt;&gt;"Sub","",N($X44)*IF(AND(ISNUMBER($G44),$G44&lt;=IF($S44=MesCiclo,InicioCiclo,$S44+MOD(2-WEEKDAY($S44),7))+27),1,MIN(1,MAX(0,IF(ISNUMBER(OFFSET($A$1,ROW()-1,11)),OFFSET($A$1,ROW()-1,11),IF(ISNUMBER(OFFSET($A$1,ROW()-1,10)),OFFSET($A$1,ROW()-1,10),IF(ISNUMBER(OFFSET($A$1,ROW()-1,9)),OFFSET($A$1,ROW()-1,9),IF(ISNUMBER(OFFSET($A$1,ROW()-1,8)),OFFSET($A$1,ROW()-1,8),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",IFERROR(MATCH("Riesgo Normativo|"&amp;MID($C44,12,500),rDname_ADM,0),0),"")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IF(N($W45)=0,"",IF(AND($S45=MesCiclo,1&gt;SemanaActual),"",MIN(1,SUMIFS(OFFSET($A$1,ROW(),29,1000-ROW(),1),OFFSET($A$1,ROW(),20,1000-ROW(),1),ROW(),OFFSET($A$1,ROW(),21,1000-ROW(),1),"Sub"))))</f>
        <v/>
      </c>
      <c r="J45" s="60">
        <f>IF(N($W45)=0,"",IF(AND($S45=MesCiclo,2&gt;SemanaActual),"",MIN(1,SUMIFS(OFFSET($A$1,ROW(),30,1000-ROW(),1),OFFSET($A$1,ROW(),20,1000-ROW(),1),ROW(),OFFSET($A$1,ROW(),21,1000-ROW(),1),"Sub"))))</f>
        <v/>
      </c>
      <c r="K45" s="60">
        <f>IF(N($W45)=0,"",IF(AND($S45=MesCiclo,3&gt;SemanaActual),"",MIN(1,SUMIFS(OFFSET($A$1,ROW(),31,1000-ROW(),1),OFFSET($A$1,ROW(),20,1000-ROW(),1),ROW(),OFFSET($A$1,ROW(),21,1000-ROW(),1),"Sub"))))</f>
        <v/>
      </c>
      <c r="L45" s="60">
        <f>IF(N($W45)=0,"",IF(AND($S45=MesCiclo,4&gt;SemanaActual),"",MIN(1,SUMIFS(OFFSET($A$1,ROW(),32,1000-ROW(),1),OFFSET($A$1,ROW(),20,1000-ROW(),1),ROW(),OFFSET($A$1,ROW(),21,1000-ROW(),1),"Sub"))))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IF($V45&lt;&gt;"Sub","",N($X45)*IF(AND(ISNUMBER($G45),$G45&lt;=IF($S45=MesCiclo,InicioCiclo,$S45+MOD(2-WEEKDAY($S45),7))+6),1,MIN(1,MAX(0,IF(ISNUMBER(OFFSET($A$1,ROW()-1,8)),OFFSET($A$1,ROW()-1,8),0)))))</f>
        <v/>
      </c>
      <c r="AE45" s="62">
        <f>IF($V45&lt;&gt;"Sub","",N($X45)*IF(AND(ISNUMBER($G45),$G45&lt;=IF($S45=MesCiclo,InicioCiclo,$S45+MOD(2-WEEKDAY($S45),7))+13),1,MIN(1,MAX(0,IF(ISNUMBER(OFFSET($A$1,ROW()-1,9)),OFFSET($A$1,ROW()-1,9),IF(ISNUMBER(OFFSET($A$1,ROW()-1,8)),OFFSET($A$1,ROW()-1,8),0))))))</f>
        <v/>
      </c>
      <c r="AF45" s="62">
        <f>IF($V45&lt;&gt;"Sub","",N($X45)*IF(AND(ISNUMBER($G45),$G45&lt;=IF($S45=MesCiclo,InicioCiclo,$S45+MOD(2-WEEKDAY($S45),7))+20),1,MIN(1,MAX(0,IF(ISNUMBER(OFFSET($A$1,ROW()-1,10)),OFFSET($A$1,ROW()-1,10),IF(ISNUMBER(OFFSET($A$1,ROW()-1,9)),OFFSET($A$1,ROW()-1,9),IF(ISNUMBER(OFFSET($A$1,ROW()-1,8)),OFFSET($A$1,ROW()-1,8),0)))))))</f>
        <v/>
      </c>
      <c r="AG45" s="62">
        <f>IF($V45&lt;&gt;"Sub","",N($X45)*IF(AND(ISNUMBER($G45),$G45&lt;=IF($S45=MesCiclo,InicioCiclo,$S45+MOD(2-WEEKDAY($S45),7))+27),1,MIN(1,MAX(0,IF(ISNUMBER(OFFSET($A$1,ROW()-1,11)),OFFSET($A$1,ROW()-1,11),IF(ISNUMBER(OFFSET($A$1,ROW()-1,10)),OFFSET($A$1,ROW()-1,10),IF(ISNUMBER(OFFSET($A$1,ROW()-1,9)),OFFSET($A$1,ROW()-1,9),IF(ISNUMBER(OFFSET($A$1,ROW()-1,8)),OFFSET($A$1,ROW()-1,8),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",IFERROR(MATCH("Riesgo Normativo|"&amp;MID($C45,12,500),rDname_ADM,0),0),"")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IF(N($W46)=0,"",IF(AND($S46=MesCiclo,1&gt;SemanaActual),"",MIN(1,SUMIFS(OFFSET($A$1,ROW(),29,1000-ROW(),1),OFFSET($A$1,ROW(),20,1000-ROW(),1),ROW(),OFFSET($A$1,ROW(),21,1000-ROW(),1),"Sub"))))</f>
        <v/>
      </c>
      <c r="J46" s="60">
        <f>IF(N($W46)=0,"",IF(AND($S46=MesCiclo,2&gt;SemanaActual),"",MIN(1,SUMIFS(OFFSET($A$1,ROW(),30,1000-ROW(),1),OFFSET($A$1,ROW(),20,1000-ROW(),1),ROW(),OFFSET($A$1,ROW(),21,1000-ROW(),1),"Sub"))))</f>
        <v/>
      </c>
      <c r="K46" s="60">
        <f>IF(N($W46)=0,"",IF(AND($S46=MesCiclo,3&gt;SemanaActual),"",MIN(1,SUMIFS(OFFSET($A$1,ROW(),31,1000-ROW(),1),OFFSET($A$1,ROW(),20,1000-ROW(),1),ROW(),OFFSET($A$1,ROW(),21,1000-ROW(),1),"Sub"))))</f>
        <v/>
      </c>
      <c r="L46" s="60">
        <f>IF(N($W46)=0,"",IF(AND($S46=MesCiclo,4&gt;SemanaActual),"",MIN(1,SUMIFS(OFFSET($A$1,ROW(),32,1000-ROW(),1),OFFSET($A$1,ROW(),20,1000-ROW(),1),ROW(),OFFSET($A$1,ROW(),21,1000-ROW(),1),"Sub"))))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IF($V46&lt;&gt;"Sub","",N($X46)*IF(AND(ISNUMBER($G46),$G46&lt;=IF($S46=MesCiclo,InicioCiclo,$S46+MOD(2-WEEKDAY($S46),7))+6),1,MIN(1,MAX(0,IF(ISNUMBER(OFFSET($A$1,ROW()-1,8)),OFFSET($A$1,ROW()-1,8),0)))))</f>
        <v/>
      </c>
      <c r="AE46" s="62">
        <f>IF($V46&lt;&gt;"Sub","",N($X46)*IF(AND(ISNUMBER($G46),$G46&lt;=IF($S46=MesCiclo,InicioCiclo,$S46+MOD(2-WEEKDAY($S46),7))+13),1,MIN(1,MAX(0,IF(ISNUMBER(OFFSET($A$1,ROW()-1,9)),OFFSET($A$1,ROW()-1,9),IF(ISNUMBER(OFFSET($A$1,ROW()-1,8)),OFFSET($A$1,ROW()-1,8),0))))))</f>
        <v/>
      </c>
      <c r="AF46" s="62">
        <f>IF($V46&lt;&gt;"Sub","",N($X46)*IF(AND(ISNUMBER($G46),$G46&lt;=IF($S46=MesCiclo,InicioCiclo,$S46+MOD(2-WEEKDAY($S46),7))+20),1,MIN(1,MAX(0,IF(ISNUMBER(OFFSET($A$1,ROW()-1,10)),OFFSET($A$1,ROW()-1,10),IF(ISNUMBER(OFFSET($A$1,ROW()-1,9)),OFFSET($A$1,ROW()-1,9),IF(ISNUMBER(OFFSET($A$1,ROW()-1,8)),OFFSET($A$1,ROW()-1,8),0)))))))</f>
        <v/>
      </c>
      <c r="AG46" s="62">
        <f>IF($V46&lt;&gt;"Sub","",N($X46)*IF(AND(ISNUMBER($G46),$G46&lt;=IF($S46=MesCiclo,InicioCiclo,$S46+MOD(2-WEEKDAY($S46),7))+27),1,MIN(1,MAX(0,IF(ISNUMBER(OFFSET($A$1,ROW()-1,11)),OFFSET($A$1,ROW()-1,11),IF(ISNUMBER(OFFSET($A$1,ROW()-1,10)),OFFSET($A$1,ROW()-1,10),IF(ISNUMBER(OFFSET($A$1,ROW()-1,9)),OFFSET($A$1,ROW()-1,9),IF(ISNUMBER(OFFSET($A$1,ROW()-1,8)),OFFSET($A$1,ROW()-1,8),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",IFERROR(MATCH("Riesgo Normativo|"&amp;MID($C46,12,500),rDname_ADM,0),0),"")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IF(N($W47)=0,"",IF(AND($S47=MesCiclo,1&gt;SemanaActual),"",MIN(1,SUMIFS(OFFSET($A$1,ROW(),29,1000-ROW(),1),OFFSET($A$1,ROW(),20,1000-ROW(),1),ROW(),OFFSET($A$1,ROW(),21,1000-ROW(),1),"Sub"))))</f>
        <v/>
      </c>
      <c r="J47" s="60">
        <f>IF(N($W47)=0,"",IF(AND($S47=MesCiclo,2&gt;SemanaActual),"",MIN(1,SUMIFS(OFFSET($A$1,ROW(),30,1000-ROW(),1),OFFSET($A$1,ROW(),20,1000-ROW(),1),ROW(),OFFSET($A$1,ROW(),21,1000-ROW(),1),"Sub"))))</f>
        <v/>
      </c>
      <c r="K47" s="60">
        <f>IF(N($W47)=0,"",IF(AND($S47=MesCiclo,3&gt;SemanaActual),"",MIN(1,SUMIFS(OFFSET($A$1,ROW(),31,1000-ROW(),1),OFFSET($A$1,ROW(),20,1000-ROW(),1),ROW(),OFFSET($A$1,ROW(),21,1000-ROW(),1),"Sub"))))</f>
        <v/>
      </c>
      <c r="L47" s="60">
        <f>IF(N($W47)=0,"",IF(AND($S47=MesCiclo,4&gt;SemanaActual),"",MIN(1,SUMIFS(OFFSET($A$1,ROW(),32,1000-ROW(),1),OFFSET($A$1,ROW(),20,1000-ROW(),1),ROW(),OFFSET($A$1,ROW(),21,1000-ROW(),1),"Sub"))))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IF($V47&lt;&gt;"Sub","",N($X47)*IF(AND(ISNUMBER($G47),$G47&lt;=IF($S47=MesCiclo,InicioCiclo,$S47+MOD(2-WEEKDAY($S47),7))+6),1,MIN(1,MAX(0,IF(ISNUMBER(OFFSET($A$1,ROW()-1,8)),OFFSET($A$1,ROW()-1,8),0)))))</f>
        <v/>
      </c>
      <c r="AE47" s="62">
        <f>IF($V47&lt;&gt;"Sub","",N($X47)*IF(AND(ISNUMBER($G47),$G47&lt;=IF($S47=MesCiclo,InicioCiclo,$S47+MOD(2-WEEKDAY($S47),7))+13),1,MIN(1,MAX(0,IF(ISNUMBER(OFFSET($A$1,ROW()-1,9)),OFFSET($A$1,ROW()-1,9),IF(ISNUMBER(OFFSET($A$1,ROW()-1,8)),OFFSET($A$1,ROW()-1,8),0))))))</f>
        <v/>
      </c>
      <c r="AF47" s="62">
        <f>IF($V47&lt;&gt;"Sub","",N($X47)*IF(AND(ISNUMBER($G47),$G47&lt;=IF($S47=MesCiclo,InicioCiclo,$S47+MOD(2-WEEKDAY($S47),7))+20),1,MIN(1,MAX(0,IF(ISNUMBER(OFFSET($A$1,ROW()-1,10)),OFFSET($A$1,ROW()-1,10),IF(ISNUMBER(OFFSET($A$1,ROW()-1,9)),OFFSET($A$1,ROW()-1,9),IF(ISNUMBER(OFFSET($A$1,ROW()-1,8)),OFFSET($A$1,ROW()-1,8),0)))))))</f>
        <v/>
      </c>
      <c r="AG47" s="62">
        <f>IF($V47&lt;&gt;"Sub","",N($X47)*IF(AND(ISNUMBER($G47),$G47&lt;=IF($S47=MesCiclo,InicioCiclo,$S47+MOD(2-WEEKDAY($S47),7))+27),1,MIN(1,MAX(0,IF(ISNUMBER(OFFSET($A$1,ROW()-1,11)),OFFSET($A$1,ROW()-1,11),IF(ISNUMBER(OFFSET($A$1,ROW()-1,10)),OFFSET($A$1,ROW()-1,10),IF(ISNUMBER(OFFSET($A$1,ROW()-1,9)),OFFSET($A$1,ROW()-1,9),IF(ISNUMBER(OFFSET($A$1,ROW()-1,8)),OFFSET($A$1,ROW()-1,8),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",IFERROR(MATCH("Riesgo Normativo|"&amp;MID($C47,12,500),rDname_ADM,0),0),"")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IF(N($W48)=0,"",IF(AND($S48=MesCiclo,1&gt;SemanaActual),"",MIN(1,SUMIFS(OFFSET($A$1,ROW(),29,1000-ROW(),1),OFFSET($A$1,ROW(),20,1000-ROW(),1),ROW(),OFFSET($A$1,ROW(),21,1000-ROW(),1),"Sub"))))</f>
        <v/>
      </c>
      <c r="J48" s="60">
        <f>IF(N($W48)=0,"",IF(AND($S48=MesCiclo,2&gt;SemanaActual),"",MIN(1,SUMIFS(OFFSET($A$1,ROW(),30,1000-ROW(),1),OFFSET($A$1,ROW(),20,1000-ROW(),1),ROW(),OFFSET($A$1,ROW(),21,1000-ROW(),1),"Sub"))))</f>
        <v/>
      </c>
      <c r="K48" s="60">
        <f>IF(N($W48)=0,"",IF(AND($S48=MesCiclo,3&gt;SemanaActual),"",MIN(1,SUMIFS(OFFSET($A$1,ROW(),31,1000-ROW(),1),OFFSET($A$1,ROW(),20,1000-ROW(),1),ROW(),OFFSET($A$1,ROW(),21,1000-ROW(),1),"Sub"))))</f>
        <v/>
      </c>
      <c r="L48" s="60">
        <f>IF(N($W48)=0,"",IF(AND($S48=MesCiclo,4&gt;SemanaActual),"",MIN(1,SUMIFS(OFFSET($A$1,ROW(),32,1000-ROW(),1),OFFSET($A$1,ROW(),20,1000-ROW(),1),ROW(),OFFSET($A$1,ROW(),21,1000-ROW(),1),"Sub"))))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IF($V48&lt;&gt;"Sub","",N($X48)*IF(AND(ISNUMBER($G48),$G48&lt;=IF($S48=MesCiclo,InicioCiclo,$S48+MOD(2-WEEKDAY($S48),7))+6),1,MIN(1,MAX(0,IF(ISNUMBER(OFFSET($A$1,ROW()-1,8)),OFFSET($A$1,ROW()-1,8),0)))))</f>
        <v/>
      </c>
      <c r="AE48" s="62">
        <f>IF($V48&lt;&gt;"Sub","",N($X48)*IF(AND(ISNUMBER($G48),$G48&lt;=IF($S48=MesCiclo,InicioCiclo,$S48+MOD(2-WEEKDAY($S48),7))+13),1,MIN(1,MAX(0,IF(ISNUMBER(OFFSET($A$1,ROW()-1,9)),OFFSET($A$1,ROW()-1,9),IF(ISNUMBER(OFFSET($A$1,ROW()-1,8)),OFFSET($A$1,ROW()-1,8),0))))))</f>
        <v/>
      </c>
      <c r="AF48" s="62">
        <f>IF($V48&lt;&gt;"Sub","",N($X48)*IF(AND(ISNUMBER($G48),$G48&lt;=IF($S48=MesCiclo,InicioCiclo,$S48+MOD(2-WEEKDAY($S48),7))+20),1,MIN(1,MAX(0,IF(ISNUMBER(OFFSET($A$1,ROW()-1,10)),OFFSET($A$1,ROW()-1,10),IF(ISNUMBER(OFFSET($A$1,ROW()-1,9)),OFFSET($A$1,ROW()-1,9),IF(ISNUMBER(OFFSET($A$1,ROW()-1,8)),OFFSET($A$1,ROW()-1,8),0)))))))</f>
        <v/>
      </c>
      <c r="AG48" s="62">
        <f>IF($V48&lt;&gt;"Sub","",N($X48)*IF(AND(ISNUMBER($G48),$G48&lt;=IF($S48=MesCiclo,InicioCiclo,$S48+MOD(2-WEEKDAY($S48),7))+27),1,MIN(1,MAX(0,IF(ISNUMBER(OFFSET($A$1,ROW()-1,11)),OFFSET($A$1,ROW()-1,11),IF(ISNUMBER(OFFSET($A$1,ROW()-1,10)),OFFSET($A$1,ROW()-1,10),IF(ISNUMBER(OFFSET($A$1,ROW()-1,9)),OFFSET($A$1,ROW()-1,9),IF(ISNUMBER(OFFSET($A$1,ROW()-1,8)),OFFSET($A$1,ROW()-1,8),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",IFERROR(MATCH("Riesgo Normativo|"&amp;MID($C48,12,500),rDname_ADM,0),0),"")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IF(N($W49)=0,"",IF(AND($S49=MesCiclo,1&gt;SemanaActual),"",MIN(1,SUMIFS(OFFSET($A$1,ROW(),29,1000-ROW(),1),OFFSET($A$1,ROW(),20,1000-ROW(),1),ROW(),OFFSET($A$1,ROW(),21,1000-ROW(),1),"Sub"))))</f>
        <v/>
      </c>
      <c r="J49" s="60">
        <f>IF(N($W49)=0,"",IF(AND($S49=MesCiclo,2&gt;SemanaActual),"",MIN(1,SUMIFS(OFFSET($A$1,ROW(),30,1000-ROW(),1),OFFSET($A$1,ROW(),20,1000-ROW(),1),ROW(),OFFSET($A$1,ROW(),21,1000-ROW(),1),"Sub"))))</f>
        <v/>
      </c>
      <c r="K49" s="60">
        <f>IF(N($W49)=0,"",IF(AND($S49=MesCiclo,3&gt;SemanaActual),"",MIN(1,SUMIFS(OFFSET($A$1,ROW(),31,1000-ROW(),1),OFFSET($A$1,ROW(),20,1000-ROW(),1),ROW(),OFFSET($A$1,ROW(),21,1000-ROW(),1),"Sub"))))</f>
        <v/>
      </c>
      <c r="L49" s="60">
        <f>IF(N($W49)=0,"",IF(AND($S49=MesCiclo,4&gt;SemanaActual),"",MIN(1,SUMIFS(OFFSET($A$1,ROW(),32,1000-ROW(),1),OFFSET($A$1,ROW(),20,1000-ROW(),1),ROW(),OFFSET($A$1,ROW(),21,1000-ROW(),1),"Sub"))))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IF($V49&lt;&gt;"Sub","",N($X49)*IF(AND(ISNUMBER($G49),$G49&lt;=IF($S49=MesCiclo,InicioCiclo,$S49+MOD(2-WEEKDAY($S49),7))+6),1,MIN(1,MAX(0,IF(ISNUMBER(OFFSET($A$1,ROW()-1,8)),OFFSET($A$1,ROW()-1,8),0)))))</f>
        <v/>
      </c>
      <c r="AE49" s="62">
        <f>IF($V49&lt;&gt;"Sub","",N($X49)*IF(AND(ISNUMBER($G49),$G49&lt;=IF($S49=MesCiclo,InicioCiclo,$S49+MOD(2-WEEKDAY($S49),7))+13),1,MIN(1,MAX(0,IF(ISNUMBER(OFFSET($A$1,ROW()-1,9)),OFFSET($A$1,ROW()-1,9),IF(ISNUMBER(OFFSET($A$1,ROW()-1,8)),OFFSET($A$1,ROW()-1,8),0))))))</f>
        <v/>
      </c>
      <c r="AF49" s="62">
        <f>IF($V49&lt;&gt;"Sub","",N($X49)*IF(AND(ISNUMBER($G49),$G49&lt;=IF($S49=MesCiclo,InicioCiclo,$S49+MOD(2-WEEKDAY($S49),7))+20),1,MIN(1,MAX(0,IF(ISNUMBER(OFFSET($A$1,ROW()-1,10)),OFFSET($A$1,ROW()-1,10),IF(ISNUMBER(OFFSET($A$1,ROW()-1,9)),OFFSET($A$1,ROW()-1,9),IF(ISNUMBER(OFFSET($A$1,ROW()-1,8)),OFFSET($A$1,ROW()-1,8),0)))))))</f>
        <v/>
      </c>
      <c r="AG49" s="62">
        <f>IF($V49&lt;&gt;"Sub","",N($X49)*IF(AND(ISNUMBER($G49),$G49&lt;=IF($S49=MesCiclo,InicioCiclo,$S49+MOD(2-WEEKDAY($S49),7))+27),1,MIN(1,MAX(0,IF(ISNUMBER(OFFSET($A$1,ROW()-1,11)),OFFSET($A$1,ROW()-1,11),IF(ISNUMBER(OFFSET($A$1,ROW()-1,10)),OFFSET($A$1,ROW()-1,10),IF(ISNUMBER(OFFSET($A$1,ROW()-1,9)),OFFSET($A$1,ROW()-1,9),IF(ISNUMBER(OFFSET($A$1,ROW()-1,8)),OFFSET($A$1,ROW()-1,8),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",IFERROR(MATCH("Riesgo Normativo|"&amp;MID($C49,12,500),rDname_ADM,0),0),"")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IF(N($W50)=0,"",IF(AND($S50=MesCiclo,1&gt;SemanaActual),"",MIN(1,SUMIFS(OFFSET($A$1,ROW(),29,1000-ROW(),1),OFFSET($A$1,ROW(),20,1000-ROW(),1),ROW(),OFFSET($A$1,ROW(),21,1000-ROW(),1),"Sub"))))</f>
        <v/>
      </c>
      <c r="J50" s="60">
        <f>IF(N($W50)=0,"",IF(AND($S50=MesCiclo,2&gt;SemanaActual),"",MIN(1,SUMIFS(OFFSET($A$1,ROW(),30,1000-ROW(),1),OFFSET($A$1,ROW(),20,1000-ROW(),1),ROW(),OFFSET($A$1,ROW(),21,1000-ROW(),1),"Sub"))))</f>
        <v/>
      </c>
      <c r="K50" s="60">
        <f>IF(N($W50)=0,"",IF(AND($S50=MesCiclo,3&gt;SemanaActual),"",MIN(1,SUMIFS(OFFSET($A$1,ROW(),31,1000-ROW(),1),OFFSET($A$1,ROW(),20,1000-ROW(),1),ROW(),OFFSET($A$1,ROW(),21,1000-ROW(),1),"Sub"))))</f>
        <v/>
      </c>
      <c r="L50" s="60">
        <f>IF(N($W50)=0,"",IF(AND($S50=MesCiclo,4&gt;SemanaActual),"",MIN(1,SUMIFS(OFFSET($A$1,ROW(),32,1000-ROW(),1),OFFSET($A$1,ROW(),20,1000-ROW(),1),ROW(),OFFSET($A$1,ROW(),21,1000-ROW(),1),"Sub"))))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IF($V50&lt;&gt;"Sub","",N($X50)*IF(AND(ISNUMBER($G50),$G50&lt;=IF($S50=MesCiclo,InicioCiclo,$S50+MOD(2-WEEKDAY($S50),7))+6),1,MIN(1,MAX(0,IF(ISNUMBER(OFFSET($A$1,ROW()-1,8)),OFFSET($A$1,ROW()-1,8),0)))))</f>
        <v/>
      </c>
      <c r="AE50" s="62">
        <f>IF($V50&lt;&gt;"Sub","",N($X50)*IF(AND(ISNUMBER($G50),$G50&lt;=IF($S50=MesCiclo,InicioCiclo,$S50+MOD(2-WEEKDAY($S50),7))+13),1,MIN(1,MAX(0,IF(ISNUMBER(OFFSET($A$1,ROW()-1,9)),OFFSET($A$1,ROW()-1,9),IF(ISNUMBER(OFFSET($A$1,ROW()-1,8)),OFFSET($A$1,ROW()-1,8),0))))))</f>
        <v/>
      </c>
      <c r="AF50" s="62">
        <f>IF($V50&lt;&gt;"Sub","",N($X50)*IF(AND(ISNUMBER($G50),$G50&lt;=IF($S50=MesCiclo,InicioCiclo,$S50+MOD(2-WEEKDAY($S50),7))+20),1,MIN(1,MAX(0,IF(ISNUMBER(OFFSET($A$1,ROW()-1,10)),OFFSET($A$1,ROW()-1,10),IF(ISNUMBER(OFFSET($A$1,ROW()-1,9)),OFFSET($A$1,ROW()-1,9),IF(ISNUMBER(OFFSET($A$1,ROW()-1,8)),OFFSET($A$1,ROW()-1,8),0)))))))</f>
        <v/>
      </c>
      <c r="AG50" s="62">
        <f>IF($V50&lt;&gt;"Sub","",N($X50)*IF(AND(ISNUMBER($G50),$G50&lt;=IF($S50=MesCiclo,InicioCiclo,$S50+MOD(2-WEEKDAY($S50),7))+27),1,MIN(1,MAX(0,IF(ISNUMBER(OFFSET($A$1,ROW()-1,11)),OFFSET($A$1,ROW()-1,11),IF(ISNUMBER(OFFSET($A$1,ROW()-1,10)),OFFSET($A$1,ROW()-1,10),IF(ISNUMBER(OFFSET($A$1,ROW()-1,9)),OFFSET($A$1,ROW()-1,9),IF(ISNUMBER(OFFSET($A$1,ROW()-1,8)),OFFSET($A$1,ROW()-1,8),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",IFERROR(MATCH("Riesgo Normativo|"&amp;MID($C50,12,500),rDname_ADM,0),0),"")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IF(N($W51)=0,"",IF(AND($S51=MesCiclo,1&gt;SemanaActual),"",MIN(1,SUMIFS(OFFSET($A$1,ROW(),29,1000-ROW(),1),OFFSET($A$1,ROW(),20,1000-ROW(),1),ROW(),OFFSET($A$1,ROW(),21,1000-ROW(),1),"Sub"))))</f>
        <v/>
      </c>
      <c r="J51" s="60">
        <f>IF(N($W51)=0,"",IF(AND($S51=MesCiclo,2&gt;SemanaActual),"",MIN(1,SUMIFS(OFFSET($A$1,ROW(),30,1000-ROW(),1),OFFSET($A$1,ROW(),20,1000-ROW(),1),ROW(),OFFSET($A$1,ROW(),21,1000-ROW(),1),"Sub"))))</f>
        <v/>
      </c>
      <c r="K51" s="60">
        <f>IF(N($W51)=0,"",IF(AND($S51=MesCiclo,3&gt;SemanaActual),"",MIN(1,SUMIFS(OFFSET($A$1,ROW(),31,1000-ROW(),1),OFFSET($A$1,ROW(),20,1000-ROW(),1),ROW(),OFFSET($A$1,ROW(),21,1000-ROW(),1),"Sub"))))</f>
        <v/>
      </c>
      <c r="L51" s="60">
        <f>IF(N($W51)=0,"",IF(AND($S51=MesCiclo,4&gt;SemanaActual),"",MIN(1,SUMIFS(OFFSET($A$1,ROW(),32,1000-ROW(),1),OFFSET($A$1,ROW(),20,1000-ROW(),1),ROW(),OFFSET($A$1,ROW(),21,1000-ROW(),1),"Sub"))))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IF($V51&lt;&gt;"Sub","",N($X51)*IF(AND(ISNUMBER($G51),$G51&lt;=IF($S51=MesCiclo,InicioCiclo,$S51+MOD(2-WEEKDAY($S51),7))+6),1,MIN(1,MAX(0,IF(ISNUMBER(OFFSET($A$1,ROW()-1,8)),OFFSET($A$1,ROW()-1,8),0)))))</f>
        <v/>
      </c>
      <c r="AE51" s="62">
        <f>IF($V51&lt;&gt;"Sub","",N($X51)*IF(AND(ISNUMBER($G51),$G51&lt;=IF($S51=MesCiclo,InicioCiclo,$S51+MOD(2-WEEKDAY($S51),7))+13),1,MIN(1,MAX(0,IF(ISNUMBER(OFFSET($A$1,ROW()-1,9)),OFFSET($A$1,ROW()-1,9),IF(ISNUMBER(OFFSET($A$1,ROW()-1,8)),OFFSET($A$1,ROW()-1,8),0))))))</f>
        <v/>
      </c>
      <c r="AF51" s="62">
        <f>IF($V51&lt;&gt;"Sub","",N($X51)*IF(AND(ISNUMBER($G51),$G51&lt;=IF($S51=MesCiclo,InicioCiclo,$S51+MOD(2-WEEKDAY($S51),7))+20),1,MIN(1,MAX(0,IF(ISNUMBER(OFFSET($A$1,ROW()-1,10)),OFFSET($A$1,ROW()-1,10),IF(ISNUMBER(OFFSET($A$1,ROW()-1,9)),OFFSET($A$1,ROW()-1,9),IF(ISNUMBER(OFFSET($A$1,ROW()-1,8)),OFFSET($A$1,ROW()-1,8),0)))))))</f>
        <v/>
      </c>
      <c r="AG51" s="62">
        <f>IF($V51&lt;&gt;"Sub","",N($X51)*IF(AND(ISNUMBER($G51),$G51&lt;=IF($S51=MesCiclo,InicioCiclo,$S51+MOD(2-WEEKDAY($S51),7))+27),1,MIN(1,MAX(0,IF(ISNUMBER(OFFSET($A$1,ROW()-1,11)),OFFSET($A$1,ROW()-1,11),IF(ISNUMBER(OFFSET($A$1,ROW()-1,10)),OFFSET($A$1,ROW()-1,10),IF(ISNUMBER(OFFSET($A$1,ROW()-1,9)),OFFSET($A$1,ROW()-1,9),IF(ISNUMBER(OFFSET($A$1,ROW()-1,8)),OFFSET($A$1,ROW()-1,8),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",IFERROR(MATCH("Riesgo Normativo|"&amp;MID($C51,12,500),rDname_ADM,0),0),"")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IF(N($W52)=0,"",IF(AND($S52=MesCiclo,1&gt;SemanaActual),"",MIN(1,SUMIFS(OFFSET($A$1,ROW(),29,1000-ROW(),1),OFFSET($A$1,ROW(),20,1000-ROW(),1),ROW(),OFFSET($A$1,ROW(),21,1000-ROW(),1),"Sub"))))</f>
        <v/>
      </c>
      <c r="J52" s="60">
        <f>IF(N($W52)=0,"",IF(AND($S52=MesCiclo,2&gt;SemanaActual),"",MIN(1,SUMIFS(OFFSET($A$1,ROW(),30,1000-ROW(),1),OFFSET($A$1,ROW(),20,1000-ROW(),1),ROW(),OFFSET($A$1,ROW(),21,1000-ROW(),1),"Sub"))))</f>
        <v/>
      </c>
      <c r="K52" s="60">
        <f>IF(N($W52)=0,"",IF(AND($S52=MesCiclo,3&gt;SemanaActual),"",MIN(1,SUMIFS(OFFSET($A$1,ROW(),31,1000-ROW(),1),OFFSET($A$1,ROW(),20,1000-ROW(),1),ROW(),OFFSET($A$1,ROW(),21,1000-ROW(),1),"Sub"))))</f>
        <v/>
      </c>
      <c r="L52" s="60">
        <f>IF(N($W52)=0,"",IF(AND($S52=MesCiclo,4&gt;SemanaActual),"",MIN(1,SUMIFS(OFFSET($A$1,ROW(),32,1000-ROW(),1),OFFSET($A$1,ROW(),20,1000-ROW(),1),ROW(),OFFSET($A$1,ROW(),21,1000-ROW(),1),"Sub"))))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IF($V52&lt;&gt;"Sub","",N($X52)*IF(AND(ISNUMBER($G52),$G52&lt;=IF($S52=MesCiclo,InicioCiclo,$S52+MOD(2-WEEKDAY($S52),7))+6),1,MIN(1,MAX(0,IF(ISNUMBER(OFFSET($A$1,ROW()-1,8)),OFFSET($A$1,ROW()-1,8),0)))))</f>
        <v/>
      </c>
      <c r="AE52" s="62">
        <f>IF($V52&lt;&gt;"Sub","",N($X52)*IF(AND(ISNUMBER($G52),$G52&lt;=IF($S52=MesCiclo,InicioCiclo,$S52+MOD(2-WEEKDAY($S52),7))+13),1,MIN(1,MAX(0,IF(ISNUMBER(OFFSET($A$1,ROW()-1,9)),OFFSET($A$1,ROW()-1,9),IF(ISNUMBER(OFFSET($A$1,ROW()-1,8)),OFFSET($A$1,ROW()-1,8),0))))))</f>
        <v/>
      </c>
      <c r="AF52" s="62">
        <f>IF($V52&lt;&gt;"Sub","",N($X52)*IF(AND(ISNUMBER($G52),$G52&lt;=IF($S52=MesCiclo,InicioCiclo,$S52+MOD(2-WEEKDAY($S52),7))+20),1,MIN(1,MAX(0,IF(ISNUMBER(OFFSET($A$1,ROW()-1,10)),OFFSET($A$1,ROW()-1,10),IF(ISNUMBER(OFFSET($A$1,ROW()-1,9)),OFFSET($A$1,ROW()-1,9),IF(ISNUMBER(OFFSET($A$1,ROW()-1,8)),OFFSET($A$1,ROW()-1,8),0)))))))</f>
        <v/>
      </c>
      <c r="AG52" s="62">
        <f>IF($V52&lt;&gt;"Sub","",N($X52)*IF(AND(ISNUMBER($G52),$G52&lt;=IF($S52=MesCiclo,InicioCiclo,$S52+MOD(2-WEEKDAY($S52),7))+27),1,MIN(1,MAX(0,IF(ISNUMBER(OFFSET($A$1,ROW()-1,11)),OFFSET($A$1,ROW()-1,11),IF(ISNUMBER(OFFSET($A$1,ROW()-1,10)),OFFSET($A$1,ROW()-1,10),IF(ISNUMBER(OFFSET($A$1,ROW()-1,9)),OFFSET($A$1,ROW()-1,9),IF(ISNUMBER(OFFSET($A$1,ROW()-1,8)),OFFSET($A$1,ROW()-1,8),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",IFERROR(MATCH("Riesgo Normativo|"&amp;MID($C52,12,500),rDname_ADM,0),0),"")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IF(N($W53)=0,"",IF(AND($S53=MesCiclo,1&gt;SemanaActual),"",MIN(1,SUMIFS(OFFSET($A$1,ROW(),29,1000-ROW(),1),OFFSET($A$1,ROW(),20,1000-ROW(),1),ROW(),OFFSET($A$1,ROW(),21,1000-ROW(),1),"Sub"))))</f>
        <v/>
      </c>
      <c r="J53" s="60">
        <f>IF(N($W53)=0,"",IF(AND($S53=MesCiclo,2&gt;SemanaActual),"",MIN(1,SUMIFS(OFFSET($A$1,ROW(),30,1000-ROW(),1),OFFSET($A$1,ROW(),20,1000-ROW(),1),ROW(),OFFSET($A$1,ROW(),21,1000-ROW(),1),"Sub"))))</f>
        <v/>
      </c>
      <c r="K53" s="60">
        <f>IF(N($W53)=0,"",IF(AND($S53=MesCiclo,3&gt;SemanaActual),"",MIN(1,SUMIFS(OFFSET($A$1,ROW(),31,1000-ROW(),1),OFFSET($A$1,ROW(),20,1000-ROW(),1),ROW(),OFFSET($A$1,ROW(),21,1000-ROW(),1),"Sub"))))</f>
        <v/>
      </c>
      <c r="L53" s="60">
        <f>IF(N($W53)=0,"",IF(AND($S53=MesCiclo,4&gt;SemanaActual),"",MIN(1,SUMIFS(OFFSET($A$1,ROW(),32,1000-ROW(),1),OFFSET($A$1,ROW(),20,1000-ROW(),1),ROW(),OFFSET($A$1,ROW(),21,1000-ROW(),1),"Sub"))))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IF($V53&lt;&gt;"Sub","",N($X53)*IF(AND(ISNUMBER($G53),$G53&lt;=IF($S53=MesCiclo,InicioCiclo,$S53+MOD(2-WEEKDAY($S53),7))+6),1,MIN(1,MAX(0,IF(ISNUMBER(OFFSET($A$1,ROW()-1,8)),OFFSET($A$1,ROW()-1,8),0)))))</f>
        <v/>
      </c>
      <c r="AE53" s="62">
        <f>IF($V53&lt;&gt;"Sub","",N($X53)*IF(AND(ISNUMBER($G53),$G53&lt;=IF($S53=MesCiclo,InicioCiclo,$S53+MOD(2-WEEKDAY($S53),7))+13),1,MIN(1,MAX(0,IF(ISNUMBER(OFFSET($A$1,ROW()-1,9)),OFFSET($A$1,ROW()-1,9),IF(ISNUMBER(OFFSET($A$1,ROW()-1,8)),OFFSET($A$1,ROW()-1,8),0))))))</f>
        <v/>
      </c>
      <c r="AF53" s="62">
        <f>IF($V53&lt;&gt;"Sub","",N($X53)*IF(AND(ISNUMBER($G53),$G53&lt;=IF($S53=MesCiclo,InicioCiclo,$S53+MOD(2-WEEKDAY($S53),7))+20),1,MIN(1,MAX(0,IF(ISNUMBER(OFFSET($A$1,ROW()-1,10)),OFFSET($A$1,ROW()-1,10),IF(ISNUMBER(OFFSET($A$1,ROW()-1,9)),OFFSET($A$1,ROW()-1,9),IF(ISNUMBER(OFFSET($A$1,ROW()-1,8)),OFFSET($A$1,ROW()-1,8),0)))))))</f>
        <v/>
      </c>
      <c r="AG53" s="62">
        <f>IF($V53&lt;&gt;"Sub","",N($X53)*IF(AND(ISNUMBER($G53),$G53&lt;=IF($S53=MesCiclo,InicioCiclo,$S53+MOD(2-WEEKDAY($S53),7))+27),1,MIN(1,MAX(0,IF(ISNUMBER(OFFSET($A$1,ROW()-1,11)),OFFSET($A$1,ROW()-1,11),IF(ISNUMBER(OFFSET($A$1,ROW()-1,10)),OFFSET($A$1,ROW()-1,10),IF(ISNUMBER(OFFSET($A$1,ROW()-1,9)),OFFSET($A$1,ROW()-1,9),IF(ISNUMBER(OFFSET($A$1,ROW()-1,8)),OFFSET($A$1,ROW()-1,8),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",IFERROR(MATCH("Riesgo Normativo|"&amp;MID($C53,12,500),rDname_ADM,0),0),"")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IF(N($W54)=0,"",IF(AND($S54=MesCiclo,1&gt;SemanaActual),"",MIN(1,SUMIFS(OFFSET($A$1,ROW(),29,1000-ROW(),1),OFFSET($A$1,ROW(),20,1000-ROW(),1),ROW(),OFFSET($A$1,ROW(),21,1000-ROW(),1),"Sub"))))</f>
        <v/>
      </c>
      <c r="J54" s="60">
        <f>IF(N($W54)=0,"",IF(AND($S54=MesCiclo,2&gt;SemanaActual),"",MIN(1,SUMIFS(OFFSET($A$1,ROW(),30,1000-ROW(),1),OFFSET($A$1,ROW(),20,1000-ROW(),1),ROW(),OFFSET($A$1,ROW(),21,1000-ROW(),1),"Sub"))))</f>
        <v/>
      </c>
      <c r="K54" s="60">
        <f>IF(N($W54)=0,"",IF(AND($S54=MesCiclo,3&gt;SemanaActual),"",MIN(1,SUMIFS(OFFSET($A$1,ROW(),31,1000-ROW(),1),OFFSET($A$1,ROW(),20,1000-ROW(),1),ROW(),OFFSET($A$1,ROW(),21,1000-ROW(),1),"Sub"))))</f>
        <v/>
      </c>
      <c r="L54" s="60">
        <f>IF(N($W54)=0,"",IF(AND($S54=MesCiclo,4&gt;SemanaActual),"",MIN(1,SUMIFS(OFFSET($A$1,ROW(),32,1000-ROW(),1),OFFSET($A$1,ROW(),20,1000-ROW(),1),ROW(),OFFSET($A$1,ROW(),21,1000-ROW(),1),"Sub"))))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IF($V54&lt;&gt;"Sub","",N($X54)*IF(AND(ISNUMBER($G54),$G54&lt;=IF($S54=MesCiclo,InicioCiclo,$S54+MOD(2-WEEKDAY($S54),7))+6),1,MIN(1,MAX(0,IF(ISNUMBER(OFFSET($A$1,ROW()-1,8)),OFFSET($A$1,ROW()-1,8),0)))))</f>
        <v/>
      </c>
      <c r="AE54" s="62">
        <f>IF($V54&lt;&gt;"Sub","",N($X54)*IF(AND(ISNUMBER($G54),$G54&lt;=IF($S54=MesCiclo,InicioCiclo,$S54+MOD(2-WEEKDAY($S54),7))+13),1,MIN(1,MAX(0,IF(ISNUMBER(OFFSET($A$1,ROW()-1,9)),OFFSET($A$1,ROW()-1,9),IF(ISNUMBER(OFFSET($A$1,ROW()-1,8)),OFFSET($A$1,ROW()-1,8),0))))))</f>
        <v/>
      </c>
      <c r="AF54" s="62">
        <f>IF($V54&lt;&gt;"Sub","",N($X54)*IF(AND(ISNUMBER($G54),$G54&lt;=IF($S54=MesCiclo,InicioCiclo,$S54+MOD(2-WEEKDAY($S54),7))+20),1,MIN(1,MAX(0,IF(ISNUMBER(OFFSET($A$1,ROW()-1,10)),OFFSET($A$1,ROW()-1,10),IF(ISNUMBER(OFFSET($A$1,ROW()-1,9)),OFFSET($A$1,ROW()-1,9),IF(ISNUMBER(OFFSET($A$1,ROW()-1,8)),OFFSET($A$1,ROW()-1,8),0)))))))</f>
        <v/>
      </c>
      <c r="AG54" s="62">
        <f>IF($V54&lt;&gt;"Sub","",N($X54)*IF(AND(ISNUMBER($G54),$G54&lt;=IF($S54=MesCiclo,InicioCiclo,$S54+MOD(2-WEEKDAY($S54),7))+27),1,MIN(1,MAX(0,IF(ISNUMBER(OFFSET($A$1,ROW()-1,11)),OFFSET($A$1,ROW()-1,11),IF(ISNUMBER(OFFSET($A$1,ROW()-1,10)),OFFSET($A$1,ROW()-1,10),IF(ISNUMBER(OFFSET($A$1,ROW()-1,9)),OFFSET($A$1,ROW()-1,9),IF(ISNUMBER(OFFSET($A$1,ROW()-1,8)),OFFSET($A$1,ROW()-1,8),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",IFERROR(MATCH("Riesgo Normativo|"&amp;MID($C54,12,500),rDname_ADM,0),0),"")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IF(N($W55)=0,"",IF(AND($S55=MesCiclo,1&gt;SemanaActual),"",MIN(1,SUMIFS(OFFSET($A$1,ROW(),29,1000-ROW(),1),OFFSET($A$1,ROW(),20,1000-ROW(),1),ROW(),OFFSET($A$1,ROW(),21,1000-ROW(),1),"Sub"))))</f>
        <v/>
      </c>
      <c r="J55" s="60">
        <f>IF(N($W55)=0,"",IF(AND($S55=MesCiclo,2&gt;SemanaActual),"",MIN(1,SUMIFS(OFFSET($A$1,ROW(),30,1000-ROW(),1),OFFSET($A$1,ROW(),20,1000-ROW(),1),ROW(),OFFSET($A$1,ROW(),21,1000-ROW(),1),"Sub"))))</f>
        <v/>
      </c>
      <c r="K55" s="60">
        <f>IF(N($W55)=0,"",IF(AND($S55=MesCiclo,3&gt;SemanaActual),"",MIN(1,SUMIFS(OFFSET($A$1,ROW(),31,1000-ROW(),1),OFFSET($A$1,ROW(),20,1000-ROW(),1),ROW(),OFFSET($A$1,ROW(),21,1000-ROW(),1),"Sub"))))</f>
        <v/>
      </c>
      <c r="L55" s="60">
        <f>IF(N($W55)=0,"",IF(AND($S55=MesCiclo,4&gt;SemanaActual),"",MIN(1,SUMIFS(OFFSET($A$1,ROW(),32,1000-ROW(),1),OFFSET($A$1,ROW(),20,1000-ROW(),1),ROW(),OFFSET($A$1,ROW(),21,1000-ROW(),1),"Sub"))))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IF($V55&lt;&gt;"Sub","",N($X55)*IF(AND(ISNUMBER($G55),$G55&lt;=IF($S55=MesCiclo,InicioCiclo,$S55+MOD(2-WEEKDAY($S55),7))+6),1,MIN(1,MAX(0,IF(ISNUMBER(OFFSET($A$1,ROW()-1,8)),OFFSET($A$1,ROW()-1,8),0)))))</f>
        <v/>
      </c>
      <c r="AE55" s="62">
        <f>IF($V55&lt;&gt;"Sub","",N($X55)*IF(AND(ISNUMBER($G55),$G55&lt;=IF($S55=MesCiclo,InicioCiclo,$S55+MOD(2-WEEKDAY($S55),7))+13),1,MIN(1,MAX(0,IF(ISNUMBER(OFFSET($A$1,ROW()-1,9)),OFFSET($A$1,ROW()-1,9),IF(ISNUMBER(OFFSET($A$1,ROW()-1,8)),OFFSET($A$1,ROW()-1,8),0))))))</f>
        <v/>
      </c>
      <c r="AF55" s="62">
        <f>IF($V55&lt;&gt;"Sub","",N($X55)*IF(AND(ISNUMBER($G55),$G55&lt;=IF($S55=MesCiclo,InicioCiclo,$S55+MOD(2-WEEKDAY($S55),7))+20),1,MIN(1,MAX(0,IF(ISNUMBER(OFFSET($A$1,ROW()-1,10)),OFFSET($A$1,ROW()-1,10),IF(ISNUMBER(OFFSET($A$1,ROW()-1,9)),OFFSET($A$1,ROW()-1,9),IF(ISNUMBER(OFFSET($A$1,ROW()-1,8)),OFFSET($A$1,ROW()-1,8),0)))))))</f>
        <v/>
      </c>
      <c r="AG55" s="62">
        <f>IF($V55&lt;&gt;"Sub","",N($X55)*IF(AND(ISNUMBER($G55),$G55&lt;=IF($S55=MesCiclo,InicioCiclo,$S55+MOD(2-WEEKDAY($S55),7))+27),1,MIN(1,MAX(0,IF(ISNUMBER(OFFSET($A$1,ROW()-1,11)),OFFSET($A$1,ROW()-1,11),IF(ISNUMBER(OFFSET($A$1,ROW()-1,10)),OFFSET($A$1,ROW()-1,10),IF(ISNUMBER(OFFSET($A$1,ROW()-1,9)),OFFSET($A$1,ROW()-1,9),IF(ISNUMBER(OFFSET($A$1,ROW()-1,8)),OFFSET($A$1,ROW()-1,8),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",IFERROR(MATCH("Riesgo Normativo|"&amp;MID($C55,12,500),rDname_ADM,0),0),"")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IF(N($W56)=0,"",IF(AND($S56=MesCiclo,1&gt;SemanaActual),"",MIN(1,SUMIFS(OFFSET($A$1,ROW(),29,1000-ROW(),1),OFFSET($A$1,ROW(),20,1000-ROW(),1),ROW(),OFFSET($A$1,ROW(),21,1000-ROW(),1),"Sub"))))</f>
        <v/>
      </c>
      <c r="J56" s="60">
        <f>IF(N($W56)=0,"",IF(AND($S56=MesCiclo,2&gt;SemanaActual),"",MIN(1,SUMIFS(OFFSET($A$1,ROW(),30,1000-ROW(),1),OFFSET($A$1,ROW(),20,1000-ROW(),1),ROW(),OFFSET($A$1,ROW(),21,1000-ROW(),1),"Sub"))))</f>
        <v/>
      </c>
      <c r="K56" s="60">
        <f>IF(N($W56)=0,"",IF(AND($S56=MesCiclo,3&gt;SemanaActual),"",MIN(1,SUMIFS(OFFSET($A$1,ROW(),31,1000-ROW(),1),OFFSET($A$1,ROW(),20,1000-ROW(),1),ROW(),OFFSET($A$1,ROW(),21,1000-ROW(),1),"Sub"))))</f>
        <v/>
      </c>
      <c r="L56" s="60">
        <f>IF(N($W56)=0,"",IF(AND($S56=MesCiclo,4&gt;SemanaActual),"",MIN(1,SUMIFS(OFFSET($A$1,ROW(),32,1000-ROW(),1),OFFSET($A$1,ROW(),20,1000-ROW(),1),ROW(),OFFSET($A$1,ROW(),21,1000-ROW(),1),"Sub"))))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IF($V56&lt;&gt;"Sub","",N($X56)*IF(AND(ISNUMBER($G56),$G56&lt;=IF($S56=MesCiclo,InicioCiclo,$S56+MOD(2-WEEKDAY($S56),7))+6),1,MIN(1,MAX(0,IF(ISNUMBER(OFFSET($A$1,ROW()-1,8)),OFFSET($A$1,ROW()-1,8),0)))))</f>
        <v/>
      </c>
      <c r="AE56" s="62">
        <f>IF($V56&lt;&gt;"Sub","",N($X56)*IF(AND(ISNUMBER($G56),$G56&lt;=IF($S56=MesCiclo,InicioCiclo,$S56+MOD(2-WEEKDAY($S56),7))+13),1,MIN(1,MAX(0,IF(ISNUMBER(OFFSET($A$1,ROW()-1,9)),OFFSET($A$1,ROW()-1,9),IF(ISNUMBER(OFFSET($A$1,ROW()-1,8)),OFFSET($A$1,ROW()-1,8),0))))))</f>
        <v/>
      </c>
      <c r="AF56" s="62">
        <f>IF($V56&lt;&gt;"Sub","",N($X56)*IF(AND(ISNUMBER($G56),$G56&lt;=IF($S56=MesCiclo,InicioCiclo,$S56+MOD(2-WEEKDAY($S56),7))+20),1,MIN(1,MAX(0,IF(ISNUMBER(OFFSET($A$1,ROW()-1,10)),OFFSET($A$1,ROW()-1,10),IF(ISNUMBER(OFFSET($A$1,ROW()-1,9)),OFFSET($A$1,ROW()-1,9),IF(ISNUMBER(OFFSET($A$1,ROW()-1,8)),OFFSET($A$1,ROW()-1,8),0)))))))</f>
        <v/>
      </c>
      <c r="AG56" s="62">
        <f>IF($V56&lt;&gt;"Sub","",N($X56)*IF(AND(ISNUMBER($G56),$G56&lt;=IF($S56=MesCiclo,InicioCiclo,$S56+MOD(2-WEEKDAY($S56),7))+27),1,MIN(1,MAX(0,IF(ISNUMBER(OFFSET($A$1,ROW()-1,11)),OFFSET($A$1,ROW()-1,11),IF(ISNUMBER(OFFSET($A$1,ROW()-1,10)),OFFSET($A$1,ROW()-1,10),IF(ISNUMBER(OFFSET($A$1,ROW()-1,9)),OFFSET($A$1,ROW()-1,9),IF(ISNUMBER(OFFSET($A$1,ROW()-1,8)),OFFSET($A$1,ROW()-1,8),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",IFERROR(MATCH("Riesgo Normativo|"&amp;MID($C56,12,500),rDname_ADM,0),0),"")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IF(N($W57)=0,"",IF(AND($S57=MesCiclo,1&gt;SemanaActual),"",MIN(1,SUMIFS(OFFSET($A$1,ROW(),29,1000-ROW(),1),OFFSET($A$1,ROW(),20,1000-ROW(),1),ROW(),OFFSET($A$1,ROW(),21,1000-ROW(),1),"Sub"))))</f>
        <v/>
      </c>
      <c r="J57" s="60">
        <f>IF(N($W57)=0,"",IF(AND($S57=MesCiclo,2&gt;SemanaActual),"",MIN(1,SUMIFS(OFFSET($A$1,ROW(),30,1000-ROW(),1),OFFSET($A$1,ROW(),20,1000-ROW(),1),ROW(),OFFSET($A$1,ROW(),21,1000-ROW(),1),"Sub"))))</f>
        <v/>
      </c>
      <c r="K57" s="60">
        <f>IF(N($W57)=0,"",IF(AND($S57=MesCiclo,3&gt;SemanaActual),"",MIN(1,SUMIFS(OFFSET($A$1,ROW(),31,1000-ROW(),1),OFFSET($A$1,ROW(),20,1000-ROW(),1),ROW(),OFFSET($A$1,ROW(),21,1000-ROW(),1),"Sub"))))</f>
        <v/>
      </c>
      <c r="L57" s="60">
        <f>IF(N($W57)=0,"",IF(AND($S57=MesCiclo,4&gt;SemanaActual),"",MIN(1,SUMIFS(OFFSET($A$1,ROW(),32,1000-ROW(),1),OFFSET($A$1,ROW(),20,1000-ROW(),1),ROW(),OFFSET($A$1,ROW(),21,1000-ROW(),1),"Sub"))))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IF($V57&lt;&gt;"Sub","",N($X57)*IF(AND(ISNUMBER($G57),$G57&lt;=IF($S57=MesCiclo,InicioCiclo,$S57+MOD(2-WEEKDAY($S57),7))+6),1,MIN(1,MAX(0,IF(ISNUMBER(OFFSET($A$1,ROW()-1,8)),OFFSET($A$1,ROW()-1,8),0)))))</f>
        <v/>
      </c>
      <c r="AE57" s="62">
        <f>IF($V57&lt;&gt;"Sub","",N($X57)*IF(AND(ISNUMBER($G57),$G57&lt;=IF($S57=MesCiclo,InicioCiclo,$S57+MOD(2-WEEKDAY($S57),7))+13),1,MIN(1,MAX(0,IF(ISNUMBER(OFFSET($A$1,ROW()-1,9)),OFFSET($A$1,ROW()-1,9),IF(ISNUMBER(OFFSET($A$1,ROW()-1,8)),OFFSET($A$1,ROW()-1,8),0))))))</f>
        <v/>
      </c>
      <c r="AF57" s="62">
        <f>IF($V57&lt;&gt;"Sub","",N($X57)*IF(AND(ISNUMBER($G57),$G57&lt;=IF($S57=MesCiclo,InicioCiclo,$S57+MOD(2-WEEKDAY($S57),7))+20),1,MIN(1,MAX(0,IF(ISNUMBER(OFFSET($A$1,ROW()-1,10)),OFFSET($A$1,ROW()-1,10),IF(ISNUMBER(OFFSET($A$1,ROW()-1,9)),OFFSET($A$1,ROW()-1,9),IF(ISNUMBER(OFFSET($A$1,ROW()-1,8)),OFFSET($A$1,ROW()-1,8),0)))))))</f>
        <v/>
      </c>
      <c r="AG57" s="62">
        <f>IF($V57&lt;&gt;"Sub","",N($X57)*IF(AND(ISNUMBER($G57),$G57&lt;=IF($S57=MesCiclo,InicioCiclo,$S57+MOD(2-WEEKDAY($S57),7))+27),1,MIN(1,MAX(0,IF(ISNUMBER(OFFSET($A$1,ROW()-1,11)),OFFSET($A$1,ROW()-1,11),IF(ISNUMBER(OFFSET($A$1,ROW()-1,10)),OFFSET($A$1,ROW()-1,10),IF(ISNUMBER(OFFSET($A$1,ROW()-1,9)),OFFSET($A$1,ROW()-1,9),IF(ISNUMBER(OFFSET($A$1,ROW()-1,8)),OFFSET($A$1,ROW()-1,8),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",IFERROR(MATCH("Riesgo Normativo|"&amp;MID($C57,12,500),rDname_ADM,0),0),"")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IF(N($W58)=0,"",IF(AND($S58=MesCiclo,1&gt;SemanaActual),"",MIN(1,SUMIFS(OFFSET($A$1,ROW(),29,1000-ROW(),1),OFFSET($A$1,ROW(),20,1000-ROW(),1),ROW(),OFFSET($A$1,ROW(),21,1000-ROW(),1),"Sub"))))</f>
        <v/>
      </c>
      <c r="J58" s="60">
        <f>IF(N($W58)=0,"",IF(AND($S58=MesCiclo,2&gt;SemanaActual),"",MIN(1,SUMIFS(OFFSET($A$1,ROW(),30,1000-ROW(),1),OFFSET($A$1,ROW(),20,1000-ROW(),1),ROW(),OFFSET($A$1,ROW(),21,1000-ROW(),1),"Sub"))))</f>
        <v/>
      </c>
      <c r="K58" s="60">
        <f>IF(N($W58)=0,"",IF(AND($S58=MesCiclo,3&gt;SemanaActual),"",MIN(1,SUMIFS(OFFSET($A$1,ROW(),31,1000-ROW(),1),OFFSET($A$1,ROW(),20,1000-ROW(),1),ROW(),OFFSET($A$1,ROW(),21,1000-ROW(),1),"Sub"))))</f>
        <v/>
      </c>
      <c r="L58" s="60">
        <f>IF(N($W58)=0,"",IF(AND($S58=MesCiclo,4&gt;SemanaActual),"",MIN(1,SUMIFS(OFFSET($A$1,ROW(),32,1000-ROW(),1),OFFSET($A$1,ROW(),20,1000-ROW(),1),ROW(),OFFSET($A$1,ROW(),21,1000-ROW(),1),"Sub"))))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IF($V58&lt;&gt;"Sub","",N($X58)*IF(AND(ISNUMBER($G58),$G58&lt;=IF($S58=MesCiclo,InicioCiclo,$S58+MOD(2-WEEKDAY($S58),7))+6),1,MIN(1,MAX(0,IF(ISNUMBER(OFFSET($A$1,ROW()-1,8)),OFFSET($A$1,ROW()-1,8),0)))))</f>
        <v/>
      </c>
      <c r="AE58" s="62">
        <f>IF($V58&lt;&gt;"Sub","",N($X58)*IF(AND(ISNUMBER($G58),$G58&lt;=IF($S58=MesCiclo,InicioCiclo,$S58+MOD(2-WEEKDAY($S58),7))+13),1,MIN(1,MAX(0,IF(ISNUMBER(OFFSET($A$1,ROW()-1,9)),OFFSET($A$1,ROW()-1,9),IF(ISNUMBER(OFFSET($A$1,ROW()-1,8)),OFFSET($A$1,ROW()-1,8),0))))))</f>
        <v/>
      </c>
      <c r="AF58" s="62">
        <f>IF($V58&lt;&gt;"Sub","",N($X58)*IF(AND(ISNUMBER($G58),$G58&lt;=IF($S58=MesCiclo,InicioCiclo,$S58+MOD(2-WEEKDAY($S58),7))+20),1,MIN(1,MAX(0,IF(ISNUMBER(OFFSET($A$1,ROW()-1,10)),OFFSET($A$1,ROW()-1,10),IF(ISNUMBER(OFFSET($A$1,ROW()-1,9)),OFFSET($A$1,ROW()-1,9),IF(ISNUMBER(OFFSET($A$1,ROW()-1,8)),OFFSET($A$1,ROW()-1,8),0)))))))</f>
        <v/>
      </c>
      <c r="AG58" s="62">
        <f>IF($V58&lt;&gt;"Sub","",N($X58)*IF(AND(ISNUMBER($G58),$G58&lt;=IF($S58=MesCiclo,InicioCiclo,$S58+MOD(2-WEEKDAY($S58),7))+27),1,MIN(1,MAX(0,IF(ISNUMBER(OFFSET($A$1,ROW()-1,11)),OFFSET($A$1,ROW()-1,11),IF(ISNUMBER(OFFSET($A$1,ROW()-1,10)),OFFSET($A$1,ROW()-1,10),IF(ISNUMBER(OFFSET($A$1,ROW()-1,9)),OFFSET($A$1,ROW()-1,9),IF(ISNUMBER(OFFSET($A$1,ROW()-1,8)),OFFSET($A$1,ROW()-1,8),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",IFERROR(MATCH("Riesgo Normativo|"&amp;MID($C58,12,500),rDname_ADM,0),0),"")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IF(N($W59)=0,"",IF(AND($S59=MesCiclo,1&gt;SemanaActual),"",MIN(1,SUMIFS(OFFSET($A$1,ROW(),29,1000-ROW(),1),OFFSET($A$1,ROW(),20,1000-ROW(),1),ROW(),OFFSET($A$1,ROW(),21,1000-ROW(),1),"Sub"))))</f>
        <v/>
      </c>
      <c r="J59" s="60">
        <f>IF(N($W59)=0,"",IF(AND($S59=MesCiclo,2&gt;SemanaActual),"",MIN(1,SUMIFS(OFFSET($A$1,ROW(),30,1000-ROW(),1),OFFSET($A$1,ROW(),20,1000-ROW(),1),ROW(),OFFSET($A$1,ROW(),21,1000-ROW(),1),"Sub"))))</f>
        <v/>
      </c>
      <c r="K59" s="60">
        <f>IF(N($W59)=0,"",IF(AND($S59=MesCiclo,3&gt;SemanaActual),"",MIN(1,SUMIFS(OFFSET($A$1,ROW(),31,1000-ROW(),1),OFFSET($A$1,ROW(),20,1000-ROW(),1),ROW(),OFFSET($A$1,ROW(),21,1000-ROW(),1),"Sub"))))</f>
        <v/>
      </c>
      <c r="L59" s="60">
        <f>IF(N($W59)=0,"",IF(AND($S59=MesCiclo,4&gt;SemanaActual),"",MIN(1,SUMIFS(OFFSET($A$1,ROW(),32,1000-ROW(),1),OFFSET($A$1,ROW(),20,1000-ROW(),1),ROW(),OFFSET($A$1,ROW(),21,1000-ROW(),1),"Sub"))))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IF($V59&lt;&gt;"Sub","",N($X59)*IF(AND(ISNUMBER($G59),$G59&lt;=IF($S59=MesCiclo,InicioCiclo,$S59+MOD(2-WEEKDAY($S59),7))+6),1,MIN(1,MAX(0,IF(ISNUMBER(OFFSET($A$1,ROW()-1,8)),OFFSET($A$1,ROW()-1,8),0)))))</f>
        <v/>
      </c>
      <c r="AE59" s="62">
        <f>IF($V59&lt;&gt;"Sub","",N($X59)*IF(AND(ISNUMBER($G59),$G59&lt;=IF($S59=MesCiclo,InicioCiclo,$S59+MOD(2-WEEKDAY($S59),7))+13),1,MIN(1,MAX(0,IF(ISNUMBER(OFFSET($A$1,ROW()-1,9)),OFFSET($A$1,ROW()-1,9),IF(ISNUMBER(OFFSET($A$1,ROW()-1,8)),OFFSET($A$1,ROW()-1,8),0))))))</f>
        <v/>
      </c>
      <c r="AF59" s="62">
        <f>IF($V59&lt;&gt;"Sub","",N($X59)*IF(AND(ISNUMBER($G59),$G59&lt;=IF($S59=MesCiclo,InicioCiclo,$S59+MOD(2-WEEKDAY($S59),7))+20),1,MIN(1,MAX(0,IF(ISNUMBER(OFFSET($A$1,ROW()-1,10)),OFFSET($A$1,ROW()-1,10),IF(ISNUMBER(OFFSET($A$1,ROW()-1,9)),OFFSET($A$1,ROW()-1,9),IF(ISNUMBER(OFFSET($A$1,ROW()-1,8)),OFFSET($A$1,ROW()-1,8),0)))))))</f>
        <v/>
      </c>
      <c r="AG59" s="62">
        <f>IF($V59&lt;&gt;"Sub","",N($X59)*IF(AND(ISNUMBER($G59),$G59&lt;=IF($S59=MesCiclo,InicioCiclo,$S59+MOD(2-WEEKDAY($S59),7))+27),1,MIN(1,MAX(0,IF(ISNUMBER(OFFSET($A$1,ROW()-1,11)),OFFSET($A$1,ROW()-1,11),IF(ISNUMBER(OFFSET($A$1,ROW()-1,10)),OFFSET($A$1,ROW()-1,10),IF(ISNUMBER(OFFSET($A$1,ROW()-1,9)),OFFSET($A$1,ROW()-1,9),IF(ISNUMBER(OFFSET($A$1,ROW()-1,8)),OFFSET($A$1,ROW()-1,8),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",IFERROR(MATCH("Riesgo Normativo|"&amp;MID($C59,12,500),rDname_ADM,0),0),"")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IF(N($W60)=0,"",IF(AND($S60=MesCiclo,1&gt;SemanaActual),"",MIN(1,SUMIFS(OFFSET($A$1,ROW(),29,1000-ROW(),1),OFFSET($A$1,ROW(),20,1000-ROW(),1),ROW(),OFFSET($A$1,ROW(),21,1000-ROW(),1),"Sub"))))</f>
        <v/>
      </c>
      <c r="J60" s="60">
        <f>IF(N($W60)=0,"",IF(AND($S60=MesCiclo,2&gt;SemanaActual),"",MIN(1,SUMIFS(OFFSET($A$1,ROW(),30,1000-ROW(),1),OFFSET($A$1,ROW(),20,1000-ROW(),1),ROW(),OFFSET($A$1,ROW(),21,1000-ROW(),1),"Sub"))))</f>
        <v/>
      </c>
      <c r="K60" s="60">
        <f>IF(N($W60)=0,"",IF(AND($S60=MesCiclo,3&gt;SemanaActual),"",MIN(1,SUMIFS(OFFSET($A$1,ROW(),31,1000-ROW(),1),OFFSET($A$1,ROW(),20,1000-ROW(),1),ROW(),OFFSET($A$1,ROW(),21,1000-ROW(),1),"Sub"))))</f>
        <v/>
      </c>
      <c r="L60" s="60">
        <f>IF(N($W60)=0,"",IF(AND($S60=MesCiclo,4&gt;SemanaActual),"",MIN(1,SUMIFS(OFFSET($A$1,ROW(),32,1000-ROW(),1),OFFSET($A$1,ROW(),20,1000-ROW(),1),ROW(),OFFSET($A$1,ROW(),21,1000-ROW(),1),"Sub"))))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IF($V60&lt;&gt;"Sub","",N($X60)*IF(AND(ISNUMBER($G60),$G60&lt;=IF($S60=MesCiclo,InicioCiclo,$S60+MOD(2-WEEKDAY($S60),7))+6),1,MIN(1,MAX(0,IF(ISNUMBER(OFFSET($A$1,ROW()-1,8)),OFFSET($A$1,ROW()-1,8),0)))))</f>
        <v/>
      </c>
      <c r="AE60" s="62">
        <f>IF($V60&lt;&gt;"Sub","",N($X60)*IF(AND(ISNUMBER($G60),$G60&lt;=IF($S60=MesCiclo,InicioCiclo,$S60+MOD(2-WEEKDAY($S60),7))+13),1,MIN(1,MAX(0,IF(ISNUMBER(OFFSET($A$1,ROW()-1,9)),OFFSET($A$1,ROW()-1,9),IF(ISNUMBER(OFFSET($A$1,ROW()-1,8)),OFFSET($A$1,ROW()-1,8),0))))))</f>
        <v/>
      </c>
      <c r="AF60" s="62">
        <f>IF($V60&lt;&gt;"Sub","",N($X60)*IF(AND(ISNUMBER($G60),$G60&lt;=IF($S60=MesCiclo,InicioCiclo,$S60+MOD(2-WEEKDAY($S60),7))+20),1,MIN(1,MAX(0,IF(ISNUMBER(OFFSET($A$1,ROW()-1,10)),OFFSET($A$1,ROW()-1,10),IF(ISNUMBER(OFFSET($A$1,ROW()-1,9)),OFFSET($A$1,ROW()-1,9),IF(ISNUMBER(OFFSET($A$1,ROW()-1,8)),OFFSET($A$1,ROW()-1,8),0)))))))</f>
        <v/>
      </c>
      <c r="AG60" s="62">
        <f>IF($V60&lt;&gt;"Sub","",N($X60)*IF(AND(ISNUMBER($G60),$G60&lt;=IF($S60=MesCiclo,InicioCiclo,$S60+MOD(2-WEEKDAY($S60),7))+27),1,MIN(1,MAX(0,IF(ISNUMBER(OFFSET($A$1,ROW()-1,11)),OFFSET($A$1,ROW()-1,11),IF(ISNUMBER(OFFSET($A$1,ROW()-1,10)),OFFSET($A$1,ROW()-1,10),IF(ISNUMBER(OFFSET($A$1,ROW()-1,9)),OFFSET($A$1,ROW()-1,9),IF(ISNUMBER(OFFSET($A$1,ROW()-1,8)),OFFSET($A$1,ROW()-1,8),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",IFERROR(MATCH("Riesgo Normativo|"&amp;MID($C60,12,500),rDname_ADM,0),0),"")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IF(N($W61)=0,"",IF(AND($S61=MesCiclo,1&gt;SemanaActual),"",MIN(1,SUMIFS(OFFSET($A$1,ROW(),29,1000-ROW(),1),OFFSET($A$1,ROW(),20,1000-ROW(),1),ROW(),OFFSET($A$1,ROW(),21,1000-ROW(),1),"Sub"))))</f>
        <v/>
      </c>
      <c r="J61" s="60">
        <f>IF(N($W61)=0,"",IF(AND($S61=MesCiclo,2&gt;SemanaActual),"",MIN(1,SUMIFS(OFFSET($A$1,ROW(),30,1000-ROW(),1),OFFSET($A$1,ROW(),20,1000-ROW(),1),ROW(),OFFSET($A$1,ROW(),21,1000-ROW(),1),"Sub"))))</f>
        <v/>
      </c>
      <c r="K61" s="60">
        <f>IF(N($W61)=0,"",IF(AND($S61=MesCiclo,3&gt;SemanaActual),"",MIN(1,SUMIFS(OFFSET($A$1,ROW(),31,1000-ROW(),1),OFFSET($A$1,ROW(),20,1000-ROW(),1),ROW(),OFFSET($A$1,ROW(),21,1000-ROW(),1),"Sub"))))</f>
        <v/>
      </c>
      <c r="L61" s="60">
        <f>IF(N($W61)=0,"",IF(AND($S61=MesCiclo,4&gt;SemanaActual),"",MIN(1,SUMIFS(OFFSET($A$1,ROW(),32,1000-ROW(),1),OFFSET($A$1,ROW(),20,1000-ROW(),1),ROW(),OFFSET($A$1,ROW(),21,1000-ROW(),1),"Sub"))))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IF($V61&lt;&gt;"Sub","",N($X61)*IF(AND(ISNUMBER($G61),$G61&lt;=IF($S61=MesCiclo,InicioCiclo,$S61+MOD(2-WEEKDAY($S61),7))+6),1,MIN(1,MAX(0,IF(ISNUMBER(OFFSET($A$1,ROW()-1,8)),OFFSET($A$1,ROW()-1,8),0)))))</f>
        <v/>
      </c>
      <c r="AE61" s="62">
        <f>IF($V61&lt;&gt;"Sub","",N($X61)*IF(AND(ISNUMBER($G61),$G61&lt;=IF($S61=MesCiclo,InicioCiclo,$S61+MOD(2-WEEKDAY($S61),7))+13),1,MIN(1,MAX(0,IF(ISNUMBER(OFFSET($A$1,ROW()-1,9)),OFFSET($A$1,ROW()-1,9),IF(ISNUMBER(OFFSET($A$1,ROW()-1,8)),OFFSET($A$1,ROW()-1,8),0))))))</f>
        <v/>
      </c>
      <c r="AF61" s="62">
        <f>IF($V61&lt;&gt;"Sub","",N($X61)*IF(AND(ISNUMBER($G61),$G61&lt;=IF($S61=MesCiclo,InicioCiclo,$S61+MOD(2-WEEKDAY($S61),7))+20),1,MIN(1,MAX(0,IF(ISNUMBER(OFFSET($A$1,ROW()-1,10)),OFFSET($A$1,ROW()-1,10),IF(ISNUMBER(OFFSET($A$1,ROW()-1,9)),OFFSET($A$1,ROW()-1,9),IF(ISNUMBER(OFFSET($A$1,ROW()-1,8)),OFFSET($A$1,ROW()-1,8),0)))))))</f>
        <v/>
      </c>
      <c r="AG61" s="62">
        <f>IF($V61&lt;&gt;"Sub","",N($X61)*IF(AND(ISNUMBER($G61),$G61&lt;=IF($S61=MesCiclo,InicioCiclo,$S61+MOD(2-WEEKDAY($S61),7))+27),1,MIN(1,MAX(0,IF(ISNUMBER(OFFSET($A$1,ROW()-1,11)),OFFSET($A$1,ROW()-1,11),IF(ISNUMBER(OFFSET($A$1,ROW()-1,10)),OFFSET($A$1,ROW()-1,10),IF(ISNUMBER(OFFSET($A$1,ROW()-1,9)),OFFSET($A$1,ROW()-1,9),IF(ISNUMBER(OFFSET($A$1,ROW()-1,8)),OFFSET($A$1,ROW()-1,8),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",IFERROR(MATCH("Riesgo Normativo|"&amp;MID($C61,12,500),rDname_ADM,0),0),"")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IF(N($W62)=0,"",IF(AND($S62=MesCiclo,1&gt;SemanaActual),"",MIN(1,SUMIFS(OFFSET($A$1,ROW(),29,1000-ROW(),1),OFFSET($A$1,ROW(),20,1000-ROW(),1),ROW(),OFFSET($A$1,ROW(),21,1000-ROW(),1),"Sub"))))</f>
        <v/>
      </c>
      <c r="J62" s="60">
        <f>IF(N($W62)=0,"",IF(AND($S62=MesCiclo,2&gt;SemanaActual),"",MIN(1,SUMIFS(OFFSET($A$1,ROW(),30,1000-ROW(),1),OFFSET($A$1,ROW(),20,1000-ROW(),1),ROW(),OFFSET($A$1,ROW(),21,1000-ROW(),1),"Sub"))))</f>
        <v/>
      </c>
      <c r="K62" s="60">
        <f>IF(N($W62)=0,"",IF(AND($S62=MesCiclo,3&gt;SemanaActual),"",MIN(1,SUMIFS(OFFSET($A$1,ROW(),31,1000-ROW(),1),OFFSET($A$1,ROW(),20,1000-ROW(),1),ROW(),OFFSET($A$1,ROW(),21,1000-ROW(),1),"Sub"))))</f>
        <v/>
      </c>
      <c r="L62" s="60">
        <f>IF(N($W62)=0,"",IF(AND($S62=MesCiclo,4&gt;SemanaActual),"",MIN(1,SUMIFS(OFFSET($A$1,ROW(),32,1000-ROW(),1),OFFSET($A$1,ROW(),20,1000-ROW(),1),ROW(),OFFSET($A$1,ROW(),21,1000-ROW(),1),"Sub"))))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IF($V62&lt;&gt;"Sub","",N($X62)*IF(AND(ISNUMBER($G62),$G62&lt;=IF($S62=MesCiclo,InicioCiclo,$S62+MOD(2-WEEKDAY($S62),7))+6),1,MIN(1,MAX(0,IF(ISNUMBER(OFFSET($A$1,ROW()-1,8)),OFFSET($A$1,ROW()-1,8),0)))))</f>
        <v/>
      </c>
      <c r="AE62" s="62">
        <f>IF($V62&lt;&gt;"Sub","",N($X62)*IF(AND(ISNUMBER($G62),$G62&lt;=IF($S62=MesCiclo,InicioCiclo,$S62+MOD(2-WEEKDAY($S62),7))+13),1,MIN(1,MAX(0,IF(ISNUMBER(OFFSET($A$1,ROW()-1,9)),OFFSET($A$1,ROW()-1,9),IF(ISNUMBER(OFFSET($A$1,ROW()-1,8)),OFFSET($A$1,ROW()-1,8),0))))))</f>
        <v/>
      </c>
      <c r="AF62" s="62">
        <f>IF($V62&lt;&gt;"Sub","",N($X62)*IF(AND(ISNUMBER($G62),$G62&lt;=IF($S62=MesCiclo,InicioCiclo,$S62+MOD(2-WEEKDAY($S62),7))+20),1,MIN(1,MAX(0,IF(ISNUMBER(OFFSET($A$1,ROW()-1,10)),OFFSET($A$1,ROW()-1,10),IF(ISNUMBER(OFFSET($A$1,ROW()-1,9)),OFFSET($A$1,ROW()-1,9),IF(ISNUMBER(OFFSET($A$1,ROW()-1,8)),OFFSET($A$1,ROW()-1,8),0)))))))</f>
        <v/>
      </c>
      <c r="AG62" s="62">
        <f>IF($V62&lt;&gt;"Sub","",N($X62)*IF(AND(ISNUMBER($G62),$G62&lt;=IF($S62=MesCiclo,InicioCiclo,$S62+MOD(2-WEEKDAY($S62),7))+27),1,MIN(1,MAX(0,IF(ISNUMBER(OFFSET($A$1,ROW()-1,11)),OFFSET($A$1,ROW()-1,11),IF(ISNUMBER(OFFSET($A$1,ROW()-1,10)),OFFSET($A$1,ROW()-1,10),IF(ISNUMBER(OFFSET($A$1,ROW()-1,9)),OFFSET($A$1,ROW()-1,9),IF(ISNUMBER(OFFSET($A$1,ROW()-1,8)),OFFSET($A$1,ROW()-1,8),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",IFERROR(MATCH("Riesgo Normativo|"&amp;MID($C62,12,500),rDname_ADM,0),0),"")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IF(N($W63)=0,"",IF(AND($S63=MesCiclo,1&gt;SemanaActual),"",MIN(1,SUMIFS(OFFSET($A$1,ROW(),29,1000-ROW(),1),OFFSET($A$1,ROW(),20,1000-ROW(),1),ROW(),OFFSET($A$1,ROW(),21,1000-ROW(),1),"Sub"))))</f>
        <v/>
      </c>
      <c r="J63" s="60">
        <f>IF(N($W63)=0,"",IF(AND($S63=MesCiclo,2&gt;SemanaActual),"",MIN(1,SUMIFS(OFFSET($A$1,ROW(),30,1000-ROW(),1),OFFSET($A$1,ROW(),20,1000-ROW(),1),ROW(),OFFSET($A$1,ROW(),21,1000-ROW(),1),"Sub"))))</f>
        <v/>
      </c>
      <c r="K63" s="60">
        <f>IF(N($W63)=0,"",IF(AND($S63=MesCiclo,3&gt;SemanaActual),"",MIN(1,SUMIFS(OFFSET($A$1,ROW(),31,1000-ROW(),1),OFFSET($A$1,ROW(),20,1000-ROW(),1),ROW(),OFFSET($A$1,ROW(),21,1000-ROW(),1),"Sub"))))</f>
        <v/>
      </c>
      <c r="L63" s="60">
        <f>IF(N($W63)=0,"",IF(AND($S63=MesCiclo,4&gt;SemanaActual),"",MIN(1,SUMIFS(OFFSET($A$1,ROW(),32,1000-ROW(),1),OFFSET($A$1,ROW(),20,1000-ROW(),1),ROW(),OFFSET($A$1,ROW(),21,1000-ROW(),1),"Sub"))))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IF($V63&lt;&gt;"Sub","",N($X63)*IF(AND(ISNUMBER($G63),$G63&lt;=IF($S63=MesCiclo,InicioCiclo,$S63+MOD(2-WEEKDAY($S63),7))+6),1,MIN(1,MAX(0,IF(ISNUMBER(OFFSET($A$1,ROW()-1,8)),OFFSET($A$1,ROW()-1,8),0)))))</f>
        <v/>
      </c>
      <c r="AE63" s="62">
        <f>IF($V63&lt;&gt;"Sub","",N($X63)*IF(AND(ISNUMBER($G63),$G63&lt;=IF($S63=MesCiclo,InicioCiclo,$S63+MOD(2-WEEKDAY($S63),7))+13),1,MIN(1,MAX(0,IF(ISNUMBER(OFFSET($A$1,ROW()-1,9)),OFFSET($A$1,ROW()-1,9),IF(ISNUMBER(OFFSET($A$1,ROW()-1,8)),OFFSET($A$1,ROW()-1,8),0))))))</f>
        <v/>
      </c>
      <c r="AF63" s="62">
        <f>IF($V63&lt;&gt;"Sub","",N($X63)*IF(AND(ISNUMBER($G63),$G63&lt;=IF($S63=MesCiclo,InicioCiclo,$S63+MOD(2-WEEKDAY($S63),7))+20),1,MIN(1,MAX(0,IF(ISNUMBER(OFFSET($A$1,ROW()-1,10)),OFFSET($A$1,ROW()-1,10),IF(ISNUMBER(OFFSET($A$1,ROW()-1,9)),OFFSET($A$1,ROW()-1,9),IF(ISNUMBER(OFFSET($A$1,ROW()-1,8)),OFFSET($A$1,ROW()-1,8),0)))))))</f>
        <v/>
      </c>
      <c r="AG63" s="62">
        <f>IF($V63&lt;&gt;"Sub","",N($X63)*IF(AND(ISNUMBER($G63),$G63&lt;=IF($S63=MesCiclo,InicioCiclo,$S63+MOD(2-WEEKDAY($S63),7))+27),1,MIN(1,MAX(0,IF(ISNUMBER(OFFSET($A$1,ROW()-1,11)),OFFSET($A$1,ROW()-1,11),IF(ISNUMBER(OFFSET($A$1,ROW()-1,10)),OFFSET($A$1,ROW()-1,10),IF(ISNUMBER(OFFSET($A$1,ROW()-1,9)),OFFSET($A$1,ROW()-1,9),IF(ISNUMBER(OFFSET($A$1,ROW()-1,8)),OFFSET($A$1,ROW()-1,8),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",IFERROR(MATCH("Riesgo Normativo|"&amp;MID($C63,12,500),rDname_ADM,0),0),"")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IF(N($W64)=0,"",IF(AND($S64=MesCiclo,1&gt;SemanaActual),"",MIN(1,SUMIFS(OFFSET($A$1,ROW(),29,1000-ROW(),1),OFFSET($A$1,ROW(),20,1000-ROW(),1),ROW(),OFFSET($A$1,ROW(),21,1000-ROW(),1),"Sub"))))</f>
        <v/>
      </c>
      <c r="J64" s="60">
        <f>IF(N($W64)=0,"",IF(AND($S64=MesCiclo,2&gt;SemanaActual),"",MIN(1,SUMIFS(OFFSET($A$1,ROW(),30,1000-ROW(),1),OFFSET($A$1,ROW(),20,1000-ROW(),1),ROW(),OFFSET($A$1,ROW(),21,1000-ROW(),1),"Sub"))))</f>
        <v/>
      </c>
      <c r="K64" s="60">
        <f>IF(N($W64)=0,"",IF(AND($S64=MesCiclo,3&gt;SemanaActual),"",MIN(1,SUMIFS(OFFSET($A$1,ROW(),31,1000-ROW(),1),OFFSET($A$1,ROW(),20,1000-ROW(),1),ROW(),OFFSET($A$1,ROW(),21,1000-ROW(),1),"Sub"))))</f>
        <v/>
      </c>
      <c r="L64" s="60">
        <f>IF(N($W64)=0,"",IF(AND($S64=MesCiclo,4&gt;SemanaActual),"",MIN(1,SUMIFS(OFFSET($A$1,ROW(),32,1000-ROW(),1),OFFSET($A$1,ROW(),20,1000-ROW(),1),ROW(),OFFSET($A$1,ROW(),21,1000-ROW(),1),"Sub"))))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IF($V64&lt;&gt;"Sub","",N($X64)*IF(AND(ISNUMBER($G64),$G64&lt;=IF($S64=MesCiclo,InicioCiclo,$S64+MOD(2-WEEKDAY($S64),7))+6),1,MIN(1,MAX(0,IF(ISNUMBER(OFFSET($A$1,ROW()-1,8)),OFFSET($A$1,ROW()-1,8),0)))))</f>
        <v/>
      </c>
      <c r="AE64" s="62">
        <f>IF($V64&lt;&gt;"Sub","",N($X64)*IF(AND(ISNUMBER($G64),$G64&lt;=IF($S64=MesCiclo,InicioCiclo,$S64+MOD(2-WEEKDAY($S64),7))+13),1,MIN(1,MAX(0,IF(ISNUMBER(OFFSET($A$1,ROW()-1,9)),OFFSET($A$1,ROW()-1,9),IF(ISNUMBER(OFFSET($A$1,ROW()-1,8)),OFFSET($A$1,ROW()-1,8),0))))))</f>
        <v/>
      </c>
      <c r="AF64" s="62">
        <f>IF($V64&lt;&gt;"Sub","",N($X64)*IF(AND(ISNUMBER($G64),$G64&lt;=IF($S64=MesCiclo,InicioCiclo,$S64+MOD(2-WEEKDAY($S64),7))+20),1,MIN(1,MAX(0,IF(ISNUMBER(OFFSET($A$1,ROW()-1,10)),OFFSET($A$1,ROW()-1,10),IF(ISNUMBER(OFFSET($A$1,ROW()-1,9)),OFFSET($A$1,ROW()-1,9),IF(ISNUMBER(OFFSET($A$1,ROW()-1,8)),OFFSET($A$1,ROW()-1,8),0)))))))</f>
        <v/>
      </c>
      <c r="AG64" s="62">
        <f>IF($V64&lt;&gt;"Sub","",N($X64)*IF(AND(ISNUMBER($G64),$G64&lt;=IF($S64=MesCiclo,InicioCiclo,$S64+MOD(2-WEEKDAY($S64),7))+27),1,MIN(1,MAX(0,IF(ISNUMBER(OFFSET($A$1,ROW()-1,11)),OFFSET($A$1,ROW()-1,11),IF(ISNUMBER(OFFSET($A$1,ROW()-1,10)),OFFSET($A$1,ROW()-1,10),IF(ISNUMBER(OFFSET($A$1,ROW()-1,9)),OFFSET($A$1,ROW()-1,9),IF(ISNUMBER(OFFSET($A$1,ROW()-1,8)),OFFSET($A$1,ROW()-1,8),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",IFERROR(MATCH("Riesgo Normativo|"&amp;MID($C64,12,500),rDname_ADM,0),0),"")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IF(N($W65)=0,"",IF(AND($S65=MesCiclo,1&gt;SemanaActual),"",MIN(1,SUMIFS(OFFSET($A$1,ROW(),29,1000-ROW(),1),OFFSET($A$1,ROW(),20,1000-ROW(),1),ROW(),OFFSET($A$1,ROW(),21,1000-ROW(),1),"Sub"))))</f>
        <v/>
      </c>
      <c r="J65" s="60">
        <f>IF(N($W65)=0,"",IF(AND($S65=MesCiclo,2&gt;SemanaActual),"",MIN(1,SUMIFS(OFFSET($A$1,ROW(),30,1000-ROW(),1),OFFSET($A$1,ROW(),20,1000-ROW(),1),ROW(),OFFSET($A$1,ROW(),21,1000-ROW(),1),"Sub"))))</f>
        <v/>
      </c>
      <c r="K65" s="60">
        <f>IF(N($W65)=0,"",IF(AND($S65=MesCiclo,3&gt;SemanaActual),"",MIN(1,SUMIFS(OFFSET($A$1,ROW(),31,1000-ROW(),1),OFFSET($A$1,ROW(),20,1000-ROW(),1),ROW(),OFFSET($A$1,ROW(),21,1000-ROW(),1),"Sub"))))</f>
        <v/>
      </c>
      <c r="L65" s="60">
        <f>IF(N($W65)=0,"",IF(AND($S65=MesCiclo,4&gt;SemanaActual),"",MIN(1,SUMIFS(OFFSET($A$1,ROW(),32,1000-ROW(),1),OFFSET($A$1,ROW(),20,1000-ROW(),1),ROW(),OFFSET($A$1,ROW(),21,1000-ROW(),1),"Sub"))))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IF($V65&lt;&gt;"Sub","",N($X65)*IF(AND(ISNUMBER($G65),$G65&lt;=IF($S65=MesCiclo,InicioCiclo,$S65+MOD(2-WEEKDAY($S65),7))+6),1,MIN(1,MAX(0,IF(ISNUMBER(OFFSET($A$1,ROW()-1,8)),OFFSET($A$1,ROW()-1,8),0)))))</f>
        <v/>
      </c>
      <c r="AE65" s="62">
        <f>IF($V65&lt;&gt;"Sub","",N($X65)*IF(AND(ISNUMBER($G65),$G65&lt;=IF($S65=MesCiclo,InicioCiclo,$S65+MOD(2-WEEKDAY($S65),7))+13),1,MIN(1,MAX(0,IF(ISNUMBER(OFFSET($A$1,ROW()-1,9)),OFFSET($A$1,ROW()-1,9),IF(ISNUMBER(OFFSET($A$1,ROW()-1,8)),OFFSET($A$1,ROW()-1,8),0))))))</f>
        <v/>
      </c>
      <c r="AF65" s="62">
        <f>IF($V65&lt;&gt;"Sub","",N($X65)*IF(AND(ISNUMBER($G65),$G65&lt;=IF($S65=MesCiclo,InicioCiclo,$S65+MOD(2-WEEKDAY($S65),7))+20),1,MIN(1,MAX(0,IF(ISNUMBER(OFFSET($A$1,ROW()-1,10)),OFFSET($A$1,ROW()-1,10),IF(ISNUMBER(OFFSET($A$1,ROW()-1,9)),OFFSET($A$1,ROW()-1,9),IF(ISNUMBER(OFFSET($A$1,ROW()-1,8)),OFFSET($A$1,ROW()-1,8),0)))))))</f>
        <v/>
      </c>
      <c r="AG65" s="62">
        <f>IF($V65&lt;&gt;"Sub","",N($X65)*IF(AND(ISNUMBER($G65),$G65&lt;=IF($S65=MesCiclo,InicioCiclo,$S65+MOD(2-WEEKDAY($S65),7))+27),1,MIN(1,MAX(0,IF(ISNUMBER(OFFSET($A$1,ROW()-1,11)),OFFSET($A$1,ROW()-1,11),IF(ISNUMBER(OFFSET($A$1,ROW()-1,10)),OFFSET($A$1,ROW()-1,10),IF(ISNUMBER(OFFSET($A$1,ROW()-1,9)),OFFSET($A$1,ROW()-1,9),IF(ISNUMBER(OFFSET($A$1,ROW()-1,8)),OFFSET($A$1,ROW()-1,8),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",IFERROR(MATCH("Riesgo Normativo|"&amp;MID($C65,12,500),rDname_ADM,0),0),"")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IF(N($W66)=0,"",IF(AND($S66=MesCiclo,1&gt;SemanaActual),"",MIN(1,SUMIFS(OFFSET($A$1,ROW(),29,1000-ROW(),1),OFFSET($A$1,ROW(),20,1000-ROW(),1),ROW(),OFFSET($A$1,ROW(),21,1000-ROW(),1),"Sub"))))</f>
        <v/>
      </c>
      <c r="J66" s="60">
        <f>IF(N($W66)=0,"",IF(AND($S66=MesCiclo,2&gt;SemanaActual),"",MIN(1,SUMIFS(OFFSET($A$1,ROW(),30,1000-ROW(),1),OFFSET($A$1,ROW(),20,1000-ROW(),1),ROW(),OFFSET($A$1,ROW(),21,1000-ROW(),1),"Sub"))))</f>
        <v/>
      </c>
      <c r="K66" s="60">
        <f>IF(N($W66)=0,"",IF(AND($S66=MesCiclo,3&gt;SemanaActual),"",MIN(1,SUMIFS(OFFSET($A$1,ROW(),31,1000-ROW(),1),OFFSET($A$1,ROW(),20,1000-ROW(),1),ROW(),OFFSET($A$1,ROW(),21,1000-ROW(),1),"Sub"))))</f>
        <v/>
      </c>
      <c r="L66" s="60">
        <f>IF(N($W66)=0,"",IF(AND($S66=MesCiclo,4&gt;SemanaActual),"",MIN(1,SUMIFS(OFFSET($A$1,ROW(),32,1000-ROW(),1),OFFSET($A$1,ROW(),20,1000-ROW(),1),ROW(),OFFSET($A$1,ROW(),21,1000-ROW(),1),"Sub"))))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IF($V66&lt;&gt;"Sub","",N($X66)*IF(AND(ISNUMBER($G66),$G66&lt;=IF($S66=MesCiclo,InicioCiclo,$S66+MOD(2-WEEKDAY($S66),7))+6),1,MIN(1,MAX(0,IF(ISNUMBER(OFFSET($A$1,ROW()-1,8)),OFFSET($A$1,ROW()-1,8),0)))))</f>
        <v/>
      </c>
      <c r="AE66" s="62">
        <f>IF($V66&lt;&gt;"Sub","",N($X66)*IF(AND(ISNUMBER($G66),$G66&lt;=IF($S66=MesCiclo,InicioCiclo,$S66+MOD(2-WEEKDAY($S66),7))+13),1,MIN(1,MAX(0,IF(ISNUMBER(OFFSET($A$1,ROW()-1,9)),OFFSET($A$1,ROW()-1,9),IF(ISNUMBER(OFFSET($A$1,ROW()-1,8)),OFFSET($A$1,ROW()-1,8),0))))))</f>
        <v/>
      </c>
      <c r="AF66" s="62">
        <f>IF($V66&lt;&gt;"Sub","",N($X66)*IF(AND(ISNUMBER($G66),$G66&lt;=IF($S66=MesCiclo,InicioCiclo,$S66+MOD(2-WEEKDAY($S66),7))+20),1,MIN(1,MAX(0,IF(ISNUMBER(OFFSET($A$1,ROW()-1,10)),OFFSET($A$1,ROW()-1,10),IF(ISNUMBER(OFFSET($A$1,ROW()-1,9)),OFFSET($A$1,ROW()-1,9),IF(ISNUMBER(OFFSET($A$1,ROW()-1,8)),OFFSET($A$1,ROW()-1,8),0)))))))</f>
        <v/>
      </c>
      <c r="AG66" s="62">
        <f>IF($V66&lt;&gt;"Sub","",N($X66)*IF(AND(ISNUMBER($G66),$G66&lt;=IF($S66=MesCiclo,InicioCiclo,$S66+MOD(2-WEEKDAY($S66),7))+27),1,MIN(1,MAX(0,IF(ISNUMBER(OFFSET($A$1,ROW()-1,11)),OFFSET($A$1,ROW()-1,11),IF(ISNUMBER(OFFSET($A$1,ROW()-1,10)),OFFSET($A$1,ROW()-1,10),IF(ISNUMBER(OFFSET($A$1,ROW()-1,9)),OFFSET($A$1,ROW()-1,9),IF(ISNUMBER(OFFSET($A$1,ROW()-1,8)),OFFSET($A$1,ROW()-1,8),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",IFERROR(MATCH("Riesgo Normativo|"&amp;MID($C66,12,500),rDname_ADM,0),0),"")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IF(N($W67)=0,"",IF(AND($S67=MesCiclo,1&gt;SemanaActual),"",MIN(1,SUMIFS(OFFSET($A$1,ROW(),29,1000-ROW(),1),OFFSET($A$1,ROW(),20,1000-ROW(),1),ROW(),OFFSET($A$1,ROW(),21,1000-ROW(),1),"Sub"))))</f>
        <v/>
      </c>
      <c r="J67" s="60">
        <f>IF(N($W67)=0,"",IF(AND($S67=MesCiclo,2&gt;SemanaActual),"",MIN(1,SUMIFS(OFFSET($A$1,ROW(),30,1000-ROW(),1),OFFSET($A$1,ROW(),20,1000-ROW(),1),ROW(),OFFSET($A$1,ROW(),21,1000-ROW(),1),"Sub"))))</f>
        <v/>
      </c>
      <c r="K67" s="60">
        <f>IF(N($W67)=0,"",IF(AND($S67=MesCiclo,3&gt;SemanaActual),"",MIN(1,SUMIFS(OFFSET($A$1,ROW(),31,1000-ROW(),1),OFFSET($A$1,ROW(),20,1000-ROW(),1),ROW(),OFFSET($A$1,ROW(),21,1000-ROW(),1),"Sub"))))</f>
        <v/>
      </c>
      <c r="L67" s="60">
        <f>IF(N($W67)=0,"",IF(AND($S67=MesCiclo,4&gt;SemanaActual),"",MIN(1,SUMIFS(OFFSET($A$1,ROW(),32,1000-ROW(),1),OFFSET($A$1,ROW(),20,1000-ROW(),1),ROW(),OFFSET($A$1,ROW(),21,1000-ROW(),1),"Sub"))))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IF($V67&lt;&gt;"Sub","",N($X67)*IF(AND(ISNUMBER($G67),$G67&lt;=IF($S67=MesCiclo,InicioCiclo,$S67+MOD(2-WEEKDAY($S67),7))+6),1,MIN(1,MAX(0,IF(ISNUMBER(OFFSET($A$1,ROW()-1,8)),OFFSET($A$1,ROW()-1,8),0)))))</f>
        <v/>
      </c>
      <c r="AE67" s="62">
        <f>IF($V67&lt;&gt;"Sub","",N($X67)*IF(AND(ISNUMBER($G67),$G67&lt;=IF($S67=MesCiclo,InicioCiclo,$S67+MOD(2-WEEKDAY($S67),7))+13),1,MIN(1,MAX(0,IF(ISNUMBER(OFFSET($A$1,ROW()-1,9)),OFFSET($A$1,ROW()-1,9),IF(ISNUMBER(OFFSET($A$1,ROW()-1,8)),OFFSET($A$1,ROW()-1,8),0))))))</f>
        <v/>
      </c>
      <c r="AF67" s="62">
        <f>IF($V67&lt;&gt;"Sub","",N($X67)*IF(AND(ISNUMBER($G67),$G67&lt;=IF($S67=MesCiclo,InicioCiclo,$S67+MOD(2-WEEKDAY($S67),7))+20),1,MIN(1,MAX(0,IF(ISNUMBER(OFFSET($A$1,ROW()-1,10)),OFFSET($A$1,ROW()-1,10),IF(ISNUMBER(OFFSET($A$1,ROW()-1,9)),OFFSET($A$1,ROW()-1,9),IF(ISNUMBER(OFFSET($A$1,ROW()-1,8)),OFFSET($A$1,ROW()-1,8),0)))))))</f>
        <v/>
      </c>
      <c r="AG67" s="62">
        <f>IF($V67&lt;&gt;"Sub","",N($X67)*IF(AND(ISNUMBER($G67),$G67&lt;=IF($S67=MesCiclo,InicioCiclo,$S67+MOD(2-WEEKDAY($S67),7))+27),1,MIN(1,MAX(0,IF(ISNUMBER(OFFSET($A$1,ROW()-1,11)),OFFSET($A$1,ROW()-1,11),IF(ISNUMBER(OFFSET($A$1,ROW()-1,10)),OFFSET($A$1,ROW()-1,10),IF(ISNUMBER(OFFSET($A$1,ROW()-1,9)),OFFSET($A$1,ROW()-1,9),IF(ISNUMBER(OFFSET($A$1,ROW()-1,8)),OFFSET($A$1,ROW()-1,8),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",IFERROR(MATCH("Riesgo Normativo|"&amp;MID($C67,12,500),rDname_ADM,0),0),"")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IF(N($W68)=0,"",IF(AND($S68=MesCiclo,1&gt;SemanaActual),"",MIN(1,SUMIFS(OFFSET($A$1,ROW(),29,1000-ROW(),1),OFFSET($A$1,ROW(),20,1000-ROW(),1),ROW(),OFFSET($A$1,ROW(),21,1000-ROW(),1),"Sub"))))</f>
        <v/>
      </c>
      <c r="J68" s="60">
        <f>IF(N($W68)=0,"",IF(AND($S68=MesCiclo,2&gt;SemanaActual),"",MIN(1,SUMIFS(OFFSET($A$1,ROW(),30,1000-ROW(),1),OFFSET($A$1,ROW(),20,1000-ROW(),1),ROW(),OFFSET($A$1,ROW(),21,1000-ROW(),1),"Sub"))))</f>
        <v/>
      </c>
      <c r="K68" s="60">
        <f>IF(N($W68)=0,"",IF(AND($S68=MesCiclo,3&gt;SemanaActual),"",MIN(1,SUMIFS(OFFSET($A$1,ROW(),31,1000-ROW(),1),OFFSET($A$1,ROW(),20,1000-ROW(),1),ROW(),OFFSET($A$1,ROW(),21,1000-ROW(),1),"Sub"))))</f>
        <v/>
      </c>
      <c r="L68" s="60">
        <f>IF(N($W68)=0,"",IF(AND($S68=MesCiclo,4&gt;SemanaActual),"",MIN(1,SUMIFS(OFFSET($A$1,ROW(),32,1000-ROW(),1),OFFSET($A$1,ROW(),20,1000-ROW(),1),ROW(),OFFSET($A$1,ROW(),21,1000-ROW(),1),"Sub"))))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IF($V68&lt;&gt;"Sub","",N($X68)*IF(AND(ISNUMBER($G68),$G68&lt;=IF($S68=MesCiclo,InicioCiclo,$S68+MOD(2-WEEKDAY($S68),7))+6),1,MIN(1,MAX(0,IF(ISNUMBER(OFFSET($A$1,ROW()-1,8)),OFFSET($A$1,ROW()-1,8),0)))))</f>
        <v/>
      </c>
      <c r="AE68" s="62">
        <f>IF($V68&lt;&gt;"Sub","",N($X68)*IF(AND(ISNUMBER($G68),$G68&lt;=IF($S68=MesCiclo,InicioCiclo,$S68+MOD(2-WEEKDAY($S68),7))+13),1,MIN(1,MAX(0,IF(ISNUMBER(OFFSET($A$1,ROW()-1,9)),OFFSET($A$1,ROW()-1,9),IF(ISNUMBER(OFFSET($A$1,ROW()-1,8)),OFFSET($A$1,ROW()-1,8),0))))))</f>
        <v/>
      </c>
      <c r="AF68" s="62">
        <f>IF($V68&lt;&gt;"Sub","",N($X68)*IF(AND(ISNUMBER($G68),$G68&lt;=IF($S68=MesCiclo,InicioCiclo,$S68+MOD(2-WEEKDAY($S68),7))+20),1,MIN(1,MAX(0,IF(ISNUMBER(OFFSET($A$1,ROW()-1,10)),OFFSET($A$1,ROW()-1,10),IF(ISNUMBER(OFFSET($A$1,ROW()-1,9)),OFFSET($A$1,ROW()-1,9),IF(ISNUMBER(OFFSET($A$1,ROW()-1,8)),OFFSET($A$1,ROW()-1,8),0)))))))</f>
        <v/>
      </c>
      <c r="AG68" s="62">
        <f>IF($V68&lt;&gt;"Sub","",N($X68)*IF(AND(ISNUMBER($G68),$G68&lt;=IF($S68=MesCiclo,InicioCiclo,$S68+MOD(2-WEEKDAY($S68),7))+27),1,MIN(1,MAX(0,IF(ISNUMBER(OFFSET($A$1,ROW()-1,11)),OFFSET($A$1,ROW()-1,11),IF(ISNUMBER(OFFSET($A$1,ROW()-1,10)),OFFSET($A$1,ROW()-1,10),IF(ISNUMBER(OFFSET($A$1,ROW()-1,9)),OFFSET($A$1,ROW()-1,9),IF(ISNUMBER(OFFSET($A$1,ROW()-1,8)),OFFSET($A$1,ROW()-1,8),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",IFERROR(MATCH("Riesgo Normativo|"&amp;MID($C68,12,500),rDname_ADM,0),0),"")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IF(N($W69)=0,"",IF(AND($S69=MesCiclo,1&gt;SemanaActual),"",MIN(1,SUMIFS(OFFSET($A$1,ROW(),29,1000-ROW(),1),OFFSET($A$1,ROW(),20,1000-ROW(),1),ROW(),OFFSET($A$1,ROW(),21,1000-ROW(),1),"Sub"))))</f>
        <v/>
      </c>
      <c r="J69" s="60">
        <f>IF(N($W69)=0,"",IF(AND($S69=MesCiclo,2&gt;SemanaActual),"",MIN(1,SUMIFS(OFFSET($A$1,ROW(),30,1000-ROW(),1),OFFSET($A$1,ROW(),20,1000-ROW(),1),ROW(),OFFSET($A$1,ROW(),21,1000-ROW(),1),"Sub"))))</f>
        <v/>
      </c>
      <c r="K69" s="60">
        <f>IF(N($W69)=0,"",IF(AND($S69=MesCiclo,3&gt;SemanaActual),"",MIN(1,SUMIFS(OFFSET($A$1,ROW(),31,1000-ROW(),1),OFFSET($A$1,ROW(),20,1000-ROW(),1),ROW(),OFFSET($A$1,ROW(),21,1000-ROW(),1),"Sub"))))</f>
        <v/>
      </c>
      <c r="L69" s="60">
        <f>IF(N($W69)=0,"",IF(AND($S69=MesCiclo,4&gt;SemanaActual),"",MIN(1,SUMIFS(OFFSET($A$1,ROW(),32,1000-ROW(),1),OFFSET($A$1,ROW(),20,1000-ROW(),1),ROW(),OFFSET($A$1,ROW(),21,1000-ROW(),1),"Sub"))))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IF($V69&lt;&gt;"Sub","",N($X69)*IF(AND(ISNUMBER($G69),$G69&lt;=IF($S69=MesCiclo,InicioCiclo,$S69+MOD(2-WEEKDAY($S69),7))+6),1,MIN(1,MAX(0,IF(ISNUMBER(OFFSET($A$1,ROW()-1,8)),OFFSET($A$1,ROW()-1,8),0)))))</f>
        <v/>
      </c>
      <c r="AE69" s="62">
        <f>IF($V69&lt;&gt;"Sub","",N($X69)*IF(AND(ISNUMBER($G69),$G69&lt;=IF($S69=MesCiclo,InicioCiclo,$S69+MOD(2-WEEKDAY($S69),7))+13),1,MIN(1,MAX(0,IF(ISNUMBER(OFFSET($A$1,ROW()-1,9)),OFFSET($A$1,ROW()-1,9),IF(ISNUMBER(OFFSET($A$1,ROW()-1,8)),OFFSET($A$1,ROW()-1,8),0))))))</f>
        <v/>
      </c>
      <c r="AF69" s="62">
        <f>IF($V69&lt;&gt;"Sub","",N($X69)*IF(AND(ISNUMBER($G69),$G69&lt;=IF($S69=MesCiclo,InicioCiclo,$S69+MOD(2-WEEKDAY($S69),7))+20),1,MIN(1,MAX(0,IF(ISNUMBER(OFFSET($A$1,ROW()-1,10)),OFFSET($A$1,ROW()-1,10),IF(ISNUMBER(OFFSET($A$1,ROW()-1,9)),OFFSET($A$1,ROW()-1,9),IF(ISNUMBER(OFFSET($A$1,ROW()-1,8)),OFFSET($A$1,ROW()-1,8),0)))))))</f>
        <v/>
      </c>
      <c r="AG69" s="62">
        <f>IF($V69&lt;&gt;"Sub","",N($X69)*IF(AND(ISNUMBER($G69),$G69&lt;=IF($S69=MesCiclo,InicioCiclo,$S69+MOD(2-WEEKDAY($S69),7))+27),1,MIN(1,MAX(0,IF(ISNUMBER(OFFSET($A$1,ROW()-1,11)),OFFSET($A$1,ROW()-1,11),IF(ISNUMBER(OFFSET($A$1,ROW()-1,10)),OFFSET($A$1,ROW()-1,10),IF(ISNUMBER(OFFSET($A$1,ROW()-1,9)),OFFSET($A$1,ROW()-1,9),IF(ISNUMBER(OFFSET($A$1,ROW()-1,8)),OFFSET($A$1,ROW()-1,8),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",IFERROR(MATCH("Riesgo Normativo|"&amp;MID($C69,12,500),rDname_ADM,0),0),"")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IF(N($W70)=0,"",IF(AND($S70=MesCiclo,1&gt;SemanaActual),"",MIN(1,SUMIFS(OFFSET($A$1,ROW(),29,1000-ROW(),1),OFFSET($A$1,ROW(),20,1000-ROW(),1),ROW(),OFFSET($A$1,ROW(),21,1000-ROW(),1),"Sub"))))</f>
        <v/>
      </c>
      <c r="J70" s="60">
        <f>IF(N($W70)=0,"",IF(AND($S70=MesCiclo,2&gt;SemanaActual),"",MIN(1,SUMIFS(OFFSET($A$1,ROW(),30,1000-ROW(),1),OFFSET($A$1,ROW(),20,1000-ROW(),1),ROW(),OFFSET($A$1,ROW(),21,1000-ROW(),1),"Sub"))))</f>
        <v/>
      </c>
      <c r="K70" s="60">
        <f>IF(N($W70)=0,"",IF(AND($S70=MesCiclo,3&gt;SemanaActual),"",MIN(1,SUMIFS(OFFSET($A$1,ROW(),31,1000-ROW(),1),OFFSET($A$1,ROW(),20,1000-ROW(),1),ROW(),OFFSET($A$1,ROW(),21,1000-ROW(),1),"Sub"))))</f>
        <v/>
      </c>
      <c r="L70" s="60">
        <f>IF(N($W70)=0,"",IF(AND($S70=MesCiclo,4&gt;SemanaActual),"",MIN(1,SUMIFS(OFFSET($A$1,ROW(),32,1000-ROW(),1),OFFSET($A$1,ROW(),20,1000-ROW(),1),ROW(),OFFSET($A$1,ROW(),21,1000-ROW(),1),"Sub"))))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IF($V70&lt;&gt;"Sub","",N($X70)*IF(AND(ISNUMBER($G70),$G70&lt;=IF($S70=MesCiclo,InicioCiclo,$S70+MOD(2-WEEKDAY($S70),7))+6),1,MIN(1,MAX(0,IF(ISNUMBER(OFFSET($A$1,ROW()-1,8)),OFFSET($A$1,ROW()-1,8),0)))))</f>
        <v/>
      </c>
      <c r="AE70" s="62">
        <f>IF($V70&lt;&gt;"Sub","",N($X70)*IF(AND(ISNUMBER($G70),$G70&lt;=IF($S70=MesCiclo,InicioCiclo,$S70+MOD(2-WEEKDAY($S70),7))+13),1,MIN(1,MAX(0,IF(ISNUMBER(OFFSET($A$1,ROW()-1,9)),OFFSET($A$1,ROW()-1,9),IF(ISNUMBER(OFFSET($A$1,ROW()-1,8)),OFFSET($A$1,ROW()-1,8),0))))))</f>
        <v/>
      </c>
      <c r="AF70" s="62">
        <f>IF($V70&lt;&gt;"Sub","",N($X70)*IF(AND(ISNUMBER($G70),$G70&lt;=IF($S70=MesCiclo,InicioCiclo,$S70+MOD(2-WEEKDAY($S70),7))+20),1,MIN(1,MAX(0,IF(ISNUMBER(OFFSET($A$1,ROW()-1,10)),OFFSET($A$1,ROW()-1,10),IF(ISNUMBER(OFFSET($A$1,ROW()-1,9)),OFFSET($A$1,ROW()-1,9),IF(ISNUMBER(OFFSET($A$1,ROW()-1,8)),OFFSET($A$1,ROW()-1,8),0)))))))</f>
        <v/>
      </c>
      <c r="AG70" s="62">
        <f>IF($V70&lt;&gt;"Sub","",N($X70)*IF(AND(ISNUMBER($G70),$G70&lt;=IF($S70=MesCiclo,InicioCiclo,$S70+MOD(2-WEEKDAY($S70),7))+27),1,MIN(1,MAX(0,IF(ISNUMBER(OFFSET($A$1,ROW()-1,11)),OFFSET($A$1,ROW()-1,11),IF(ISNUMBER(OFFSET($A$1,ROW()-1,10)),OFFSET($A$1,ROW()-1,10),IF(ISNUMBER(OFFSET($A$1,ROW()-1,9)),OFFSET($A$1,ROW()-1,9),IF(ISNUMBER(OFFSET($A$1,ROW()-1,8)),OFFSET($A$1,ROW()-1,8),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",IFERROR(MATCH("Riesgo Normativo|"&amp;MID($C70,12,500),rDname_ADM,0),0),"")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IF(N($W71)=0,"",IF(AND($S71=MesCiclo,1&gt;SemanaActual),"",MIN(1,SUMIFS(OFFSET($A$1,ROW(),29,1000-ROW(),1),OFFSET($A$1,ROW(),20,1000-ROW(),1),ROW(),OFFSET($A$1,ROW(),21,1000-ROW(),1),"Sub"))))</f>
        <v/>
      </c>
      <c r="J71" s="60">
        <f>IF(N($W71)=0,"",IF(AND($S71=MesCiclo,2&gt;SemanaActual),"",MIN(1,SUMIFS(OFFSET($A$1,ROW(),30,1000-ROW(),1),OFFSET($A$1,ROW(),20,1000-ROW(),1),ROW(),OFFSET($A$1,ROW(),21,1000-ROW(),1),"Sub"))))</f>
        <v/>
      </c>
      <c r="K71" s="60">
        <f>IF(N($W71)=0,"",IF(AND($S71=MesCiclo,3&gt;SemanaActual),"",MIN(1,SUMIFS(OFFSET($A$1,ROW(),31,1000-ROW(),1),OFFSET($A$1,ROW(),20,1000-ROW(),1),ROW(),OFFSET($A$1,ROW(),21,1000-ROW(),1),"Sub"))))</f>
        <v/>
      </c>
      <c r="L71" s="60">
        <f>IF(N($W71)=0,"",IF(AND($S71=MesCiclo,4&gt;SemanaActual),"",MIN(1,SUMIFS(OFFSET($A$1,ROW(),32,1000-ROW(),1),OFFSET($A$1,ROW(),20,1000-ROW(),1),ROW(),OFFSET($A$1,ROW(),21,1000-ROW(),1),"Sub"))))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IF($V71&lt;&gt;"Sub","",N($X71)*IF(AND(ISNUMBER($G71),$G71&lt;=IF($S71=MesCiclo,InicioCiclo,$S71+MOD(2-WEEKDAY($S71),7))+6),1,MIN(1,MAX(0,IF(ISNUMBER(OFFSET($A$1,ROW()-1,8)),OFFSET($A$1,ROW()-1,8),0)))))</f>
        <v/>
      </c>
      <c r="AE71" s="62">
        <f>IF($V71&lt;&gt;"Sub","",N($X71)*IF(AND(ISNUMBER($G71),$G71&lt;=IF($S71=MesCiclo,InicioCiclo,$S71+MOD(2-WEEKDAY($S71),7))+13),1,MIN(1,MAX(0,IF(ISNUMBER(OFFSET($A$1,ROW()-1,9)),OFFSET($A$1,ROW()-1,9),IF(ISNUMBER(OFFSET($A$1,ROW()-1,8)),OFFSET($A$1,ROW()-1,8),0))))))</f>
        <v/>
      </c>
      <c r="AF71" s="62">
        <f>IF($V71&lt;&gt;"Sub","",N($X71)*IF(AND(ISNUMBER($G71),$G71&lt;=IF($S71=MesCiclo,InicioCiclo,$S71+MOD(2-WEEKDAY($S71),7))+20),1,MIN(1,MAX(0,IF(ISNUMBER(OFFSET($A$1,ROW()-1,10)),OFFSET($A$1,ROW()-1,10),IF(ISNUMBER(OFFSET($A$1,ROW()-1,9)),OFFSET($A$1,ROW()-1,9),IF(ISNUMBER(OFFSET($A$1,ROW()-1,8)),OFFSET($A$1,ROW()-1,8),0)))))))</f>
        <v/>
      </c>
      <c r="AG71" s="62">
        <f>IF($V71&lt;&gt;"Sub","",N($X71)*IF(AND(ISNUMBER($G71),$G71&lt;=IF($S71=MesCiclo,InicioCiclo,$S71+MOD(2-WEEKDAY($S71),7))+27),1,MIN(1,MAX(0,IF(ISNUMBER(OFFSET($A$1,ROW()-1,11)),OFFSET($A$1,ROW()-1,11),IF(ISNUMBER(OFFSET($A$1,ROW()-1,10)),OFFSET($A$1,ROW()-1,10),IF(ISNUMBER(OFFSET($A$1,ROW()-1,9)),OFFSET($A$1,ROW()-1,9),IF(ISNUMBER(OFFSET($A$1,ROW()-1,8)),OFFSET($A$1,ROW()-1,8),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",IFERROR(MATCH("Riesgo Normativo|"&amp;MID($C71,12,500),rDname_ADM,0),0),"")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IF(N($W72)=0,"",IF(AND($S72=MesCiclo,1&gt;SemanaActual),"",MIN(1,SUMIFS(OFFSET($A$1,ROW(),29,1000-ROW(),1),OFFSET($A$1,ROW(),20,1000-ROW(),1),ROW(),OFFSET($A$1,ROW(),21,1000-ROW(),1),"Sub"))))</f>
        <v/>
      </c>
      <c r="J72" s="60">
        <f>IF(N($W72)=0,"",IF(AND($S72=MesCiclo,2&gt;SemanaActual),"",MIN(1,SUMIFS(OFFSET($A$1,ROW(),30,1000-ROW(),1),OFFSET($A$1,ROW(),20,1000-ROW(),1),ROW(),OFFSET($A$1,ROW(),21,1000-ROW(),1),"Sub"))))</f>
        <v/>
      </c>
      <c r="K72" s="60">
        <f>IF(N($W72)=0,"",IF(AND($S72=MesCiclo,3&gt;SemanaActual),"",MIN(1,SUMIFS(OFFSET($A$1,ROW(),31,1000-ROW(),1),OFFSET($A$1,ROW(),20,1000-ROW(),1),ROW(),OFFSET($A$1,ROW(),21,1000-ROW(),1),"Sub"))))</f>
        <v/>
      </c>
      <c r="L72" s="60">
        <f>IF(N($W72)=0,"",IF(AND($S72=MesCiclo,4&gt;SemanaActual),"",MIN(1,SUMIFS(OFFSET($A$1,ROW(),32,1000-ROW(),1),OFFSET($A$1,ROW(),20,1000-ROW(),1),ROW(),OFFSET($A$1,ROW(),21,1000-ROW(),1),"Sub"))))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IF($V72&lt;&gt;"Sub","",N($X72)*IF(AND(ISNUMBER($G72),$G72&lt;=IF($S72=MesCiclo,InicioCiclo,$S72+MOD(2-WEEKDAY($S72),7))+6),1,MIN(1,MAX(0,IF(ISNUMBER(OFFSET($A$1,ROW()-1,8)),OFFSET($A$1,ROW()-1,8),0)))))</f>
        <v/>
      </c>
      <c r="AE72" s="62">
        <f>IF($V72&lt;&gt;"Sub","",N($X72)*IF(AND(ISNUMBER($G72),$G72&lt;=IF($S72=MesCiclo,InicioCiclo,$S72+MOD(2-WEEKDAY($S72),7))+13),1,MIN(1,MAX(0,IF(ISNUMBER(OFFSET($A$1,ROW()-1,9)),OFFSET($A$1,ROW()-1,9),IF(ISNUMBER(OFFSET($A$1,ROW()-1,8)),OFFSET($A$1,ROW()-1,8),0))))))</f>
        <v/>
      </c>
      <c r="AF72" s="62">
        <f>IF($V72&lt;&gt;"Sub","",N($X72)*IF(AND(ISNUMBER($G72),$G72&lt;=IF($S72=MesCiclo,InicioCiclo,$S72+MOD(2-WEEKDAY($S72),7))+20),1,MIN(1,MAX(0,IF(ISNUMBER(OFFSET($A$1,ROW()-1,10)),OFFSET($A$1,ROW()-1,10),IF(ISNUMBER(OFFSET($A$1,ROW()-1,9)),OFFSET($A$1,ROW()-1,9),IF(ISNUMBER(OFFSET($A$1,ROW()-1,8)),OFFSET($A$1,ROW()-1,8),0)))))))</f>
        <v/>
      </c>
      <c r="AG72" s="62">
        <f>IF($V72&lt;&gt;"Sub","",N($X72)*IF(AND(ISNUMBER($G72),$G72&lt;=IF($S72=MesCiclo,InicioCiclo,$S72+MOD(2-WEEKDAY($S72),7))+27),1,MIN(1,MAX(0,IF(ISNUMBER(OFFSET($A$1,ROW()-1,11)),OFFSET($A$1,ROW()-1,11),IF(ISNUMBER(OFFSET($A$1,ROW()-1,10)),OFFSET($A$1,ROW()-1,10),IF(ISNUMBER(OFFSET($A$1,ROW()-1,9)),OFFSET($A$1,ROW()-1,9),IF(ISNUMBER(OFFSET($A$1,ROW()-1,8)),OFFSET($A$1,ROW()-1,8),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",IFERROR(MATCH("Riesgo Normativo|"&amp;MID($C72,12,500),rDname_ADM,0),0),"")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IF(N($W73)=0,"",IF(AND($S73=MesCiclo,1&gt;SemanaActual),"",MIN(1,SUMIFS(OFFSET($A$1,ROW(),29,1000-ROW(),1),OFFSET($A$1,ROW(),20,1000-ROW(),1),ROW(),OFFSET($A$1,ROW(),21,1000-ROW(),1),"Sub"))))</f>
        <v/>
      </c>
      <c r="J73" s="60">
        <f>IF(N($W73)=0,"",IF(AND($S73=MesCiclo,2&gt;SemanaActual),"",MIN(1,SUMIFS(OFFSET($A$1,ROW(),30,1000-ROW(),1),OFFSET($A$1,ROW(),20,1000-ROW(),1),ROW(),OFFSET($A$1,ROW(),21,1000-ROW(),1),"Sub"))))</f>
        <v/>
      </c>
      <c r="K73" s="60">
        <f>IF(N($W73)=0,"",IF(AND($S73=MesCiclo,3&gt;SemanaActual),"",MIN(1,SUMIFS(OFFSET($A$1,ROW(),31,1000-ROW(),1),OFFSET($A$1,ROW(),20,1000-ROW(),1),ROW(),OFFSET($A$1,ROW(),21,1000-ROW(),1),"Sub"))))</f>
        <v/>
      </c>
      <c r="L73" s="60">
        <f>IF(N($W73)=0,"",IF(AND($S73=MesCiclo,4&gt;SemanaActual),"",MIN(1,SUMIFS(OFFSET($A$1,ROW(),32,1000-ROW(),1),OFFSET($A$1,ROW(),20,1000-ROW(),1),ROW(),OFFSET($A$1,ROW(),21,1000-ROW(),1),"Sub"))))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IF($V73&lt;&gt;"Sub","",N($X73)*IF(AND(ISNUMBER($G73),$G73&lt;=IF($S73=MesCiclo,InicioCiclo,$S73+MOD(2-WEEKDAY($S73),7))+6),1,MIN(1,MAX(0,IF(ISNUMBER(OFFSET($A$1,ROW()-1,8)),OFFSET($A$1,ROW()-1,8),0)))))</f>
        <v/>
      </c>
      <c r="AE73" s="62">
        <f>IF($V73&lt;&gt;"Sub","",N($X73)*IF(AND(ISNUMBER($G73),$G73&lt;=IF($S73=MesCiclo,InicioCiclo,$S73+MOD(2-WEEKDAY($S73),7))+13),1,MIN(1,MAX(0,IF(ISNUMBER(OFFSET($A$1,ROW()-1,9)),OFFSET($A$1,ROW()-1,9),IF(ISNUMBER(OFFSET($A$1,ROW()-1,8)),OFFSET($A$1,ROW()-1,8),0))))))</f>
        <v/>
      </c>
      <c r="AF73" s="62">
        <f>IF($V73&lt;&gt;"Sub","",N($X73)*IF(AND(ISNUMBER($G73),$G73&lt;=IF($S73=MesCiclo,InicioCiclo,$S73+MOD(2-WEEKDAY($S73),7))+20),1,MIN(1,MAX(0,IF(ISNUMBER(OFFSET($A$1,ROW()-1,10)),OFFSET($A$1,ROW()-1,10),IF(ISNUMBER(OFFSET($A$1,ROW()-1,9)),OFFSET($A$1,ROW()-1,9),IF(ISNUMBER(OFFSET($A$1,ROW()-1,8)),OFFSET($A$1,ROW()-1,8),0)))))))</f>
        <v/>
      </c>
      <c r="AG73" s="62">
        <f>IF($V73&lt;&gt;"Sub","",N($X73)*IF(AND(ISNUMBER($G73),$G73&lt;=IF($S73=MesCiclo,InicioCiclo,$S73+MOD(2-WEEKDAY($S73),7))+27),1,MIN(1,MAX(0,IF(ISNUMBER(OFFSET($A$1,ROW()-1,11)),OFFSET($A$1,ROW()-1,11),IF(ISNUMBER(OFFSET($A$1,ROW()-1,10)),OFFSET($A$1,ROW()-1,10),IF(ISNUMBER(OFFSET($A$1,ROW()-1,9)),OFFSET($A$1,ROW()-1,9),IF(ISNUMBER(OFFSET($A$1,ROW()-1,8)),OFFSET($A$1,ROW()-1,8),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",IFERROR(MATCH("Riesgo Normativo|"&amp;MID($C73,12,500),rDname_ADM,0),0),"")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IF(N($W74)=0,"",IF(AND($S74=MesCiclo,1&gt;SemanaActual),"",MIN(1,SUMIFS(OFFSET($A$1,ROW(),29,1000-ROW(),1),OFFSET($A$1,ROW(),20,1000-ROW(),1),ROW(),OFFSET($A$1,ROW(),21,1000-ROW(),1),"Sub"))))</f>
        <v/>
      </c>
      <c r="J74" s="60">
        <f>IF(N($W74)=0,"",IF(AND($S74=MesCiclo,2&gt;SemanaActual),"",MIN(1,SUMIFS(OFFSET($A$1,ROW(),30,1000-ROW(),1),OFFSET($A$1,ROW(),20,1000-ROW(),1),ROW(),OFFSET($A$1,ROW(),21,1000-ROW(),1),"Sub"))))</f>
        <v/>
      </c>
      <c r="K74" s="60">
        <f>IF(N($W74)=0,"",IF(AND($S74=MesCiclo,3&gt;SemanaActual),"",MIN(1,SUMIFS(OFFSET($A$1,ROW(),31,1000-ROW(),1),OFFSET($A$1,ROW(),20,1000-ROW(),1),ROW(),OFFSET($A$1,ROW(),21,1000-ROW(),1),"Sub"))))</f>
        <v/>
      </c>
      <c r="L74" s="60">
        <f>IF(N($W74)=0,"",IF(AND($S74=MesCiclo,4&gt;SemanaActual),"",MIN(1,SUMIFS(OFFSET($A$1,ROW(),32,1000-ROW(),1),OFFSET($A$1,ROW(),20,1000-ROW(),1),ROW(),OFFSET($A$1,ROW(),21,1000-ROW(),1),"Sub"))))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IF($V74&lt;&gt;"Sub","",N($X74)*IF(AND(ISNUMBER($G74),$G74&lt;=IF($S74=MesCiclo,InicioCiclo,$S74+MOD(2-WEEKDAY($S74),7))+6),1,MIN(1,MAX(0,IF(ISNUMBER(OFFSET($A$1,ROW()-1,8)),OFFSET($A$1,ROW()-1,8),0)))))</f>
        <v/>
      </c>
      <c r="AE74" s="62">
        <f>IF($V74&lt;&gt;"Sub","",N($X74)*IF(AND(ISNUMBER($G74),$G74&lt;=IF($S74=MesCiclo,InicioCiclo,$S74+MOD(2-WEEKDAY($S74),7))+13),1,MIN(1,MAX(0,IF(ISNUMBER(OFFSET($A$1,ROW()-1,9)),OFFSET($A$1,ROW()-1,9),IF(ISNUMBER(OFFSET($A$1,ROW()-1,8)),OFFSET($A$1,ROW()-1,8),0))))))</f>
        <v/>
      </c>
      <c r="AF74" s="62">
        <f>IF($V74&lt;&gt;"Sub","",N($X74)*IF(AND(ISNUMBER($G74),$G74&lt;=IF($S74=MesCiclo,InicioCiclo,$S74+MOD(2-WEEKDAY($S74),7))+20),1,MIN(1,MAX(0,IF(ISNUMBER(OFFSET($A$1,ROW()-1,10)),OFFSET($A$1,ROW()-1,10),IF(ISNUMBER(OFFSET($A$1,ROW()-1,9)),OFFSET($A$1,ROW()-1,9),IF(ISNUMBER(OFFSET($A$1,ROW()-1,8)),OFFSET($A$1,ROW()-1,8),0)))))))</f>
        <v/>
      </c>
      <c r="AG74" s="62">
        <f>IF($V74&lt;&gt;"Sub","",N($X74)*IF(AND(ISNUMBER($G74),$G74&lt;=IF($S74=MesCiclo,InicioCiclo,$S74+MOD(2-WEEKDAY($S74),7))+27),1,MIN(1,MAX(0,IF(ISNUMBER(OFFSET($A$1,ROW()-1,11)),OFFSET($A$1,ROW()-1,11),IF(ISNUMBER(OFFSET($A$1,ROW()-1,10)),OFFSET($A$1,ROW()-1,10),IF(ISNUMBER(OFFSET($A$1,ROW()-1,9)),OFFSET($A$1,ROW()-1,9),IF(ISNUMBER(OFFSET($A$1,ROW()-1,8)),OFFSET($A$1,ROW()-1,8),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",IFERROR(MATCH("Riesgo Normativo|"&amp;MID($C74,12,500),rDname_ADM,0),0),"")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IF(N($W75)=0,"",IF(AND($S75=MesCiclo,1&gt;SemanaActual),"",MIN(1,SUMIFS(OFFSET($A$1,ROW(),29,1000-ROW(),1),OFFSET($A$1,ROW(),20,1000-ROW(),1),ROW(),OFFSET($A$1,ROW(),21,1000-ROW(),1),"Sub"))))</f>
        <v/>
      </c>
      <c r="J75" s="60">
        <f>IF(N($W75)=0,"",IF(AND($S75=MesCiclo,2&gt;SemanaActual),"",MIN(1,SUMIFS(OFFSET($A$1,ROW(),30,1000-ROW(),1),OFFSET($A$1,ROW(),20,1000-ROW(),1),ROW(),OFFSET($A$1,ROW(),21,1000-ROW(),1),"Sub"))))</f>
        <v/>
      </c>
      <c r="K75" s="60">
        <f>IF(N($W75)=0,"",IF(AND($S75=MesCiclo,3&gt;SemanaActual),"",MIN(1,SUMIFS(OFFSET($A$1,ROW(),31,1000-ROW(),1),OFFSET($A$1,ROW(),20,1000-ROW(),1),ROW(),OFFSET($A$1,ROW(),21,1000-ROW(),1),"Sub"))))</f>
        <v/>
      </c>
      <c r="L75" s="60">
        <f>IF(N($W75)=0,"",IF(AND($S75=MesCiclo,4&gt;SemanaActual),"",MIN(1,SUMIFS(OFFSET($A$1,ROW(),32,1000-ROW(),1),OFFSET($A$1,ROW(),20,1000-ROW(),1),ROW(),OFFSET($A$1,ROW(),21,1000-ROW(),1),"Sub"))))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IF($V75&lt;&gt;"Sub","",N($X75)*IF(AND(ISNUMBER($G75),$G75&lt;=IF($S75=MesCiclo,InicioCiclo,$S75+MOD(2-WEEKDAY($S75),7))+6),1,MIN(1,MAX(0,IF(ISNUMBER(OFFSET($A$1,ROW()-1,8)),OFFSET($A$1,ROW()-1,8),0)))))</f>
        <v/>
      </c>
      <c r="AE75" s="62">
        <f>IF($V75&lt;&gt;"Sub","",N($X75)*IF(AND(ISNUMBER($G75),$G75&lt;=IF($S75=MesCiclo,InicioCiclo,$S75+MOD(2-WEEKDAY($S75),7))+13),1,MIN(1,MAX(0,IF(ISNUMBER(OFFSET($A$1,ROW()-1,9)),OFFSET($A$1,ROW()-1,9),IF(ISNUMBER(OFFSET($A$1,ROW()-1,8)),OFFSET($A$1,ROW()-1,8),0))))))</f>
        <v/>
      </c>
      <c r="AF75" s="62">
        <f>IF($V75&lt;&gt;"Sub","",N($X75)*IF(AND(ISNUMBER($G75),$G75&lt;=IF($S75=MesCiclo,InicioCiclo,$S75+MOD(2-WEEKDAY($S75),7))+20),1,MIN(1,MAX(0,IF(ISNUMBER(OFFSET($A$1,ROW()-1,10)),OFFSET($A$1,ROW()-1,10),IF(ISNUMBER(OFFSET($A$1,ROW()-1,9)),OFFSET($A$1,ROW()-1,9),IF(ISNUMBER(OFFSET($A$1,ROW()-1,8)),OFFSET($A$1,ROW()-1,8),0)))))))</f>
        <v/>
      </c>
      <c r="AG75" s="62">
        <f>IF($V75&lt;&gt;"Sub","",N($X75)*IF(AND(ISNUMBER($G75),$G75&lt;=IF($S75=MesCiclo,InicioCiclo,$S75+MOD(2-WEEKDAY($S75),7))+27),1,MIN(1,MAX(0,IF(ISNUMBER(OFFSET($A$1,ROW()-1,11)),OFFSET($A$1,ROW()-1,11),IF(ISNUMBER(OFFSET($A$1,ROW()-1,10)),OFFSET($A$1,ROW()-1,10),IF(ISNUMBER(OFFSET($A$1,ROW()-1,9)),OFFSET($A$1,ROW()-1,9),IF(ISNUMBER(OFFSET($A$1,ROW()-1,8)),OFFSET($A$1,ROW()-1,8),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",IFERROR(MATCH("Riesgo Normativo|"&amp;MID($C75,12,500),rDname_ADM,0),0),"")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IF(N($W76)=0,"",IF(AND($S76=MesCiclo,1&gt;SemanaActual),"",MIN(1,SUMIFS(OFFSET($A$1,ROW(),29,1000-ROW(),1),OFFSET($A$1,ROW(),20,1000-ROW(),1),ROW(),OFFSET($A$1,ROW(),21,1000-ROW(),1),"Sub"))))</f>
        <v/>
      </c>
      <c r="J76" s="60">
        <f>IF(N($W76)=0,"",IF(AND($S76=MesCiclo,2&gt;SemanaActual),"",MIN(1,SUMIFS(OFFSET($A$1,ROW(),30,1000-ROW(),1),OFFSET($A$1,ROW(),20,1000-ROW(),1),ROW(),OFFSET($A$1,ROW(),21,1000-ROW(),1),"Sub"))))</f>
        <v/>
      </c>
      <c r="K76" s="60">
        <f>IF(N($W76)=0,"",IF(AND($S76=MesCiclo,3&gt;SemanaActual),"",MIN(1,SUMIFS(OFFSET($A$1,ROW(),31,1000-ROW(),1),OFFSET($A$1,ROW(),20,1000-ROW(),1),ROW(),OFFSET($A$1,ROW(),21,1000-ROW(),1),"Sub"))))</f>
        <v/>
      </c>
      <c r="L76" s="60">
        <f>IF(N($W76)=0,"",IF(AND($S76=MesCiclo,4&gt;SemanaActual),"",MIN(1,SUMIFS(OFFSET($A$1,ROW(),32,1000-ROW(),1),OFFSET($A$1,ROW(),20,1000-ROW(),1),ROW(),OFFSET($A$1,ROW(),21,1000-ROW(),1),"Sub"))))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IF($V76&lt;&gt;"Sub","",N($X76)*IF(AND(ISNUMBER($G76),$G76&lt;=IF($S76=MesCiclo,InicioCiclo,$S76+MOD(2-WEEKDAY($S76),7))+6),1,MIN(1,MAX(0,IF(ISNUMBER(OFFSET($A$1,ROW()-1,8)),OFFSET($A$1,ROW()-1,8),0)))))</f>
        <v/>
      </c>
      <c r="AE76" s="62">
        <f>IF($V76&lt;&gt;"Sub","",N($X76)*IF(AND(ISNUMBER($G76),$G76&lt;=IF($S76=MesCiclo,InicioCiclo,$S76+MOD(2-WEEKDAY($S76),7))+13),1,MIN(1,MAX(0,IF(ISNUMBER(OFFSET($A$1,ROW()-1,9)),OFFSET($A$1,ROW()-1,9),IF(ISNUMBER(OFFSET($A$1,ROW()-1,8)),OFFSET($A$1,ROW()-1,8),0))))))</f>
        <v/>
      </c>
      <c r="AF76" s="62">
        <f>IF($V76&lt;&gt;"Sub","",N($X76)*IF(AND(ISNUMBER($G76),$G76&lt;=IF($S76=MesCiclo,InicioCiclo,$S76+MOD(2-WEEKDAY($S76),7))+20),1,MIN(1,MAX(0,IF(ISNUMBER(OFFSET($A$1,ROW()-1,10)),OFFSET($A$1,ROW()-1,10),IF(ISNUMBER(OFFSET($A$1,ROW()-1,9)),OFFSET($A$1,ROW()-1,9),IF(ISNUMBER(OFFSET($A$1,ROW()-1,8)),OFFSET($A$1,ROW()-1,8),0)))))))</f>
        <v/>
      </c>
      <c r="AG76" s="62">
        <f>IF($V76&lt;&gt;"Sub","",N($X76)*IF(AND(ISNUMBER($G76),$G76&lt;=IF($S76=MesCiclo,InicioCiclo,$S76+MOD(2-WEEKDAY($S76),7))+27),1,MIN(1,MAX(0,IF(ISNUMBER(OFFSET($A$1,ROW()-1,11)),OFFSET($A$1,ROW()-1,11),IF(ISNUMBER(OFFSET($A$1,ROW()-1,10)),OFFSET($A$1,ROW()-1,10),IF(ISNUMBER(OFFSET($A$1,ROW()-1,9)),OFFSET($A$1,ROW()-1,9),IF(ISNUMBER(OFFSET($A$1,ROW()-1,8)),OFFSET($A$1,ROW()-1,8),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",IFERROR(MATCH("Riesgo Normativo|"&amp;MID($C76,12,500),rDname_ADM,0),0),"")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IF(N($W77)=0,"",IF(AND($S77=MesCiclo,1&gt;SemanaActual),"",MIN(1,SUMIFS(OFFSET($A$1,ROW(),29,1000-ROW(),1),OFFSET($A$1,ROW(),20,1000-ROW(),1),ROW(),OFFSET($A$1,ROW(),21,1000-ROW(),1),"Sub"))))</f>
        <v/>
      </c>
      <c r="J77" s="60">
        <f>IF(N($W77)=0,"",IF(AND($S77=MesCiclo,2&gt;SemanaActual),"",MIN(1,SUMIFS(OFFSET($A$1,ROW(),30,1000-ROW(),1),OFFSET($A$1,ROW(),20,1000-ROW(),1),ROW(),OFFSET($A$1,ROW(),21,1000-ROW(),1),"Sub"))))</f>
        <v/>
      </c>
      <c r="K77" s="60">
        <f>IF(N($W77)=0,"",IF(AND($S77=MesCiclo,3&gt;SemanaActual),"",MIN(1,SUMIFS(OFFSET($A$1,ROW(),31,1000-ROW(),1),OFFSET($A$1,ROW(),20,1000-ROW(),1),ROW(),OFFSET($A$1,ROW(),21,1000-ROW(),1),"Sub"))))</f>
        <v/>
      </c>
      <c r="L77" s="60">
        <f>IF(N($W77)=0,"",IF(AND($S77=MesCiclo,4&gt;SemanaActual),"",MIN(1,SUMIFS(OFFSET($A$1,ROW(),32,1000-ROW(),1),OFFSET($A$1,ROW(),20,1000-ROW(),1),ROW(),OFFSET($A$1,ROW(),21,1000-ROW(),1),"Sub"))))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IF($V77&lt;&gt;"Sub","",N($X77)*IF(AND(ISNUMBER($G77),$G77&lt;=IF($S77=MesCiclo,InicioCiclo,$S77+MOD(2-WEEKDAY($S77),7))+6),1,MIN(1,MAX(0,IF(ISNUMBER(OFFSET($A$1,ROW()-1,8)),OFFSET($A$1,ROW()-1,8),0)))))</f>
        <v/>
      </c>
      <c r="AE77" s="62">
        <f>IF($V77&lt;&gt;"Sub","",N($X77)*IF(AND(ISNUMBER($G77),$G77&lt;=IF($S77=MesCiclo,InicioCiclo,$S77+MOD(2-WEEKDAY($S77),7))+13),1,MIN(1,MAX(0,IF(ISNUMBER(OFFSET($A$1,ROW()-1,9)),OFFSET($A$1,ROW()-1,9),IF(ISNUMBER(OFFSET($A$1,ROW()-1,8)),OFFSET($A$1,ROW()-1,8),0))))))</f>
        <v/>
      </c>
      <c r="AF77" s="62">
        <f>IF($V77&lt;&gt;"Sub","",N($X77)*IF(AND(ISNUMBER($G77),$G77&lt;=IF($S77=MesCiclo,InicioCiclo,$S77+MOD(2-WEEKDAY($S77),7))+20),1,MIN(1,MAX(0,IF(ISNUMBER(OFFSET($A$1,ROW()-1,10)),OFFSET($A$1,ROW()-1,10),IF(ISNUMBER(OFFSET($A$1,ROW()-1,9)),OFFSET($A$1,ROW()-1,9),IF(ISNUMBER(OFFSET($A$1,ROW()-1,8)),OFFSET($A$1,ROW()-1,8),0)))))))</f>
        <v/>
      </c>
      <c r="AG77" s="62">
        <f>IF($V77&lt;&gt;"Sub","",N($X77)*IF(AND(ISNUMBER($G77),$G77&lt;=IF($S77=MesCiclo,InicioCiclo,$S77+MOD(2-WEEKDAY($S77),7))+27),1,MIN(1,MAX(0,IF(ISNUMBER(OFFSET($A$1,ROW()-1,11)),OFFSET($A$1,ROW()-1,11),IF(ISNUMBER(OFFSET($A$1,ROW()-1,10)),OFFSET($A$1,ROW()-1,10),IF(ISNUMBER(OFFSET($A$1,ROW()-1,9)),OFFSET($A$1,ROW()-1,9),IF(ISNUMBER(OFFSET($A$1,ROW()-1,8)),OFFSET($A$1,ROW()-1,8),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",IFERROR(MATCH("Riesgo Normativo|"&amp;MID($C77,12,500),rDname_ADM,0),0),"")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IF(N($W78)=0,"",IF(AND($S78=MesCiclo,1&gt;SemanaActual),"",MIN(1,SUMIFS(OFFSET($A$1,ROW(),29,1000-ROW(),1),OFFSET($A$1,ROW(),20,1000-ROW(),1),ROW(),OFFSET($A$1,ROW(),21,1000-ROW(),1),"Sub"))))</f>
        <v/>
      </c>
      <c r="J78" s="60">
        <f>IF(N($W78)=0,"",IF(AND($S78=MesCiclo,2&gt;SemanaActual),"",MIN(1,SUMIFS(OFFSET($A$1,ROW(),30,1000-ROW(),1),OFFSET($A$1,ROW(),20,1000-ROW(),1),ROW(),OFFSET($A$1,ROW(),21,1000-ROW(),1),"Sub"))))</f>
        <v/>
      </c>
      <c r="K78" s="60">
        <f>IF(N($W78)=0,"",IF(AND($S78=MesCiclo,3&gt;SemanaActual),"",MIN(1,SUMIFS(OFFSET($A$1,ROW(),31,1000-ROW(),1),OFFSET($A$1,ROW(),20,1000-ROW(),1),ROW(),OFFSET($A$1,ROW(),21,1000-ROW(),1),"Sub"))))</f>
        <v/>
      </c>
      <c r="L78" s="60">
        <f>IF(N($W78)=0,"",IF(AND($S78=MesCiclo,4&gt;SemanaActual),"",MIN(1,SUMIFS(OFFSET($A$1,ROW(),32,1000-ROW(),1),OFFSET($A$1,ROW(),20,1000-ROW(),1),ROW(),OFFSET($A$1,ROW(),21,1000-ROW(),1),"Sub"))))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IF($V78&lt;&gt;"Sub","",N($X78)*IF(AND(ISNUMBER($G78),$G78&lt;=IF($S78=MesCiclo,InicioCiclo,$S78+MOD(2-WEEKDAY($S78),7))+6),1,MIN(1,MAX(0,IF(ISNUMBER(OFFSET($A$1,ROW()-1,8)),OFFSET($A$1,ROW()-1,8),0)))))</f>
        <v/>
      </c>
      <c r="AE78" s="62">
        <f>IF($V78&lt;&gt;"Sub","",N($X78)*IF(AND(ISNUMBER($G78),$G78&lt;=IF($S78=MesCiclo,InicioCiclo,$S78+MOD(2-WEEKDAY($S78),7))+13),1,MIN(1,MAX(0,IF(ISNUMBER(OFFSET($A$1,ROW()-1,9)),OFFSET($A$1,ROW()-1,9),IF(ISNUMBER(OFFSET($A$1,ROW()-1,8)),OFFSET($A$1,ROW()-1,8),0))))))</f>
        <v/>
      </c>
      <c r="AF78" s="62">
        <f>IF($V78&lt;&gt;"Sub","",N($X78)*IF(AND(ISNUMBER($G78),$G78&lt;=IF($S78=MesCiclo,InicioCiclo,$S78+MOD(2-WEEKDAY($S78),7))+20),1,MIN(1,MAX(0,IF(ISNUMBER(OFFSET($A$1,ROW()-1,10)),OFFSET($A$1,ROW()-1,10),IF(ISNUMBER(OFFSET($A$1,ROW()-1,9)),OFFSET($A$1,ROW()-1,9),IF(ISNUMBER(OFFSET($A$1,ROW()-1,8)),OFFSET($A$1,ROW()-1,8),0)))))))</f>
        <v/>
      </c>
      <c r="AG78" s="62">
        <f>IF($V78&lt;&gt;"Sub","",N($X78)*IF(AND(ISNUMBER($G78),$G78&lt;=IF($S78=MesCiclo,InicioCiclo,$S78+MOD(2-WEEKDAY($S78),7))+27),1,MIN(1,MAX(0,IF(ISNUMBER(OFFSET($A$1,ROW()-1,11)),OFFSET($A$1,ROW()-1,11),IF(ISNUMBER(OFFSET($A$1,ROW()-1,10)),OFFSET($A$1,ROW()-1,10),IF(ISNUMBER(OFFSET($A$1,ROW()-1,9)),OFFSET($A$1,ROW()-1,9),IF(ISNUMBER(OFFSET($A$1,ROW()-1,8)),OFFSET($A$1,ROW()-1,8),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",IFERROR(MATCH("Riesgo Normativo|"&amp;MID($C78,12,500),rDname_ADM,0),0),"")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IF(N($W79)=0,"",IF(AND($S79=MesCiclo,1&gt;SemanaActual),"",MIN(1,SUMIFS(OFFSET($A$1,ROW(),29,1000-ROW(),1),OFFSET($A$1,ROW(),20,1000-ROW(),1),ROW(),OFFSET($A$1,ROW(),21,1000-ROW(),1),"Sub"))))</f>
        <v/>
      </c>
      <c r="J79" s="60">
        <f>IF(N($W79)=0,"",IF(AND($S79=MesCiclo,2&gt;SemanaActual),"",MIN(1,SUMIFS(OFFSET($A$1,ROW(),30,1000-ROW(),1),OFFSET($A$1,ROW(),20,1000-ROW(),1),ROW(),OFFSET($A$1,ROW(),21,1000-ROW(),1),"Sub"))))</f>
        <v/>
      </c>
      <c r="K79" s="60">
        <f>IF(N($W79)=0,"",IF(AND($S79=MesCiclo,3&gt;SemanaActual),"",MIN(1,SUMIFS(OFFSET($A$1,ROW(),31,1000-ROW(),1),OFFSET($A$1,ROW(),20,1000-ROW(),1),ROW(),OFFSET($A$1,ROW(),21,1000-ROW(),1),"Sub"))))</f>
        <v/>
      </c>
      <c r="L79" s="60">
        <f>IF(N($W79)=0,"",IF(AND($S79=MesCiclo,4&gt;SemanaActual),"",MIN(1,SUMIFS(OFFSET($A$1,ROW(),32,1000-ROW(),1),OFFSET($A$1,ROW(),20,1000-ROW(),1),ROW(),OFFSET($A$1,ROW(),21,1000-ROW(),1),"Sub"))))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IF($V79&lt;&gt;"Sub","",N($X79)*IF(AND(ISNUMBER($G79),$G79&lt;=IF($S79=MesCiclo,InicioCiclo,$S79+MOD(2-WEEKDAY($S79),7))+6),1,MIN(1,MAX(0,IF(ISNUMBER(OFFSET($A$1,ROW()-1,8)),OFFSET($A$1,ROW()-1,8),0)))))</f>
        <v/>
      </c>
      <c r="AE79" s="62">
        <f>IF($V79&lt;&gt;"Sub","",N($X79)*IF(AND(ISNUMBER($G79),$G79&lt;=IF($S79=MesCiclo,InicioCiclo,$S79+MOD(2-WEEKDAY($S79),7))+13),1,MIN(1,MAX(0,IF(ISNUMBER(OFFSET($A$1,ROW()-1,9)),OFFSET($A$1,ROW()-1,9),IF(ISNUMBER(OFFSET($A$1,ROW()-1,8)),OFFSET($A$1,ROW()-1,8),0))))))</f>
        <v/>
      </c>
      <c r="AF79" s="62">
        <f>IF($V79&lt;&gt;"Sub","",N($X79)*IF(AND(ISNUMBER($G79),$G79&lt;=IF($S79=MesCiclo,InicioCiclo,$S79+MOD(2-WEEKDAY($S79),7))+20),1,MIN(1,MAX(0,IF(ISNUMBER(OFFSET($A$1,ROW()-1,10)),OFFSET($A$1,ROW()-1,10),IF(ISNUMBER(OFFSET($A$1,ROW()-1,9)),OFFSET($A$1,ROW()-1,9),IF(ISNUMBER(OFFSET($A$1,ROW()-1,8)),OFFSET($A$1,ROW()-1,8),0)))))))</f>
        <v/>
      </c>
      <c r="AG79" s="62">
        <f>IF($V79&lt;&gt;"Sub","",N($X79)*IF(AND(ISNUMBER($G79),$G79&lt;=IF($S79=MesCiclo,InicioCiclo,$S79+MOD(2-WEEKDAY($S79),7))+27),1,MIN(1,MAX(0,IF(ISNUMBER(OFFSET($A$1,ROW()-1,11)),OFFSET($A$1,ROW()-1,11),IF(ISNUMBER(OFFSET($A$1,ROW()-1,10)),OFFSET($A$1,ROW()-1,10),IF(ISNUMBER(OFFSET($A$1,ROW()-1,9)),OFFSET($A$1,ROW()-1,9),IF(ISNUMBER(OFFSET($A$1,ROW()-1,8)),OFFSET($A$1,ROW()-1,8),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",IFERROR(MATCH("Riesgo Normativo|"&amp;MID($C79,12,500),rDname_ADM,0),0),"")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IF(N($W80)=0,"",IF(AND($S80=MesCiclo,1&gt;SemanaActual),"",MIN(1,SUMIFS(OFFSET($A$1,ROW(),29,1000-ROW(),1),OFFSET($A$1,ROW(),20,1000-ROW(),1),ROW(),OFFSET($A$1,ROW(),21,1000-ROW(),1),"Sub"))))</f>
        <v/>
      </c>
      <c r="J80" s="60">
        <f>IF(N($W80)=0,"",IF(AND($S80=MesCiclo,2&gt;SemanaActual),"",MIN(1,SUMIFS(OFFSET($A$1,ROW(),30,1000-ROW(),1),OFFSET($A$1,ROW(),20,1000-ROW(),1),ROW(),OFFSET($A$1,ROW(),21,1000-ROW(),1),"Sub"))))</f>
        <v/>
      </c>
      <c r="K80" s="60">
        <f>IF(N($W80)=0,"",IF(AND($S80=MesCiclo,3&gt;SemanaActual),"",MIN(1,SUMIFS(OFFSET($A$1,ROW(),31,1000-ROW(),1),OFFSET($A$1,ROW(),20,1000-ROW(),1),ROW(),OFFSET($A$1,ROW(),21,1000-ROW(),1),"Sub"))))</f>
        <v/>
      </c>
      <c r="L80" s="60">
        <f>IF(N($W80)=0,"",IF(AND($S80=MesCiclo,4&gt;SemanaActual),"",MIN(1,SUMIFS(OFFSET($A$1,ROW(),32,1000-ROW(),1),OFFSET($A$1,ROW(),20,1000-ROW(),1),ROW(),OFFSET($A$1,ROW(),21,1000-ROW(),1),"Sub"))))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IF($V80&lt;&gt;"Sub","",N($X80)*IF(AND(ISNUMBER($G80),$G80&lt;=IF($S80=MesCiclo,InicioCiclo,$S80+MOD(2-WEEKDAY($S80),7))+6),1,MIN(1,MAX(0,IF(ISNUMBER(OFFSET($A$1,ROW()-1,8)),OFFSET($A$1,ROW()-1,8),0)))))</f>
        <v/>
      </c>
      <c r="AE80" s="62">
        <f>IF($V80&lt;&gt;"Sub","",N($X80)*IF(AND(ISNUMBER($G80),$G80&lt;=IF($S80=MesCiclo,InicioCiclo,$S80+MOD(2-WEEKDAY($S80),7))+13),1,MIN(1,MAX(0,IF(ISNUMBER(OFFSET($A$1,ROW()-1,9)),OFFSET($A$1,ROW()-1,9),IF(ISNUMBER(OFFSET($A$1,ROW()-1,8)),OFFSET($A$1,ROW()-1,8),0))))))</f>
        <v/>
      </c>
      <c r="AF80" s="62">
        <f>IF($V80&lt;&gt;"Sub","",N($X80)*IF(AND(ISNUMBER($G80),$G80&lt;=IF($S80=MesCiclo,InicioCiclo,$S80+MOD(2-WEEKDAY($S80),7))+20),1,MIN(1,MAX(0,IF(ISNUMBER(OFFSET($A$1,ROW()-1,10)),OFFSET($A$1,ROW()-1,10),IF(ISNUMBER(OFFSET($A$1,ROW()-1,9)),OFFSET($A$1,ROW()-1,9),IF(ISNUMBER(OFFSET($A$1,ROW()-1,8)),OFFSET($A$1,ROW()-1,8),0)))))))</f>
        <v/>
      </c>
      <c r="AG80" s="62">
        <f>IF($V80&lt;&gt;"Sub","",N($X80)*IF(AND(ISNUMBER($G80),$G80&lt;=IF($S80=MesCiclo,InicioCiclo,$S80+MOD(2-WEEKDAY($S80),7))+27),1,MIN(1,MAX(0,IF(ISNUMBER(OFFSET($A$1,ROW()-1,11)),OFFSET($A$1,ROW()-1,11),IF(ISNUMBER(OFFSET($A$1,ROW()-1,10)),OFFSET($A$1,ROW()-1,10),IF(ISNUMBER(OFFSET($A$1,ROW()-1,9)),OFFSET($A$1,ROW()-1,9),IF(ISNUMBER(OFFSET($A$1,ROW()-1,8)),OFFSET($A$1,ROW()-1,8),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",IFERROR(MATCH("Riesgo Normativo|"&amp;MID($C80,12,500),rDname_ADM,0),0),"")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IF(N($W81)=0,"",IF(AND($S81=MesCiclo,1&gt;SemanaActual),"",MIN(1,SUMIFS(OFFSET($A$1,ROW(),29,1000-ROW(),1),OFFSET($A$1,ROW(),20,1000-ROW(),1),ROW(),OFFSET($A$1,ROW(),21,1000-ROW(),1),"Sub"))))</f>
        <v/>
      </c>
      <c r="J81" s="60">
        <f>IF(N($W81)=0,"",IF(AND($S81=MesCiclo,2&gt;SemanaActual),"",MIN(1,SUMIFS(OFFSET($A$1,ROW(),30,1000-ROW(),1),OFFSET($A$1,ROW(),20,1000-ROW(),1),ROW(),OFFSET($A$1,ROW(),21,1000-ROW(),1),"Sub"))))</f>
        <v/>
      </c>
      <c r="K81" s="60">
        <f>IF(N($W81)=0,"",IF(AND($S81=MesCiclo,3&gt;SemanaActual),"",MIN(1,SUMIFS(OFFSET($A$1,ROW(),31,1000-ROW(),1),OFFSET($A$1,ROW(),20,1000-ROW(),1),ROW(),OFFSET($A$1,ROW(),21,1000-ROW(),1),"Sub"))))</f>
        <v/>
      </c>
      <c r="L81" s="60">
        <f>IF(N($W81)=0,"",IF(AND($S81=MesCiclo,4&gt;SemanaActual),"",MIN(1,SUMIFS(OFFSET($A$1,ROW(),32,1000-ROW(),1),OFFSET($A$1,ROW(),20,1000-ROW(),1),ROW(),OFFSET($A$1,ROW(),21,1000-ROW(),1),"Sub"))))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IF($V81&lt;&gt;"Sub","",N($X81)*IF(AND(ISNUMBER($G81),$G81&lt;=IF($S81=MesCiclo,InicioCiclo,$S81+MOD(2-WEEKDAY($S81),7))+6),1,MIN(1,MAX(0,IF(ISNUMBER(OFFSET($A$1,ROW()-1,8)),OFFSET($A$1,ROW()-1,8),0)))))</f>
        <v/>
      </c>
      <c r="AE81" s="62">
        <f>IF($V81&lt;&gt;"Sub","",N($X81)*IF(AND(ISNUMBER($G81),$G81&lt;=IF($S81=MesCiclo,InicioCiclo,$S81+MOD(2-WEEKDAY($S81),7))+13),1,MIN(1,MAX(0,IF(ISNUMBER(OFFSET($A$1,ROW()-1,9)),OFFSET($A$1,ROW()-1,9),IF(ISNUMBER(OFFSET($A$1,ROW()-1,8)),OFFSET($A$1,ROW()-1,8),0))))))</f>
        <v/>
      </c>
      <c r="AF81" s="62">
        <f>IF($V81&lt;&gt;"Sub","",N($X81)*IF(AND(ISNUMBER($G81),$G81&lt;=IF($S81=MesCiclo,InicioCiclo,$S81+MOD(2-WEEKDAY($S81),7))+20),1,MIN(1,MAX(0,IF(ISNUMBER(OFFSET($A$1,ROW()-1,10)),OFFSET($A$1,ROW()-1,10),IF(ISNUMBER(OFFSET($A$1,ROW()-1,9)),OFFSET($A$1,ROW()-1,9),IF(ISNUMBER(OFFSET($A$1,ROW()-1,8)),OFFSET($A$1,ROW()-1,8),0)))))))</f>
        <v/>
      </c>
      <c r="AG81" s="62">
        <f>IF($V81&lt;&gt;"Sub","",N($X81)*IF(AND(ISNUMBER($G81),$G81&lt;=IF($S81=MesCiclo,InicioCiclo,$S81+MOD(2-WEEKDAY($S81),7))+27),1,MIN(1,MAX(0,IF(ISNUMBER(OFFSET($A$1,ROW()-1,11)),OFFSET($A$1,ROW()-1,11),IF(ISNUMBER(OFFSET($A$1,ROW()-1,10)),OFFSET($A$1,ROW()-1,10),IF(ISNUMBER(OFFSET($A$1,ROW()-1,9)),OFFSET($A$1,ROW()-1,9),IF(ISNUMBER(OFFSET($A$1,ROW()-1,8)),OFFSET($A$1,ROW()-1,8),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",IFERROR(MATCH("Riesgo Normativo|"&amp;MID($C81,12,500),rDname_ADM,0),0),"")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IF(N($W82)=0,"",IF(AND($S82=MesCiclo,1&gt;SemanaActual),"",MIN(1,SUMIFS(OFFSET($A$1,ROW(),29,1000-ROW(),1),OFFSET($A$1,ROW(),20,1000-ROW(),1),ROW(),OFFSET($A$1,ROW(),21,1000-ROW(),1),"Sub"))))</f>
        <v/>
      </c>
      <c r="J82" s="60">
        <f>IF(N($W82)=0,"",IF(AND($S82=MesCiclo,2&gt;SemanaActual),"",MIN(1,SUMIFS(OFFSET($A$1,ROW(),30,1000-ROW(),1),OFFSET($A$1,ROW(),20,1000-ROW(),1),ROW(),OFFSET($A$1,ROW(),21,1000-ROW(),1),"Sub"))))</f>
        <v/>
      </c>
      <c r="K82" s="60">
        <f>IF(N($W82)=0,"",IF(AND($S82=MesCiclo,3&gt;SemanaActual),"",MIN(1,SUMIFS(OFFSET($A$1,ROW(),31,1000-ROW(),1),OFFSET($A$1,ROW(),20,1000-ROW(),1),ROW(),OFFSET($A$1,ROW(),21,1000-ROW(),1),"Sub"))))</f>
        <v/>
      </c>
      <c r="L82" s="60">
        <f>IF(N($W82)=0,"",IF(AND($S82=MesCiclo,4&gt;SemanaActual),"",MIN(1,SUMIFS(OFFSET($A$1,ROW(),32,1000-ROW(),1),OFFSET($A$1,ROW(),20,1000-ROW(),1),ROW(),OFFSET($A$1,ROW(),21,1000-ROW(),1),"Sub"))))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IF($V82&lt;&gt;"Sub","",N($X82)*IF(AND(ISNUMBER($G82),$G82&lt;=IF($S82=MesCiclo,InicioCiclo,$S82+MOD(2-WEEKDAY($S82),7))+6),1,MIN(1,MAX(0,IF(ISNUMBER(OFFSET($A$1,ROW()-1,8)),OFFSET($A$1,ROW()-1,8),0)))))</f>
        <v/>
      </c>
      <c r="AE82" s="62">
        <f>IF($V82&lt;&gt;"Sub","",N($X82)*IF(AND(ISNUMBER($G82),$G82&lt;=IF($S82=MesCiclo,InicioCiclo,$S82+MOD(2-WEEKDAY($S82),7))+13),1,MIN(1,MAX(0,IF(ISNUMBER(OFFSET($A$1,ROW()-1,9)),OFFSET($A$1,ROW()-1,9),IF(ISNUMBER(OFFSET($A$1,ROW()-1,8)),OFFSET($A$1,ROW()-1,8),0))))))</f>
        <v/>
      </c>
      <c r="AF82" s="62">
        <f>IF($V82&lt;&gt;"Sub","",N($X82)*IF(AND(ISNUMBER($G82),$G82&lt;=IF($S82=MesCiclo,InicioCiclo,$S82+MOD(2-WEEKDAY($S82),7))+20),1,MIN(1,MAX(0,IF(ISNUMBER(OFFSET($A$1,ROW()-1,10)),OFFSET($A$1,ROW()-1,10),IF(ISNUMBER(OFFSET($A$1,ROW()-1,9)),OFFSET($A$1,ROW()-1,9),IF(ISNUMBER(OFFSET($A$1,ROW()-1,8)),OFFSET($A$1,ROW()-1,8),0)))))))</f>
        <v/>
      </c>
      <c r="AG82" s="62">
        <f>IF($V82&lt;&gt;"Sub","",N($X82)*IF(AND(ISNUMBER($G82),$G82&lt;=IF($S82=MesCiclo,InicioCiclo,$S82+MOD(2-WEEKDAY($S82),7))+27),1,MIN(1,MAX(0,IF(ISNUMBER(OFFSET($A$1,ROW()-1,11)),OFFSET($A$1,ROW()-1,11),IF(ISNUMBER(OFFSET($A$1,ROW()-1,10)),OFFSET($A$1,ROW()-1,10),IF(ISNUMBER(OFFSET($A$1,ROW()-1,9)),OFFSET($A$1,ROW()-1,9),IF(ISNUMBER(OFFSET($A$1,ROW()-1,8)),OFFSET($A$1,ROW()-1,8),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",IFERROR(MATCH("Riesgo Normativo|"&amp;MID($C82,12,500),rDname_ADM,0),0),"")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IF(N($W83)=0,"",IF(AND($S83=MesCiclo,1&gt;SemanaActual),"",MIN(1,SUMIFS(OFFSET($A$1,ROW(),29,1000-ROW(),1),OFFSET($A$1,ROW(),20,1000-ROW(),1),ROW(),OFFSET($A$1,ROW(),21,1000-ROW(),1),"Sub"))))</f>
        <v/>
      </c>
      <c r="J83" s="60">
        <f>IF(N($W83)=0,"",IF(AND($S83=MesCiclo,2&gt;SemanaActual),"",MIN(1,SUMIFS(OFFSET($A$1,ROW(),30,1000-ROW(),1),OFFSET($A$1,ROW(),20,1000-ROW(),1),ROW(),OFFSET($A$1,ROW(),21,1000-ROW(),1),"Sub"))))</f>
        <v/>
      </c>
      <c r="K83" s="60">
        <f>IF(N($W83)=0,"",IF(AND($S83=MesCiclo,3&gt;SemanaActual),"",MIN(1,SUMIFS(OFFSET($A$1,ROW(),31,1000-ROW(),1),OFFSET($A$1,ROW(),20,1000-ROW(),1),ROW(),OFFSET($A$1,ROW(),21,1000-ROW(),1),"Sub"))))</f>
        <v/>
      </c>
      <c r="L83" s="60">
        <f>IF(N($W83)=0,"",IF(AND($S83=MesCiclo,4&gt;SemanaActual),"",MIN(1,SUMIFS(OFFSET($A$1,ROW(),32,1000-ROW(),1),OFFSET($A$1,ROW(),20,1000-ROW(),1),ROW(),OFFSET($A$1,ROW(),21,1000-ROW(),1),"Sub"))))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IF($V83&lt;&gt;"Sub","",N($X83)*IF(AND(ISNUMBER($G83),$G83&lt;=IF($S83=MesCiclo,InicioCiclo,$S83+MOD(2-WEEKDAY($S83),7))+6),1,MIN(1,MAX(0,IF(ISNUMBER(OFFSET($A$1,ROW()-1,8)),OFFSET($A$1,ROW()-1,8),0)))))</f>
        <v/>
      </c>
      <c r="AE83" s="62">
        <f>IF($V83&lt;&gt;"Sub","",N($X83)*IF(AND(ISNUMBER($G83),$G83&lt;=IF($S83=MesCiclo,InicioCiclo,$S83+MOD(2-WEEKDAY($S83),7))+13),1,MIN(1,MAX(0,IF(ISNUMBER(OFFSET($A$1,ROW()-1,9)),OFFSET($A$1,ROW()-1,9),IF(ISNUMBER(OFFSET($A$1,ROW()-1,8)),OFFSET($A$1,ROW()-1,8),0))))))</f>
        <v/>
      </c>
      <c r="AF83" s="62">
        <f>IF($V83&lt;&gt;"Sub","",N($X83)*IF(AND(ISNUMBER($G83),$G83&lt;=IF($S83=MesCiclo,InicioCiclo,$S83+MOD(2-WEEKDAY($S83),7))+20),1,MIN(1,MAX(0,IF(ISNUMBER(OFFSET($A$1,ROW()-1,10)),OFFSET($A$1,ROW()-1,10),IF(ISNUMBER(OFFSET($A$1,ROW()-1,9)),OFFSET($A$1,ROW()-1,9),IF(ISNUMBER(OFFSET($A$1,ROW()-1,8)),OFFSET($A$1,ROW()-1,8),0)))))))</f>
        <v/>
      </c>
      <c r="AG83" s="62">
        <f>IF($V83&lt;&gt;"Sub","",N($X83)*IF(AND(ISNUMBER($G83),$G83&lt;=IF($S83=MesCiclo,InicioCiclo,$S83+MOD(2-WEEKDAY($S83),7))+27),1,MIN(1,MAX(0,IF(ISNUMBER(OFFSET($A$1,ROW()-1,11)),OFFSET($A$1,ROW()-1,11),IF(ISNUMBER(OFFSET($A$1,ROW()-1,10)),OFFSET($A$1,ROW()-1,10),IF(ISNUMBER(OFFSET($A$1,ROW()-1,9)),OFFSET($A$1,ROW()-1,9),IF(ISNUMBER(OFFSET($A$1,ROW()-1,8)),OFFSET($A$1,ROW()-1,8),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",IFERROR(MATCH("Riesgo Normativo|"&amp;MID($C83,12,500),rDname_ADM,0),0),"")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IF(N($W84)=0,"",IF(AND($S84=MesCiclo,1&gt;SemanaActual),"",MIN(1,SUMIFS(OFFSET($A$1,ROW(),29,1000-ROW(),1),OFFSET($A$1,ROW(),20,1000-ROW(),1),ROW(),OFFSET($A$1,ROW(),21,1000-ROW(),1),"Sub"))))</f>
        <v/>
      </c>
      <c r="J84" s="60">
        <f>IF(N($W84)=0,"",IF(AND($S84=MesCiclo,2&gt;SemanaActual),"",MIN(1,SUMIFS(OFFSET($A$1,ROW(),30,1000-ROW(),1),OFFSET($A$1,ROW(),20,1000-ROW(),1),ROW(),OFFSET($A$1,ROW(),21,1000-ROW(),1),"Sub"))))</f>
        <v/>
      </c>
      <c r="K84" s="60">
        <f>IF(N($W84)=0,"",IF(AND($S84=MesCiclo,3&gt;SemanaActual),"",MIN(1,SUMIFS(OFFSET($A$1,ROW(),31,1000-ROW(),1),OFFSET($A$1,ROW(),20,1000-ROW(),1),ROW(),OFFSET($A$1,ROW(),21,1000-ROW(),1),"Sub"))))</f>
        <v/>
      </c>
      <c r="L84" s="60">
        <f>IF(N($W84)=0,"",IF(AND($S84=MesCiclo,4&gt;SemanaActual),"",MIN(1,SUMIFS(OFFSET($A$1,ROW(),32,1000-ROW(),1),OFFSET($A$1,ROW(),20,1000-ROW(),1),ROW(),OFFSET($A$1,ROW(),21,1000-ROW(),1),"Sub"))))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IF($V84&lt;&gt;"Sub","",N($X84)*IF(AND(ISNUMBER($G84),$G84&lt;=IF($S84=MesCiclo,InicioCiclo,$S84+MOD(2-WEEKDAY($S84),7))+6),1,MIN(1,MAX(0,IF(ISNUMBER(OFFSET($A$1,ROW()-1,8)),OFFSET($A$1,ROW()-1,8),0)))))</f>
        <v/>
      </c>
      <c r="AE84" s="62">
        <f>IF($V84&lt;&gt;"Sub","",N($X84)*IF(AND(ISNUMBER($G84),$G84&lt;=IF($S84=MesCiclo,InicioCiclo,$S84+MOD(2-WEEKDAY($S84),7))+13),1,MIN(1,MAX(0,IF(ISNUMBER(OFFSET($A$1,ROW()-1,9)),OFFSET($A$1,ROW()-1,9),IF(ISNUMBER(OFFSET($A$1,ROW()-1,8)),OFFSET($A$1,ROW()-1,8),0))))))</f>
        <v/>
      </c>
      <c r="AF84" s="62">
        <f>IF($V84&lt;&gt;"Sub","",N($X84)*IF(AND(ISNUMBER($G84),$G84&lt;=IF($S84=MesCiclo,InicioCiclo,$S84+MOD(2-WEEKDAY($S84),7))+20),1,MIN(1,MAX(0,IF(ISNUMBER(OFFSET($A$1,ROW()-1,10)),OFFSET($A$1,ROW()-1,10),IF(ISNUMBER(OFFSET($A$1,ROW()-1,9)),OFFSET($A$1,ROW()-1,9),IF(ISNUMBER(OFFSET($A$1,ROW()-1,8)),OFFSET($A$1,ROW()-1,8),0)))))))</f>
        <v/>
      </c>
      <c r="AG84" s="62">
        <f>IF($V84&lt;&gt;"Sub","",N($X84)*IF(AND(ISNUMBER($G84),$G84&lt;=IF($S84=MesCiclo,InicioCiclo,$S84+MOD(2-WEEKDAY($S84),7))+27),1,MIN(1,MAX(0,IF(ISNUMBER(OFFSET($A$1,ROW()-1,11)),OFFSET($A$1,ROW()-1,11),IF(ISNUMBER(OFFSET($A$1,ROW()-1,10)),OFFSET($A$1,ROW()-1,10),IF(ISNUMBER(OFFSET($A$1,ROW()-1,9)),OFFSET($A$1,ROW()-1,9),IF(ISNUMBER(OFFSET($A$1,ROW()-1,8)),OFFSET($A$1,ROW()-1,8),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",IFERROR(MATCH("Riesgo Normativo|"&amp;MID($C84,12,500),rDname_ADM,0),0),"")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IF(N($W85)=0,"",IF(AND($S85=MesCiclo,1&gt;SemanaActual),"",MIN(1,SUMIFS(OFFSET($A$1,ROW(),29,1000-ROW(),1),OFFSET($A$1,ROW(),20,1000-ROW(),1),ROW(),OFFSET($A$1,ROW(),21,1000-ROW(),1),"Sub"))))</f>
        <v/>
      </c>
      <c r="J85" s="60">
        <f>IF(N($W85)=0,"",IF(AND($S85=MesCiclo,2&gt;SemanaActual),"",MIN(1,SUMIFS(OFFSET($A$1,ROW(),30,1000-ROW(),1),OFFSET($A$1,ROW(),20,1000-ROW(),1),ROW(),OFFSET($A$1,ROW(),21,1000-ROW(),1),"Sub"))))</f>
        <v/>
      </c>
      <c r="K85" s="60">
        <f>IF(N($W85)=0,"",IF(AND($S85=MesCiclo,3&gt;SemanaActual),"",MIN(1,SUMIFS(OFFSET($A$1,ROW(),31,1000-ROW(),1),OFFSET($A$1,ROW(),20,1000-ROW(),1),ROW(),OFFSET($A$1,ROW(),21,1000-ROW(),1),"Sub"))))</f>
        <v/>
      </c>
      <c r="L85" s="60">
        <f>IF(N($W85)=0,"",IF(AND($S85=MesCiclo,4&gt;SemanaActual),"",MIN(1,SUMIFS(OFFSET($A$1,ROW(),32,1000-ROW(),1),OFFSET($A$1,ROW(),20,1000-ROW(),1),ROW(),OFFSET($A$1,ROW(),21,1000-ROW(),1),"Sub"))))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IF($V85&lt;&gt;"Sub","",N($X85)*IF(AND(ISNUMBER($G85),$G85&lt;=IF($S85=MesCiclo,InicioCiclo,$S85+MOD(2-WEEKDAY($S85),7))+6),1,MIN(1,MAX(0,IF(ISNUMBER(OFFSET($A$1,ROW()-1,8)),OFFSET($A$1,ROW()-1,8),0)))))</f>
        <v/>
      </c>
      <c r="AE85" s="62">
        <f>IF($V85&lt;&gt;"Sub","",N($X85)*IF(AND(ISNUMBER($G85),$G85&lt;=IF($S85=MesCiclo,InicioCiclo,$S85+MOD(2-WEEKDAY($S85),7))+13),1,MIN(1,MAX(0,IF(ISNUMBER(OFFSET($A$1,ROW()-1,9)),OFFSET($A$1,ROW()-1,9),IF(ISNUMBER(OFFSET($A$1,ROW()-1,8)),OFFSET($A$1,ROW()-1,8),0))))))</f>
        <v/>
      </c>
      <c r="AF85" s="62">
        <f>IF($V85&lt;&gt;"Sub","",N($X85)*IF(AND(ISNUMBER($G85),$G85&lt;=IF($S85=MesCiclo,InicioCiclo,$S85+MOD(2-WEEKDAY($S85),7))+20),1,MIN(1,MAX(0,IF(ISNUMBER(OFFSET($A$1,ROW()-1,10)),OFFSET($A$1,ROW()-1,10),IF(ISNUMBER(OFFSET($A$1,ROW()-1,9)),OFFSET($A$1,ROW()-1,9),IF(ISNUMBER(OFFSET($A$1,ROW()-1,8)),OFFSET($A$1,ROW()-1,8),0)))))))</f>
        <v/>
      </c>
      <c r="AG85" s="62">
        <f>IF($V85&lt;&gt;"Sub","",N($X85)*IF(AND(ISNUMBER($G85),$G85&lt;=IF($S85=MesCiclo,InicioCiclo,$S85+MOD(2-WEEKDAY($S85),7))+27),1,MIN(1,MAX(0,IF(ISNUMBER(OFFSET($A$1,ROW()-1,11)),OFFSET($A$1,ROW()-1,11),IF(ISNUMBER(OFFSET($A$1,ROW()-1,10)),OFFSET($A$1,ROW()-1,10),IF(ISNUMBER(OFFSET($A$1,ROW()-1,9)),OFFSET($A$1,ROW()-1,9),IF(ISNUMBER(OFFSET($A$1,ROW()-1,8)),OFFSET($A$1,ROW()-1,8),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",IFERROR(MATCH("Riesgo Normativo|"&amp;MID($C85,12,500),rDname_ADM,0),0),"")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IF(N($W86)=0,"",IF(AND($S86=MesCiclo,1&gt;SemanaActual),"",MIN(1,SUMIFS(OFFSET($A$1,ROW(),29,1000-ROW(),1),OFFSET($A$1,ROW(),20,1000-ROW(),1),ROW(),OFFSET($A$1,ROW(),21,1000-ROW(),1),"Sub"))))</f>
        <v/>
      </c>
      <c r="J86" s="60">
        <f>IF(N($W86)=0,"",IF(AND($S86=MesCiclo,2&gt;SemanaActual),"",MIN(1,SUMIFS(OFFSET($A$1,ROW(),30,1000-ROW(),1),OFFSET($A$1,ROW(),20,1000-ROW(),1),ROW(),OFFSET($A$1,ROW(),21,1000-ROW(),1),"Sub"))))</f>
        <v/>
      </c>
      <c r="K86" s="60">
        <f>IF(N($W86)=0,"",IF(AND($S86=MesCiclo,3&gt;SemanaActual),"",MIN(1,SUMIFS(OFFSET($A$1,ROW(),31,1000-ROW(),1),OFFSET($A$1,ROW(),20,1000-ROW(),1),ROW(),OFFSET($A$1,ROW(),21,1000-ROW(),1),"Sub"))))</f>
        <v/>
      </c>
      <c r="L86" s="60">
        <f>IF(N($W86)=0,"",IF(AND($S86=MesCiclo,4&gt;SemanaActual),"",MIN(1,SUMIFS(OFFSET($A$1,ROW(),32,1000-ROW(),1),OFFSET($A$1,ROW(),20,1000-ROW(),1),ROW(),OFFSET($A$1,ROW(),21,1000-ROW(),1),"Sub"))))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IF($V86&lt;&gt;"Sub","",N($X86)*IF(AND(ISNUMBER($G86),$G86&lt;=IF($S86=MesCiclo,InicioCiclo,$S86+MOD(2-WEEKDAY($S86),7))+6),1,MIN(1,MAX(0,IF(ISNUMBER(OFFSET($A$1,ROW()-1,8)),OFFSET($A$1,ROW()-1,8),0)))))</f>
        <v/>
      </c>
      <c r="AE86" s="62">
        <f>IF($V86&lt;&gt;"Sub","",N($X86)*IF(AND(ISNUMBER($G86),$G86&lt;=IF($S86=MesCiclo,InicioCiclo,$S86+MOD(2-WEEKDAY($S86),7))+13),1,MIN(1,MAX(0,IF(ISNUMBER(OFFSET($A$1,ROW()-1,9)),OFFSET($A$1,ROW()-1,9),IF(ISNUMBER(OFFSET($A$1,ROW()-1,8)),OFFSET($A$1,ROW()-1,8),0))))))</f>
        <v/>
      </c>
      <c r="AF86" s="62">
        <f>IF($V86&lt;&gt;"Sub","",N($X86)*IF(AND(ISNUMBER($G86),$G86&lt;=IF($S86=MesCiclo,InicioCiclo,$S86+MOD(2-WEEKDAY($S86),7))+20),1,MIN(1,MAX(0,IF(ISNUMBER(OFFSET($A$1,ROW()-1,10)),OFFSET($A$1,ROW()-1,10),IF(ISNUMBER(OFFSET($A$1,ROW()-1,9)),OFFSET($A$1,ROW()-1,9),IF(ISNUMBER(OFFSET($A$1,ROW()-1,8)),OFFSET($A$1,ROW()-1,8),0)))))))</f>
        <v/>
      </c>
      <c r="AG86" s="62">
        <f>IF($V86&lt;&gt;"Sub","",N($X86)*IF(AND(ISNUMBER($G86),$G86&lt;=IF($S86=MesCiclo,InicioCiclo,$S86+MOD(2-WEEKDAY($S86),7))+27),1,MIN(1,MAX(0,IF(ISNUMBER(OFFSET($A$1,ROW()-1,11)),OFFSET($A$1,ROW()-1,11),IF(ISNUMBER(OFFSET($A$1,ROW()-1,10)),OFFSET($A$1,ROW()-1,10),IF(ISNUMBER(OFFSET($A$1,ROW()-1,9)),OFFSET($A$1,ROW()-1,9),IF(ISNUMBER(OFFSET($A$1,ROW()-1,8)),OFFSET($A$1,ROW()-1,8),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",IFERROR(MATCH("Riesgo Normativo|"&amp;MID($C86,12,500),rDname_ADM,0),0),"")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IF(N($W87)=0,"",IF(AND($S87=MesCiclo,1&gt;SemanaActual),"",MIN(1,SUMIFS(OFFSET($A$1,ROW(),29,1000-ROW(),1),OFFSET($A$1,ROW(),20,1000-ROW(),1),ROW(),OFFSET($A$1,ROW(),21,1000-ROW(),1),"Sub"))))</f>
        <v/>
      </c>
      <c r="J87" s="60">
        <f>IF(N($W87)=0,"",IF(AND($S87=MesCiclo,2&gt;SemanaActual),"",MIN(1,SUMIFS(OFFSET($A$1,ROW(),30,1000-ROW(),1),OFFSET($A$1,ROW(),20,1000-ROW(),1),ROW(),OFFSET($A$1,ROW(),21,1000-ROW(),1),"Sub"))))</f>
        <v/>
      </c>
      <c r="K87" s="60">
        <f>IF(N($W87)=0,"",IF(AND($S87=MesCiclo,3&gt;SemanaActual),"",MIN(1,SUMIFS(OFFSET($A$1,ROW(),31,1000-ROW(),1),OFFSET($A$1,ROW(),20,1000-ROW(),1),ROW(),OFFSET($A$1,ROW(),21,1000-ROW(),1),"Sub"))))</f>
        <v/>
      </c>
      <c r="L87" s="60">
        <f>IF(N($W87)=0,"",IF(AND($S87=MesCiclo,4&gt;SemanaActual),"",MIN(1,SUMIFS(OFFSET($A$1,ROW(),32,1000-ROW(),1),OFFSET($A$1,ROW(),20,1000-ROW(),1),ROW(),OFFSET($A$1,ROW(),21,1000-ROW(),1),"Sub"))))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IF($V87&lt;&gt;"Sub","",N($X87)*IF(AND(ISNUMBER($G87),$G87&lt;=IF($S87=MesCiclo,InicioCiclo,$S87+MOD(2-WEEKDAY($S87),7))+6),1,MIN(1,MAX(0,IF(ISNUMBER(OFFSET($A$1,ROW()-1,8)),OFFSET($A$1,ROW()-1,8),0)))))</f>
        <v/>
      </c>
      <c r="AE87" s="62">
        <f>IF($V87&lt;&gt;"Sub","",N($X87)*IF(AND(ISNUMBER($G87),$G87&lt;=IF($S87=MesCiclo,InicioCiclo,$S87+MOD(2-WEEKDAY($S87),7))+13),1,MIN(1,MAX(0,IF(ISNUMBER(OFFSET($A$1,ROW()-1,9)),OFFSET($A$1,ROW()-1,9),IF(ISNUMBER(OFFSET($A$1,ROW()-1,8)),OFFSET($A$1,ROW()-1,8),0))))))</f>
        <v/>
      </c>
      <c r="AF87" s="62">
        <f>IF($V87&lt;&gt;"Sub","",N($X87)*IF(AND(ISNUMBER($G87),$G87&lt;=IF($S87=MesCiclo,InicioCiclo,$S87+MOD(2-WEEKDAY($S87),7))+20),1,MIN(1,MAX(0,IF(ISNUMBER(OFFSET($A$1,ROW()-1,10)),OFFSET($A$1,ROW()-1,10),IF(ISNUMBER(OFFSET($A$1,ROW()-1,9)),OFFSET($A$1,ROW()-1,9),IF(ISNUMBER(OFFSET($A$1,ROW()-1,8)),OFFSET($A$1,ROW()-1,8),0)))))))</f>
        <v/>
      </c>
      <c r="AG87" s="62">
        <f>IF($V87&lt;&gt;"Sub","",N($X87)*IF(AND(ISNUMBER($G87),$G87&lt;=IF($S87=MesCiclo,InicioCiclo,$S87+MOD(2-WEEKDAY($S87),7))+27),1,MIN(1,MAX(0,IF(ISNUMBER(OFFSET($A$1,ROW()-1,11)),OFFSET($A$1,ROW()-1,11),IF(ISNUMBER(OFFSET($A$1,ROW()-1,10)),OFFSET($A$1,ROW()-1,10),IF(ISNUMBER(OFFSET($A$1,ROW()-1,9)),OFFSET($A$1,ROW()-1,9),IF(ISNUMBER(OFFSET($A$1,ROW()-1,8)),OFFSET($A$1,ROW()-1,8),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",IFERROR(MATCH("Riesgo Normativo|"&amp;MID($C87,12,500),rDname_ADM,0),0),"")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IF(N($W88)=0,"",IF(AND($S88=MesCiclo,1&gt;SemanaActual),"",MIN(1,SUMIFS(OFFSET($A$1,ROW(),29,1000-ROW(),1),OFFSET($A$1,ROW(),20,1000-ROW(),1),ROW(),OFFSET($A$1,ROW(),21,1000-ROW(),1),"Sub"))))</f>
        <v/>
      </c>
      <c r="J88" s="60">
        <f>IF(N($W88)=0,"",IF(AND($S88=MesCiclo,2&gt;SemanaActual),"",MIN(1,SUMIFS(OFFSET($A$1,ROW(),30,1000-ROW(),1),OFFSET($A$1,ROW(),20,1000-ROW(),1),ROW(),OFFSET($A$1,ROW(),21,1000-ROW(),1),"Sub"))))</f>
        <v/>
      </c>
      <c r="K88" s="60">
        <f>IF(N($W88)=0,"",IF(AND($S88=MesCiclo,3&gt;SemanaActual),"",MIN(1,SUMIFS(OFFSET($A$1,ROW(),31,1000-ROW(),1),OFFSET($A$1,ROW(),20,1000-ROW(),1),ROW(),OFFSET($A$1,ROW(),21,1000-ROW(),1),"Sub"))))</f>
        <v/>
      </c>
      <c r="L88" s="60">
        <f>IF(N($W88)=0,"",IF(AND($S88=MesCiclo,4&gt;SemanaActual),"",MIN(1,SUMIFS(OFFSET($A$1,ROW(),32,1000-ROW(),1),OFFSET($A$1,ROW(),20,1000-ROW(),1),ROW(),OFFSET($A$1,ROW(),21,1000-ROW(),1),"Sub"))))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IF($V88&lt;&gt;"Sub","",N($X88)*IF(AND(ISNUMBER($G88),$G88&lt;=IF($S88=MesCiclo,InicioCiclo,$S88+MOD(2-WEEKDAY($S88),7))+6),1,MIN(1,MAX(0,IF(ISNUMBER(OFFSET($A$1,ROW()-1,8)),OFFSET($A$1,ROW()-1,8),0)))))</f>
        <v/>
      </c>
      <c r="AE88" s="62">
        <f>IF($V88&lt;&gt;"Sub","",N($X88)*IF(AND(ISNUMBER($G88),$G88&lt;=IF($S88=MesCiclo,InicioCiclo,$S88+MOD(2-WEEKDAY($S88),7))+13),1,MIN(1,MAX(0,IF(ISNUMBER(OFFSET($A$1,ROW()-1,9)),OFFSET($A$1,ROW()-1,9),IF(ISNUMBER(OFFSET($A$1,ROW()-1,8)),OFFSET($A$1,ROW()-1,8),0))))))</f>
        <v/>
      </c>
      <c r="AF88" s="62">
        <f>IF($V88&lt;&gt;"Sub","",N($X88)*IF(AND(ISNUMBER($G88),$G88&lt;=IF($S88=MesCiclo,InicioCiclo,$S88+MOD(2-WEEKDAY($S88),7))+20),1,MIN(1,MAX(0,IF(ISNUMBER(OFFSET($A$1,ROW()-1,10)),OFFSET($A$1,ROW()-1,10),IF(ISNUMBER(OFFSET($A$1,ROW()-1,9)),OFFSET($A$1,ROW()-1,9),IF(ISNUMBER(OFFSET($A$1,ROW()-1,8)),OFFSET($A$1,ROW()-1,8),0)))))))</f>
        <v/>
      </c>
      <c r="AG88" s="62">
        <f>IF($V88&lt;&gt;"Sub","",N($X88)*IF(AND(ISNUMBER($G88),$G88&lt;=IF($S88=MesCiclo,InicioCiclo,$S88+MOD(2-WEEKDAY($S88),7))+27),1,MIN(1,MAX(0,IF(ISNUMBER(OFFSET($A$1,ROW()-1,11)),OFFSET($A$1,ROW()-1,11),IF(ISNUMBER(OFFSET($A$1,ROW()-1,10)),OFFSET($A$1,ROW()-1,10),IF(ISNUMBER(OFFSET($A$1,ROW()-1,9)),OFFSET($A$1,ROW()-1,9),IF(ISNUMBER(OFFSET($A$1,ROW()-1,8)),OFFSET($A$1,ROW()-1,8),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",IFERROR(MATCH("Riesgo Normativo|"&amp;MID($C88,12,500),rDname_ADM,0),0),"")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IF(N($W89)=0,"",IF(AND($S89=MesCiclo,1&gt;SemanaActual),"",MIN(1,SUMIFS(OFFSET($A$1,ROW(),29,1000-ROW(),1),OFFSET($A$1,ROW(),20,1000-ROW(),1),ROW(),OFFSET($A$1,ROW(),21,1000-ROW(),1),"Sub"))))</f>
        <v/>
      </c>
      <c r="J89" s="60">
        <f>IF(N($W89)=0,"",IF(AND($S89=MesCiclo,2&gt;SemanaActual),"",MIN(1,SUMIFS(OFFSET($A$1,ROW(),30,1000-ROW(),1),OFFSET($A$1,ROW(),20,1000-ROW(),1),ROW(),OFFSET($A$1,ROW(),21,1000-ROW(),1),"Sub"))))</f>
        <v/>
      </c>
      <c r="K89" s="60">
        <f>IF(N($W89)=0,"",IF(AND($S89=MesCiclo,3&gt;SemanaActual),"",MIN(1,SUMIFS(OFFSET($A$1,ROW(),31,1000-ROW(),1),OFFSET($A$1,ROW(),20,1000-ROW(),1),ROW(),OFFSET($A$1,ROW(),21,1000-ROW(),1),"Sub"))))</f>
        <v/>
      </c>
      <c r="L89" s="60">
        <f>IF(N($W89)=0,"",IF(AND($S89=MesCiclo,4&gt;SemanaActual),"",MIN(1,SUMIFS(OFFSET($A$1,ROW(),32,1000-ROW(),1),OFFSET($A$1,ROW(),20,1000-ROW(),1),ROW(),OFFSET($A$1,ROW(),21,1000-ROW(),1),"Sub"))))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IF($V89&lt;&gt;"Sub","",N($X89)*IF(AND(ISNUMBER($G89),$G89&lt;=IF($S89=MesCiclo,InicioCiclo,$S89+MOD(2-WEEKDAY($S89),7))+6),1,MIN(1,MAX(0,IF(ISNUMBER(OFFSET($A$1,ROW()-1,8)),OFFSET($A$1,ROW()-1,8),0)))))</f>
        <v/>
      </c>
      <c r="AE89" s="62">
        <f>IF($V89&lt;&gt;"Sub","",N($X89)*IF(AND(ISNUMBER($G89),$G89&lt;=IF($S89=MesCiclo,InicioCiclo,$S89+MOD(2-WEEKDAY($S89),7))+13),1,MIN(1,MAX(0,IF(ISNUMBER(OFFSET($A$1,ROW()-1,9)),OFFSET($A$1,ROW()-1,9),IF(ISNUMBER(OFFSET($A$1,ROW()-1,8)),OFFSET($A$1,ROW()-1,8),0))))))</f>
        <v/>
      </c>
      <c r="AF89" s="62">
        <f>IF($V89&lt;&gt;"Sub","",N($X89)*IF(AND(ISNUMBER($G89),$G89&lt;=IF($S89=MesCiclo,InicioCiclo,$S89+MOD(2-WEEKDAY($S89),7))+20),1,MIN(1,MAX(0,IF(ISNUMBER(OFFSET($A$1,ROW()-1,10)),OFFSET($A$1,ROW()-1,10),IF(ISNUMBER(OFFSET($A$1,ROW()-1,9)),OFFSET($A$1,ROW()-1,9),IF(ISNUMBER(OFFSET($A$1,ROW()-1,8)),OFFSET($A$1,ROW()-1,8),0)))))))</f>
        <v/>
      </c>
      <c r="AG89" s="62">
        <f>IF($V89&lt;&gt;"Sub","",N($X89)*IF(AND(ISNUMBER($G89),$G89&lt;=IF($S89=MesCiclo,InicioCiclo,$S89+MOD(2-WEEKDAY($S89),7))+27),1,MIN(1,MAX(0,IF(ISNUMBER(OFFSET($A$1,ROW()-1,11)),OFFSET($A$1,ROW()-1,11),IF(ISNUMBER(OFFSET($A$1,ROW()-1,10)),OFFSET($A$1,ROW()-1,10),IF(ISNUMBER(OFFSET($A$1,ROW()-1,9)),OFFSET($A$1,ROW()-1,9),IF(ISNUMBER(OFFSET($A$1,ROW()-1,8)),OFFSET($A$1,ROW()-1,8),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",IFERROR(MATCH("Riesgo Normativo|"&amp;MID($C89,12,500),rDname_ADM,0),0),"")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IF(N($W90)=0,"",IF(AND($S90=MesCiclo,1&gt;SemanaActual),"",MIN(1,SUMIFS(OFFSET($A$1,ROW(),29,1000-ROW(),1),OFFSET($A$1,ROW(),20,1000-ROW(),1),ROW(),OFFSET($A$1,ROW(),21,1000-ROW(),1),"Sub"))))</f>
        <v/>
      </c>
      <c r="J90" s="60">
        <f>IF(N($W90)=0,"",IF(AND($S90=MesCiclo,2&gt;SemanaActual),"",MIN(1,SUMIFS(OFFSET($A$1,ROW(),30,1000-ROW(),1),OFFSET($A$1,ROW(),20,1000-ROW(),1),ROW(),OFFSET($A$1,ROW(),21,1000-ROW(),1),"Sub"))))</f>
        <v/>
      </c>
      <c r="K90" s="60">
        <f>IF(N($W90)=0,"",IF(AND($S90=MesCiclo,3&gt;SemanaActual),"",MIN(1,SUMIFS(OFFSET($A$1,ROW(),31,1000-ROW(),1),OFFSET($A$1,ROW(),20,1000-ROW(),1),ROW(),OFFSET($A$1,ROW(),21,1000-ROW(),1),"Sub"))))</f>
        <v/>
      </c>
      <c r="L90" s="60">
        <f>IF(N($W90)=0,"",IF(AND($S90=MesCiclo,4&gt;SemanaActual),"",MIN(1,SUMIFS(OFFSET($A$1,ROW(),32,1000-ROW(),1),OFFSET($A$1,ROW(),20,1000-ROW(),1),ROW(),OFFSET($A$1,ROW(),21,1000-ROW(),1),"Sub"))))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IF($V90&lt;&gt;"Sub","",N($X90)*IF(AND(ISNUMBER($G90),$G90&lt;=IF($S90=MesCiclo,InicioCiclo,$S90+MOD(2-WEEKDAY($S90),7))+6),1,MIN(1,MAX(0,IF(ISNUMBER(OFFSET($A$1,ROW()-1,8)),OFFSET($A$1,ROW()-1,8),0)))))</f>
        <v/>
      </c>
      <c r="AE90" s="62">
        <f>IF($V90&lt;&gt;"Sub","",N($X90)*IF(AND(ISNUMBER($G90),$G90&lt;=IF($S90=MesCiclo,InicioCiclo,$S90+MOD(2-WEEKDAY($S90),7))+13),1,MIN(1,MAX(0,IF(ISNUMBER(OFFSET($A$1,ROW()-1,9)),OFFSET($A$1,ROW()-1,9),IF(ISNUMBER(OFFSET($A$1,ROW()-1,8)),OFFSET($A$1,ROW()-1,8),0))))))</f>
        <v/>
      </c>
      <c r="AF90" s="62">
        <f>IF($V90&lt;&gt;"Sub","",N($X90)*IF(AND(ISNUMBER($G90),$G90&lt;=IF($S90=MesCiclo,InicioCiclo,$S90+MOD(2-WEEKDAY($S90),7))+20),1,MIN(1,MAX(0,IF(ISNUMBER(OFFSET($A$1,ROW()-1,10)),OFFSET($A$1,ROW()-1,10),IF(ISNUMBER(OFFSET($A$1,ROW()-1,9)),OFFSET($A$1,ROW()-1,9),IF(ISNUMBER(OFFSET($A$1,ROW()-1,8)),OFFSET($A$1,ROW()-1,8),0)))))))</f>
        <v/>
      </c>
      <c r="AG90" s="62">
        <f>IF($V90&lt;&gt;"Sub","",N($X90)*IF(AND(ISNUMBER($G90),$G90&lt;=IF($S90=MesCiclo,InicioCiclo,$S90+MOD(2-WEEKDAY($S90),7))+27),1,MIN(1,MAX(0,IF(ISNUMBER(OFFSET($A$1,ROW()-1,11)),OFFSET($A$1,ROW()-1,11),IF(ISNUMBER(OFFSET($A$1,ROW()-1,10)),OFFSET($A$1,ROW()-1,10),IF(ISNUMBER(OFFSET($A$1,ROW()-1,9)),OFFSET($A$1,ROW()-1,9),IF(ISNUMBER(OFFSET($A$1,ROW()-1,8)),OFFSET($A$1,ROW()-1,8),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",IFERROR(MATCH("Riesgo Normativo|"&amp;MID($C90,12,500),rDname_ADM,0),0),"")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IF(N($W91)=0,"",IF(AND($S91=MesCiclo,1&gt;SemanaActual),"",MIN(1,SUMIFS(OFFSET($A$1,ROW(),29,1000-ROW(),1),OFFSET($A$1,ROW(),20,1000-ROW(),1),ROW(),OFFSET($A$1,ROW(),21,1000-ROW(),1),"Sub"))))</f>
        <v/>
      </c>
      <c r="J91" s="60">
        <f>IF(N($W91)=0,"",IF(AND($S91=MesCiclo,2&gt;SemanaActual),"",MIN(1,SUMIFS(OFFSET($A$1,ROW(),30,1000-ROW(),1),OFFSET($A$1,ROW(),20,1000-ROW(),1),ROW(),OFFSET($A$1,ROW(),21,1000-ROW(),1),"Sub"))))</f>
        <v/>
      </c>
      <c r="K91" s="60">
        <f>IF(N($W91)=0,"",IF(AND($S91=MesCiclo,3&gt;SemanaActual),"",MIN(1,SUMIFS(OFFSET($A$1,ROW(),31,1000-ROW(),1),OFFSET($A$1,ROW(),20,1000-ROW(),1),ROW(),OFFSET($A$1,ROW(),21,1000-ROW(),1),"Sub"))))</f>
        <v/>
      </c>
      <c r="L91" s="60">
        <f>IF(N($W91)=0,"",IF(AND($S91=MesCiclo,4&gt;SemanaActual),"",MIN(1,SUMIFS(OFFSET($A$1,ROW(),32,1000-ROW(),1),OFFSET($A$1,ROW(),20,1000-ROW(),1),ROW(),OFFSET($A$1,ROW(),21,1000-ROW(),1),"Sub"))))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IF($V91&lt;&gt;"Sub","",N($X91)*IF(AND(ISNUMBER($G91),$G91&lt;=IF($S91=MesCiclo,InicioCiclo,$S91+MOD(2-WEEKDAY($S91),7))+6),1,MIN(1,MAX(0,IF(ISNUMBER(OFFSET($A$1,ROW()-1,8)),OFFSET($A$1,ROW()-1,8),0)))))</f>
        <v/>
      </c>
      <c r="AE91" s="62">
        <f>IF($V91&lt;&gt;"Sub","",N($X91)*IF(AND(ISNUMBER($G91),$G91&lt;=IF($S91=MesCiclo,InicioCiclo,$S91+MOD(2-WEEKDAY($S91),7))+13),1,MIN(1,MAX(0,IF(ISNUMBER(OFFSET($A$1,ROW()-1,9)),OFFSET($A$1,ROW()-1,9),IF(ISNUMBER(OFFSET($A$1,ROW()-1,8)),OFFSET($A$1,ROW()-1,8),0))))))</f>
        <v/>
      </c>
      <c r="AF91" s="62">
        <f>IF($V91&lt;&gt;"Sub","",N($X91)*IF(AND(ISNUMBER($G91),$G91&lt;=IF($S91=MesCiclo,InicioCiclo,$S91+MOD(2-WEEKDAY($S91),7))+20),1,MIN(1,MAX(0,IF(ISNUMBER(OFFSET($A$1,ROW()-1,10)),OFFSET($A$1,ROW()-1,10),IF(ISNUMBER(OFFSET($A$1,ROW()-1,9)),OFFSET($A$1,ROW()-1,9),IF(ISNUMBER(OFFSET($A$1,ROW()-1,8)),OFFSET($A$1,ROW()-1,8),0)))))))</f>
        <v/>
      </c>
      <c r="AG91" s="62">
        <f>IF($V91&lt;&gt;"Sub","",N($X91)*IF(AND(ISNUMBER($G91),$G91&lt;=IF($S91=MesCiclo,InicioCiclo,$S91+MOD(2-WEEKDAY($S91),7))+27),1,MIN(1,MAX(0,IF(ISNUMBER(OFFSET($A$1,ROW()-1,11)),OFFSET($A$1,ROW()-1,11),IF(ISNUMBER(OFFSET($A$1,ROW()-1,10)),OFFSET($A$1,ROW()-1,10),IF(ISNUMBER(OFFSET($A$1,ROW()-1,9)),OFFSET($A$1,ROW()-1,9),IF(ISNUMBER(OFFSET($A$1,ROW()-1,8)),OFFSET($A$1,ROW()-1,8),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",IFERROR(MATCH("Riesgo Normativo|"&amp;MID($C91,12,500),rDname_ADM,0),0),"")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IF(N($W92)=0,"",IF(AND($S92=MesCiclo,1&gt;SemanaActual),"",MIN(1,SUMIFS(OFFSET($A$1,ROW(),29,1000-ROW(),1),OFFSET($A$1,ROW(),20,1000-ROW(),1),ROW(),OFFSET($A$1,ROW(),21,1000-ROW(),1),"Sub"))))</f>
        <v/>
      </c>
      <c r="J92" s="60">
        <f>IF(N($W92)=0,"",IF(AND($S92=MesCiclo,2&gt;SemanaActual),"",MIN(1,SUMIFS(OFFSET($A$1,ROW(),30,1000-ROW(),1),OFFSET($A$1,ROW(),20,1000-ROW(),1),ROW(),OFFSET($A$1,ROW(),21,1000-ROW(),1),"Sub"))))</f>
        <v/>
      </c>
      <c r="K92" s="60">
        <f>IF(N($W92)=0,"",IF(AND($S92=MesCiclo,3&gt;SemanaActual),"",MIN(1,SUMIFS(OFFSET($A$1,ROW(),31,1000-ROW(),1),OFFSET($A$1,ROW(),20,1000-ROW(),1),ROW(),OFFSET($A$1,ROW(),21,1000-ROW(),1),"Sub"))))</f>
        <v/>
      </c>
      <c r="L92" s="60">
        <f>IF(N($W92)=0,"",IF(AND($S92=MesCiclo,4&gt;SemanaActual),"",MIN(1,SUMIFS(OFFSET($A$1,ROW(),32,1000-ROW(),1),OFFSET($A$1,ROW(),20,1000-ROW(),1),ROW(),OFFSET($A$1,ROW(),21,1000-ROW(),1),"Sub"))))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IF($V92&lt;&gt;"Sub","",N($X92)*IF(AND(ISNUMBER($G92),$G92&lt;=IF($S92=MesCiclo,InicioCiclo,$S92+MOD(2-WEEKDAY($S92),7))+6),1,MIN(1,MAX(0,IF(ISNUMBER(OFFSET($A$1,ROW()-1,8)),OFFSET($A$1,ROW()-1,8),0)))))</f>
        <v/>
      </c>
      <c r="AE92" s="62">
        <f>IF($V92&lt;&gt;"Sub","",N($X92)*IF(AND(ISNUMBER($G92),$G92&lt;=IF($S92=MesCiclo,InicioCiclo,$S92+MOD(2-WEEKDAY($S92),7))+13),1,MIN(1,MAX(0,IF(ISNUMBER(OFFSET($A$1,ROW()-1,9)),OFFSET($A$1,ROW()-1,9),IF(ISNUMBER(OFFSET($A$1,ROW()-1,8)),OFFSET($A$1,ROW()-1,8),0))))))</f>
        <v/>
      </c>
      <c r="AF92" s="62">
        <f>IF($V92&lt;&gt;"Sub","",N($X92)*IF(AND(ISNUMBER($G92),$G92&lt;=IF($S92=MesCiclo,InicioCiclo,$S92+MOD(2-WEEKDAY($S92),7))+20),1,MIN(1,MAX(0,IF(ISNUMBER(OFFSET($A$1,ROW()-1,10)),OFFSET($A$1,ROW()-1,10),IF(ISNUMBER(OFFSET($A$1,ROW()-1,9)),OFFSET($A$1,ROW()-1,9),IF(ISNUMBER(OFFSET($A$1,ROW()-1,8)),OFFSET($A$1,ROW()-1,8),0)))))))</f>
        <v/>
      </c>
      <c r="AG92" s="62">
        <f>IF($V92&lt;&gt;"Sub","",N($X92)*IF(AND(ISNUMBER($G92),$G92&lt;=IF($S92=MesCiclo,InicioCiclo,$S92+MOD(2-WEEKDAY($S92),7))+27),1,MIN(1,MAX(0,IF(ISNUMBER(OFFSET($A$1,ROW()-1,11)),OFFSET($A$1,ROW()-1,11),IF(ISNUMBER(OFFSET($A$1,ROW()-1,10)),OFFSET($A$1,ROW()-1,10),IF(ISNUMBER(OFFSET($A$1,ROW()-1,9)),OFFSET($A$1,ROW()-1,9),IF(ISNUMBER(OFFSET($A$1,ROW()-1,8)),OFFSET($A$1,ROW()-1,8),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",IFERROR(MATCH("Riesgo Normativo|"&amp;MID($C92,12,500),rDname_ADM,0),0),"")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IF(N($W93)=0,"",IF(AND($S93=MesCiclo,1&gt;SemanaActual),"",MIN(1,SUMIFS(OFFSET($A$1,ROW(),29,1000-ROW(),1),OFFSET($A$1,ROW(),20,1000-ROW(),1),ROW(),OFFSET($A$1,ROW(),21,1000-ROW(),1),"Sub"))))</f>
        <v/>
      </c>
      <c r="J93" s="60">
        <f>IF(N($W93)=0,"",IF(AND($S93=MesCiclo,2&gt;SemanaActual),"",MIN(1,SUMIFS(OFFSET($A$1,ROW(),30,1000-ROW(),1),OFFSET($A$1,ROW(),20,1000-ROW(),1),ROW(),OFFSET($A$1,ROW(),21,1000-ROW(),1),"Sub"))))</f>
        <v/>
      </c>
      <c r="K93" s="60">
        <f>IF(N($W93)=0,"",IF(AND($S93=MesCiclo,3&gt;SemanaActual),"",MIN(1,SUMIFS(OFFSET($A$1,ROW(),31,1000-ROW(),1),OFFSET($A$1,ROW(),20,1000-ROW(),1),ROW(),OFFSET($A$1,ROW(),21,1000-ROW(),1),"Sub"))))</f>
        <v/>
      </c>
      <c r="L93" s="60">
        <f>IF(N($W93)=0,"",IF(AND($S93=MesCiclo,4&gt;SemanaActual),"",MIN(1,SUMIFS(OFFSET($A$1,ROW(),32,1000-ROW(),1),OFFSET($A$1,ROW(),20,1000-ROW(),1),ROW(),OFFSET($A$1,ROW(),21,1000-ROW(),1),"Sub"))))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IF($V93&lt;&gt;"Sub","",N($X93)*IF(AND(ISNUMBER($G93),$G93&lt;=IF($S93=MesCiclo,InicioCiclo,$S93+MOD(2-WEEKDAY($S93),7))+6),1,MIN(1,MAX(0,IF(ISNUMBER(OFFSET($A$1,ROW()-1,8)),OFFSET($A$1,ROW()-1,8),0)))))</f>
        <v/>
      </c>
      <c r="AE93" s="62">
        <f>IF($V93&lt;&gt;"Sub","",N($X93)*IF(AND(ISNUMBER($G93),$G93&lt;=IF($S93=MesCiclo,InicioCiclo,$S93+MOD(2-WEEKDAY($S93),7))+13),1,MIN(1,MAX(0,IF(ISNUMBER(OFFSET($A$1,ROW()-1,9)),OFFSET($A$1,ROW()-1,9),IF(ISNUMBER(OFFSET($A$1,ROW()-1,8)),OFFSET($A$1,ROW()-1,8),0))))))</f>
        <v/>
      </c>
      <c r="AF93" s="62">
        <f>IF($V93&lt;&gt;"Sub","",N($X93)*IF(AND(ISNUMBER($G93),$G93&lt;=IF($S93=MesCiclo,InicioCiclo,$S93+MOD(2-WEEKDAY($S93),7))+20),1,MIN(1,MAX(0,IF(ISNUMBER(OFFSET($A$1,ROW()-1,10)),OFFSET($A$1,ROW()-1,10),IF(ISNUMBER(OFFSET($A$1,ROW()-1,9)),OFFSET($A$1,ROW()-1,9),IF(ISNUMBER(OFFSET($A$1,ROW()-1,8)),OFFSET($A$1,ROW()-1,8),0)))))))</f>
        <v/>
      </c>
      <c r="AG93" s="62">
        <f>IF($V93&lt;&gt;"Sub","",N($X93)*IF(AND(ISNUMBER($G93),$G93&lt;=IF($S93=MesCiclo,InicioCiclo,$S93+MOD(2-WEEKDAY($S93),7))+27),1,MIN(1,MAX(0,IF(ISNUMBER(OFFSET($A$1,ROW()-1,11)),OFFSET($A$1,ROW()-1,11),IF(ISNUMBER(OFFSET($A$1,ROW()-1,10)),OFFSET($A$1,ROW()-1,10),IF(ISNUMBER(OFFSET($A$1,ROW()-1,9)),OFFSET($A$1,ROW()-1,9),IF(ISNUMBER(OFFSET($A$1,ROW()-1,8)),OFFSET($A$1,ROW()-1,8),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",IFERROR(MATCH("Riesgo Normativo|"&amp;MID($C93,12,500),rDname_ADM,0),0),"")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IF(N($W94)=0,"",IF(AND($S94=MesCiclo,1&gt;SemanaActual),"",MIN(1,SUMIFS(OFFSET($A$1,ROW(),29,1000-ROW(),1),OFFSET($A$1,ROW(),20,1000-ROW(),1),ROW(),OFFSET($A$1,ROW(),21,1000-ROW(),1),"Sub"))))</f>
        <v/>
      </c>
      <c r="J94" s="60">
        <f>IF(N($W94)=0,"",IF(AND($S94=MesCiclo,2&gt;SemanaActual),"",MIN(1,SUMIFS(OFFSET($A$1,ROW(),30,1000-ROW(),1),OFFSET($A$1,ROW(),20,1000-ROW(),1),ROW(),OFFSET($A$1,ROW(),21,1000-ROW(),1),"Sub"))))</f>
        <v/>
      </c>
      <c r="K94" s="60">
        <f>IF(N($W94)=0,"",IF(AND($S94=MesCiclo,3&gt;SemanaActual),"",MIN(1,SUMIFS(OFFSET($A$1,ROW(),31,1000-ROW(),1),OFFSET($A$1,ROW(),20,1000-ROW(),1),ROW(),OFFSET($A$1,ROW(),21,1000-ROW(),1),"Sub"))))</f>
        <v/>
      </c>
      <c r="L94" s="60">
        <f>IF(N($W94)=0,"",IF(AND($S94=MesCiclo,4&gt;SemanaActual),"",MIN(1,SUMIFS(OFFSET($A$1,ROW(),32,1000-ROW(),1),OFFSET($A$1,ROW(),20,1000-ROW(),1),ROW(),OFFSET($A$1,ROW(),21,1000-ROW(),1),"Sub"))))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IF($V94&lt;&gt;"Sub","",N($X94)*IF(AND(ISNUMBER($G94),$G94&lt;=IF($S94=MesCiclo,InicioCiclo,$S94+MOD(2-WEEKDAY($S94),7))+6),1,MIN(1,MAX(0,IF(ISNUMBER(OFFSET($A$1,ROW()-1,8)),OFFSET($A$1,ROW()-1,8),0)))))</f>
        <v/>
      </c>
      <c r="AE94" s="62">
        <f>IF($V94&lt;&gt;"Sub","",N($X94)*IF(AND(ISNUMBER($G94),$G94&lt;=IF($S94=MesCiclo,InicioCiclo,$S94+MOD(2-WEEKDAY($S94),7))+13),1,MIN(1,MAX(0,IF(ISNUMBER(OFFSET($A$1,ROW()-1,9)),OFFSET($A$1,ROW()-1,9),IF(ISNUMBER(OFFSET($A$1,ROW()-1,8)),OFFSET($A$1,ROW()-1,8),0))))))</f>
        <v/>
      </c>
      <c r="AF94" s="62">
        <f>IF($V94&lt;&gt;"Sub","",N($X94)*IF(AND(ISNUMBER($G94),$G94&lt;=IF($S94=MesCiclo,InicioCiclo,$S94+MOD(2-WEEKDAY($S94),7))+20),1,MIN(1,MAX(0,IF(ISNUMBER(OFFSET($A$1,ROW()-1,10)),OFFSET($A$1,ROW()-1,10),IF(ISNUMBER(OFFSET($A$1,ROW()-1,9)),OFFSET($A$1,ROW()-1,9),IF(ISNUMBER(OFFSET($A$1,ROW()-1,8)),OFFSET($A$1,ROW()-1,8),0)))))))</f>
        <v/>
      </c>
      <c r="AG94" s="62">
        <f>IF($V94&lt;&gt;"Sub","",N($X94)*IF(AND(ISNUMBER($G94),$G94&lt;=IF($S94=MesCiclo,InicioCiclo,$S94+MOD(2-WEEKDAY($S94),7))+27),1,MIN(1,MAX(0,IF(ISNUMBER(OFFSET($A$1,ROW()-1,11)),OFFSET($A$1,ROW()-1,11),IF(ISNUMBER(OFFSET($A$1,ROW()-1,10)),OFFSET($A$1,ROW()-1,10),IF(ISNUMBER(OFFSET($A$1,ROW()-1,9)),OFFSET($A$1,ROW()-1,9),IF(ISNUMBER(OFFSET($A$1,ROW()-1,8)),OFFSET($A$1,ROW()-1,8),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",IFERROR(MATCH("Riesgo Normativo|"&amp;MID($C94,12,500),rDname_ADM,0),0),"")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IF(N($W95)=0,"",IF(AND($S95=MesCiclo,1&gt;SemanaActual),"",MIN(1,SUMIFS(OFFSET($A$1,ROW(),29,1000-ROW(),1),OFFSET($A$1,ROW(),20,1000-ROW(),1),ROW(),OFFSET($A$1,ROW(),21,1000-ROW(),1),"Sub"))))</f>
        <v/>
      </c>
      <c r="J95" s="60">
        <f>IF(N($W95)=0,"",IF(AND($S95=MesCiclo,2&gt;SemanaActual),"",MIN(1,SUMIFS(OFFSET($A$1,ROW(),30,1000-ROW(),1),OFFSET($A$1,ROW(),20,1000-ROW(),1),ROW(),OFFSET($A$1,ROW(),21,1000-ROW(),1),"Sub"))))</f>
        <v/>
      </c>
      <c r="K95" s="60">
        <f>IF(N($W95)=0,"",IF(AND($S95=MesCiclo,3&gt;SemanaActual),"",MIN(1,SUMIFS(OFFSET($A$1,ROW(),31,1000-ROW(),1),OFFSET($A$1,ROW(),20,1000-ROW(),1),ROW(),OFFSET($A$1,ROW(),21,1000-ROW(),1),"Sub"))))</f>
        <v/>
      </c>
      <c r="L95" s="60">
        <f>IF(N($W95)=0,"",IF(AND($S95=MesCiclo,4&gt;SemanaActual),"",MIN(1,SUMIFS(OFFSET($A$1,ROW(),32,1000-ROW(),1),OFFSET($A$1,ROW(),20,1000-ROW(),1),ROW(),OFFSET($A$1,ROW(),21,1000-ROW(),1),"Sub"))))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IF($V95&lt;&gt;"Sub","",N($X95)*IF(AND(ISNUMBER($G95),$G95&lt;=IF($S95=MesCiclo,InicioCiclo,$S95+MOD(2-WEEKDAY($S95),7))+6),1,MIN(1,MAX(0,IF(ISNUMBER(OFFSET($A$1,ROW()-1,8)),OFFSET($A$1,ROW()-1,8),0)))))</f>
        <v/>
      </c>
      <c r="AE95" s="62">
        <f>IF($V95&lt;&gt;"Sub","",N($X95)*IF(AND(ISNUMBER($G95),$G95&lt;=IF($S95=MesCiclo,InicioCiclo,$S95+MOD(2-WEEKDAY($S95),7))+13),1,MIN(1,MAX(0,IF(ISNUMBER(OFFSET($A$1,ROW()-1,9)),OFFSET($A$1,ROW()-1,9),IF(ISNUMBER(OFFSET($A$1,ROW()-1,8)),OFFSET($A$1,ROW()-1,8),0))))))</f>
        <v/>
      </c>
      <c r="AF95" s="62">
        <f>IF($V95&lt;&gt;"Sub","",N($X95)*IF(AND(ISNUMBER($G95),$G95&lt;=IF($S95=MesCiclo,InicioCiclo,$S95+MOD(2-WEEKDAY($S95),7))+20),1,MIN(1,MAX(0,IF(ISNUMBER(OFFSET($A$1,ROW()-1,10)),OFFSET($A$1,ROW()-1,10),IF(ISNUMBER(OFFSET($A$1,ROW()-1,9)),OFFSET($A$1,ROW()-1,9),IF(ISNUMBER(OFFSET($A$1,ROW()-1,8)),OFFSET($A$1,ROW()-1,8),0)))))))</f>
        <v/>
      </c>
      <c r="AG95" s="62">
        <f>IF($V95&lt;&gt;"Sub","",N($X95)*IF(AND(ISNUMBER($G95),$G95&lt;=IF($S95=MesCiclo,InicioCiclo,$S95+MOD(2-WEEKDAY($S95),7))+27),1,MIN(1,MAX(0,IF(ISNUMBER(OFFSET($A$1,ROW()-1,11)),OFFSET($A$1,ROW()-1,11),IF(ISNUMBER(OFFSET($A$1,ROW()-1,10)),OFFSET($A$1,ROW()-1,10),IF(ISNUMBER(OFFSET($A$1,ROW()-1,9)),OFFSET($A$1,ROW()-1,9),IF(ISNUMBER(OFFSET($A$1,ROW()-1,8)),OFFSET($A$1,ROW()-1,8),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",IFERROR(MATCH("Riesgo Normativo|"&amp;MID($C95,12,500),rDname_ADM,0),0),"")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IF(N($W96)=0,"",IF(AND($S96=MesCiclo,1&gt;SemanaActual),"",MIN(1,SUMIFS(OFFSET($A$1,ROW(),29,1000-ROW(),1),OFFSET($A$1,ROW(),20,1000-ROW(),1),ROW(),OFFSET($A$1,ROW(),21,1000-ROW(),1),"Sub"))))</f>
        <v/>
      </c>
      <c r="J96" s="60">
        <f>IF(N($W96)=0,"",IF(AND($S96=MesCiclo,2&gt;SemanaActual),"",MIN(1,SUMIFS(OFFSET($A$1,ROW(),30,1000-ROW(),1),OFFSET($A$1,ROW(),20,1000-ROW(),1),ROW(),OFFSET($A$1,ROW(),21,1000-ROW(),1),"Sub"))))</f>
        <v/>
      </c>
      <c r="K96" s="60">
        <f>IF(N($W96)=0,"",IF(AND($S96=MesCiclo,3&gt;SemanaActual),"",MIN(1,SUMIFS(OFFSET($A$1,ROW(),31,1000-ROW(),1),OFFSET($A$1,ROW(),20,1000-ROW(),1),ROW(),OFFSET($A$1,ROW(),21,1000-ROW(),1),"Sub"))))</f>
        <v/>
      </c>
      <c r="L96" s="60">
        <f>IF(N($W96)=0,"",IF(AND($S96=MesCiclo,4&gt;SemanaActual),"",MIN(1,SUMIFS(OFFSET($A$1,ROW(),32,1000-ROW(),1),OFFSET($A$1,ROW(),20,1000-ROW(),1),ROW(),OFFSET($A$1,ROW(),21,1000-ROW(),1),"Sub"))))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IF($V96&lt;&gt;"Sub","",N($X96)*IF(AND(ISNUMBER($G96),$G96&lt;=IF($S96=MesCiclo,InicioCiclo,$S96+MOD(2-WEEKDAY($S96),7))+6),1,MIN(1,MAX(0,IF(ISNUMBER(OFFSET($A$1,ROW()-1,8)),OFFSET($A$1,ROW()-1,8),0)))))</f>
        <v/>
      </c>
      <c r="AE96" s="62">
        <f>IF($V96&lt;&gt;"Sub","",N($X96)*IF(AND(ISNUMBER($G96),$G96&lt;=IF($S96=MesCiclo,InicioCiclo,$S96+MOD(2-WEEKDAY($S96),7))+13),1,MIN(1,MAX(0,IF(ISNUMBER(OFFSET($A$1,ROW()-1,9)),OFFSET($A$1,ROW()-1,9),IF(ISNUMBER(OFFSET($A$1,ROW()-1,8)),OFFSET($A$1,ROW()-1,8),0))))))</f>
        <v/>
      </c>
      <c r="AF96" s="62">
        <f>IF($V96&lt;&gt;"Sub","",N($X96)*IF(AND(ISNUMBER($G96),$G96&lt;=IF($S96=MesCiclo,InicioCiclo,$S96+MOD(2-WEEKDAY($S96),7))+20),1,MIN(1,MAX(0,IF(ISNUMBER(OFFSET($A$1,ROW()-1,10)),OFFSET($A$1,ROW()-1,10),IF(ISNUMBER(OFFSET($A$1,ROW()-1,9)),OFFSET($A$1,ROW()-1,9),IF(ISNUMBER(OFFSET($A$1,ROW()-1,8)),OFFSET($A$1,ROW()-1,8),0)))))))</f>
        <v/>
      </c>
      <c r="AG96" s="62">
        <f>IF($V96&lt;&gt;"Sub","",N($X96)*IF(AND(ISNUMBER($G96),$G96&lt;=IF($S96=MesCiclo,InicioCiclo,$S96+MOD(2-WEEKDAY($S96),7))+27),1,MIN(1,MAX(0,IF(ISNUMBER(OFFSET($A$1,ROW()-1,11)),OFFSET($A$1,ROW()-1,11),IF(ISNUMBER(OFFSET($A$1,ROW()-1,10)),OFFSET($A$1,ROW()-1,10),IF(ISNUMBER(OFFSET($A$1,ROW()-1,9)),OFFSET($A$1,ROW()-1,9),IF(ISNUMBER(OFFSET($A$1,ROW()-1,8)),OFFSET($A$1,ROW()-1,8),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",IFERROR(MATCH("Riesgo Normativo|"&amp;MID($C96,12,500),rDname_ADM,0),0),"")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IF(N($W97)=0,"",IF(AND($S97=MesCiclo,1&gt;SemanaActual),"",MIN(1,SUMIFS(OFFSET($A$1,ROW(),29,1000-ROW(),1),OFFSET($A$1,ROW(),20,1000-ROW(),1),ROW(),OFFSET($A$1,ROW(),21,1000-ROW(),1),"Sub"))))</f>
        <v/>
      </c>
      <c r="J97" s="60">
        <f>IF(N($W97)=0,"",IF(AND($S97=MesCiclo,2&gt;SemanaActual),"",MIN(1,SUMIFS(OFFSET($A$1,ROW(),30,1000-ROW(),1),OFFSET($A$1,ROW(),20,1000-ROW(),1),ROW(),OFFSET($A$1,ROW(),21,1000-ROW(),1),"Sub"))))</f>
        <v/>
      </c>
      <c r="K97" s="60">
        <f>IF(N($W97)=0,"",IF(AND($S97=MesCiclo,3&gt;SemanaActual),"",MIN(1,SUMIFS(OFFSET($A$1,ROW(),31,1000-ROW(),1),OFFSET($A$1,ROW(),20,1000-ROW(),1),ROW(),OFFSET($A$1,ROW(),21,1000-ROW(),1),"Sub"))))</f>
        <v/>
      </c>
      <c r="L97" s="60">
        <f>IF(N($W97)=0,"",IF(AND($S97=MesCiclo,4&gt;SemanaActual),"",MIN(1,SUMIFS(OFFSET($A$1,ROW(),32,1000-ROW(),1),OFFSET($A$1,ROW(),20,1000-ROW(),1),ROW(),OFFSET($A$1,ROW(),21,1000-ROW(),1),"Sub"))))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IF($V97&lt;&gt;"Sub","",N($X97)*IF(AND(ISNUMBER($G97),$G97&lt;=IF($S97=MesCiclo,InicioCiclo,$S97+MOD(2-WEEKDAY($S97),7))+6),1,MIN(1,MAX(0,IF(ISNUMBER(OFFSET($A$1,ROW()-1,8)),OFFSET($A$1,ROW()-1,8),0)))))</f>
        <v/>
      </c>
      <c r="AE97" s="62">
        <f>IF($V97&lt;&gt;"Sub","",N($X97)*IF(AND(ISNUMBER($G97),$G97&lt;=IF($S97=MesCiclo,InicioCiclo,$S97+MOD(2-WEEKDAY($S97),7))+13),1,MIN(1,MAX(0,IF(ISNUMBER(OFFSET($A$1,ROW()-1,9)),OFFSET($A$1,ROW()-1,9),IF(ISNUMBER(OFFSET($A$1,ROW()-1,8)),OFFSET($A$1,ROW()-1,8),0))))))</f>
        <v/>
      </c>
      <c r="AF97" s="62">
        <f>IF($V97&lt;&gt;"Sub","",N($X97)*IF(AND(ISNUMBER($G97),$G97&lt;=IF($S97=MesCiclo,InicioCiclo,$S97+MOD(2-WEEKDAY($S97),7))+20),1,MIN(1,MAX(0,IF(ISNUMBER(OFFSET($A$1,ROW()-1,10)),OFFSET($A$1,ROW()-1,10),IF(ISNUMBER(OFFSET($A$1,ROW()-1,9)),OFFSET($A$1,ROW()-1,9),IF(ISNUMBER(OFFSET($A$1,ROW()-1,8)),OFFSET($A$1,ROW()-1,8),0)))))))</f>
        <v/>
      </c>
      <c r="AG97" s="62">
        <f>IF($V97&lt;&gt;"Sub","",N($X97)*IF(AND(ISNUMBER($G97),$G97&lt;=IF($S97=MesCiclo,InicioCiclo,$S97+MOD(2-WEEKDAY($S97),7))+27),1,MIN(1,MAX(0,IF(ISNUMBER(OFFSET($A$1,ROW()-1,11)),OFFSET($A$1,ROW()-1,11),IF(ISNUMBER(OFFSET($A$1,ROW()-1,10)),OFFSET($A$1,ROW()-1,10),IF(ISNUMBER(OFFSET($A$1,ROW()-1,9)),OFFSET($A$1,ROW()-1,9),IF(ISNUMBER(OFFSET($A$1,ROW()-1,8)),OFFSET($A$1,ROW()-1,8),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",IFERROR(MATCH("Riesgo Normativo|"&amp;MID($C97,12,500),rDname_ADM,0),0),"")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IF(N($W98)=0,"",IF(AND($S98=MesCiclo,1&gt;SemanaActual),"",MIN(1,SUMIFS(OFFSET($A$1,ROW(),29,1000-ROW(),1),OFFSET($A$1,ROW(),20,1000-ROW(),1),ROW(),OFFSET($A$1,ROW(),21,1000-ROW(),1),"Sub"))))</f>
        <v/>
      </c>
      <c r="J98" s="60">
        <f>IF(N($W98)=0,"",IF(AND($S98=MesCiclo,2&gt;SemanaActual),"",MIN(1,SUMIFS(OFFSET($A$1,ROW(),30,1000-ROW(),1),OFFSET($A$1,ROW(),20,1000-ROW(),1),ROW(),OFFSET($A$1,ROW(),21,1000-ROW(),1),"Sub"))))</f>
        <v/>
      </c>
      <c r="K98" s="60">
        <f>IF(N($W98)=0,"",IF(AND($S98=MesCiclo,3&gt;SemanaActual),"",MIN(1,SUMIFS(OFFSET($A$1,ROW(),31,1000-ROW(),1),OFFSET($A$1,ROW(),20,1000-ROW(),1),ROW(),OFFSET($A$1,ROW(),21,1000-ROW(),1),"Sub"))))</f>
        <v/>
      </c>
      <c r="L98" s="60">
        <f>IF(N($W98)=0,"",IF(AND($S98=MesCiclo,4&gt;SemanaActual),"",MIN(1,SUMIFS(OFFSET($A$1,ROW(),32,1000-ROW(),1),OFFSET($A$1,ROW(),20,1000-ROW(),1),ROW(),OFFSET($A$1,ROW(),21,1000-ROW(),1),"Sub"))))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IF($V98&lt;&gt;"Sub","",N($X98)*IF(AND(ISNUMBER($G98),$G98&lt;=IF($S98=MesCiclo,InicioCiclo,$S98+MOD(2-WEEKDAY($S98),7))+6),1,MIN(1,MAX(0,IF(ISNUMBER(OFFSET($A$1,ROW()-1,8)),OFFSET($A$1,ROW()-1,8),0)))))</f>
        <v/>
      </c>
      <c r="AE98" s="62">
        <f>IF($V98&lt;&gt;"Sub","",N($X98)*IF(AND(ISNUMBER($G98),$G98&lt;=IF($S98=MesCiclo,InicioCiclo,$S98+MOD(2-WEEKDAY($S98),7))+13),1,MIN(1,MAX(0,IF(ISNUMBER(OFFSET($A$1,ROW()-1,9)),OFFSET($A$1,ROW()-1,9),IF(ISNUMBER(OFFSET($A$1,ROW()-1,8)),OFFSET($A$1,ROW()-1,8),0))))))</f>
        <v/>
      </c>
      <c r="AF98" s="62">
        <f>IF($V98&lt;&gt;"Sub","",N($X98)*IF(AND(ISNUMBER($G98),$G98&lt;=IF($S98=MesCiclo,InicioCiclo,$S98+MOD(2-WEEKDAY($S98),7))+20),1,MIN(1,MAX(0,IF(ISNUMBER(OFFSET($A$1,ROW()-1,10)),OFFSET($A$1,ROW()-1,10),IF(ISNUMBER(OFFSET($A$1,ROW()-1,9)),OFFSET($A$1,ROW()-1,9),IF(ISNUMBER(OFFSET($A$1,ROW()-1,8)),OFFSET($A$1,ROW()-1,8),0)))))))</f>
        <v/>
      </c>
      <c r="AG98" s="62">
        <f>IF($V98&lt;&gt;"Sub","",N($X98)*IF(AND(ISNUMBER($G98),$G98&lt;=IF($S98=MesCiclo,InicioCiclo,$S98+MOD(2-WEEKDAY($S98),7))+27),1,MIN(1,MAX(0,IF(ISNUMBER(OFFSET($A$1,ROW()-1,11)),OFFSET($A$1,ROW()-1,11),IF(ISNUMBER(OFFSET($A$1,ROW()-1,10)),OFFSET($A$1,ROW()-1,10),IF(ISNUMBER(OFFSET($A$1,ROW()-1,9)),OFFSET($A$1,ROW()-1,9),IF(ISNUMBER(OFFSET($A$1,ROW()-1,8)),OFFSET($A$1,ROW()-1,8),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",IFERROR(MATCH("Riesgo Normativo|"&amp;MID($C98,12,500),rDname_ADM,0),0),"")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IF(N($W99)=0,"",IF(AND($S99=MesCiclo,1&gt;SemanaActual),"",MIN(1,SUMIFS(OFFSET($A$1,ROW(),29,1000-ROW(),1),OFFSET($A$1,ROW(),20,1000-ROW(),1),ROW(),OFFSET($A$1,ROW(),21,1000-ROW(),1),"Sub"))))</f>
        <v/>
      </c>
      <c r="J99" s="60">
        <f>IF(N($W99)=0,"",IF(AND($S99=MesCiclo,2&gt;SemanaActual),"",MIN(1,SUMIFS(OFFSET($A$1,ROW(),30,1000-ROW(),1),OFFSET($A$1,ROW(),20,1000-ROW(),1),ROW(),OFFSET($A$1,ROW(),21,1000-ROW(),1),"Sub"))))</f>
        <v/>
      </c>
      <c r="K99" s="60">
        <f>IF(N($W99)=0,"",IF(AND($S99=MesCiclo,3&gt;SemanaActual),"",MIN(1,SUMIFS(OFFSET($A$1,ROW(),31,1000-ROW(),1),OFFSET($A$1,ROW(),20,1000-ROW(),1),ROW(),OFFSET($A$1,ROW(),21,1000-ROW(),1),"Sub"))))</f>
        <v/>
      </c>
      <c r="L99" s="60">
        <f>IF(N($W99)=0,"",IF(AND($S99=MesCiclo,4&gt;SemanaActual),"",MIN(1,SUMIFS(OFFSET($A$1,ROW(),32,1000-ROW(),1),OFFSET($A$1,ROW(),20,1000-ROW(),1),ROW(),OFFSET($A$1,ROW(),21,1000-ROW(),1),"Sub"))))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IF($V99&lt;&gt;"Sub","",N($X99)*IF(AND(ISNUMBER($G99),$G99&lt;=IF($S99=MesCiclo,InicioCiclo,$S99+MOD(2-WEEKDAY($S99),7))+6),1,MIN(1,MAX(0,IF(ISNUMBER(OFFSET($A$1,ROW()-1,8)),OFFSET($A$1,ROW()-1,8),0)))))</f>
        <v/>
      </c>
      <c r="AE99" s="62">
        <f>IF($V99&lt;&gt;"Sub","",N($X99)*IF(AND(ISNUMBER($G99),$G99&lt;=IF($S99=MesCiclo,InicioCiclo,$S99+MOD(2-WEEKDAY($S99),7))+13),1,MIN(1,MAX(0,IF(ISNUMBER(OFFSET($A$1,ROW()-1,9)),OFFSET($A$1,ROW()-1,9),IF(ISNUMBER(OFFSET($A$1,ROW()-1,8)),OFFSET($A$1,ROW()-1,8),0))))))</f>
        <v/>
      </c>
      <c r="AF99" s="62">
        <f>IF($V99&lt;&gt;"Sub","",N($X99)*IF(AND(ISNUMBER($G99),$G99&lt;=IF($S99=MesCiclo,InicioCiclo,$S99+MOD(2-WEEKDAY($S99),7))+20),1,MIN(1,MAX(0,IF(ISNUMBER(OFFSET($A$1,ROW()-1,10)),OFFSET($A$1,ROW()-1,10),IF(ISNUMBER(OFFSET($A$1,ROW()-1,9)),OFFSET($A$1,ROW()-1,9),IF(ISNUMBER(OFFSET($A$1,ROW()-1,8)),OFFSET($A$1,ROW()-1,8),0)))))))</f>
        <v/>
      </c>
      <c r="AG99" s="62">
        <f>IF($V99&lt;&gt;"Sub","",N($X99)*IF(AND(ISNUMBER($G99),$G99&lt;=IF($S99=MesCiclo,InicioCiclo,$S99+MOD(2-WEEKDAY($S99),7))+27),1,MIN(1,MAX(0,IF(ISNUMBER(OFFSET($A$1,ROW()-1,11)),OFFSET($A$1,ROW()-1,11),IF(ISNUMBER(OFFSET($A$1,ROW()-1,10)),OFFSET($A$1,ROW()-1,10),IF(ISNUMBER(OFFSET($A$1,ROW()-1,9)),OFFSET($A$1,ROW()-1,9),IF(ISNUMBER(OFFSET($A$1,ROW()-1,8)),OFFSET($A$1,ROW()-1,8),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",IFERROR(MATCH("Riesgo Normativo|"&amp;MID($C99,12,500),rDname_ADM,0),0),"")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IF(N($W100)=0,"",IF(AND($S100=MesCiclo,1&gt;SemanaActual),"",MIN(1,SUMIFS(OFFSET($A$1,ROW(),29,1000-ROW(),1),OFFSET($A$1,ROW(),20,1000-ROW(),1),ROW(),OFFSET($A$1,ROW(),21,1000-ROW(),1),"Sub"))))</f>
        <v/>
      </c>
      <c r="J100" s="60">
        <f>IF(N($W100)=0,"",IF(AND($S100=MesCiclo,2&gt;SemanaActual),"",MIN(1,SUMIFS(OFFSET($A$1,ROW(),30,1000-ROW(),1),OFFSET($A$1,ROW(),20,1000-ROW(),1),ROW(),OFFSET($A$1,ROW(),21,1000-ROW(),1),"Sub"))))</f>
        <v/>
      </c>
      <c r="K100" s="60">
        <f>IF(N($W100)=0,"",IF(AND($S100=MesCiclo,3&gt;SemanaActual),"",MIN(1,SUMIFS(OFFSET($A$1,ROW(),31,1000-ROW(),1),OFFSET($A$1,ROW(),20,1000-ROW(),1),ROW(),OFFSET($A$1,ROW(),21,1000-ROW(),1),"Sub"))))</f>
        <v/>
      </c>
      <c r="L100" s="60">
        <f>IF(N($W100)=0,"",IF(AND($S100=MesCiclo,4&gt;SemanaActual),"",MIN(1,SUMIFS(OFFSET($A$1,ROW(),32,1000-ROW(),1),OFFSET($A$1,ROW(),20,1000-ROW(),1),ROW(),OFFSET($A$1,ROW(),21,1000-ROW(),1),"Sub"))))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IF($V100&lt;&gt;"Sub","",N($X100)*IF(AND(ISNUMBER($G100),$G100&lt;=IF($S100=MesCiclo,InicioCiclo,$S100+MOD(2-WEEKDAY($S100),7))+6),1,MIN(1,MAX(0,IF(ISNUMBER(OFFSET($A$1,ROW()-1,8)),OFFSET($A$1,ROW()-1,8),0)))))</f>
        <v/>
      </c>
      <c r="AE100" s="62">
        <f>IF($V100&lt;&gt;"Sub","",N($X100)*IF(AND(ISNUMBER($G100),$G100&lt;=IF($S100=MesCiclo,InicioCiclo,$S100+MOD(2-WEEKDAY($S100),7))+13),1,MIN(1,MAX(0,IF(ISNUMBER(OFFSET($A$1,ROW()-1,9)),OFFSET($A$1,ROW()-1,9),IF(ISNUMBER(OFFSET($A$1,ROW()-1,8)),OFFSET($A$1,ROW()-1,8),0))))))</f>
        <v/>
      </c>
      <c r="AF100" s="62">
        <f>IF($V100&lt;&gt;"Sub","",N($X100)*IF(AND(ISNUMBER($G100),$G100&lt;=IF($S100=MesCiclo,InicioCiclo,$S100+MOD(2-WEEKDAY($S100),7))+20),1,MIN(1,MAX(0,IF(ISNUMBER(OFFSET($A$1,ROW()-1,10)),OFFSET($A$1,ROW()-1,10),IF(ISNUMBER(OFFSET($A$1,ROW()-1,9)),OFFSET($A$1,ROW()-1,9),IF(ISNUMBER(OFFSET($A$1,ROW()-1,8)),OFFSET($A$1,ROW()-1,8),0)))))))</f>
        <v/>
      </c>
      <c r="AG100" s="62">
        <f>IF($V100&lt;&gt;"Sub","",N($X100)*IF(AND(ISNUMBER($G100),$G100&lt;=IF($S100=MesCiclo,InicioCiclo,$S100+MOD(2-WEEKDAY($S100),7))+27),1,MIN(1,MAX(0,IF(ISNUMBER(OFFSET($A$1,ROW()-1,11)),OFFSET($A$1,ROW()-1,11),IF(ISNUMBER(OFFSET($A$1,ROW()-1,10)),OFFSET($A$1,ROW()-1,10),IF(ISNUMBER(OFFSET($A$1,ROW()-1,9)),OFFSET($A$1,ROW()-1,9),IF(ISNUMBER(OFFSET($A$1,ROW()-1,8)),OFFSET($A$1,ROW()-1,8),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",IFERROR(MATCH("Riesgo Normativo|"&amp;MID($C100,12,500),rDname_ADM,0),0),"")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IF(N($W101)=0,"",IF(AND($S101=MesCiclo,1&gt;SemanaActual),"",MIN(1,SUMIFS(OFFSET($A$1,ROW(),29,1000-ROW(),1),OFFSET($A$1,ROW(),20,1000-ROW(),1),ROW(),OFFSET($A$1,ROW(),21,1000-ROW(),1),"Sub"))))</f>
        <v/>
      </c>
      <c r="J101" s="60">
        <f>IF(N($W101)=0,"",IF(AND($S101=MesCiclo,2&gt;SemanaActual),"",MIN(1,SUMIFS(OFFSET($A$1,ROW(),30,1000-ROW(),1),OFFSET($A$1,ROW(),20,1000-ROW(),1),ROW(),OFFSET($A$1,ROW(),21,1000-ROW(),1),"Sub"))))</f>
        <v/>
      </c>
      <c r="K101" s="60">
        <f>IF(N($W101)=0,"",IF(AND($S101=MesCiclo,3&gt;SemanaActual),"",MIN(1,SUMIFS(OFFSET($A$1,ROW(),31,1000-ROW(),1),OFFSET($A$1,ROW(),20,1000-ROW(),1),ROW(),OFFSET($A$1,ROW(),21,1000-ROW(),1),"Sub"))))</f>
        <v/>
      </c>
      <c r="L101" s="60">
        <f>IF(N($W101)=0,"",IF(AND($S101=MesCiclo,4&gt;SemanaActual),"",MIN(1,SUMIFS(OFFSET($A$1,ROW(),32,1000-ROW(),1),OFFSET($A$1,ROW(),20,1000-ROW(),1),ROW(),OFFSET($A$1,ROW(),21,1000-ROW(),1),"Sub"))))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IF($V101&lt;&gt;"Sub","",N($X101)*IF(AND(ISNUMBER($G101),$G101&lt;=IF($S101=MesCiclo,InicioCiclo,$S101+MOD(2-WEEKDAY($S101),7))+6),1,MIN(1,MAX(0,IF(ISNUMBER(OFFSET($A$1,ROW()-1,8)),OFFSET($A$1,ROW()-1,8),0)))))</f>
        <v/>
      </c>
      <c r="AE101" s="62">
        <f>IF($V101&lt;&gt;"Sub","",N($X101)*IF(AND(ISNUMBER($G101),$G101&lt;=IF($S101=MesCiclo,InicioCiclo,$S101+MOD(2-WEEKDAY($S101),7))+13),1,MIN(1,MAX(0,IF(ISNUMBER(OFFSET($A$1,ROW()-1,9)),OFFSET($A$1,ROW()-1,9),IF(ISNUMBER(OFFSET($A$1,ROW()-1,8)),OFFSET($A$1,ROW()-1,8),0))))))</f>
        <v/>
      </c>
      <c r="AF101" s="62">
        <f>IF($V101&lt;&gt;"Sub","",N($X101)*IF(AND(ISNUMBER($G101),$G101&lt;=IF($S101=MesCiclo,InicioCiclo,$S101+MOD(2-WEEKDAY($S101),7))+20),1,MIN(1,MAX(0,IF(ISNUMBER(OFFSET($A$1,ROW()-1,10)),OFFSET($A$1,ROW()-1,10),IF(ISNUMBER(OFFSET($A$1,ROW()-1,9)),OFFSET($A$1,ROW()-1,9),IF(ISNUMBER(OFFSET($A$1,ROW()-1,8)),OFFSET($A$1,ROW()-1,8),0)))))))</f>
        <v/>
      </c>
      <c r="AG101" s="62">
        <f>IF($V101&lt;&gt;"Sub","",N($X101)*IF(AND(ISNUMBER($G101),$G101&lt;=IF($S101=MesCiclo,InicioCiclo,$S101+MOD(2-WEEKDAY($S101),7))+27),1,MIN(1,MAX(0,IF(ISNUMBER(OFFSET($A$1,ROW()-1,11)),OFFSET($A$1,ROW()-1,11),IF(ISNUMBER(OFFSET($A$1,ROW()-1,10)),OFFSET($A$1,ROW()-1,10),IF(ISNUMBER(OFFSET($A$1,ROW()-1,9)),OFFSET($A$1,ROW()-1,9),IF(ISNUMBER(OFFSET($A$1,ROW()-1,8)),OFFSET($A$1,ROW()-1,8),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",IFERROR(MATCH("Riesgo Normativo|"&amp;MID($C101,12,500),rDname_ADM,0),0),"")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IF(N($W102)=0,"",IF(AND($S102=MesCiclo,1&gt;SemanaActual),"",MIN(1,SUMIFS(OFFSET($A$1,ROW(),29,1000-ROW(),1),OFFSET($A$1,ROW(),20,1000-ROW(),1),ROW(),OFFSET($A$1,ROW(),21,1000-ROW(),1),"Sub"))))</f>
        <v/>
      </c>
      <c r="J102" s="60">
        <f>IF(N($W102)=0,"",IF(AND($S102=MesCiclo,2&gt;SemanaActual),"",MIN(1,SUMIFS(OFFSET($A$1,ROW(),30,1000-ROW(),1),OFFSET($A$1,ROW(),20,1000-ROW(),1),ROW(),OFFSET($A$1,ROW(),21,1000-ROW(),1),"Sub"))))</f>
        <v/>
      </c>
      <c r="K102" s="60">
        <f>IF(N($W102)=0,"",IF(AND($S102=MesCiclo,3&gt;SemanaActual),"",MIN(1,SUMIFS(OFFSET($A$1,ROW(),31,1000-ROW(),1),OFFSET($A$1,ROW(),20,1000-ROW(),1),ROW(),OFFSET($A$1,ROW(),21,1000-ROW(),1),"Sub"))))</f>
        <v/>
      </c>
      <c r="L102" s="60">
        <f>IF(N($W102)=0,"",IF(AND($S102=MesCiclo,4&gt;SemanaActual),"",MIN(1,SUMIFS(OFFSET($A$1,ROW(),32,1000-ROW(),1),OFFSET($A$1,ROW(),20,1000-ROW(),1),ROW(),OFFSET($A$1,ROW(),21,1000-ROW(),1),"Sub"))))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IF($V102&lt;&gt;"Sub","",N($X102)*IF(AND(ISNUMBER($G102),$G102&lt;=IF($S102=MesCiclo,InicioCiclo,$S102+MOD(2-WEEKDAY($S102),7))+6),1,MIN(1,MAX(0,IF(ISNUMBER(OFFSET($A$1,ROW()-1,8)),OFFSET($A$1,ROW()-1,8),0)))))</f>
        <v/>
      </c>
      <c r="AE102" s="62">
        <f>IF($V102&lt;&gt;"Sub","",N($X102)*IF(AND(ISNUMBER($G102),$G102&lt;=IF($S102=MesCiclo,InicioCiclo,$S102+MOD(2-WEEKDAY($S102),7))+13),1,MIN(1,MAX(0,IF(ISNUMBER(OFFSET($A$1,ROW()-1,9)),OFFSET($A$1,ROW()-1,9),IF(ISNUMBER(OFFSET($A$1,ROW()-1,8)),OFFSET($A$1,ROW()-1,8),0))))))</f>
        <v/>
      </c>
      <c r="AF102" s="62">
        <f>IF($V102&lt;&gt;"Sub","",N($X102)*IF(AND(ISNUMBER($G102),$G102&lt;=IF($S102=MesCiclo,InicioCiclo,$S102+MOD(2-WEEKDAY($S102),7))+20),1,MIN(1,MAX(0,IF(ISNUMBER(OFFSET($A$1,ROW()-1,10)),OFFSET($A$1,ROW()-1,10),IF(ISNUMBER(OFFSET($A$1,ROW()-1,9)),OFFSET($A$1,ROW()-1,9),IF(ISNUMBER(OFFSET($A$1,ROW()-1,8)),OFFSET($A$1,ROW()-1,8),0)))))))</f>
        <v/>
      </c>
      <c r="AG102" s="62">
        <f>IF($V102&lt;&gt;"Sub","",N($X102)*IF(AND(ISNUMBER($G102),$G102&lt;=IF($S102=MesCiclo,InicioCiclo,$S102+MOD(2-WEEKDAY($S102),7))+27),1,MIN(1,MAX(0,IF(ISNUMBER(OFFSET($A$1,ROW()-1,11)),OFFSET($A$1,ROW()-1,11),IF(ISNUMBER(OFFSET($A$1,ROW()-1,10)),OFFSET($A$1,ROW()-1,10),IF(ISNUMBER(OFFSET($A$1,ROW()-1,9)),OFFSET($A$1,ROW()-1,9),IF(ISNUMBER(OFFSET($A$1,ROW()-1,8)),OFFSET($A$1,ROW()-1,8),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",IFERROR(MATCH("Riesgo Normativo|"&amp;MID($C102,12,500),rDname_ADM,0),0),"")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IF(N($W103)=0,"",IF(AND($S103=MesCiclo,1&gt;SemanaActual),"",MIN(1,SUMIFS(OFFSET($A$1,ROW(),29,1000-ROW(),1),OFFSET($A$1,ROW(),20,1000-ROW(),1),ROW(),OFFSET($A$1,ROW(),21,1000-ROW(),1),"Sub"))))</f>
        <v/>
      </c>
      <c r="J103" s="60">
        <f>IF(N($W103)=0,"",IF(AND($S103=MesCiclo,2&gt;SemanaActual),"",MIN(1,SUMIFS(OFFSET($A$1,ROW(),30,1000-ROW(),1),OFFSET($A$1,ROW(),20,1000-ROW(),1),ROW(),OFFSET($A$1,ROW(),21,1000-ROW(),1),"Sub"))))</f>
        <v/>
      </c>
      <c r="K103" s="60">
        <f>IF(N($W103)=0,"",IF(AND($S103=MesCiclo,3&gt;SemanaActual),"",MIN(1,SUMIFS(OFFSET($A$1,ROW(),31,1000-ROW(),1),OFFSET($A$1,ROW(),20,1000-ROW(),1),ROW(),OFFSET($A$1,ROW(),21,1000-ROW(),1),"Sub"))))</f>
        <v/>
      </c>
      <c r="L103" s="60">
        <f>IF(N($W103)=0,"",IF(AND($S103=MesCiclo,4&gt;SemanaActual),"",MIN(1,SUMIFS(OFFSET($A$1,ROW(),32,1000-ROW(),1),OFFSET($A$1,ROW(),20,1000-ROW(),1),ROW(),OFFSET($A$1,ROW(),21,1000-ROW(),1),"Sub"))))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IF($V103&lt;&gt;"Sub","",N($X103)*IF(AND(ISNUMBER($G103),$G103&lt;=IF($S103=MesCiclo,InicioCiclo,$S103+MOD(2-WEEKDAY($S103),7))+6),1,MIN(1,MAX(0,IF(ISNUMBER(OFFSET($A$1,ROW()-1,8)),OFFSET($A$1,ROW()-1,8),0)))))</f>
        <v/>
      </c>
      <c r="AE103" s="62">
        <f>IF($V103&lt;&gt;"Sub","",N($X103)*IF(AND(ISNUMBER($G103),$G103&lt;=IF($S103=MesCiclo,InicioCiclo,$S103+MOD(2-WEEKDAY($S103),7))+13),1,MIN(1,MAX(0,IF(ISNUMBER(OFFSET($A$1,ROW()-1,9)),OFFSET($A$1,ROW()-1,9),IF(ISNUMBER(OFFSET($A$1,ROW()-1,8)),OFFSET($A$1,ROW()-1,8),0))))))</f>
        <v/>
      </c>
      <c r="AF103" s="62">
        <f>IF($V103&lt;&gt;"Sub","",N($X103)*IF(AND(ISNUMBER($G103),$G103&lt;=IF($S103=MesCiclo,InicioCiclo,$S103+MOD(2-WEEKDAY($S103),7))+20),1,MIN(1,MAX(0,IF(ISNUMBER(OFFSET($A$1,ROW()-1,10)),OFFSET($A$1,ROW()-1,10),IF(ISNUMBER(OFFSET($A$1,ROW()-1,9)),OFFSET($A$1,ROW()-1,9),IF(ISNUMBER(OFFSET($A$1,ROW()-1,8)),OFFSET($A$1,ROW()-1,8),0)))))))</f>
        <v/>
      </c>
      <c r="AG103" s="62">
        <f>IF($V103&lt;&gt;"Sub","",N($X103)*IF(AND(ISNUMBER($G103),$G103&lt;=IF($S103=MesCiclo,InicioCiclo,$S103+MOD(2-WEEKDAY($S103),7))+27),1,MIN(1,MAX(0,IF(ISNUMBER(OFFSET($A$1,ROW()-1,11)),OFFSET($A$1,ROW()-1,11),IF(ISNUMBER(OFFSET($A$1,ROW()-1,10)),OFFSET($A$1,ROW()-1,10),IF(ISNUMBER(OFFSET($A$1,ROW()-1,9)),OFFSET($A$1,ROW()-1,9),IF(ISNUMBER(OFFSET($A$1,ROW()-1,8)),OFFSET($A$1,ROW()-1,8),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",IFERROR(MATCH("Riesgo Normativo|"&amp;MID($C103,12,500),rDname_ADM,0),0),"")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IF(N($W104)=0,"",IF(AND($S104=MesCiclo,1&gt;SemanaActual),"",MIN(1,SUMIFS(OFFSET($A$1,ROW(),29,1000-ROW(),1),OFFSET($A$1,ROW(),20,1000-ROW(),1),ROW(),OFFSET($A$1,ROW(),21,1000-ROW(),1),"Sub"))))</f>
        <v/>
      </c>
      <c r="J104" s="60">
        <f>IF(N($W104)=0,"",IF(AND($S104=MesCiclo,2&gt;SemanaActual),"",MIN(1,SUMIFS(OFFSET($A$1,ROW(),30,1000-ROW(),1),OFFSET($A$1,ROW(),20,1000-ROW(),1),ROW(),OFFSET($A$1,ROW(),21,1000-ROW(),1),"Sub"))))</f>
        <v/>
      </c>
      <c r="K104" s="60">
        <f>IF(N($W104)=0,"",IF(AND($S104=MesCiclo,3&gt;SemanaActual),"",MIN(1,SUMIFS(OFFSET($A$1,ROW(),31,1000-ROW(),1),OFFSET($A$1,ROW(),20,1000-ROW(),1),ROW(),OFFSET($A$1,ROW(),21,1000-ROW(),1),"Sub"))))</f>
        <v/>
      </c>
      <c r="L104" s="60">
        <f>IF(N($W104)=0,"",IF(AND($S104=MesCiclo,4&gt;SemanaActual),"",MIN(1,SUMIFS(OFFSET($A$1,ROW(),32,1000-ROW(),1),OFFSET($A$1,ROW(),20,1000-ROW(),1),ROW(),OFFSET($A$1,ROW(),21,1000-ROW(),1),"Sub"))))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IF($V104&lt;&gt;"Sub","",N($X104)*IF(AND(ISNUMBER($G104),$G104&lt;=IF($S104=MesCiclo,InicioCiclo,$S104+MOD(2-WEEKDAY($S104),7))+6),1,MIN(1,MAX(0,IF(ISNUMBER(OFFSET($A$1,ROW()-1,8)),OFFSET($A$1,ROW()-1,8),0)))))</f>
        <v/>
      </c>
      <c r="AE104" s="62">
        <f>IF($V104&lt;&gt;"Sub","",N($X104)*IF(AND(ISNUMBER($G104),$G104&lt;=IF($S104=MesCiclo,InicioCiclo,$S104+MOD(2-WEEKDAY($S104),7))+13),1,MIN(1,MAX(0,IF(ISNUMBER(OFFSET($A$1,ROW()-1,9)),OFFSET($A$1,ROW()-1,9),IF(ISNUMBER(OFFSET($A$1,ROW()-1,8)),OFFSET($A$1,ROW()-1,8),0))))))</f>
        <v/>
      </c>
      <c r="AF104" s="62">
        <f>IF($V104&lt;&gt;"Sub","",N($X104)*IF(AND(ISNUMBER($G104),$G104&lt;=IF($S104=MesCiclo,InicioCiclo,$S104+MOD(2-WEEKDAY($S104),7))+20),1,MIN(1,MAX(0,IF(ISNUMBER(OFFSET($A$1,ROW()-1,10)),OFFSET($A$1,ROW()-1,10),IF(ISNUMBER(OFFSET($A$1,ROW()-1,9)),OFFSET($A$1,ROW()-1,9),IF(ISNUMBER(OFFSET($A$1,ROW()-1,8)),OFFSET($A$1,ROW()-1,8),0)))))))</f>
        <v/>
      </c>
      <c r="AG104" s="62">
        <f>IF($V104&lt;&gt;"Sub","",N($X104)*IF(AND(ISNUMBER($G104),$G104&lt;=IF($S104=MesCiclo,InicioCiclo,$S104+MOD(2-WEEKDAY($S104),7))+27),1,MIN(1,MAX(0,IF(ISNUMBER(OFFSET($A$1,ROW()-1,11)),OFFSET($A$1,ROW()-1,11),IF(ISNUMBER(OFFSET($A$1,ROW()-1,10)),OFFSET($A$1,ROW()-1,10),IF(ISNUMBER(OFFSET($A$1,ROW()-1,9)),OFFSET($A$1,ROW()-1,9),IF(ISNUMBER(OFFSET($A$1,ROW()-1,8)),OFFSET($A$1,ROW()-1,8),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",IFERROR(MATCH("Riesgo Normativo|"&amp;MID($C104,12,500),rDname_ADM,0),0),"")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IF(N($W105)=0,"",IF(AND($S105=MesCiclo,1&gt;SemanaActual),"",MIN(1,SUMIFS(OFFSET($A$1,ROW(),29,1000-ROW(),1),OFFSET($A$1,ROW(),20,1000-ROW(),1),ROW(),OFFSET($A$1,ROW(),21,1000-ROW(),1),"Sub"))))</f>
        <v/>
      </c>
      <c r="J105" s="60">
        <f>IF(N($W105)=0,"",IF(AND($S105=MesCiclo,2&gt;SemanaActual),"",MIN(1,SUMIFS(OFFSET($A$1,ROW(),30,1000-ROW(),1),OFFSET($A$1,ROW(),20,1000-ROW(),1),ROW(),OFFSET($A$1,ROW(),21,1000-ROW(),1),"Sub"))))</f>
        <v/>
      </c>
      <c r="K105" s="60">
        <f>IF(N($W105)=0,"",IF(AND($S105=MesCiclo,3&gt;SemanaActual),"",MIN(1,SUMIFS(OFFSET($A$1,ROW(),31,1000-ROW(),1),OFFSET($A$1,ROW(),20,1000-ROW(),1),ROW(),OFFSET($A$1,ROW(),21,1000-ROW(),1),"Sub"))))</f>
        <v/>
      </c>
      <c r="L105" s="60">
        <f>IF(N($W105)=0,"",IF(AND($S105=MesCiclo,4&gt;SemanaActual),"",MIN(1,SUMIFS(OFFSET($A$1,ROW(),32,1000-ROW(),1),OFFSET($A$1,ROW(),20,1000-ROW(),1),ROW(),OFFSET($A$1,ROW(),21,1000-ROW(),1),"Sub"))))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IF($V105&lt;&gt;"Sub","",N($X105)*IF(AND(ISNUMBER($G105),$G105&lt;=IF($S105=MesCiclo,InicioCiclo,$S105+MOD(2-WEEKDAY($S105),7))+6),1,MIN(1,MAX(0,IF(ISNUMBER(OFFSET($A$1,ROW()-1,8)),OFFSET($A$1,ROW()-1,8),0)))))</f>
        <v/>
      </c>
      <c r="AE105" s="62">
        <f>IF($V105&lt;&gt;"Sub","",N($X105)*IF(AND(ISNUMBER($G105),$G105&lt;=IF($S105=MesCiclo,InicioCiclo,$S105+MOD(2-WEEKDAY($S105),7))+13),1,MIN(1,MAX(0,IF(ISNUMBER(OFFSET($A$1,ROW()-1,9)),OFFSET($A$1,ROW()-1,9),IF(ISNUMBER(OFFSET($A$1,ROW()-1,8)),OFFSET($A$1,ROW()-1,8),0))))))</f>
        <v/>
      </c>
      <c r="AF105" s="62">
        <f>IF($V105&lt;&gt;"Sub","",N($X105)*IF(AND(ISNUMBER($G105),$G105&lt;=IF($S105=MesCiclo,InicioCiclo,$S105+MOD(2-WEEKDAY($S105),7))+20),1,MIN(1,MAX(0,IF(ISNUMBER(OFFSET($A$1,ROW()-1,10)),OFFSET($A$1,ROW()-1,10),IF(ISNUMBER(OFFSET($A$1,ROW()-1,9)),OFFSET($A$1,ROW()-1,9),IF(ISNUMBER(OFFSET($A$1,ROW()-1,8)),OFFSET($A$1,ROW()-1,8),0)))))))</f>
        <v/>
      </c>
      <c r="AG105" s="62">
        <f>IF($V105&lt;&gt;"Sub","",N($X105)*IF(AND(ISNUMBER($G105),$G105&lt;=IF($S105=MesCiclo,InicioCiclo,$S105+MOD(2-WEEKDAY($S105),7))+27),1,MIN(1,MAX(0,IF(ISNUMBER(OFFSET($A$1,ROW()-1,11)),OFFSET($A$1,ROW()-1,11),IF(ISNUMBER(OFFSET($A$1,ROW()-1,10)),OFFSET($A$1,ROW()-1,10),IF(ISNUMBER(OFFSET($A$1,ROW()-1,9)),OFFSET($A$1,ROW()-1,9),IF(ISNUMBER(OFFSET($A$1,ROW()-1,8)),OFFSET($A$1,ROW()-1,8),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",IFERROR(MATCH("Riesgo Normativo|"&amp;MID($C105,12,500),rDname_ADM,0),0),"")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IF(N($W106)=0,"",IF(AND($S106=MesCiclo,1&gt;SemanaActual),"",MIN(1,SUMIFS(OFFSET($A$1,ROW(),29,1000-ROW(),1),OFFSET($A$1,ROW(),20,1000-ROW(),1),ROW(),OFFSET($A$1,ROW(),21,1000-ROW(),1),"Sub"))))</f>
        <v/>
      </c>
      <c r="J106" s="60">
        <f>IF(N($W106)=0,"",IF(AND($S106=MesCiclo,2&gt;SemanaActual),"",MIN(1,SUMIFS(OFFSET($A$1,ROW(),30,1000-ROW(),1),OFFSET($A$1,ROW(),20,1000-ROW(),1),ROW(),OFFSET($A$1,ROW(),21,1000-ROW(),1),"Sub"))))</f>
        <v/>
      </c>
      <c r="K106" s="60">
        <f>IF(N($W106)=0,"",IF(AND($S106=MesCiclo,3&gt;SemanaActual),"",MIN(1,SUMIFS(OFFSET($A$1,ROW(),31,1000-ROW(),1),OFFSET($A$1,ROW(),20,1000-ROW(),1),ROW(),OFFSET($A$1,ROW(),21,1000-ROW(),1),"Sub"))))</f>
        <v/>
      </c>
      <c r="L106" s="60">
        <f>IF(N($W106)=0,"",IF(AND($S106=MesCiclo,4&gt;SemanaActual),"",MIN(1,SUMIFS(OFFSET($A$1,ROW(),32,1000-ROW(),1),OFFSET($A$1,ROW(),20,1000-ROW(),1),ROW(),OFFSET($A$1,ROW(),21,1000-ROW(),1),"Sub"))))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IF($V106&lt;&gt;"Sub","",N($X106)*IF(AND(ISNUMBER($G106),$G106&lt;=IF($S106=MesCiclo,InicioCiclo,$S106+MOD(2-WEEKDAY($S106),7))+6),1,MIN(1,MAX(0,IF(ISNUMBER(OFFSET($A$1,ROW()-1,8)),OFFSET($A$1,ROW()-1,8),0)))))</f>
        <v/>
      </c>
      <c r="AE106" s="62">
        <f>IF($V106&lt;&gt;"Sub","",N($X106)*IF(AND(ISNUMBER($G106),$G106&lt;=IF($S106=MesCiclo,InicioCiclo,$S106+MOD(2-WEEKDAY($S106),7))+13),1,MIN(1,MAX(0,IF(ISNUMBER(OFFSET($A$1,ROW()-1,9)),OFFSET($A$1,ROW()-1,9),IF(ISNUMBER(OFFSET($A$1,ROW()-1,8)),OFFSET($A$1,ROW()-1,8),0))))))</f>
        <v/>
      </c>
      <c r="AF106" s="62">
        <f>IF($V106&lt;&gt;"Sub","",N($X106)*IF(AND(ISNUMBER($G106),$G106&lt;=IF($S106=MesCiclo,InicioCiclo,$S106+MOD(2-WEEKDAY($S106),7))+20),1,MIN(1,MAX(0,IF(ISNUMBER(OFFSET($A$1,ROW()-1,10)),OFFSET($A$1,ROW()-1,10),IF(ISNUMBER(OFFSET($A$1,ROW()-1,9)),OFFSET($A$1,ROW()-1,9),IF(ISNUMBER(OFFSET($A$1,ROW()-1,8)),OFFSET($A$1,ROW()-1,8),0)))))))</f>
        <v/>
      </c>
      <c r="AG106" s="62">
        <f>IF($V106&lt;&gt;"Sub","",N($X106)*IF(AND(ISNUMBER($G106),$G106&lt;=IF($S106=MesCiclo,InicioCiclo,$S106+MOD(2-WEEKDAY($S106),7))+27),1,MIN(1,MAX(0,IF(ISNUMBER(OFFSET($A$1,ROW()-1,11)),OFFSET($A$1,ROW()-1,11),IF(ISNUMBER(OFFSET($A$1,ROW()-1,10)),OFFSET($A$1,ROW()-1,10),IF(ISNUMBER(OFFSET($A$1,ROW()-1,9)),OFFSET($A$1,ROW()-1,9),IF(ISNUMBER(OFFSET($A$1,ROW()-1,8)),OFFSET($A$1,ROW()-1,8),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",IFERROR(MATCH("Riesgo Normativo|"&amp;MID($C106,12,500),rDname_ADM,0),0),"")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IF(N($W107)=0,"",IF(AND($S107=MesCiclo,1&gt;SemanaActual),"",MIN(1,SUMIFS(OFFSET($A$1,ROW(),29,1000-ROW(),1),OFFSET($A$1,ROW(),20,1000-ROW(),1),ROW(),OFFSET($A$1,ROW(),21,1000-ROW(),1),"Sub"))))</f>
        <v/>
      </c>
      <c r="J107" s="60">
        <f>IF(N($W107)=0,"",IF(AND($S107=MesCiclo,2&gt;SemanaActual),"",MIN(1,SUMIFS(OFFSET($A$1,ROW(),30,1000-ROW(),1),OFFSET($A$1,ROW(),20,1000-ROW(),1),ROW(),OFFSET($A$1,ROW(),21,1000-ROW(),1),"Sub"))))</f>
        <v/>
      </c>
      <c r="K107" s="60">
        <f>IF(N($W107)=0,"",IF(AND($S107=MesCiclo,3&gt;SemanaActual),"",MIN(1,SUMIFS(OFFSET($A$1,ROW(),31,1000-ROW(),1),OFFSET($A$1,ROW(),20,1000-ROW(),1),ROW(),OFFSET($A$1,ROW(),21,1000-ROW(),1),"Sub"))))</f>
        <v/>
      </c>
      <c r="L107" s="60">
        <f>IF(N($W107)=0,"",IF(AND($S107=MesCiclo,4&gt;SemanaActual),"",MIN(1,SUMIFS(OFFSET($A$1,ROW(),32,1000-ROW(),1),OFFSET($A$1,ROW(),20,1000-ROW(),1),ROW(),OFFSET($A$1,ROW(),21,1000-ROW(),1),"Sub"))))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IF($V107&lt;&gt;"Sub","",N($X107)*IF(AND(ISNUMBER($G107),$G107&lt;=IF($S107=MesCiclo,InicioCiclo,$S107+MOD(2-WEEKDAY($S107),7))+6),1,MIN(1,MAX(0,IF(ISNUMBER(OFFSET($A$1,ROW()-1,8)),OFFSET($A$1,ROW()-1,8),0)))))</f>
        <v/>
      </c>
      <c r="AE107" s="62">
        <f>IF($V107&lt;&gt;"Sub","",N($X107)*IF(AND(ISNUMBER($G107),$G107&lt;=IF($S107=MesCiclo,InicioCiclo,$S107+MOD(2-WEEKDAY($S107),7))+13),1,MIN(1,MAX(0,IF(ISNUMBER(OFFSET($A$1,ROW()-1,9)),OFFSET($A$1,ROW()-1,9),IF(ISNUMBER(OFFSET($A$1,ROW()-1,8)),OFFSET($A$1,ROW()-1,8),0))))))</f>
        <v/>
      </c>
      <c r="AF107" s="62">
        <f>IF($V107&lt;&gt;"Sub","",N($X107)*IF(AND(ISNUMBER($G107),$G107&lt;=IF($S107=MesCiclo,InicioCiclo,$S107+MOD(2-WEEKDAY($S107),7))+20),1,MIN(1,MAX(0,IF(ISNUMBER(OFFSET($A$1,ROW()-1,10)),OFFSET($A$1,ROW()-1,10),IF(ISNUMBER(OFFSET($A$1,ROW()-1,9)),OFFSET($A$1,ROW()-1,9),IF(ISNUMBER(OFFSET($A$1,ROW()-1,8)),OFFSET($A$1,ROW()-1,8),0)))))))</f>
        <v/>
      </c>
      <c r="AG107" s="62">
        <f>IF($V107&lt;&gt;"Sub","",N($X107)*IF(AND(ISNUMBER($G107),$G107&lt;=IF($S107=MesCiclo,InicioCiclo,$S107+MOD(2-WEEKDAY($S107),7))+27),1,MIN(1,MAX(0,IF(ISNUMBER(OFFSET($A$1,ROW()-1,11)),OFFSET($A$1,ROW()-1,11),IF(ISNUMBER(OFFSET($A$1,ROW()-1,10)),OFFSET($A$1,ROW()-1,10),IF(ISNUMBER(OFFSET($A$1,ROW()-1,9)),OFFSET($A$1,ROW()-1,9),IF(ISNUMBER(OFFSET($A$1,ROW()-1,8)),OFFSET($A$1,ROW()-1,8),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",IFERROR(MATCH("Riesgo Normativo|"&amp;MID($C107,12,500),rDname_ADM,0),0),"")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IF(N($W108)=0,"",IF(AND($S108=MesCiclo,1&gt;SemanaActual),"",MIN(1,SUMIFS(OFFSET($A$1,ROW(),29,1000-ROW(),1),OFFSET($A$1,ROW(),20,1000-ROW(),1),ROW(),OFFSET($A$1,ROW(),21,1000-ROW(),1),"Sub"))))</f>
        <v/>
      </c>
      <c r="J108" s="60">
        <f>IF(N($W108)=0,"",IF(AND($S108=MesCiclo,2&gt;SemanaActual),"",MIN(1,SUMIFS(OFFSET($A$1,ROW(),30,1000-ROW(),1),OFFSET($A$1,ROW(),20,1000-ROW(),1),ROW(),OFFSET($A$1,ROW(),21,1000-ROW(),1),"Sub"))))</f>
        <v/>
      </c>
      <c r="K108" s="60">
        <f>IF(N($W108)=0,"",IF(AND($S108=MesCiclo,3&gt;SemanaActual),"",MIN(1,SUMIFS(OFFSET($A$1,ROW(),31,1000-ROW(),1),OFFSET($A$1,ROW(),20,1000-ROW(),1),ROW(),OFFSET($A$1,ROW(),21,1000-ROW(),1),"Sub"))))</f>
        <v/>
      </c>
      <c r="L108" s="60">
        <f>IF(N($W108)=0,"",IF(AND($S108=MesCiclo,4&gt;SemanaActual),"",MIN(1,SUMIFS(OFFSET($A$1,ROW(),32,1000-ROW(),1),OFFSET($A$1,ROW(),20,1000-ROW(),1),ROW(),OFFSET($A$1,ROW(),21,1000-ROW(),1),"Sub"))))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IF($V108&lt;&gt;"Sub","",N($X108)*IF(AND(ISNUMBER($G108),$G108&lt;=IF($S108=MesCiclo,InicioCiclo,$S108+MOD(2-WEEKDAY($S108),7))+6),1,MIN(1,MAX(0,IF(ISNUMBER(OFFSET($A$1,ROW()-1,8)),OFFSET($A$1,ROW()-1,8),0)))))</f>
        <v/>
      </c>
      <c r="AE108" s="62">
        <f>IF($V108&lt;&gt;"Sub","",N($X108)*IF(AND(ISNUMBER($G108),$G108&lt;=IF($S108=MesCiclo,InicioCiclo,$S108+MOD(2-WEEKDAY($S108),7))+13),1,MIN(1,MAX(0,IF(ISNUMBER(OFFSET($A$1,ROW()-1,9)),OFFSET($A$1,ROW()-1,9),IF(ISNUMBER(OFFSET($A$1,ROW()-1,8)),OFFSET($A$1,ROW()-1,8),0))))))</f>
        <v/>
      </c>
      <c r="AF108" s="62">
        <f>IF($V108&lt;&gt;"Sub","",N($X108)*IF(AND(ISNUMBER($G108),$G108&lt;=IF($S108=MesCiclo,InicioCiclo,$S108+MOD(2-WEEKDAY($S108),7))+20),1,MIN(1,MAX(0,IF(ISNUMBER(OFFSET($A$1,ROW()-1,10)),OFFSET($A$1,ROW()-1,10),IF(ISNUMBER(OFFSET($A$1,ROW()-1,9)),OFFSET($A$1,ROW()-1,9),IF(ISNUMBER(OFFSET($A$1,ROW()-1,8)),OFFSET($A$1,ROW()-1,8),0)))))))</f>
        <v/>
      </c>
      <c r="AG108" s="62">
        <f>IF($V108&lt;&gt;"Sub","",N($X108)*IF(AND(ISNUMBER($G108),$G108&lt;=IF($S108=MesCiclo,InicioCiclo,$S108+MOD(2-WEEKDAY($S108),7))+27),1,MIN(1,MAX(0,IF(ISNUMBER(OFFSET($A$1,ROW()-1,11)),OFFSET($A$1,ROW()-1,11),IF(ISNUMBER(OFFSET($A$1,ROW()-1,10)),OFFSET($A$1,ROW()-1,10),IF(ISNUMBER(OFFSET($A$1,ROW()-1,9)),OFFSET($A$1,ROW()-1,9),IF(ISNUMBER(OFFSET($A$1,ROW()-1,8)),OFFSET($A$1,ROW()-1,8),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",IFERROR(MATCH("Riesgo Normativo|"&amp;MID($C108,12,500),rDname_ADM,0),0),"")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IF(N($W109)=0,"",IF(AND($S109=MesCiclo,1&gt;SemanaActual),"",MIN(1,SUMIFS(OFFSET($A$1,ROW(),29,1000-ROW(),1),OFFSET($A$1,ROW(),20,1000-ROW(),1),ROW(),OFFSET($A$1,ROW(),21,1000-ROW(),1),"Sub"))))</f>
        <v/>
      </c>
      <c r="J109" s="60">
        <f>IF(N($W109)=0,"",IF(AND($S109=MesCiclo,2&gt;SemanaActual),"",MIN(1,SUMIFS(OFFSET($A$1,ROW(),30,1000-ROW(),1),OFFSET($A$1,ROW(),20,1000-ROW(),1),ROW(),OFFSET($A$1,ROW(),21,1000-ROW(),1),"Sub"))))</f>
        <v/>
      </c>
      <c r="K109" s="60">
        <f>IF(N($W109)=0,"",IF(AND($S109=MesCiclo,3&gt;SemanaActual),"",MIN(1,SUMIFS(OFFSET($A$1,ROW(),31,1000-ROW(),1),OFFSET($A$1,ROW(),20,1000-ROW(),1),ROW(),OFFSET($A$1,ROW(),21,1000-ROW(),1),"Sub"))))</f>
        <v/>
      </c>
      <c r="L109" s="60">
        <f>IF(N($W109)=0,"",IF(AND($S109=MesCiclo,4&gt;SemanaActual),"",MIN(1,SUMIFS(OFFSET($A$1,ROW(),32,1000-ROW(),1),OFFSET($A$1,ROW(),20,1000-ROW(),1),ROW(),OFFSET($A$1,ROW(),21,1000-ROW(),1),"Sub"))))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IF($V109&lt;&gt;"Sub","",N($X109)*IF(AND(ISNUMBER($G109),$G109&lt;=IF($S109=MesCiclo,InicioCiclo,$S109+MOD(2-WEEKDAY($S109),7))+6),1,MIN(1,MAX(0,IF(ISNUMBER(OFFSET($A$1,ROW()-1,8)),OFFSET($A$1,ROW()-1,8),0)))))</f>
        <v/>
      </c>
      <c r="AE109" s="62">
        <f>IF($V109&lt;&gt;"Sub","",N($X109)*IF(AND(ISNUMBER($G109),$G109&lt;=IF($S109=MesCiclo,InicioCiclo,$S109+MOD(2-WEEKDAY($S109),7))+13),1,MIN(1,MAX(0,IF(ISNUMBER(OFFSET($A$1,ROW()-1,9)),OFFSET($A$1,ROW()-1,9),IF(ISNUMBER(OFFSET($A$1,ROW()-1,8)),OFFSET($A$1,ROW()-1,8),0))))))</f>
        <v/>
      </c>
      <c r="AF109" s="62">
        <f>IF($V109&lt;&gt;"Sub","",N($X109)*IF(AND(ISNUMBER($G109),$G109&lt;=IF($S109=MesCiclo,InicioCiclo,$S109+MOD(2-WEEKDAY($S109),7))+20),1,MIN(1,MAX(0,IF(ISNUMBER(OFFSET($A$1,ROW()-1,10)),OFFSET($A$1,ROW()-1,10),IF(ISNUMBER(OFFSET($A$1,ROW()-1,9)),OFFSET($A$1,ROW()-1,9),IF(ISNUMBER(OFFSET($A$1,ROW()-1,8)),OFFSET($A$1,ROW()-1,8),0)))))))</f>
        <v/>
      </c>
      <c r="AG109" s="62">
        <f>IF($V109&lt;&gt;"Sub","",N($X109)*IF(AND(ISNUMBER($G109),$G109&lt;=IF($S109=MesCiclo,InicioCiclo,$S109+MOD(2-WEEKDAY($S109),7))+27),1,MIN(1,MAX(0,IF(ISNUMBER(OFFSET($A$1,ROW()-1,11)),OFFSET($A$1,ROW()-1,11),IF(ISNUMBER(OFFSET($A$1,ROW()-1,10)),OFFSET($A$1,ROW()-1,10),IF(ISNUMBER(OFFSET($A$1,ROW()-1,9)),OFFSET($A$1,ROW()-1,9),IF(ISNUMBER(OFFSET($A$1,ROW()-1,8)),OFFSET($A$1,ROW()-1,8),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",IFERROR(MATCH("Riesgo Normativo|"&amp;MID($C109,12,500),rDname_ADM,0),0),"")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IF(N($W110)=0,"",IF(AND($S110=MesCiclo,1&gt;SemanaActual),"",MIN(1,SUMIFS(OFFSET($A$1,ROW(),29,1000-ROW(),1),OFFSET($A$1,ROW(),20,1000-ROW(),1),ROW(),OFFSET($A$1,ROW(),21,1000-ROW(),1),"Sub"))))</f>
        <v/>
      </c>
      <c r="J110" s="60">
        <f>IF(N($W110)=0,"",IF(AND($S110=MesCiclo,2&gt;SemanaActual),"",MIN(1,SUMIFS(OFFSET($A$1,ROW(),30,1000-ROW(),1),OFFSET($A$1,ROW(),20,1000-ROW(),1),ROW(),OFFSET($A$1,ROW(),21,1000-ROW(),1),"Sub"))))</f>
        <v/>
      </c>
      <c r="K110" s="60">
        <f>IF(N($W110)=0,"",IF(AND($S110=MesCiclo,3&gt;SemanaActual),"",MIN(1,SUMIFS(OFFSET($A$1,ROW(),31,1000-ROW(),1),OFFSET($A$1,ROW(),20,1000-ROW(),1),ROW(),OFFSET($A$1,ROW(),21,1000-ROW(),1),"Sub"))))</f>
        <v/>
      </c>
      <c r="L110" s="60">
        <f>IF(N($W110)=0,"",IF(AND($S110=MesCiclo,4&gt;SemanaActual),"",MIN(1,SUMIFS(OFFSET($A$1,ROW(),32,1000-ROW(),1),OFFSET($A$1,ROW(),20,1000-ROW(),1),ROW(),OFFSET($A$1,ROW(),21,1000-ROW(),1),"Sub"))))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IF($V110&lt;&gt;"Sub","",N($X110)*IF(AND(ISNUMBER($G110),$G110&lt;=IF($S110=MesCiclo,InicioCiclo,$S110+MOD(2-WEEKDAY($S110),7))+6),1,MIN(1,MAX(0,IF(ISNUMBER(OFFSET($A$1,ROW()-1,8)),OFFSET($A$1,ROW()-1,8),0)))))</f>
        <v/>
      </c>
      <c r="AE110" s="62">
        <f>IF($V110&lt;&gt;"Sub","",N($X110)*IF(AND(ISNUMBER($G110),$G110&lt;=IF($S110=MesCiclo,InicioCiclo,$S110+MOD(2-WEEKDAY($S110),7))+13),1,MIN(1,MAX(0,IF(ISNUMBER(OFFSET($A$1,ROW()-1,9)),OFFSET($A$1,ROW()-1,9),IF(ISNUMBER(OFFSET($A$1,ROW()-1,8)),OFFSET($A$1,ROW()-1,8),0))))))</f>
        <v/>
      </c>
      <c r="AF110" s="62">
        <f>IF($V110&lt;&gt;"Sub","",N($X110)*IF(AND(ISNUMBER($G110),$G110&lt;=IF($S110=MesCiclo,InicioCiclo,$S110+MOD(2-WEEKDAY($S110),7))+20),1,MIN(1,MAX(0,IF(ISNUMBER(OFFSET($A$1,ROW()-1,10)),OFFSET($A$1,ROW()-1,10),IF(ISNUMBER(OFFSET($A$1,ROW()-1,9)),OFFSET($A$1,ROW()-1,9),IF(ISNUMBER(OFFSET($A$1,ROW()-1,8)),OFFSET($A$1,ROW()-1,8),0)))))))</f>
        <v/>
      </c>
      <c r="AG110" s="62">
        <f>IF($V110&lt;&gt;"Sub","",N($X110)*IF(AND(ISNUMBER($G110),$G110&lt;=IF($S110=MesCiclo,InicioCiclo,$S110+MOD(2-WEEKDAY($S110),7))+27),1,MIN(1,MAX(0,IF(ISNUMBER(OFFSET($A$1,ROW()-1,11)),OFFSET($A$1,ROW()-1,11),IF(ISNUMBER(OFFSET($A$1,ROW()-1,10)),OFFSET($A$1,ROW()-1,10),IF(ISNUMBER(OFFSET($A$1,ROW()-1,9)),OFFSET($A$1,ROW()-1,9),IF(ISNUMBER(OFFSET($A$1,ROW()-1,8)),OFFSET($A$1,ROW()-1,8),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",IFERROR(MATCH("Riesgo Normativo|"&amp;MID($C110,12,500),rDname_ADM,0),0),"")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IF(N($W111)=0,"",IF(AND($S111=MesCiclo,1&gt;SemanaActual),"",MIN(1,SUMIFS(OFFSET($A$1,ROW(),29,1000-ROW(),1),OFFSET($A$1,ROW(),20,1000-ROW(),1),ROW(),OFFSET($A$1,ROW(),21,1000-ROW(),1),"Sub"))))</f>
        <v/>
      </c>
      <c r="J111" s="60">
        <f>IF(N($W111)=0,"",IF(AND($S111=MesCiclo,2&gt;SemanaActual),"",MIN(1,SUMIFS(OFFSET($A$1,ROW(),30,1000-ROW(),1),OFFSET($A$1,ROW(),20,1000-ROW(),1),ROW(),OFFSET($A$1,ROW(),21,1000-ROW(),1),"Sub"))))</f>
        <v/>
      </c>
      <c r="K111" s="60">
        <f>IF(N($W111)=0,"",IF(AND($S111=MesCiclo,3&gt;SemanaActual),"",MIN(1,SUMIFS(OFFSET($A$1,ROW(),31,1000-ROW(),1),OFFSET($A$1,ROW(),20,1000-ROW(),1),ROW(),OFFSET($A$1,ROW(),21,1000-ROW(),1),"Sub"))))</f>
        <v/>
      </c>
      <c r="L111" s="60">
        <f>IF(N($W111)=0,"",IF(AND($S111=MesCiclo,4&gt;SemanaActual),"",MIN(1,SUMIFS(OFFSET($A$1,ROW(),32,1000-ROW(),1),OFFSET($A$1,ROW(),20,1000-ROW(),1),ROW(),OFFSET($A$1,ROW(),21,1000-ROW(),1),"Sub"))))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IF($V111&lt;&gt;"Sub","",N($X111)*IF(AND(ISNUMBER($G111),$G111&lt;=IF($S111=MesCiclo,InicioCiclo,$S111+MOD(2-WEEKDAY($S111),7))+6),1,MIN(1,MAX(0,IF(ISNUMBER(OFFSET($A$1,ROW()-1,8)),OFFSET($A$1,ROW()-1,8),0)))))</f>
        <v/>
      </c>
      <c r="AE111" s="62">
        <f>IF($V111&lt;&gt;"Sub","",N($X111)*IF(AND(ISNUMBER($G111),$G111&lt;=IF($S111=MesCiclo,InicioCiclo,$S111+MOD(2-WEEKDAY($S111),7))+13),1,MIN(1,MAX(0,IF(ISNUMBER(OFFSET($A$1,ROW()-1,9)),OFFSET($A$1,ROW()-1,9),IF(ISNUMBER(OFFSET($A$1,ROW()-1,8)),OFFSET($A$1,ROW()-1,8),0))))))</f>
        <v/>
      </c>
      <c r="AF111" s="62">
        <f>IF($V111&lt;&gt;"Sub","",N($X111)*IF(AND(ISNUMBER($G111),$G111&lt;=IF($S111=MesCiclo,InicioCiclo,$S111+MOD(2-WEEKDAY($S111),7))+20),1,MIN(1,MAX(0,IF(ISNUMBER(OFFSET($A$1,ROW()-1,10)),OFFSET($A$1,ROW()-1,10),IF(ISNUMBER(OFFSET($A$1,ROW()-1,9)),OFFSET($A$1,ROW()-1,9),IF(ISNUMBER(OFFSET($A$1,ROW()-1,8)),OFFSET($A$1,ROW()-1,8),0)))))))</f>
        <v/>
      </c>
      <c r="AG111" s="62">
        <f>IF($V111&lt;&gt;"Sub","",N($X111)*IF(AND(ISNUMBER($G111),$G111&lt;=IF($S111=MesCiclo,InicioCiclo,$S111+MOD(2-WEEKDAY($S111),7))+27),1,MIN(1,MAX(0,IF(ISNUMBER(OFFSET($A$1,ROW()-1,11)),OFFSET($A$1,ROW()-1,11),IF(ISNUMBER(OFFSET($A$1,ROW()-1,10)),OFFSET($A$1,ROW()-1,10),IF(ISNUMBER(OFFSET($A$1,ROW()-1,9)),OFFSET($A$1,ROW()-1,9),IF(ISNUMBER(OFFSET($A$1,ROW()-1,8)),OFFSET($A$1,ROW()-1,8),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",IFERROR(MATCH("Riesgo Normativo|"&amp;MID($C111,12,500),rDname_ADM,0),0),"")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IF(N($W112)=0,"",IF(AND($S112=MesCiclo,1&gt;SemanaActual),"",MIN(1,SUMIFS(OFFSET($A$1,ROW(),29,1000-ROW(),1),OFFSET($A$1,ROW(),20,1000-ROW(),1),ROW(),OFFSET($A$1,ROW(),21,1000-ROW(),1),"Sub"))))</f>
        <v/>
      </c>
      <c r="J112" s="60">
        <f>IF(N($W112)=0,"",IF(AND($S112=MesCiclo,2&gt;SemanaActual),"",MIN(1,SUMIFS(OFFSET($A$1,ROW(),30,1000-ROW(),1),OFFSET($A$1,ROW(),20,1000-ROW(),1),ROW(),OFFSET($A$1,ROW(),21,1000-ROW(),1),"Sub"))))</f>
        <v/>
      </c>
      <c r="K112" s="60">
        <f>IF(N($W112)=0,"",IF(AND($S112=MesCiclo,3&gt;SemanaActual),"",MIN(1,SUMIFS(OFFSET($A$1,ROW(),31,1000-ROW(),1),OFFSET($A$1,ROW(),20,1000-ROW(),1),ROW(),OFFSET($A$1,ROW(),21,1000-ROW(),1),"Sub"))))</f>
        <v/>
      </c>
      <c r="L112" s="60">
        <f>IF(N($W112)=0,"",IF(AND($S112=MesCiclo,4&gt;SemanaActual),"",MIN(1,SUMIFS(OFFSET($A$1,ROW(),32,1000-ROW(),1),OFFSET($A$1,ROW(),20,1000-ROW(),1),ROW(),OFFSET($A$1,ROW(),21,1000-ROW(),1),"Sub"))))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IF($V112&lt;&gt;"Sub","",N($X112)*IF(AND(ISNUMBER($G112),$G112&lt;=IF($S112=MesCiclo,InicioCiclo,$S112+MOD(2-WEEKDAY($S112),7))+6),1,MIN(1,MAX(0,IF(ISNUMBER(OFFSET($A$1,ROW()-1,8)),OFFSET($A$1,ROW()-1,8),0)))))</f>
        <v/>
      </c>
      <c r="AE112" s="62">
        <f>IF($V112&lt;&gt;"Sub","",N($X112)*IF(AND(ISNUMBER($G112),$G112&lt;=IF($S112=MesCiclo,InicioCiclo,$S112+MOD(2-WEEKDAY($S112),7))+13),1,MIN(1,MAX(0,IF(ISNUMBER(OFFSET($A$1,ROW()-1,9)),OFFSET($A$1,ROW()-1,9),IF(ISNUMBER(OFFSET($A$1,ROW()-1,8)),OFFSET($A$1,ROW()-1,8),0))))))</f>
        <v/>
      </c>
      <c r="AF112" s="62">
        <f>IF($V112&lt;&gt;"Sub","",N($X112)*IF(AND(ISNUMBER($G112),$G112&lt;=IF($S112=MesCiclo,InicioCiclo,$S112+MOD(2-WEEKDAY($S112),7))+20),1,MIN(1,MAX(0,IF(ISNUMBER(OFFSET($A$1,ROW()-1,10)),OFFSET($A$1,ROW()-1,10),IF(ISNUMBER(OFFSET($A$1,ROW()-1,9)),OFFSET($A$1,ROW()-1,9),IF(ISNUMBER(OFFSET($A$1,ROW()-1,8)),OFFSET($A$1,ROW()-1,8),0)))))))</f>
        <v/>
      </c>
      <c r="AG112" s="62">
        <f>IF($V112&lt;&gt;"Sub","",N($X112)*IF(AND(ISNUMBER($G112),$G112&lt;=IF($S112=MesCiclo,InicioCiclo,$S112+MOD(2-WEEKDAY($S112),7))+27),1,MIN(1,MAX(0,IF(ISNUMBER(OFFSET($A$1,ROW()-1,11)),OFFSET($A$1,ROW()-1,11),IF(ISNUMBER(OFFSET($A$1,ROW()-1,10)),OFFSET($A$1,ROW()-1,10),IF(ISNUMBER(OFFSET($A$1,ROW()-1,9)),OFFSET($A$1,ROW()-1,9),IF(ISNUMBER(OFFSET($A$1,ROW()-1,8)),OFFSET($A$1,ROW()-1,8),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",IFERROR(MATCH("Riesgo Normativo|"&amp;MID($C112,12,500),rDname_ADM,0),0),"")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IF(N($W113)=0,"",IF(AND($S113=MesCiclo,1&gt;SemanaActual),"",MIN(1,SUMIFS(OFFSET($A$1,ROW(),29,1000-ROW(),1),OFFSET($A$1,ROW(),20,1000-ROW(),1),ROW(),OFFSET($A$1,ROW(),21,1000-ROW(),1),"Sub"))))</f>
        <v/>
      </c>
      <c r="J113" s="60">
        <f>IF(N($W113)=0,"",IF(AND($S113=MesCiclo,2&gt;SemanaActual),"",MIN(1,SUMIFS(OFFSET($A$1,ROW(),30,1000-ROW(),1),OFFSET($A$1,ROW(),20,1000-ROW(),1),ROW(),OFFSET($A$1,ROW(),21,1000-ROW(),1),"Sub"))))</f>
        <v/>
      </c>
      <c r="K113" s="60">
        <f>IF(N($W113)=0,"",IF(AND($S113=MesCiclo,3&gt;SemanaActual),"",MIN(1,SUMIFS(OFFSET($A$1,ROW(),31,1000-ROW(),1),OFFSET($A$1,ROW(),20,1000-ROW(),1),ROW(),OFFSET($A$1,ROW(),21,1000-ROW(),1),"Sub"))))</f>
        <v/>
      </c>
      <c r="L113" s="60">
        <f>IF(N($W113)=0,"",IF(AND($S113=MesCiclo,4&gt;SemanaActual),"",MIN(1,SUMIFS(OFFSET($A$1,ROW(),32,1000-ROW(),1),OFFSET($A$1,ROW(),20,1000-ROW(),1),ROW(),OFFSET($A$1,ROW(),21,1000-ROW(),1),"Sub"))))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IF($V113&lt;&gt;"Sub","",N($X113)*IF(AND(ISNUMBER($G113),$G113&lt;=IF($S113=MesCiclo,InicioCiclo,$S113+MOD(2-WEEKDAY($S113),7))+6),1,MIN(1,MAX(0,IF(ISNUMBER(OFFSET($A$1,ROW()-1,8)),OFFSET($A$1,ROW()-1,8),0)))))</f>
        <v/>
      </c>
      <c r="AE113" s="62">
        <f>IF($V113&lt;&gt;"Sub","",N($X113)*IF(AND(ISNUMBER($G113),$G113&lt;=IF($S113=MesCiclo,InicioCiclo,$S113+MOD(2-WEEKDAY($S113),7))+13),1,MIN(1,MAX(0,IF(ISNUMBER(OFFSET($A$1,ROW()-1,9)),OFFSET($A$1,ROW()-1,9),IF(ISNUMBER(OFFSET($A$1,ROW()-1,8)),OFFSET($A$1,ROW()-1,8),0))))))</f>
        <v/>
      </c>
      <c r="AF113" s="62">
        <f>IF($V113&lt;&gt;"Sub","",N($X113)*IF(AND(ISNUMBER($G113),$G113&lt;=IF($S113=MesCiclo,InicioCiclo,$S113+MOD(2-WEEKDAY($S113),7))+20),1,MIN(1,MAX(0,IF(ISNUMBER(OFFSET($A$1,ROW()-1,10)),OFFSET($A$1,ROW()-1,10),IF(ISNUMBER(OFFSET($A$1,ROW()-1,9)),OFFSET($A$1,ROW()-1,9),IF(ISNUMBER(OFFSET($A$1,ROW()-1,8)),OFFSET($A$1,ROW()-1,8),0)))))))</f>
        <v/>
      </c>
      <c r="AG113" s="62">
        <f>IF($V113&lt;&gt;"Sub","",N($X113)*IF(AND(ISNUMBER($G113),$G113&lt;=IF($S113=MesCiclo,InicioCiclo,$S113+MOD(2-WEEKDAY($S113),7))+27),1,MIN(1,MAX(0,IF(ISNUMBER(OFFSET($A$1,ROW()-1,11)),OFFSET($A$1,ROW()-1,11),IF(ISNUMBER(OFFSET($A$1,ROW()-1,10)),OFFSET($A$1,ROW()-1,10),IF(ISNUMBER(OFFSET($A$1,ROW()-1,9)),OFFSET($A$1,ROW()-1,9),IF(ISNUMBER(OFFSET($A$1,ROW()-1,8)),OFFSET($A$1,ROW()-1,8),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",IFERROR(MATCH("Riesgo Normativo|"&amp;MID($C113,12,500),rDname_ADM,0),0),"")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IF(N($W114)=0,"",IF(AND($S114=MesCiclo,1&gt;SemanaActual),"",MIN(1,SUMIFS(OFFSET($A$1,ROW(),29,1000-ROW(),1),OFFSET($A$1,ROW(),20,1000-ROW(),1),ROW(),OFFSET($A$1,ROW(),21,1000-ROW(),1),"Sub"))))</f>
        <v/>
      </c>
      <c r="J114" s="60">
        <f>IF(N($W114)=0,"",IF(AND($S114=MesCiclo,2&gt;SemanaActual),"",MIN(1,SUMIFS(OFFSET($A$1,ROW(),30,1000-ROW(),1),OFFSET($A$1,ROW(),20,1000-ROW(),1),ROW(),OFFSET($A$1,ROW(),21,1000-ROW(),1),"Sub"))))</f>
        <v/>
      </c>
      <c r="K114" s="60">
        <f>IF(N($W114)=0,"",IF(AND($S114=MesCiclo,3&gt;SemanaActual),"",MIN(1,SUMIFS(OFFSET($A$1,ROW(),31,1000-ROW(),1),OFFSET($A$1,ROW(),20,1000-ROW(),1),ROW(),OFFSET($A$1,ROW(),21,1000-ROW(),1),"Sub"))))</f>
        <v/>
      </c>
      <c r="L114" s="60">
        <f>IF(N($W114)=0,"",IF(AND($S114=MesCiclo,4&gt;SemanaActual),"",MIN(1,SUMIFS(OFFSET($A$1,ROW(),32,1000-ROW(),1),OFFSET($A$1,ROW(),20,1000-ROW(),1),ROW(),OFFSET($A$1,ROW(),21,1000-ROW(),1),"Sub"))))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IF($V114&lt;&gt;"Sub","",N($X114)*IF(AND(ISNUMBER($G114),$G114&lt;=IF($S114=MesCiclo,InicioCiclo,$S114+MOD(2-WEEKDAY($S114),7))+6),1,MIN(1,MAX(0,IF(ISNUMBER(OFFSET($A$1,ROW()-1,8)),OFFSET($A$1,ROW()-1,8),0)))))</f>
        <v/>
      </c>
      <c r="AE114" s="62">
        <f>IF($V114&lt;&gt;"Sub","",N($X114)*IF(AND(ISNUMBER($G114),$G114&lt;=IF($S114=MesCiclo,InicioCiclo,$S114+MOD(2-WEEKDAY($S114),7))+13),1,MIN(1,MAX(0,IF(ISNUMBER(OFFSET($A$1,ROW()-1,9)),OFFSET($A$1,ROW()-1,9),IF(ISNUMBER(OFFSET($A$1,ROW()-1,8)),OFFSET($A$1,ROW()-1,8),0))))))</f>
        <v/>
      </c>
      <c r="AF114" s="62">
        <f>IF($V114&lt;&gt;"Sub","",N($X114)*IF(AND(ISNUMBER($G114),$G114&lt;=IF($S114=MesCiclo,InicioCiclo,$S114+MOD(2-WEEKDAY($S114),7))+20),1,MIN(1,MAX(0,IF(ISNUMBER(OFFSET($A$1,ROW()-1,10)),OFFSET($A$1,ROW()-1,10),IF(ISNUMBER(OFFSET($A$1,ROW()-1,9)),OFFSET($A$1,ROW()-1,9),IF(ISNUMBER(OFFSET($A$1,ROW()-1,8)),OFFSET($A$1,ROW()-1,8),0)))))))</f>
        <v/>
      </c>
      <c r="AG114" s="62">
        <f>IF($V114&lt;&gt;"Sub","",N($X114)*IF(AND(ISNUMBER($G114),$G114&lt;=IF($S114=MesCiclo,InicioCiclo,$S114+MOD(2-WEEKDAY($S114),7))+27),1,MIN(1,MAX(0,IF(ISNUMBER(OFFSET($A$1,ROW()-1,11)),OFFSET($A$1,ROW()-1,11),IF(ISNUMBER(OFFSET($A$1,ROW()-1,10)),OFFSET($A$1,ROW()-1,10),IF(ISNUMBER(OFFSET($A$1,ROW()-1,9)),OFFSET($A$1,ROW()-1,9),IF(ISNUMBER(OFFSET($A$1,ROW()-1,8)),OFFSET($A$1,ROW()-1,8),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",IFERROR(MATCH("Riesgo Normativo|"&amp;MID($C114,12,500),rDname_ADM,0),0),"")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IF(N($W115)=0,"",IF(AND($S115=MesCiclo,1&gt;SemanaActual),"",MIN(1,SUMIFS(OFFSET($A$1,ROW(),29,1000-ROW(),1),OFFSET($A$1,ROW(),20,1000-ROW(),1),ROW(),OFFSET($A$1,ROW(),21,1000-ROW(),1),"Sub"))))</f>
        <v/>
      </c>
      <c r="J115" s="60">
        <f>IF(N($W115)=0,"",IF(AND($S115=MesCiclo,2&gt;SemanaActual),"",MIN(1,SUMIFS(OFFSET($A$1,ROW(),30,1000-ROW(),1),OFFSET($A$1,ROW(),20,1000-ROW(),1),ROW(),OFFSET($A$1,ROW(),21,1000-ROW(),1),"Sub"))))</f>
        <v/>
      </c>
      <c r="K115" s="60">
        <f>IF(N($W115)=0,"",IF(AND($S115=MesCiclo,3&gt;SemanaActual),"",MIN(1,SUMIFS(OFFSET($A$1,ROW(),31,1000-ROW(),1),OFFSET($A$1,ROW(),20,1000-ROW(),1),ROW(),OFFSET($A$1,ROW(),21,1000-ROW(),1),"Sub"))))</f>
        <v/>
      </c>
      <c r="L115" s="60">
        <f>IF(N($W115)=0,"",IF(AND($S115=MesCiclo,4&gt;SemanaActual),"",MIN(1,SUMIFS(OFFSET($A$1,ROW(),32,1000-ROW(),1),OFFSET($A$1,ROW(),20,1000-ROW(),1),ROW(),OFFSET($A$1,ROW(),21,1000-ROW(),1),"Sub"))))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IF($V115&lt;&gt;"Sub","",N($X115)*IF(AND(ISNUMBER($G115),$G115&lt;=IF($S115=MesCiclo,InicioCiclo,$S115+MOD(2-WEEKDAY($S115),7))+6),1,MIN(1,MAX(0,IF(ISNUMBER(OFFSET($A$1,ROW()-1,8)),OFFSET($A$1,ROW()-1,8),0)))))</f>
        <v/>
      </c>
      <c r="AE115" s="62">
        <f>IF($V115&lt;&gt;"Sub","",N($X115)*IF(AND(ISNUMBER($G115),$G115&lt;=IF($S115=MesCiclo,InicioCiclo,$S115+MOD(2-WEEKDAY($S115),7))+13),1,MIN(1,MAX(0,IF(ISNUMBER(OFFSET($A$1,ROW()-1,9)),OFFSET($A$1,ROW()-1,9),IF(ISNUMBER(OFFSET($A$1,ROW()-1,8)),OFFSET($A$1,ROW()-1,8),0))))))</f>
        <v/>
      </c>
      <c r="AF115" s="62">
        <f>IF($V115&lt;&gt;"Sub","",N($X115)*IF(AND(ISNUMBER($G115),$G115&lt;=IF($S115=MesCiclo,InicioCiclo,$S115+MOD(2-WEEKDAY($S115),7))+20),1,MIN(1,MAX(0,IF(ISNUMBER(OFFSET($A$1,ROW()-1,10)),OFFSET($A$1,ROW()-1,10),IF(ISNUMBER(OFFSET($A$1,ROW()-1,9)),OFFSET($A$1,ROW()-1,9),IF(ISNUMBER(OFFSET($A$1,ROW()-1,8)),OFFSET($A$1,ROW()-1,8),0)))))))</f>
        <v/>
      </c>
      <c r="AG115" s="62">
        <f>IF($V115&lt;&gt;"Sub","",N($X115)*IF(AND(ISNUMBER($G115),$G115&lt;=IF($S115=MesCiclo,InicioCiclo,$S115+MOD(2-WEEKDAY($S115),7))+27),1,MIN(1,MAX(0,IF(ISNUMBER(OFFSET($A$1,ROW()-1,11)),OFFSET($A$1,ROW()-1,11),IF(ISNUMBER(OFFSET($A$1,ROW()-1,10)),OFFSET($A$1,ROW()-1,10),IF(ISNUMBER(OFFSET($A$1,ROW()-1,9)),OFFSET($A$1,ROW()-1,9),IF(ISNUMBER(OFFSET($A$1,ROW()-1,8)),OFFSET($A$1,ROW()-1,8),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",IFERROR(MATCH("Riesgo Normativo|"&amp;MID($C115,12,500),rDname_ADM,0),0),"")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IF(N($W116)=0,"",IF(AND($S116=MesCiclo,1&gt;SemanaActual),"",MIN(1,SUMIFS(OFFSET($A$1,ROW(),29,1000-ROW(),1),OFFSET($A$1,ROW(),20,1000-ROW(),1),ROW(),OFFSET($A$1,ROW(),21,1000-ROW(),1),"Sub"))))</f>
        <v/>
      </c>
      <c r="J116" s="60">
        <f>IF(N($W116)=0,"",IF(AND($S116=MesCiclo,2&gt;SemanaActual),"",MIN(1,SUMIFS(OFFSET($A$1,ROW(),30,1000-ROW(),1),OFFSET($A$1,ROW(),20,1000-ROW(),1),ROW(),OFFSET($A$1,ROW(),21,1000-ROW(),1),"Sub"))))</f>
        <v/>
      </c>
      <c r="K116" s="60">
        <f>IF(N($W116)=0,"",IF(AND($S116=MesCiclo,3&gt;SemanaActual),"",MIN(1,SUMIFS(OFFSET($A$1,ROW(),31,1000-ROW(),1),OFFSET($A$1,ROW(),20,1000-ROW(),1),ROW(),OFFSET($A$1,ROW(),21,1000-ROW(),1),"Sub"))))</f>
        <v/>
      </c>
      <c r="L116" s="60">
        <f>IF(N($W116)=0,"",IF(AND($S116=MesCiclo,4&gt;SemanaActual),"",MIN(1,SUMIFS(OFFSET($A$1,ROW(),32,1000-ROW(),1),OFFSET($A$1,ROW(),20,1000-ROW(),1),ROW(),OFFSET($A$1,ROW(),21,1000-ROW(),1),"Sub"))))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IF($V116&lt;&gt;"Sub","",N($X116)*IF(AND(ISNUMBER($G116),$G116&lt;=IF($S116=MesCiclo,InicioCiclo,$S116+MOD(2-WEEKDAY($S116),7))+6),1,MIN(1,MAX(0,IF(ISNUMBER(OFFSET($A$1,ROW()-1,8)),OFFSET($A$1,ROW()-1,8),0)))))</f>
        <v/>
      </c>
      <c r="AE116" s="62">
        <f>IF($V116&lt;&gt;"Sub","",N($X116)*IF(AND(ISNUMBER($G116),$G116&lt;=IF($S116=MesCiclo,InicioCiclo,$S116+MOD(2-WEEKDAY($S116),7))+13),1,MIN(1,MAX(0,IF(ISNUMBER(OFFSET($A$1,ROW()-1,9)),OFFSET($A$1,ROW()-1,9),IF(ISNUMBER(OFFSET($A$1,ROW()-1,8)),OFFSET($A$1,ROW()-1,8),0))))))</f>
        <v/>
      </c>
      <c r="AF116" s="62">
        <f>IF($V116&lt;&gt;"Sub","",N($X116)*IF(AND(ISNUMBER($G116),$G116&lt;=IF($S116=MesCiclo,InicioCiclo,$S116+MOD(2-WEEKDAY($S116),7))+20),1,MIN(1,MAX(0,IF(ISNUMBER(OFFSET($A$1,ROW()-1,10)),OFFSET($A$1,ROW()-1,10),IF(ISNUMBER(OFFSET($A$1,ROW()-1,9)),OFFSET($A$1,ROW()-1,9),IF(ISNUMBER(OFFSET($A$1,ROW()-1,8)),OFFSET($A$1,ROW()-1,8),0)))))))</f>
        <v/>
      </c>
      <c r="AG116" s="62">
        <f>IF($V116&lt;&gt;"Sub","",N($X116)*IF(AND(ISNUMBER($G116),$G116&lt;=IF($S116=MesCiclo,InicioCiclo,$S116+MOD(2-WEEKDAY($S116),7))+27),1,MIN(1,MAX(0,IF(ISNUMBER(OFFSET($A$1,ROW()-1,11)),OFFSET($A$1,ROW()-1,11),IF(ISNUMBER(OFFSET($A$1,ROW()-1,10)),OFFSET($A$1,ROW()-1,10),IF(ISNUMBER(OFFSET($A$1,ROW()-1,9)),OFFSET($A$1,ROW()-1,9),IF(ISNUMBER(OFFSET($A$1,ROW()-1,8)),OFFSET($A$1,ROW()-1,8),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",IFERROR(MATCH("Riesgo Normativo|"&amp;MID($C116,12,500),rDname_ADM,0),0),"")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IF(N($W117)=0,"",IF(AND($S117=MesCiclo,1&gt;SemanaActual),"",MIN(1,SUMIFS(OFFSET($A$1,ROW(),29,1000-ROW(),1),OFFSET($A$1,ROW(),20,1000-ROW(),1),ROW(),OFFSET($A$1,ROW(),21,1000-ROW(),1),"Sub"))))</f>
        <v/>
      </c>
      <c r="J117" s="60">
        <f>IF(N($W117)=0,"",IF(AND($S117=MesCiclo,2&gt;SemanaActual),"",MIN(1,SUMIFS(OFFSET($A$1,ROW(),30,1000-ROW(),1),OFFSET($A$1,ROW(),20,1000-ROW(),1),ROW(),OFFSET($A$1,ROW(),21,1000-ROW(),1),"Sub"))))</f>
        <v/>
      </c>
      <c r="K117" s="60">
        <f>IF(N($W117)=0,"",IF(AND($S117=MesCiclo,3&gt;SemanaActual),"",MIN(1,SUMIFS(OFFSET($A$1,ROW(),31,1000-ROW(),1),OFFSET($A$1,ROW(),20,1000-ROW(),1),ROW(),OFFSET($A$1,ROW(),21,1000-ROW(),1),"Sub"))))</f>
        <v/>
      </c>
      <c r="L117" s="60">
        <f>IF(N($W117)=0,"",IF(AND($S117=MesCiclo,4&gt;SemanaActual),"",MIN(1,SUMIFS(OFFSET($A$1,ROW(),32,1000-ROW(),1),OFFSET($A$1,ROW(),20,1000-ROW(),1),ROW(),OFFSET($A$1,ROW(),21,1000-ROW(),1),"Sub"))))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IF($V117&lt;&gt;"Sub","",N($X117)*IF(AND(ISNUMBER($G117),$G117&lt;=IF($S117=MesCiclo,InicioCiclo,$S117+MOD(2-WEEKDAY($S117),7))+6),1,MIN(1,MAX(0,IF(ISNUMBER(OFFSET($A$1,ROW()-1,8)),OFFSET($A$1,ROW()-1,8),0)))))</f>
        <v/>
      </c>
      <c r="AE117" s="62">
        <f>IF($V117&lt;&gt;"Sub","",N($X117)*IF(AND(ISNUMBER($G117),$G117&lt;=IF($S117=MesCiclo,InicioCiclo,$S117+MOD(2-WEEKDAY($S117),7))+13),1,MIN(1,MAX(0,IF(ISNUMBER(OFFSET($A$1,ROW()-1,9)),OFFSET($A$1,ROW()-1,9),IF(ISNUMBER(OFFSET($A$1,ROW()-1,8)),OFFSET($A$1,ROW()-1,8),0))))))</f>
        <v/>
      </c>
      <c r="AF117" s="62">
        <f>IF($V117&lt;&gt;"Sub","",N($X117)*IF(AND(ISNUMBER($G117),$G117&lt;=IF($S117=MesCiclo,InicioCiclo,$S117+MOD(2-WEEKDAY($S117),7))+20),1,MIN(1,MAX(0,IF(ISNUMBER(OFFSET($A$1,ROW()-1,10)),OFFSET($A$1,ROW()-1,10),IF(ISNUMBER(OFFSET($A$1,ROW()-1,9)),OFFSET($A$1,ROW()-1,9),IF(ISNUMBER(OFFSET($A$1,ROW()-1,8)),OFFSET($A$1,ROW()-1,8),0)))))))</f>
        <v/>
      </c>
      <c r="AG117" s="62">
        <f>IF($V117&lt;&gt;"Sub","",N($X117)*IF(AND(ISNUMBER($G117),$G117&lt;=IF($S117=MesCiclo,InicioCiclo,$S117+MOD(2-WEEKDAY($S117),7))+27),1,MIN(1,MAX(0,IF(ISNUMBER(OFFSET($A$1,ROW()-1,11)),OFFSET($A$1,ROW()-1,11),IF(ISNUMBER(OFFSET($A$1,ROW()-1,10)),OFFSET($A$1,ROW()-1,10),IF(ISNUMBER(OFFSET($A$1,ROW()-1,9)),OFFSET($A$1,ROW()-1,9),IF(ISNUMBER(OFFSET($A$1,ROW()-1,8)),OFFSET($A$1,ROW()-1,8),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",IFERROR(MATCH("Riesgo Normativo|"&amp;MID($C117,12,500),rDname_ADM,0),0),"")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IF(N($W118)=0,"",IF(AND($S118=MesCiclo,1&gt;SemanaActual),"",MIN(1,SUMIFS(OFFSET($A$1,ROW(),29,1000-ROW(),1),OFFSET($A$1,ROW(),20,1000-ROW(),1),ROW(),OFFSET($A$1,ROW(),21,1000-ROW(),1),"Sub"))))</f>
        <v/>
      </c>
      <c r="J118" s="60">
        <f>IF(N($W118)=0,"",IF(AND($S118=MesCiclo,2&gt;SemanaActual),"",MIN(1,SUMIFS(OFFSET($A$1,ROW(),30,1000-ROW(),1),OFFSET($A$1,ROW(),20,1000-ROW(),1),ROW(),OFFSET($A$1,ROW(),21,1000-ROW(),1),"Sub"))))</f>
        <v/>
      </c>
      <c r="K118" s="60">
        <f>IF(N($W118)=0,"",IF(AND($S118=MesCiclo,3&gt;SemanaActual),"",MIN(1,SUMIFS(OFFSET($A$1,ROW(),31,1000-ROW(),1),OFFSET($A$1,ROW(),20,1000-ROW(),1),ROW(),OFFSET($A$1,ROW(),21,1000-ROW(),1),"Sub"))))</f>
        <v/>
      </c>
      <c r="L118" s="60">
        <f>IF(N($W118)=0,"",IF(AND($S118=MesCiclo,4&gt;SemanaActual),"",MIN(1,SUMIFS(OFFSET($A$1,ROW(),32,1000-ROW(),1),OFFSET($A$1,ROW(),20,1000-ROW(),1),ROW(),OFFSET($A$1,ROW(),21,1000-ROW(),1),"Sub"))))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IF($V118&lt;&gt;"Sub","",N($X118)*IF(AND(ISNUMBER($G118),$G118&lt;=IF($S118=MesCiclo,InicioCiclo,$S118+MOD(2-WEEKDAY($S118),7))+6),1,MIN(1,MAX(0,IF(ISNUMBER(OFFSET($A$1,ROW()-1,8)),OFFSET($A$1,ROW()-1,8),0)))))</f>
        <v/>
      </c>
      <c r="AE118" s="62">
        <f>IF($V118&lt;&gt;"Sub","",N($X118)*IF(AND(ISNUMBER($G118),$G118&lt;=IF($S118=MesCiclo,InicioCiclo,$S118+MOD(2-WEEKDAY($S118),7))+13),1,MIN(1,MAX(0,IF(ISNUMBER(OFFSET($A$1,ROW()-1,9)),OFFSET($A$1,ROW()-1,9),IF(ISNUMBER(OFFSET($A$1,ROW()-1,8)),OFFSET($A$1,ROW()-1,8),0))))))</f>
        <v/>
      </c>
      <c r="AF118" s="62">
        <f>IF($V118&lt;&gt;"Sub","",N($X118)*IF(AND(ISNUMBER($G118),$G118&lt;=IF($S118=MesCiclo,InicioCiclo,$S118+MOD(2-WEEKDAY($S118),7))+20),1,MIN(1,MAX(0,IF(ISNUMBER(OFFSET($A$1,ROW()-1,10)),OFFSET($A$1,ROW()-1,10),IF(ISNUMBER(OFFSET($A$1,ROW()-1,9)),OFFSET($A$1,ROW()-1,9),IF(ISNUMBER(OFFSET($A$1,ROW()-1,8)),OFFSET($A$1,ROW()-1,8),0)))))))</f>
        <v/>
      </c>
      <c r="AG118" s="62">
        <f>IF($V118&lt;&gt;"Sub","",N($X118)*IF(AND(ISNUMBER($G118),$G118&lt;=IF($S118=MesCiclo,InicioCiclo,$S118+MOD(2-WEEKDAY($S118),7))+27),1,MIN(1,MAX(0,IF(ISNUMBER(OFFSET($A$1,ROW()-1,11)),OFFSET($A$1,ROW()-1,11),IF(ISNUMBER(OFFSET($A$1,ROW()-1,10)),OFFSET($A$1,ROW()-1,10),IF(ISNUMBER(OFFSET($A$1,ROW()-1,9)),OFFSET($A$1,ROW()-1,9),IF(ISNUMBER(OFFSET($A$1,ROW()-1,8)),OFFSET($A$1,ROW()-1,8),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",IFERROR(MATCH("Riesgo Normativo|"&amp;MID($C118,12,500),rDname_ADM,0),0),"")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IF(N($W119)=0,"",IF(AND($S119=MesCiclo,1&gt;SemanaActual),"",MIN(1,SUMIFS(OFFSET($A$1,ROW(),29,1000-ROW(),1),OFFSET($A$1,ROW(),20,1000-ROW(),1),ROW(),OFFSET($A$1,ROW(),21,1000-ROW(),1),"Sub"))))</f>
        <v/>
      </c>
      <c r="J119" s="60">
        <f>IF(N($W119)=0,"",IF(AND($S119=MesCiclo,2&gt;SemanaActual),"",MIN(1,SUMIFS(OFFSET($A$1,ROW(),30,1000-ROW(),1),OFFSET($A$1,ROW(),20,1000-ROW(),1),ROW(),OFFSET($A$1,ROW(),21,1000-ROW(),1),"Sub"))))</f>
        <v/>
      </c>
      <c r="K119" s="60">
        <f>IF(N($W119)=0,"",IF(AND($S119=MesCiclo,3&gt;SemanaActual),"",MIN(1,SUMIFS(OFFSET($A$1,ROW(),31,1000-ROW(),1),OFFSET($A$1,ROW(),20,1000-ROW(),1),ROW(),OFFSET($A$1,ROW(),21,1000-ROW(),1),"Sub"))))</f>
        <v/>
      </c>
      <c r="L119" s="60">
        <f>IF(N($W119)=0,"",IF(AND($S119=MesCiclo,4&gt;SemanaActual),"",MIN(1,SUMIFS(OFFSET($A$1,ROW(),32,1000-ROW(),1),OFFSET($A$1,ROW(),20,1000-ROW(),1),ROW(),OFFSET($A$1,ROW(),21,1000-ROW(),1),"Sub"))))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IF($V119&lt;&gt;"Sub","",N($X119)*IF(AND(ISNUMBER($G119),$G119&lt;=IF($S119=MesCiclo,InicioCiclo,$S119+MOD(2-WEEKDAY($S119),7))+6),1,MIN(1,MAX(0,IF(ISNUMBER(OFFSET($A$1,ROW()-1,8)),OFFSET($A$1,ROW()-1,8),0)))))</f>
        <v/>
      </c>
      <c r="AE119" s="62">
        <f>IF($V119&lt;&gt;"Sub","",N($X119)*IF(AND(ISNUMBER($G119),$G119&lt;=IF($S119=MesCiclo,InicioCiclo,$S119+MOD(2-WEEKDAY($S119),7))+13),1,MIN(1,MAX(0,IF(ISNUMBER(OFFSET($A$1,ROW()-1,9)),OFFSET($A$1,ROW()-1,9),IF(ISNUMBER(OFFSET($A$1,ROW()-1,8)),OFFSET($A$1,ROW()-1,8),0))))))</f>
        <v/>
      </c>
      <c r="AF119" s="62">
        <f>IF($V119&lt;&gt;"Sub","",N($X119)*IF(AND(ISNUMBER($G119),$G119&lt;=IF($S119=MesCiclo,InicioCiclo,$S119+MOD(2-WEEKDAY($S119),7))+20),1,MIN(1,MAX(0,IF(ISNUMBER(OFFSET($A$1,ROW()-1,10)),OFFSET($A$1,ROW()-1,10),IF(ISNUMBER(OFFSET($A$1,ROW()-1,9)),OFFSET($A$1,ROW()-1,9),IF(ISNUMBER(OFFSET($A$1,ROW()-1,8)),OFFSET($A$1,ROW()-1,8),0)))))))</f>
        <v/>
      </c>
      <c r="AG119" s="62">
        <f>IF($V119&lt;&gt;"Sub","",N($X119)*IF(AND(ISNUMBER($G119),$G119&lt;=IF($S119=MesCiclo,InicioCiclo,$S119+MOD(2-WEEKDAY($S119),7))+27),1,MIN(1,MAX(0,IF(ISNUMBER(OFFSET($A$1,ROW()-1,11)),OFFSET($A$1,ROW()-1,11),IF(ISNUMBER(OFFSET($A$1,ROW()-1,10)),OFFSET($A$1,ROW()-1,10),IF(ISNUMBER(OFFSET($A$1,ROW()-1,9)),OFFSET($A$1,ROW()-1,9),IF(ISNUMBER(OFFSET($A$1,ROW()-1,8)),OFFSET($A$1,ROW()-1,8),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",IFERROR(MATCH("Riesgo Normativo|"&amp;MID($C119,12,500),rDname_ADM,0),0),"")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IF(N($W120)=0,"",IF(AND($S120=MesCiclo,1&gt;SemanaActual),"",MIN(1,SUMIFS(OFFSET($A$1,ROW(),29,1000-ROW(),1),OFFSET($A$1,ROW(),20,1000-ROW(),1),ROW(),OFFSET($A$1,ROW(),21,1000-ROW(),1),"Sub"))))</f>
        <v/>
      </c>
      <c r="J120" s="60">
        <f>IF(N($W120)=0,"",IF(AND($S120=MesCiclo,2&gt;SemanaActual),"",MIN(1,SUMIFS(OFFSET($A$1,ROW(),30,1000-ROW(),1),OFFSET($A$1,ROW(),20,1000-ROW(),1),ROW(),OFFSET($A$1,ROW(),21,1000-ROW(),1),"Sub"))))</f>
        <v/>
      </c>
      <c r="K120" s="60">
        <f>IF(N($W120)=0,"",IF(AND($S120=MesCiclo,3&gt;SemanaActual),"",MIN(1,SUMIFS(OFFSET($A$1,ROW(),31,1000-ROW(),1),OFFSET($A$1,ROW(),20,1000-ROW(),1),ROW(),OFFSET($A$1,ROW(),21,1000-ROW(),1),"Sub"))))</f>
        <v/>
      </c>
      <c r="L120" s="60">
        <f>IF(N($W120)=0,"",IF(AND($S120=MesCiclo,4&gt;SemanaActual),"",MIN(1,SUMIFS(OFFSET($A$1,ROW(),32,1000-ROW(),1),OFFSET($A$1,ROW(),20,1000-ROW(),1),ROW(),OFFSET($A$1,ROW(),21,1000-ROW(),1),"Sub"))))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IF($V120&lt;&gt;"Sub","",N($X120)*IF(AND(ISNUMBER($G120),$G120&lt;=IF($S120=MesCiclo,InicioCiclo,$S120+MOD(2-WEEKDAY($S120),7))+6),1,MIN(1,MAX(0,IF(ISNUMBER(OFFSET($A$1,ROW()-1,8)),OFFSET($A$1,ROW()-1,8),0)))))</f>
        <v/>
      </c>
      <c r="AE120" s="62">
        <f>IF($V120&lt;&gt;"Sub","",N($X120)*IF(AND(ISNUMBER($G120),$G120&lt;=IF($S120=MesCiclo,InicioCiclo,$S120+MOD(2-WEEKDAY($S120),7))+13),1,MIN(1,MAX(0,IF(ISNUMBER(OFFSET($A$1,ROW()-1,9)),OFFSET($A$1,ROW()-1,9),IF(ISNUMBER(OFFSET($A$1,ROW()-1,8)),OFFSET($A$1,ROW()-1,8),0))))))</f>
        <v/>
      </c>
      <c r="AF120" s="62">
        <f>IF($V120&lt;&gt;"Sub","",N($X120)*IF(AND(ISNUMBER($G120),$G120&lt;=IF($S120=MesCiclo,InicioCiclo,$S120+MOD(2-WEEKDAY($S120),7))+20),1,MIN(1,MAX(0,IF(ISNUMBER(OFFSET($A$1,ROW()-1,10)),OFFSET($A$1,ROW()-1,10),IF(ISNUMBER(OFFSET($A$1,ROW()-1,9)),OFFSET($A$1,ROW()-1,9),IF(ISNUMBER(OFFSET($A$1,ROW()-1,8)),OFFSET($A$1,ROW()-1,8),0)))))))</f>
        <v/>
      </c>
      <c r="AG120" s="62">
        <f>IF($V120&lt;&gt;"Sub","",N($X120)*IF(AND(ISNUMBER($G120),$G120&lt;=IF($S120=MesCiclo,InicioCiclo,$S120+MOD(2-WEEKDAY($S120),7))+27),1,MIN(1,MAX(0,IF(ISNUMBER(OFFSET($A$1,ROW()-1,11)),OFFSET($A$1,ROW()-1,11),IF(ISNUMBER(OFFSET($A$1,ROW()-1,10)),OFFSET($A$1,ROW()-1,10),IF(ISNUMBER(OFFSET($A$1,ROW()-1,9)),OFFSET($A$1,ROW()-1,9),IF(ISNUMBER(OFFSET($A$1,ROW()-1,8)),OFFSET($A$1,ROW()-1,8),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",IFERROR(MATCH("Riesgo Normativo|"&amp;MID($C120,12,500),rDname_ADM,0),0),"")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IF(N($W121)=0,"",IF(AND($S121=MesCiclo,1&gt;SemanaActual),"",MIN(1,SUMIFS(OFFSET($A$1,ROW(),29,1000-ROW(),1),OFFSET($A$1,ROW(),20,1000-ROW(),1),ROW(),OFFSET($A$1,ROW(),21,1000-ROW(),1),"Sub"))))</f>
        <v/>
      </c>
      <c r="J121" s="60">
        <f>IF(N($W121)=0,"",IF(AND($S121=MesCiclo,2&gt;SemanaActual),"",MIN(1,SUMIFS(OFFSET($A$1,ROW(),30,1000-ROW(),1),OFFSET($A$1,ROW(),20,1000-ROW(),1),ROW(),OFFSET($A$1,ROW(),21,1000-ROW(),1),"Sub"))))</f>
        <v/>
      </c>
      <c r="K121" s="60">
        <f>IF(N($W121)=0,"",IF(AND($S121=MesCiclo,3&gt;SemanaActual),"",MIN(1,SUMIFS(OFFSET($A$1,ROW(),31,1000-ROW(),1),OFFSET($A$1,ROW(),20,1000-ROW(),1),ROW(),OFFSET($A$1,ROW(),21,1000-ROW(),1),"Sub"))))</f>
        <v/>
      </c>
      <c r="L121" s="60">
        <f>IF(N($W121)=0,"",IF(AND($S121=MesCiclo,4&gt;SemanaActual),"",MIN(1,SUMIFS(OFFSET($A$1,ROW(),32,1000-ROW(),1),OFFSET($A$1,ROW(),20,1000-ROW(),1),ROW(),OFFSET($A$1,ROW(),21,1000-ROW(),1),"Sub"))))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IF($V121&lt;&gt;"Sub","",N($X121)*IF(AND(ISNUMBER($G121),$G121&lt;=IF($S121=MesCiclo,InicioCiclo,$S121+MOD(2-WEEKDAY($S121),7))+6),1,MIN(1,MAX(0,IF(ISNUMBER(OFFSET($A$1,ROW()-1,8)),OFFSET($A$1,ROW()-1,8),0)))))</f>
        <v/>
      </c>
      <c r="AE121" s="62">
        <f>IF($V121&lt;&gt;"Sub","",N($X121)*IF(AND(ISNUMBER($G121),$G121&lt;=IF($S121=MesCiclo,InicioCiclo,$S121+MOD(2-WEEKDAY($S121),7))+13),1,MIN(1,MAX(0,IF(ISNUMBER(OFFSET($A$1,ROW()-1,9)),OFFSET($A$1,ROW()-1,9),IF(ISNUMBER(OFFSET($A$1,ROW()-1,8)),OFFSET($A$1,ROW()-1,8),0))))))</f>
        <v/>
      </c>
      <c r="AF121" s="62">
        <f>IF($V121&lt;&gt;"Sub","",N($X121)*IF(AND(ISNUMBER($G121),$G121&lt;=IF($S121=MesCiclo,InicioCiclo,$S121+MOD(2-WEEKDAY($S121),7))+20),1,MIN(1,MAX(0,IF(ISNUMBER(OFFSET($A$1,ROW()-1,10)),OFFSET($A$1,ROW()-1,10),IF(ISNUMBER(OFFSET($A$1,ROW()-1,9)),OFFSET($A$1,ROW()-1,9),IF(ISNUMBER(OFFSET($A$1,ROW()-1,8)),OFFSET($A$1,ROW()-1,8),0)))))))</f>
        <v/>
      </c>
      <c r="AG121" s="62">
        <f>IF($V121&lt;&gt;"Sub","",N($X121)*IF(AND(ISNUMBER($G121),$G121&lt;=IF($S121=MesCiclo,InicioCiclo,$S121+MOD(2-WEEKDAY($S121),7))+27),1,MIN(1,MAX(0,IF(ISNUMBER(OFFSET($A$1,ROW()-1,11)),OFFSET($A$1,ROW()-1,11),IF(ISNUMBER(OFFSET($A$1,ROW()-1,10)),OFFSET($A$1,ROW()-1,10),IF(ISNUMBER(OFFSET($A$1,ROW()-1,9)),OFFSET($A$1,ROW()-1,9),IF(ISNUMBER(OFFSET($A$1,ROW()-1,8)),OFFSET($A$1,ROW()-1,8),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",IFERROR(MATCH("Riesgo Normativo|"&amp;MID($C121,12,500),rDname_ADM,0),0),"")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IF(N($W122)=0,"",IF(AND($S122=MesCiclo,1&gt;SemanaActual),"",MIN(1,SUMIFS(OFFSET($A$1,ROW(),29,1000-ROW(),1),OFFSET($A$1,ROW(),20,1000-ROW(),1),ROW(),OFFSET($A$1,ROW(),21,1000-ROW(),1),"Sub"))))</f>
        <v/>
      </c>
      <c r="J122" s="60">
        <f>IF(N($W122)=0,"",IF(AND($S122=MesCiclo,2&gt;SemanaActual),"",MIN(1,SUMIFS(OFFSET($A$1,ROW(),30,1000-ROW(),1),OFFSET($A$1,ROW(),20,1000-ROW(),1),ROW(),OFFSET($A$1,ROW(),21,1000-ROW(),1),"Sub"))))</f>
        <v/>
      </c>
      <c r="K122" s="60">
        <f>IF(N($W122)=0,"",IF(AND($S122=MesCiclo,3&gt;SemanaActual),"",MIN(1,SUMIFS(OFFSET($A$1,ROW(),31,1000-ROW(),1),OFFSET($A$1,ROW(),20,1000-ROW(),1),ROW(),OFFSET($A$1,ROW(),21,1000-ROW(),1),"Sub"))))</f>
        <v/>
      </c>
      <c r="L122" s="60">
        <f>IF(N($W122)=0,"",IF(AND($S122=MesCiclo,4&gt;SemanaActual),"",MIN(1,SUMIFS(OFFSET($A$1,ROW(),32,1000-ROW(),1),OFFSET($A$1,ROW(),20,1000-ROW(),1),ROW(),OFFSET($A$1,ROW(),21,1000-ROW(),1),"Sub"))))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IF($V122&lt;&gt;"Sub","",N($X122)*IF(AND(ISNUMBER($G122),$G122&lt;=IF($S122=MesCiclo,InicioCiclo,$S122+MOD(2-WEEKDAY($S122),7))+6),1,MIN(1,MAX(0,IF(ISNUMBER(OFFSET($A$1,ROW()-1,8)),OFFSET($A$1,ROW()-1,8),0)))))</f>
        <v/>
      </c>
      <c r="AE122" s="62">
        <f>IF($V122&lt;&gt;"Sub","",N($X122)*IF(AND(ISNUMBER($G122),$G122&lt;=IF($S122=MesCiclo,InicioCiclo,$S122+MOD(2-WEEKDAY($S122),7))+13),1,MIN(1,MAX(0,IF(ISNUMBER(OFFSET($A$1,ROW()-1,9)),OFFSET($A$1,ROW()-1,9),IF(ISNUMBER(OFFSET($A$1,ROW()-1,8)),OFFSET($A$1,ROW()-1,8),0))))))</f>
        <v/>
      </c>
      <c r="AF122" s="62">
        <f>IF($V122&lt;&gt;"Sub","",N($X122)*IF(AND(ISNUMBER($G122),$G122&lt;=IF($S122=MesCiclo,InicioCiclo,$S122+MOD(2-WEEKDAY($S122),7))+20),1,MIN(1,MAX(0,IF(ISNUMBER(OFFSET($A$1,ROW()-1,10)),OFFSET($A$1,ROW()-1,10),IF(ISNUMBER(OFFSET($A$1,ROW()-1,9)),OFFSET($A$1,ROW()-1,9),IF(ISNUMBER(OFFSET($A$1,ROW()-1,8)),OFFSET($A$1,ROW()-1,8),0)))))))</f>
        <v/>
      </c>
      <c r="AG122" s="62">
        <f>IF($V122&lt;&gt;"Sub","",N($X122)*IF(AND(ISNUMBER($G122),$G122&lt;=IF($S122=MesCiclo,InicioCiclo,$S122+MOD(2-WEEKDAY($S122),7))+27),1,MIN(1,MAX(0,IF(ISNUMBER(OFFSET($A$1,ROW()-1,11)),OFFSET($A$1,ROW()-1,11),IF(ISNUMBER(OFFSET($A$1,ROW()-1,10)),OFFSET($A$1,ROW()-1,10),IF(ISNUMBER(OFFSET($A$1,ROW()-1,9)),OFFSET($A$1,ROW()-1,9),IF(ISNUMBER(OFFSET($A$1,ROW()-1,8)),OFFSET($A$1,ROW()-1,8),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",IFERROR(MATCH("Riesgo Normativo|"&amp;MID($C122,12,500),rDname_ADM,0),0),"")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IF(N($W123)=0,"",IF(AND($S123=MesCiclo,1&gt;SemanaActual),"",MIN(1,SUMIFS(OFFSET($A$1,ROW(),29,1000-ROW(),1),OFFSET($A$1,ROW(),20,1000-ROW(),1),ROW(),OFFSET($A$1,ROW(),21,1000-ROW(),1),"Sub"))))</f>
        <v/>
      </c>
      <c r="J123" s="60">
        <f>IF(N($W123)=0,"",IF(AND($S123=MesCiclo,2&gt;SemanaActual),"",MIN(1,SUMIFS(OFFSET($A$1,ROW(),30,1000-ROW(),1),OFFSET($A$1,ROW(),20,1000-ROW(),1),ROW(),OFFSET($A$1,ROW(),21,1000-ROW(),1),"Sub"))))</f>
        <v/>
      </c>
      <c r="K123" s="60">
        <f>IF(N($W123)=0,"",IF(AND($S123=MesCiclo,3&gt;SemanaActual),"",MIN(1,SUMIFS(OFFSET($A$1,ROW(),31,1000-ROW(),1),OFFSET($A$1,ROW(),20,1000-ROW(),1),ROW(),OFFSET($A$1,ROW(),21,1000-ROW(),1),"Sub"))))</f>
        <v/>
      </c>
      <c r="L123" s="60">
        <f>IF(N($W123)=0,"",IF(AND($S123=MesCiclo,4&gt;SemanaActual),"",MIN(1,SUMIFS(OFFSET($A$1,ROW(),32,1000-ROW(),1),OFFSET($A$1,ROW(),20,1000-ROW(),1),ROW(),OFFSET($A$1,ROW(),21,1000-ROW(),1),"Sub"))))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IF($V123&lt;&gt;"Sub","",N($X123)*IF(AND(ISNUMBER($G123),$G123&lt;=IF($S123=MesCiclo,InicioCiclo,$S123+MOD(2-WEEKDAY($S123),7))+6),1,MIN(1,MAX(0,IF(ISNUMBER(OFFSET($A$1,ROW()-1,8)),OFFSET($A$1,ROW()-1,8),0)))))</f>
        <v/>
      </c>
      <c r="AE123" s="62">
        <f>IF($V123&lt;&gt;"Sub","",N($X123)*IF(AND(ISNUMBER($G123),$G123&lt;=IF($S123=MesCiclo,InicioCiclo,$S123+MOD(2-WEEKDAY($S123),7))+13),1,MIN(1,MAX(0,IF(ISNUMBER(OFFSET($A$1,ROW()-1,9)),OFFSET($A$1,ROW()-1,9),IF(ISNUMBER(OFFSET($A$1,ROW()-1,8)),OFFSET($A$1,ROW()-1,8),0))))))</f>
        <v/>
      </c>
      <c r="AF123" s="62">
        <f>IF($V123&lt;&gt;"Sub","",N($X123)*IF(AND(ISNUMBER($G123),$G123&lt;=IF($S123=MesCiclo,InicioCiclo,$S123+MOD(2-WEEKDAY($S123),7))+20),1,MIN(1,MAX(0,IF(ISNUMBER(OFFSET($A$1,ROW()-1,10)),OFFSET($A$1,ROW()-1,10),IF(ISNUMBER(OFFSET($A$1,ROW()-1,9)),OFFSET($A$1,ROW()-1,9),IF(ISNUMBER(OFFSET($A$1,ROW()-1,8)),OFFSET($A$1,ROW()-1,8),0)))))))</f>
        <v/>
      </c>
      <c r="AG123" s="62">
        <f>IF($V123&lt;&gt;"Sub","",N($X123)*IF(AND(ISNUMBER($G123),$G123&lt;=IF($S123=MesCiclo,InicioCiclo,$S123+MOD(2-WEEKDAY($S123),7))+27),1,MIN(1,MAX(0,IF(ISNUMBER(OFFSET($A$1,ROW()-1,11)),OFFSET($A$1,ROW()-1,11),IF(ISNUMBER(OFFSET($A$1,ROW()-1,10)),OFFSET($A$1,ROW()-1,10),IF(ISNUMBER(OFFSET($A$1,ROW()-1,9)),OFFSET($A$1,ROW()-1,9),IF(ISNUMBER(OFFSET($A$1,ROW()-1,8)),OFFSET($A$1,ROW()-1,8),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",IFERROR(MATCH("Riesgo Normativo|"&amp;MID($C123,12,500),rDname_ADM,0),0),"")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IF(N($W124)=0,"",IF(AND($S124=MesCiclo,1&gt;SemanaActual),"",MIN(1,SUMIFS(OFFSET($A$1,ROW(),29,1000-ROW(),1),OFFSET($A$1,ROW(),20,1000-ROW(),1),ROW(),OFFSET($A$1,ROW(),21,1000-ROW(),1),"Sub"))))</f>
        <v/>
      </c>
      <c r="J124" s="60">
        <f>IF(N($W124)=0,"",IF(AND($S124=MesCiclo,2&gt;SemanaActual),"",MIN(1,SUMIFS(OFFSET($A$1,ROW(),30,1000-ROW(),1),OFFSET($A$1,ROW(),20,1000-ROW(),1),ROW(),OFFSET($A$1,ROW(),21,1000-ROW(),1),"Sub"))))</f>
        <v/>
      </c>
      <c r="K124" s="60">
        <f>IF(N($W124)=0,"",IF(AND($S124=MesCiclo,3&gt;SemanaActual),"",MIN(1,SUMIFS(OFFSET($A$1,ROW(),31,1000-ROW(),1),OFFSET($A$1,ROW(),20,1000-ROW(),1),ROW(),OFFSET($A$1,ROW(),21,1000-ROW(),1),"Sub"))))</f>
        <v/>
      </c>
      <c r="L124" s="60">
        <f>IF(N($W124)=0,"",IF(AND($S124=MesCiclo,4&gt;SemanaActual),"",MIN(1,SUMIFS(OFFSET($A$1,ROW(),32,1000-ROW(),1),OFFSET($A$1,ROW(),20,1000-ROW(),1),ROW(),OFFSET($A$1,ROW(),21,1000-ROW(),1),"Sub"))))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IF($V124&lt;&gt;"Sub","",N($X124)*IF(AND(ISNUMBER($G124),$G124&lt;=IF($S124=MesCiclo,InicioCiclo,$S124+MOD(2-WEEKDAY($S124),7))+6),1,MIN(1,MAX(0,IF(ISNUMBER(OFFSET($A$1,ROW()-1,8)),OFFSET($A$1,ROW()-1,8),0)))))</f>
        <v/>
      </c>
      <c r="AE124" s="62">
        <f>IF($V124&lt;&gt;"Sub","",N($X124)*IF(AND(ISNUMBER($G124),$G124&lt;=IF($S124=MesCiclo,InicioCiclo,$S124+MOD(2-WEEKDAY($S124),7))+13),1,MIN(1,MAX(0,IF(ISNUMBER(OFFSET($A$1,ROW()-1,9)),OFFSET($A$1,ROW()-1,9),IF(ISNUMBER(OFFSET($A$1,ROW()-1,8)),OFFSET($A$1,ROW()-1,8),0))))))</f>
        <v/>
      </c>
      <c r="AF124" s="62">
        <f>IF($V124&lt;&gt;"Sub","",N($X124)*IF(AND(ISNUMBER($G124),$G124&lt;=IF($S124=MesCiclo,InicioCiclo,$S124+MOD(2-WEEKDAY($S124),7))+20),1,MIN(1,MAX(0,IF(ISNUMBER(OFFSET($A$1,ROW()-1,10)),OFFSET($A$1,ROW()-1,10),IF(ISNUMBER(OFFSET($A$1,ROW()-1,9)),OFFSET($A$1,ROW()-1,9),IF(ISNUMBER(OFFSET($A$1,ROW()-1,8)),OFFSET($A$1,ROW()-1,8),0)))))))</f>
        <v/>
      </c>
      <c r="AG124" s="62">
        <f>IF($V124&lt;&gt;"Sub","",N($X124)*IF(AND(ISNUMBER($G124),$G124&lt;=IF($S124=MesCiclo,InicioCiclo,$S124+MOD(2-WEEKDAY($S124),7))+27),1,MIN(1,MAX(0,IF(ISNUMBER(OFFSET($A$1,ROW()-1,11)),OFFSET($A$1,ROW()-1,11),IF(ISNUMBER(OFFSET($A$1,ROW()-1,10)),OFFSET($A$1,ROW()-1,10),IF(ISNUMBER(OFFSET($A$1,ROW()-1,9)),OFFSET($A$1,ROW()-1,9),IF(ISNUMBER(OFFSET($A$1,ROW()-1,8)),OFFSET($A$1,ROW()-1,8),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",IFERROR(MATCH("Riesgo Normativo|"&amp;MID($C124,12,500),rDname_ADM,0),0),"")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IF(N($W125)=0,"",IF(AND($S125=MesCiclo,1&gt;SemanaActual),"",MIN(1,SUMIFS(OFFSET($A$1,ROW(),29,1000-ROW(),1),OFFSET($A$1,ROW(),20,1000-ROW(),1),ROW(),OFFSET($A$1,ROW(),21,1000-ROW(),1),"Sub"))))</f>
        <v/>
      </c>
      <c r="J125" s="60">
        <f>IF(N($W125)=0,"",IF(AND($S125=MesCiclo,2&gt;SemanaActual),"",MIN(1,SUMIFS(OFFSET($A$1,ROW(),30,1000-ROW(),1),OFFSET($A$1,ROW(),20,1000-ROW(),1),ROW(),OFFSET($A$1,ROW(),21,1000-ROW(),1),"Sub"))))</f>
        <v/>
      </c>
      <c r="K125" s="60">
        <f>IF(N($W125)=0,"",IF(AND($S125=MesCiclo,3&gt;SemanaActual),"",MIN(1,SUMIFS(OFFSET($A$1,ROW(),31,1000-ROW(),1),OFFSET($A$1,ROW(),20,1000-ROW(),1),ROW(),OFFSET($A$1,ROW(),21,1000-ROW(),1),"Sub"))))</f>
        <v/>
      </c>
      <c r="L125" s="60">
        <f>IF(N($W125)=0,"",IF(AND($S125=MesCiclo,4&gt;SemanaActual),"",MIN(1,SUMIFS(OFFSET($A$1,ROW(),32,1000-ROW(),1),OFFSET($A$1,ROW(),20,1000-ROW(),1),ROW(),OFFSET($A$1,ROW(),21,1000-ROW(),1),"Sub"))))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IF($V125&lt;&gt;"Sub","",N($X125)*IF(AND(ISNUMBER($G125),$G125&lt;=IF($S125=MesCiclo,InicioCiclo,$S125+MOD(2-WEEKDAY($S125),7))+6),1,MIN(1,MAX(0,IF(ISNUMBER(OFFSET($A$1,ROW()-1,8)),OFFSET($A$1,ROW()-1,8),0)))))</f>
        <v/>
      </c>
      <c r="AE125" s="62">
        <f>IF($V125&lt;&gt;"Sub","",N($X125)*IF(AND(ISNUMBER($G125),$G125&lt;=IF($S125=MesCiclo,InicioCiclo,$S125+MOD(2-WEEKDAY($S125),7))+13),1,MIN(1,MAX(0,IF(ISNUMBER(OFFSET($A$1,ROW()-1,9)),OFFSET($A$1,ROW()-1,9),IF(ISNUMBER(OFFSET($A$1,ROW()-1,8)),OFFSET($A$1,ROW()-1,8),0))))))</f>
        <v/>
      </c>
      <c r="AF125" s="62">
        <f>IF($V125&lt;&gt;"Sub","",N($X125)*IF(AND(ISNUMBER($G125),$G125&lt;=IF($S125=MesCiclo,InicioCiclo,$S125+MOD(2-WEEKDAY($S125),7))+20),1,MIN(1,MAX(0,IF(ISNUMBER(OFFSET($A$1,ROW()-1,10)),OFFSET($A$1,ROW()-1,10),IF(ISNUMBER(OFFSET($A$1,ROW()-1,9)),OFFSET($A$1,ROW()-1,9),IF(ISNUMBER(OFFSET($A$1,ROW()-1,8)),OFFSET($A$1,ROW()-1,8),0)))))))</f>
        <v/>
      </c>
      <c r="AG125" s="62">
        <f>IF($V125&lt;&gt;"Sub","",N($X125)*IF(AND(ISNUMBER($G125),$G125&lt;=IF($S125=MesCiclo,InicioCiclo,$S125+MOD(2-WEEKDAY($S125),7))+27),1,MIN(1,MAX(0,IF(ISNUMBER(OFFSET($A$1,ROW()-1,11)),OFFSET($A$1,ROW()-1,11),IF(ISNUMBER(OFFSET($A$1,ROW()-1,10)),OFFSET($A$1,ROW()-1,10),IF(ISNUMBER(OFFSET($A$1,ROW()-1,9)),OFFSET($A$1,ROW()-1,9),IF(ISNUMBER(OFFSET($A$1,ROW()-1,8)),OFFSET($A$1,ROW()-1,8),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",IFERROR(MATCH("Riesgo Normativo|"&amp;MID($C125,12,500),rDname_ADM,0),0),"")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IF(N($W126)=0,"",IF(AND($S126=MesCiclo,1&gt;SemanaActual),"",MIN(1,SUMIFS(OFFSET($A$1,ROW(),29,1000-ROW(),1),OFFSET($A$1,ROW(),20,1000-ROW(),1),ROW(),OFFSET($A$1,ROW(),21,1000-ROW(),1),"Sub"))))</f>
        <v/>
      </c>
      <c r="J126" s="60">
        <f>IF(N($W126)=0,"",IF(AND($S126=MesCiclo,2&gt;SemanaActual),"",MIN(1,SUMIFS(OFFSET($A$1,ROW(),30,1000-ROW(),1),OFFSET($A$1,ROW(),20,1000-ROW(),1),ROW(),OFFSET($A$1,ROW(),21,1000-ROW(),1),"Sub"))))</f>
        <v/>
      </c>
      <c r="K126" s="60">
        <f>IF(N($W126)=0,"",IF(AND($S126=MesCiclo,3&gt;SemanaActual),"",MIN(1,SUMIFS(OFFSET($A$1,ROW(),31,1000-ROW(),1),OFFSET($A$1,ROW(),20,1000-ROW(),1),ROW(),OFFSET($A$1,ROW(),21,1000-ROW(),1),"Sub"))))</f>
        <v/>
      </c>
      <c r="L126" s="60">
        <f>IF(N($W126)=0,"",IF(AND($S126=MesCiclo,4&gt;SemanaActual),"",MIN(1,SUMIFS(OFFSET($A$1,ROW(),32,1000-ROW(),1),OFFSET($A$1,ROW(),20,1000-ROW(),1),ROW(),OFFSET($A$1,ROW(),21,1000-ROW(),1),"Sub"))))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IF($V126&lt;&gt;"Sub","",N($X126)*IF(AND(ISNUMBER($G126),$G126&lt;=IF($S126=MesCiclo,InicioCiclo,$S126+MOD(2-WEEKDAY($S126),7))+6),1,MIN(1,MAX(0,IF(ISNUMBER(OFFSET($A$1,ROW()-1,8)),OFFSET($A$1,ROW()-1,8),0)))))</f>
        <v/>
      </c>
      <c r="AE126" s="62">
        <f>IF($V126&lt;&gt;"Sub","",N($X126)*IF(AND(ISNUMBER($G126),$G126&lt;=IF($S126=MesCiclo,InicioCiclo,$S126+MOD(2-WEEKDAY($S126),7))+13),1,MIN(1,MAX(0,IF(ISNUMBER(OFFSET($A$1,ROW()-1,9)),OFFSET($A$1,ROW()-1,9),IF(ISNUMBER(OFFSET($A$1,ROW()-1,8)),OFFSET($A$1,ROW()-1,8),0))))))</f>
        <v/>
      </c>
      <c r="AF126" s="62">
        <f>IF($V126&lt;&gt;"Sub","",N($X126)*IF(AND(ISNUMBER($G126),$G126&lt;=IF($S126=MesCiclo,InicioCiclo,$S126+MOD(2-WEEKDAY($S126),7))+20),1,MIN(1,MAX(0,IF(ISNUMBER(OFFSET($A$1,ROW()-1,10)),OFFSET($A$1,ROW()-1,10),IF(ISNUMBER(OFFSET($A$1,ROW()-1,9)),OFFSET($A$1,ROW()-1,9),IF(ISNUMBER(OFFSET($A$1,ROW()-1,8)),OFFSET($A$1,ROW()-1,8),0)))))))</f>
        <v/>
      </c>
      <c r="AG126" s="62">
        <f>IF($V126&lt;&gt;"Sub","",N($X126)*IF(AND(ISNUMBER($G126),$G126&lt;=IF($S126=MesCiclo,InicioCiclo,$S126+MOD(2-WEEKDAY($S126),7))+27),1,MIN(1,MAX(0,IF(ISNUMBER(OFFSET($A$1,ROW()-1,11)),OFFSET($A$1,ROW()-1,11),IF(ISNUMBER(OFFSET($A$1,ROW()-1,10)),OFFSET($A$1,ROW()-1,10),IF(ISNUMBER(OFFSET($A$1,ROW()-1,9)),OFFSET($A$1,ROW()-1,9),IF(ISNUMBER(OFFSET($A$1,ROW()-1,8)),OFFSET($A$1,ROW()-1,8),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",IFERROR(MATCH("Riesgo Normativo|"&amp;MID($C126,12,500),rDname_ADM,0),0),"")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IF(N($W127)=0,"",IF(AND($S127=MesCiclo,1&gt;SemanaActual),"",MIN(1,SUMIFS(OFFSET($A$1,ROW(),29,1000-ROW(),1),OFFSET($A$1,ROW(),20,1000-ROW(),1),ROW(),OFFSET($A$1,ROW(),21,1000-ROW(),1),"Sub"))))</f>
        <v/>
      </c>
      <c r="J127" s="60">
        <f>IF(N($W127)=0,"",IF(AND($S127=MesCiclo,2&gt;SemanaActual),"",MIN(1,SUMIFS(OFFSET($A$1,ROW(),30,1000-ROW(),1),OFFSET($A$1,ROW(),20,1000-ROW(),1),ROW(),OFFSET($A$1,ROW(),21,1000-ROW(),1),"Sub"))))</f>
        <v/>
      </c>
      <c r="K127" s="60">
        <f>IF(N($W127)=0,"",IF(AND($S127=MesCiclo,3&gt;SemanaActual),"",MIN(1,SUMIFS(OFFSET($A$1,ROW(),31,1000-ROW(),1),OFFSET($A$1,ROW(),20,1000-ROW(),1),ROW(),OFFSET($A$1,ROW(),21,1000-ROW(),1),"Sub"))))</f>
        <v/>
      </c>
      <c r="L127" s="60">
        <f>IF(N($W127)=0,"",IF(AND($S127=MesCiclo,4&gt;SemanaActual),"",MIN(1,SUMIFS(OFFSET($A$1,ROW(),32,1000-ROW(),1),OFFSET($A$1,ROW(),20,1000-ROW(),1),ROW(),OFFSET($A$1,ROW(),21,1000-ROW(),1),"Sub"))))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IF($V127&lt;&gt;"Sub","",N($X127)*IF(AND(ISNUMBER($G127),$G127&lt;=IF($S127=MesCiclo,InicioCiclo,$S127+MOD(2-WEEKDAY($S127),7))+6),1,MIN(1,MAX(0,IF(ISNUMBER(OFFSET($A$1,ROW()-1,8)),OFFSET($A$1,ROW()-1,8),0)))))</f>
        <v/>
      </c>
      <c r="AE127" s="62">
        <f>IF($V127&lt;&gt;"Sub","",N($X127)*IF(AND(ISNUMBER($G127),$G127&lt;=IF($S127=MesCiclo,InicioCiclo,$S127+MOD(2-WEEKDAY($S127),7))+13),1,MIN(1,MAX(0,IF(ISNUMBER(OFFSET($A$1,ROW()-1,9)),OFFSET($A$1,ROW()-1,9),IF(ISNUMBER(OFFSET($A$1,ROW()-1,8)),OFFSET($A$1,ROW()-1,8),0))))))</f>
        <v/>
      </c>
      <c r="AF127" s="62">
        <f>IF($V127&lt;&gt;"Sub","",N($X127)*IF(AND(ISNUMBER($G127),$G127&lt;=IF($S127=MesCiclo,InicioCiclo,$S127+MOD(2-WEEKDAY($S127),7))+20),1,MIN(1,MAX(0,IF(ISNUMBER(OFFSET($A$1,ROW()-1,10)),OFFSET($A$1,ROW()-1,10),IF(ISNUMBER(OFFSET($A$1,ROW()-1,9)),OFFSET($A$1,ROW()-1,9),IF(ISNUMBER(OFFSET($A$1,ROW()-1,8)),OFFSET($A$1,ROW()-1,8),0)))))))</f>
        <v/>
      </c>
      <c r="AG127" s="62">
        <f>IF($V127&lt;&gt;"Sub","",N($X127)*IF(AND(ISNUMBER($G127),$G127&lt;=IF($S127=MesCiclo,InicioCiclo,$S127+MOD(2-WEEKDAY($S127),7))+27),1,MIN(1,MAX(0,IF(ISNUMBER(OFFSET($A$1,ROW()-1,11)),OFFSET($A$1,ROW()-1,11),IF(ISNUMBER(OFFSET($A$1,ROW()-1,10)),OFFSET($A$1,ROW()-1,10),IF(ISNUMBER(OFFSET($A$1,ROW()-1,9)),OFFSET($A$1,ROW()-1,9),IF(ISNUMBER(OFFSET($A$1,ROW()-1,8)),OFFSET($A$1,ROW()-1,8),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",IFERROR(MATCH("Riesgo Normativo|"&amp;MID($C127,12,500),rDname_ADM,0),0),"")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IF(N($W128)=0,"",IF(AND($S128=MesCiclo,1&gt;SemanaActual),"",MIN(1,SUMIFS(OFFSET($A$1,ROW(),29,1000-ROW(),1),OFFSET($A$1,ROW(),20,1000-ROW(),1),ROW(),OFFSET($A$1,ROW(),21,1000-ROW(),1),"Sub"))))</f>
        <v/>
      </c>
      <c r="J128" s="60">
        <f>IF(N($W128)=0,"",IF(AND($S128=MesCiclo,2&gt;SemanaActual),"",MIN(1,SUMIFS(OFFSET($A$1,ROW(),30,1000-ROW(),1),OFFSET($A$1,ROW(),20,1000-ROW(),1),ROW(),OFFSET($A$1,ROW(),21,1000-ROW(),1),"Sub"))))</f>
        <v/>
      </c>
      <c r="K128" s="60">
        <f>IF(N($W128)=0,"",IF(AND($S128=MesCiclo,3&gt;SemanaActual),"",MIN(1,SUMIFS(OFFSET($A$1,ROW(),31,1000-ROW(),1),OFFSET($A$1,ROW(),20,1000-ROW(),1),ROW(),OFFSET($A$1,ROW(),21,1000-ROW(),1),"Sub"))))</f>
        <v/>
      </c>
      <c r="L128" s="60">
        <f>IF(N($W128)=0,"",IF(AND($S128=MesCiclo,4&gt;SemanaActual),"",MIN(1,SUMIFS(OFFSET($A$1,ROW(),32,1000-ROW(),1),OFFSET($A$1,ROW(),20,1000-ROW(),1),ROW(),OFFSET($A$1,ROW(),21,1000-ROW(),1),"Sub"))))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IF($V128&lt;&gt;"Sub","",N($X128)*IF(AND(ISNUMBER($G128),$G128&lt;=IF($S128=MesCiclo,InicioCiclo,$S128+MOD(2-WEEKDAY($S128),7))+6),1,MIN(1,MAX(0,IF(ISNUMBER(OFFSET($A$1,ROW()-1,8)),OFFSET($A$1,ROW()-1,8),0)))))</f>
        <v/>
      </c>
      <c r="AE128" s="62">
        <f>IF($V128&lt;&gt;"Sub","",N($X128)*IF(AND(ISNUMBER($G128),$G128&lt;=IF($S128=MesCiclo,InicioCiclo,$S128+MOD(2-WEEKDAY($S128),7))+13),1,MIN(1,MAX(0,IF(ISNUMBER(OFFSET($A$1,ROW()-1,9)),OFFSET($A$1,ROW()-1,9),IF(ISNUMBER(OFFSET($A$1,ROW()-1,8)),OFFSET($A$1,ROW()-1,8),0))))))</f>
        <v/>
      </c>
      <c r="AF128" s="62">
        <f>IF($V128&lt;&gt;"Sub","",N($X128)*IF(AND(ISNUMBER($G128),$G128&lt;=IF($S128=MesCiclo,InicioCiclo,$S128+MOD(2-WEEKDAY($S128),7))+20),1,MIN(1,MAX(0,IF(ISNUMBER(OFFSET($A$1,ROW()-1,10)),OFFSET($A$1,ROW()-1,10),IF(ISNUMBER(OFFSET($A$1,ROW()-1,9)),OFFSET($A$1,ROW()-1,9),IF(ISNUMBER(OFFSET($A$1,ROW()-1,8)),OFFSET($A$1,ROW()-1,8),0)))))))</f>
        <v/>
      </c>
      <c r="AG128" s="62">
        <f>IF($V128&lt;&gt;"Sub","",N($X128)*IF(AND(ISNUMBER($G128),$G128&lt;=IF($S128=MesCiclo,InicioCiclo,$S128+MOD(2-WEEKDAY($S128),7))+27),1,MIN(1,MAX(0,IF(ISNUMBER(OFFSET($A$1,ROW()-1,11)),OFFSET($A$1,ROW()-1,11),IF(ISNUMBER(OFFSET($A$1,ROW()-1,10)),OFFSET($A$1,ROW()-1,10),IF(ISNUMBER(OFFSET($A$1,ROW()-1,9)),OFFSET($A$1,ROW()-1,9),IF(ISNUMBER(OFFSET($A$1,ROW()-1,8)),OFFSET($A$1,ROW()-1,8),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",IFERROR(MATCH("Riesgo Normativo|"&amp;MID($C128,12,500),rDname_ADM,0),0),"")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IF(N($W129)=0,"",IF(AND($S129=MesCiclo,1&gt;SemanaActual),"",MIN(1,SUMIFS(OFFSET($A$1,ROW(),29,1000-ROW(),1),OFFSET($A$1,ROW(),20,1000-ROW(),1),ROW(),OFFSET($A$1,ROW(),21,1000-ROW(),1),"Sub"))))</f>
        <v/>
      </c>
      <c r="J129" s="60">
        <f>IF(N($W129)=0,"",IF(AND($S129=MesCiclo,2&gt;SemanaActual),"",MIN(1,SUMIFS(OFFSET($A$1,ROW(),30,1000-ROW(),1),OFFSET($A$1,ROW(),20,1000-ROW(),1),ROW(),OFFSET($A$1,ROW(),21,1000-ROW(),1),"Sub"))))</f>
        <v/>
      </c>
      <c r="K129" s="60">
        <f>IF(N($W129)=0,"",IF(AND($S129=MesCiclo,3&gt;SemanaActual),"",MIN(1,SUMIFS(OFFSET($A$1,ROW(),31,1000-ROW(),1),OFFSET($A$1,ROW(),20,1000-ROW(),1),ROW(),OFFSET($A$1,ROW(),21,1000-ROW(),1),"Sub"))))</f>
        <v/>
      </c>
      <c r="L129" s="60">
        <f>IF(N($W129)=0,"",IF(AND($S129=MesCiclo,4&gt;SemanaActual),"",MIN(1,SUMIFS(OFFSET($A$1,ROW(),32,1000-ROW(),1),OFFSET($A$1,ROW(),20,1000-ROW(),1),ROW(),OFFSET($A$1,ROW(),21,1000-ROW(),1),"Sub"))))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IF($V129&lt;&gt;"Sub","",N($X129)*IF(AND(ISNUMBER($G129),$G129&lt;=IF($S129=MesCiclo,InicioCiclo,$S129+MOD(2-WEEKDAY($S129),7))+6),1,MIN(1,MAX(0,IF(ISNUMBER(OFFSET($A$1,ROW()-1,8)),OFFSET($A$1,ROW()-1,8),0)))))</f>
        <v/>
      </c>
      <c r="AE129" s="62">
        <f>IF($V129&lt;&gt;"Sub","",N($X129)*IF(AND(ISNUMBER($G129),$G129&lt;=IF($S129=MesCiclo,InicioCiclo,$S129+MOD(2-WEEKDAY($S129),7))+13),1,MIN(1,MAX(0,IF(ISNUMBER(OFFSET($A$1,ROW()-1,9)),OFFSET($A$1,ROW()-1,9),IF(ISNUMBER(OFFSET($A$1,ROW()-1,8)),OFFSET($A$1,ROW()-1,8),0))))))</f>
        <v/>
      </c>
      <c r="AF129" s="62">
        <f>IF($V129&lt;&gt;"Sub","",N($X129)*IF(AND(ISNUMBER($G129),$G129&lt;=IF($S129=MesCiclo,InicioCiclo,$S129+MOD(2-WEEKDAY($S129),7))+20),1,MIN(1,MAX(0,IF(ISNUMBER(OFFSET($A$1,ROW()-1,10)),OFFSET($A$1,ROW()-1,10),IF(ISNUMBER(OFFSET($A$1,ROW()-1,9)),OFFSET($A$1,ROW()-1,9),IF(ISNUMBER(OFFSET($A$1,ROW()-1,8)),OFFSET($A$1,ROW()-1,8),0)))))))</f>
        <v/>
      </c>
      <c r="AG129" s="62">
        <f>IF($V129&lt;&gt;"Sub","",N($X129)*IF(AND(ISNUMBER($G129),$G129&lt;=IF($S129=MesCiclo,InicioCiclo,$S129+MOD(2-WEEKDAY($S129),7))+27),1,MIN(1,MAX(0,IF(ISNUMBER(OFFSET($A$1,ROW()-1,11)),OFFSET($A$1,ROW()-1,11),IF(ISNUMBER(OFFSET($A$1,ROW()-1,10)),OFFSET($A$1,ROW()-1,10),IF(ISNUMBER(OFFSET($A$1,ROW()-1,9)),OFFSET($A$1,ROW()-1,9),IF(ISNUMBER(OFFSET($A$1,ROW()-1,8)),OFFSET($A$1,ROW()-1,8),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",IFERROR(MATCH("Riesgo Normativo|"&amp;MID($C129,12,500),rDname_ADM,0),0),"")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IF(N($W130)=0,"",IF(AND($S130=MesCiclo,1&gt;SemanaActual),"",MIN(1,SUMIFS(OFFSET($A$1,ROW(),29,1000-ROW(),1),OFFSET($A$1,ROW(),20,1000-ROW(),1),ROW(),OFFSET($A$1,ROW(),21,1000-ROW(),1),"Sub"))))</f>
        <v/>
      </c>
      <c r="J130" s="60">
        <f>IF(N($W130)=0,"",IF(AND($S130=MesCiclo,2&gt;SemanaActual),"",MIN(1,SUMIFS(OFFSET($A$1,ROW(),30,1000-ROW(),1),OFFSET($A$1,ROW(),20,1000-ROW(),1),ROW(),OFFSET($A$1,ROW(),21,1000-ROW(),1),"Sub"))))</f>
        <v/>
      </c>
      <c r="K130" s="60">
        <f>IF(N($W130)=0,"",IF(AND($S130=MesCiclo,3&gt;SemanaActual),"",MIN(1,SUMIFS(OFFSET($A$1,ROW(),31,1000-ROW(),1),OFFSET($A$1,ROW(),20,1000-ROW(),1),ROW(),OFFSET($A$1,ROW(),21,1000-ROW(),1),"Sub"))))</f>
        <v/>
      </c>
      <c r="L130" s="60">
        <f>IF(N($W130)=0,"",IF(AND($S130=MesCiclo,4&gt;SemanaActual),"",MIN(1,SUMIFS(OFFSET($A$1,ROW(),32,1000-ROW(),1),OFFSET($A$1,ROW(),20,1000-ROW(),1),ROW(),OFFSET($A$1,ROW(),21,1000-ROW(),1),"Sub"))))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IF($V130&lt;&gt;"Sub","",N($X130)*IF(AND(ISNUMBER($G130),$G130&lt;=IF($S130=MesCiclo,InicioCiclo,$S130+MOD(2-WEEKDAY($S130),7))+6),1,MIN(1,MAX(0,IF(ISNUMBER(OFFSET($A$1,ROW()-1,8)),OFFSET($A$1,ROW()-1,8),0)))))</f>
        <v/>
      </c>
      <c r="AE130" s="62">
        <f>IF($V130&lt;&gt;"Sub","",N($X130)*IF(AND(ISNUMBER($G130),$G130&lt;=IF($S130=MesCiclo,InicioCiclo,$S130+MOD(2-WEEKDAY($S130),7))+13),1,MIN(1,MAX(0,IF(ISNUMBER(OFFSET($A$1,ROW()-1,9)),OFFSET($A$1,ROW()-1,9),IF(ISNUMBER(OFFSET($A$1,ROW()-1,8)),OFFSET($A$1,ROW()-1,8),0))))))</f>
        <v/>
      </c>
      <c r="AF130" s="62">
        <f>IF($V130&lt;&gt;"Sub","",N($X130)*IF(AND(ISNUMBER($G130),$G130&lt;=IF($S130=MesCiclo,InicioCiclo,$S130+MOD(2-WEEKDAY($S130),7))+20),1,MIN(1,MAX(0,IF(ISNUMBER(OFFSET($A$1,ROW()-1,10)),OFFSET($A$1,ROW()-1,10),IF(ISNUMBER(OFFSET($A$1,ROW()-1,9)),OFFSET($A$1,ROW()-1,9),IF(ISNUMBER(OFFSET($A$1,ROW()-1,8)),OFFSET($A$1,ROW()-1,8),0)))))))</f>
        <v/>
      </c>
      <c r="AG130" s="62">
        <f>IF($V130&lt;&gt;"Sub","",N($X130)*IF(AND(ISNUMBER($G130),$G130&lt;=IF($S130=MesCiclo,InicioCiclo,$S130+MOD(2-WEEKDAY($S130),7))+27),1,MIN(1,MAX(0,IF(ISNUMBER(OFFSET($A$1,ROW()-1,11)),OFFSET($A$1,ROW()-1,11),IF(ISNUMBER(OFFSET($A$1,ROW()-1,10)),OFFSET($A$1,ROW()-1,10),IF(ISNUMBER(OFFSET($A$1,ROW()-1,9)),OFFSET($A$1,ROW()-1,9),IF(ISNUMBER(OFFSET($A$1,ROW()-1,8)),OFFSET($A$1,ROW()-1,8),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",IFERROR(MATCH("Riesgo Normativo|"&amp;MID($C130,12,500),rDname_ADM,0),0),"")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IF(N($W131)=0,"",IF(AND($S131=MesCiclo,1&gt;SemanaActual),"",MIN(1,SUMIFS(OFFSET($A$1,ROW(),29,1000-ROW(),1),OFFSET($A$1,ROW(),20,1000-ROW(),1),ROW(),OFFSET($A$1,ROW(),21,1000-ROW(),1),"Sub"))))</f>
        <v/>
      </c>
      <c r="J131" s="60">
        <f>IF(N($W131)=0,"",IF(AND($S131=MesCiclo,2&gt;SemanaActual),"",MIN(1,SUMIFS(OFFSET($A$1,ROW(),30,1000-ROW(),1),OFFSET($A$1,ROW(),20,1000-ROW(),1),ROW(),OFFSET($A$1,ROW(),21,1000-ROW(),1),"Sub"))))</f>
        <v/>
      </c>
      <c r="K131" s="60">
        <f>IF(N($W131)=0,"",IF(AND($S131=MesCiclo,3&gt;SemanaActual),"",MIN(1,SUMIFS(OFFSET($A$1,ROW(),31,1000-ROW(),1),OFFSET($A$1,ROW(),20,1000-ROW(),1),ROW(),OFFSET($A$1,ROW(),21,1000-ROW(),1),"Sub"))))</f>
        <v/>
      </c>
      <c r="L131" s="60">
        <f>IF(N($W131)=0,"",IF(AND($S131=MesCiclo,4&gt;SemanaActual),"",MIN(1,SUMIFS(OFFSET($A$1,ROW(),32,1000-ROW(),1),OFFSET($A$1,ROW(),20,1000-ROW(),1),ROW(),OFFSET($A$1,ROW(),21,1000-ROW(),1),"Sub"))))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IF($V131&lt;&gt;"Sub","",N($X131)*IF(AND(ISNUMBER($G131),$G131&lt;=IF($S131=MesCiclo,InicioCiclo,$S131+MOD(2-WEEKDAY($S131),7))+6),1,MIN(1,MAX(0,IF(ISNUMBER(OFFSET($A$1,ROW()-1,8)),OFFSET($A$1,ROW()-1,8),0)))))</f>
        <v/>
      </c>
      <c r="AE131" s="62">
        <f>IF($V131&lt;&gt;"Sub","",N($X131)*IF(AND(ISNUMBER($G131),$G131&lt;=IF($S131=MesCiclo,InicioCiclo,$S131+MOD(2-WEEKDAY($S131),7))+13),1,MIN(1,MAX(0,IF(ISNUMBER(OFFSET($A$1,ROW()-1,9)),OFFSET($A$1,ROW()-1,9),IF(ISNUMBER(OFFSET($A$1,ROW()-1,8)),OFFSET($A$1,ROW()-1,8),0))))))</f>
        <v/>
      </c>
      <c r="AF131" s="62">
        <f>IF($V131&lt;&gt;"Sub","",N($X131)*IF(AND(ISNUMBER($G131),$G131&lt;=IF($S131=MesCiclo,InicioCiclo,$S131+MOD(2-WEEKDAY($S131),7))+20),1,MIN(1,MAX(0,IF(ISNUMBER(OFFSET($A$1,ROW()-1,10)),OFFSET($A$1,ROW()-1,10),IF(ISNUMBER(OFFSET($A$1,ROW()-1,9)),OFFSET($A$1,ROW()-1,9),IF(ISNUMBER(OFFSET($A$1,ROW()-1,8)),OFFSET($A$1,ROW()-1,8),0)))))))</f>
        <v/>
      </c>
      <c r="AG131" s="62">
        <f>IF($V131&lt;&gt;"Sub","",N($X131)*IF(AND(ISNUMBER($G131),$G131&lt;=IF($S131=MesCiclo,InicioCiclo,$S131+MOD(2-WEEKDAY($S131),7))+27),1,MIN(1,MAX(0,IF(ISNUMBER(OFFSET($A$1,ROW()-1,11)),OFFSET($A$1,ROW()-1,11),IF(ISNUMBER(OFFSET($A$1,ROW()-1,10)),OFFSET($A$1,ROW()-1,10),IF(ISNUMBER(OFFSET($A$1,ROW()-1,9)),OFFSET($A$1,ROW()-1,9),IF(ISNUMBER(OFFSET($A$1,ROW()-1,8)),OFFSET($A$1,ROW()-1,8),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",IFERROR(MATCH("Riesgo Normativo|"&amp;MID($C131,12,500),rDname_ADM,0),0),"")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IF(N($W132)=0,"",IF(AND($S132=MesCiclo,1&gt;SemanaActual),"",MIN(1,SUMIFS(OFFSET($A$1,ROW(),29,1000-ROW(),1),OFFSET($A$1,ROW(),20,1000-ROW(),1),ROW(),OFFSET($A$1,ROW(),21,1000-ROW(),1),"Sub"))))</f>
        <v/>
      </c>
      <c r="J132" s="60">
        <f>IF(N($W132)=0,"",IF(AND($S132=MesCiclo,2&gt;SemanaActual),"",MIN(1,SUMIFS(OFFSET($A$1,ROW(),30,1000-ROW(),1),OFFSET($A$1,ROW(),20,1000-ROW(),1),ROW(),OFFSET($A$1,ROW(),21,1000-ROW(),1),"Sub"))))</f>
        <v/>
      </c>
      <c r="K132" s="60">
        <f>IF(N($W132)=0,"",IF(AND($S132=MesCiclo,3&gt;SemanaActual),"",MIN(1,SUMIFS(OFFSET($A$1,ROW(),31,1000-ROW(),1),OFFSET($A$1,ROW(),20,1000-ROW(),1),ROW(),OFFSET($A$1,ROW(),21,1000-ROW(),1),"Sub"))))</f>
        <v/>
      </c>
      <c r="L132" s="60">
        <f>IF(N($W132)=0,"",IF(AND($S132=MesCiclo,4&gt;SemanaActual),"",MIN(1,SUMIFS(OFFSET($A$1,ROW(),32,1000-ROW(),1),OFFSET($A$1,ROW(),20,1000-ROW(),1),ROW(),OFFSET($A$1,ROW(),21,1000-ROW(),1),"Sub"))))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IF($V132&lt;&gt;"Sub","",N($X132)*IF(AND(ISNUMBER($G132),$G132&lt;=IF($S132=MesCiclo,InicioCiclo,$S132+MOD(2-WEEKDAY($S132),7))+6),1,MIN(1,MAX(0,IF(ISNUMBER(OFFSET($A$1,ROW()-1,8)),OFFSET($A$1,ROW()-1,8),0)))))</f>
        <v/>
      </c>
      <c r="AE132" s="62">
        <f>IF($V132&lt;&gt;"Sub","",N($X132)*IF(AND(ISNUMBER($G132),$G132&lt;=IF($S132=MesCiclo,InicioCiclo,$S132+MOD(2-WEEKDAY($S132),7))+13),1,MIN(1,MAX(0,IF(ISNUMBER(OFFSET($A$1,ROW()-1,9)),OFFSET($A$1,ROW()-1,9),IF(ISNUMBER(OFFSET($A$1,ROW()-1,8)),OFFSET($A$1,ROW()-1,8),0))))))</f>
        <v/>
      </c>
      <c r="AF132" s="62">
        <f>IF($V132&lt;&gt;"Sub","",N($X132)*IF(AND(ISNUMBER($G132),$G132&lt;=IF($S132=MesCiclo,InicioCiclo,$S132+MOD(2-WEEKDAY($S132),7))+20),1,MIN(1,MAX(0,IF(ISNUMBER(OFFSET($A$1,ROW()-1,10)),OFFSET($A$1,ROW()-1,10),IF(ISNUMBER(OFFSET($A$1,ROW()-1,9)),OFFSET($A$1,ROW()-1,9),IF(ISNUMBER(OFFSET($A$1,ROW()-1,8)),OFFSET($A$1,ROW()-1,8),0)))))))</f>
        <v/>
      </c>
      <c r="AG132" s="62">
        <f>IF($V132&lt;&gt;"Sub","",N($X132)*IF(AND(ISNUMBER($G132),$G132&lt;=IF($S132=MesCiclo,InicioCiclo,$S132+MOD(2-WEEKDAY($S132),7))+27),1,MIN(1,MAX(0,IF(ISNUMBER(OFFSET($A$1,ROW()-1,11)),OFFSET($A$1,ROW()-1,11),IF(ISNUMBER(OFFSET($A$1,ROW()-1,10)),OFFSET($A$1,ROW()-1,10),IF(ISNUMBER(OFFSET($A$1,ROW()-1,9)),OFFSET($A$1,ROW()-1,9),IF(ISNUMBER(OFFSET($A$1,ROW()-1,8)),OFFSET($A$1,ROW()-1,8),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",IFERROR(MATCH("Riesgo Normativo|"&amp;MID($C132,12,500),rDname_ADM,0),0),"")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IF(N($W133)=0,"",IF(AND($S133=MesCiclo,1&gt;SemanaActual),"",MIN(1,SUMIFS(OFFSET($A$1,ROW(),29,1000-ROW(),1),OFFSET($A$1,ROW(),20,1000-ROW(),1),ROW(),OFFSET($A$1,ROW(),21,1000-ROW(),1),"Sub"))))</f>
        <v/>
      </c>
      <c r="J133" s="60">
        <f>IF(N($W133)=0,"",IF(AND($S133=MesCiclo,2&gt;SemanaActual),"",MIN(1,SUMIFS(OFFSET($A$1,ROW(),30,1000-ROW(),1),OFFSET($A$1,ROW(),20,1000-ROW(),1),ROW(),OFFSET($A$1,ROW(),21,1000-ROW(),1),"Sub"))))</f>
        <v/>
      </c>
      <c r="K133" s="60">
        <f>IF(N($W133)=0,"",IF(AND($S133=MesCiclo,3&gt;SemanaActual),"",MIN(1,SUMIFS(OFFSET($A$1,ROW(),31,1000-ROW(),1),OFFSET($A$1,ROW(),20,1000-ROW(),1),ROW(),OFFSET($A$1,ROW(),21,1000-ROW(),1),"Sub"))))</f>
        <v/>
      </c>
      <c r="L133" s="60">
        <f>IF(N($W133)=0,"",IF(AND($S133=MesCiclo,4&gt;SemanaActual),"",MIN(1,SUMIFS(OFFSET($A$1,ROW(),32,1000-ROW(),1),OFFSET($A$1,ROW(),20,1000-ROW(),1),ROW(),OFFSET($A$1,ROW(),21,1000-ROW(),1),"Sub"))))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IF($V133&lt;&gt;"Sub","",N($X133)*IF(AND(ISNUMBER($G133),$G133&lt;=IF($S133=MesCiclo,InicioCiclo,$S133+MOD(2-WEEKDAY($S133),7))+6),1,MIN(1,MAX(0,IF(ISNUMBER(OFFSET($A$1,ROW()-1,8)),OFFSET($A$1,ROW()-1,8),0)))))</f>
        <v/>
      </c>
      <c r="AE133" s="62">
        <f>IF($V133&lt;&gt;"Sub","",N($X133)*IF(AND(ISNUMBER($G133),$G133&lt;=IF($S133=MesCiclo,InicioCiclo,$S133+MOD(2-WEEKDAY($S133),7))+13),1,MIN(1,MAX(0,IF(ISNUMBER(OFFSET($A$1,ROW()-1,9)),OFFSET($A$1,ROW()-1,9),IF(ISNUMBER(OFFSET($A$1,ROW()-1,8)),OFFSET($A$1,ROW()-1,8),0))))))</f>
        <v/>
      </c>
      <c r="AF133" s="62">
        <f>IF($V133&lt;&gt;"Sub","",N($X133)*IF(AND(ISNUMBER($G133),$G133&lt;=IF($S133=MesCiclo,InicioCiclo,$S133+MOD(2-WEEKDAY($S133),7))+20),1,MIN(1,MAX(0,IF(ISNUMBER(OFFSET($A$1,ROW()-1,10)),OFFSET($A$1,ROW()-1,10),IF(ISNUMBER(OFFSET($A$1,ROW()-1,9)),OFFSET($A$1,ROW()-1,9),IF(ISNUMBER(OFFSET($A$1,ROW()-1,8)),OFFSET($A$1,ROW()-1,8),0)))))))</f>
        <v/>
      </c>
      <c r="AG133" s="62">
        <f>IF($V133&lt;&gt;"Sub","",N($X133)*IF(AND(ISNUMBER($G133),$G133&lt;=IF($S133=MesCiclo,InicioCiclo,$S133+MOD(2-WEEKDAY($S133),7))+27),1,MIN(1,MAX(0,IF(ISNUMBER(OFFSET($A$1,ROW()-1,11)),OFFSET($A$1,ROW()-1,11),IF(ISNUMBER(OFFSET($A$1,ROW()-1,10)),OFFSET($A$1,ROW()-1,10),IF(ISNUMBER(OFFSET($A$1,ROW()-1,9)),OFFSET($A$1,ROW()-1,9),IF(ISNUMBER(OFFSET($A$1,ROW()-1,8)),OFFSET($A$1,ROW()-1,8),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",IFERROR(MATCH("Riesgo Normativo|"&amp;MID($C133,12,500),rDname_ADM,0),0),"")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IF(N($W134)=0,"",IF(AND($S134=MesCiclo,1&gt;SemanaActual),"",MIN(1,SUMIFS(OFFSET($A$1,ROW(),29,1000-ROW(),1),OFFSET($A$1,ROW(),20,1000-ROW(),1),ROW(),OFFSET($A$1,ROW(),21,1000-ROW(),1),"Sub"))))</f>
        <v/>
      </c>
      <c r="J134" s="60">
        <f>IF(N($W134)=0,"",IF(AND($S134=MesCiclo,2&gt;SemanaActual),"",MIN(1,SUMIFS(OFFSET($A$1,ROW(),30,1000-ROW(),1),OFFSET($A$1,ROW(),20,1000-ROW(),1),ROW(),OFFSET($A$1,ROW(),21,1000-ROW(),1),"Sub"))))</f>
        <v/>
      </c>
      <c r="K134" s="60">
        <f>IF(N($W134)=0,"",IF(AND($S134=MesCiclo,3&gt;SemanaActual),"",MIN(1,SUMIFS(OFFSET($A$1,ROW(),31,1000-ROW(),1),OFFSET($A$1,ROW(),20,1000-ROW(),1),ROW(),OFFSET($A$1,ROW(),21,1000-ROW(),1),"Sub"))))</f>
        <v/>
      </c>
      <c r="L134" s="60">
        <f>IF(N($W134)=0,"",IF(AND($S134=MesCiclo,4&gt;SemanaActual),"",MIN(1,SUMIFS(OFFSET($A$1,ROW(),32,1000-ROW(),1),OFFSET($A$1,ROW(),20,1000-ROW(),1),ROW(),OFFSET($A$1,ROW(),21,1000-ROW(),1),"Sub"))))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IF($V134&lt;&gt;"Sub","",N($X134)*IF(AND(ISNUMBER($G134),$G134&lt;=IF($S134=MesCiclo,InicioCiclo,$S134+MOD(2-WEEKDAY($S134),7))+6),1,MIN(1,MAX(0,IF(ISNUMBER(OFFSET($A$1,ROW()-1,8)),OFFSET($A$1,ROW()-1,8),0)))))</f>
        <v/>
      </c>
      <c r="AE134" s="62">
        <f>IF($V134&lt;&gt;"Sub","",N($X134)*IF(AND(ISNUMBER($G134),$G134&lt;=IF($S134=MesCiclo,InicioCiclo,$S134+MOD(2-WEEKDAY($S134),7))+13),1,MIN(1,MAX(0,IF(ISNUMBER(OFFSET($A$1,ROW()-1,9)),OFFSET($A$1,ROW()-1,9),IF(ISNUMBER(OFFSET($A$1,ROW()-1,8)),OFFSET($A$1,ROW()-1,8),0))))))</f>
        <v/>
      </c>
      <c r="AF134" s="62">
        <f>IF($V134&lt;&gt;"Sub","",N($X134)*IF(AND(ISNUMBER($G134),$G134&lt;=IF($S134=MesCiclo,InicioCiclo,$S134+MOD(2-WEEKDAY($S134),7))+20),1,MIN(1,MAX(0,IF(ISNUMBER(OFFSET($A$1,ROW()-1,10)),OFFSET($A$1,ROW()-1,10),IF(ISNUMBER(OFFSET($A$1,ROW()-1,9)),OFFSET($A$1,ROW()-1,9),IF(ISNUMBER(OFFSET($A$1,ROW()-1,8)),OFFSET($A$1,ROW()-1,8),0)))))))</f>
        <v/>
      </c>
      <c r="AG134" s="62">
        <f>IF($V134&lt;&gt;"Sub","",N($X134)*IF(AND(ISNUMBER($G134),$G134&lt;=IF($S134=MesCiclo,InicioCiclo,$S134+MOD(2-WEEKDAY($S134),7))+27),1,MIN(1,MAX(0,IF(ISNUMBER(OFFSET($A$1,ROW()-1,11)),OFFSET($A$1,ROW()-1,11),IF(ISNUMBER(OFFSET($A$1,ROW()-1,10)),OFFSET($A$1,ROW()-1,10),IF(ISNUMBER(OFFSET($A$1,ROW()-1,9)),OFFSET($A$1,ROW()-1,9),IF(ISNUMBER(OFFSET($A$1,ROW()-1,8)),OFFSET($A$1,ROW()-1,8),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",IFERROR(MATCH("Riesgo Normativo|"&amp;MID($C134,12,500),rDname_ADM,0),0),"")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IF(N($W135)=0,"",IF(AND($S135=MesCiclo,1&gt;SemanaActual),"",MIN(1,SUMIFS(OFFSET($A$1,ROW(),29,1000-ROW(),1),OFFSET($A$1,ROW(),20,1000-ROW(),1),ROW(),OFFSET($A$1,ROW(),21,1000-ROW(),1),"Sub"))))</f>
        <v/>
      </c>
      <c r="J135" s="60">
        <f>IF(N($W135)=0,"",IF(AND($S135=MesCiclo,2&gt;SemanaActual),"",MIN(1,SUMIFS(OFFSET($A$1,ROW(),30,1000-ROW(),1),OFFSET($A$1,ROW(),20,1000-ROW(),1),ROW(),OFFSET($A$1,ROW(),21,1000-ROW(),1),"Sub"))))</f>
        <v/>
      </c>
      <c r="K135" s="60">
        <f>IF(N($W135)=0,"",IF(AND($S135=MesCiclo,3&gt;SemanaActual),"",MIN(1,SUMIFS(OFFSET($A$1,ROW(),31,1000-ROW(),1),OFFSET($A$1,ROW(),20,1000-ROW(),1),ROW(),OFFSET($A$1,ROW(),21,1000-ROW(),1),"Sub"))))</f>
        <v/>
      </c>
      <c r="L135" s="60">
        <f>IF(N($W135)=0,"",IF(AND($S135=MesCiclo,4&gt;SemanaActual),"",MIN(1,SUMIFS(OFFSET($A$1,ROW(),32,1000-ROW(),1),OFFSET($A$1,ROW(),20,1000-ROW(),1),ROW(),OFFSET($A$1,ROW(),21,1000-ROW(),1),"Sub"))))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IF($V135&lt;&gt;"Sub","",N($X135)*IF(AND(ISNUMBER($G135),$G135&lt;=IF($S135=MesCiclo,InicioCiclo,$S135+MOD(2-WEEKDAY($S135),7))+6),1,MIN(1,MAX(0,IF(ISNUMBER(OFFSET($A$1,ROW()-1,8)),OFFSET($A$1,ROW()-1,8),0)))))</f>
        <v/>
      </c>
      <c r="AE135" s="62">
        <f>IF($V135&lt;&gt;"Sub","",N($X135)*IF(AND(ISNUMBER($G135),$G135&lt;=IF($S135=MesCiclo,InicioCiclo,$S135+MOD(2-WEEKDAY($S135),7))+13),1,MIN(1,MAX(0,IF(ISNUMBER(OFFSET($A$1,ROW()-1,9)),OFFSET($A$1,ROW()-1,9),IF(ISNUMBER(OFFSET($A$1,ROW()-1,8)),OFFSET($A$1,ROW()-1,8),0))))))</f>
        <v/>
      </c>
      <c r="AF135" s="62">
        <f>IF($V135&lt;&gt;"Sub","",N($X135)*IF(AND(ISNUMBER($G135),$G135&lt;=IF($S135=MesCiclo,InicioCiclo,$S135+MOD(2-WEEKDAY($S135),7))+20),1,MIN(1,MAX(0,IF(ISNUMBER(OFFSET($A$1,ROW()-1,10)),OFFSET($A$1,ROW()-1,10),IF(ISNUMBER(OFFSET($A$1,ROW()-1,9)),OFFSET($A$1,ROW()-1,9),IF(ISNUMBER(OFFSET($A$1,ROW()-1,8)),OFFSET($A$1,ROW()-1,8),0)))))))</f>
        <v/>
      </c>
      <c r="AG135" s="62">
        <f>IF($V135&lt;&gt;"Sub","",N($X135)*IF(AND(ISNUMBER($G135),$G135&lt;=IF($S135=MesCiclo,InicioCiclo,$S135+MOD(2-WEEKDAY($S135),7))+27),1,MIN(1,MAX(0,IF(ISNUMBER(OFFSET($A$1,ROW()-1,11)),OFFSET($A$1,ROW()-1,11),IF(ISNUMBER(OFFSET($A$1,ROW()-1,10)),OFFSET($A$1,ROW()-1,10),IF(ISNUMBER(OFFSET($A$1,ROW()-1,9)),OFFSET($A$1,ROW()-1,9),IF(ISNUMBER(OFFSET($A$1,ROW()-1,8)),OFFSET($A$1,ROW()-1,8),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",IFERROR(MATCH("Riesgo Normativo|"&amp;MID($C135,12,500),rDname_ADM,0),0),"")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IF(N($W136)=0,"",IF(AND($S136=MesCiclo,1&gt;SemanaActual),"",MIN(1,SUMIFS(OFFSET($A$1,ROW(),29,1000-ROW(),1),OFFSET($A$1,ROW(),20,1000-ROW(),1),ROW(),OFFSET($A$1,ROW(),21,1000-ROW(),1),"Sub"))))</f>
        <v/>
      </c>
      <c r="J136" s="60">
        <f>IF(N($W136)=0,"",IF(AND($S136=MesCiclo,2&gt;SemanaActual),"",MIN(1,SUMIFS(OFFSET($A$1,ROW(),30,1000-ROW(),1),OFFSET($A$1,ROW(),20,1000-ROW(),1),ROW(),OFFSET($A$1,ROW(),21,1000-ROW(),1),"Sub"))))</f>
        <v/>
      </c>
      <c r="K136" s="60">
        <f>IF(N($W136)=0,"",IF(AND($S136=MesCiclo,3&gt;SemanaActual),"",MIN(1,SUMIFS(OFFSET($A$1,ROW(),31,1000-ROW(),1),OFFSET($A$1,ROW(),20,1000-ROW(),1),ROW(),OFFSET($A$1,ROW(),21,1000-ROW(),1),"Sub"))))</f>
        <v/>
      </c>
      <c r="L136" s="60">
        <f>IF(N($W136)=0,"",IF(AND($S136=MesCiclo,4&gt;SemanaActual),"",MIN(1,SUMIFS(OFFSET($A$1,ROW(),32,1000-ROW(),1),OFFSET($A$1,ROW(),20,1000-ROW(),1),ROW(),OFFSET($A$1,ROW(),21,1000-ROW(),1),"Sub"))))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IF($V136&lt;&gt;"Sub","",N($X136)*IF(AND(ISNUMBER($G136),$G136&lt;=IF($S136=MesCiclo,InicioCiclo,$S136+MOD(2-WEEKDAY($S136),7))+6),1,MIN(1,MAX(0,IF(ISNUMBER(OFFSET($A$1,ROW()-1,8)),OFFSET($A$1,ROW()-1,8),0)))))</f>
        <v/>
      </c>
      <c r="AE136" s="62">
        <f>IF($V136&lt;&gt;"Sub","",N($X136)*IF(AND(ISNUMBER($G136),$G136&lt;=IF($S136=MesCiclo,InicioCiclo,$S136+MOD(2-WEEKDAY($S136),7))+13),1,MIN(1,MAX(0,IF(ISNUMBER(OFFSET($A$1,ROW()-1,9)),OFFSET($A$1,ROW()-1,9),IF(ISNUMBER(OFFSET($A$1,ROW()-1,8)),OFFSET($A$1,ROW()-1,8),0))))))</f>
        <v/>
      </c>
      <c r="AF136" s="62">
        <f>IF($V136&lt;&gt;"Sub","",N($X136)*IF(AND(ISNUMBER($G136),$G136&lt;=IF($S136=MesCiclo,InicioCiclo,$S136+MOD(2-WEEKDAY($S136),7))+20),1,MIN(1,MAX(0,IF(ISNUMBER(OFFSET($A$1,ROW()-1,10)),OFFSET($A$1,ROW()-1,10),IF(ISNUMBER(OFFSET($A$1,ROW()-1,9)),OFFSET($A$1,ROW()-1,9),IF(ISNUMBER(OFFSET($A$1,ROW()-1,8)),OFFSET($A$1,ROW()-1,8),0)))))))</f>
        <v/>
      </c>
      <c r="AG136" s="62">
        <f>IF($V136&lt;&gt;"Sub","",N($X136)*IF(AND(ISNUMBER($G136),$G136&lt;=IF($S136=MesCiclo,InicioCiclo,$S136+MOD(2-WEEKDAY($S136),7))+27),1,MIN(1,MAX(0,IF(ISNUMBER(OFFSET($A$1,ROW()-1,11)),OFFSET($A$1,ROW()-1,11),IF(ISNUMBER(OFFSET($A$1,ROW()-1,10)),OFFSET($A$1,ROW()-1,10),IF(ISNUMBER(OFFSET($A$1,ROW()-1,9)),OFFSET($A$1,ROW()-1,9),IF(ISNUMBER(OFFSET($A$1,ROW()-1,8)),OFFSET($A$1,ROW()-1,8),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",IFERROR(MATCH("Riesgo Normativo|"&amp;MID($C136,12,500),rDname_ADM,0),0),"")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IF(N($W137)=0,"",IF(AND($S137=MesCiclo,1&gt;SemanaActual),"",MIN(1,SUMIFS(OFFSET($A$1,ROW(),29,1000-ROW(),1),OFFSET($A$1,ROW(),20,1000-ROW(),1),ROW(),OFFSET($A$1,ROW(),21,1000-ROW(),1),"Sub"))))</f>
        <v/>
      </c>
      <c r="J137" s="60">
        <f>IF(N($W137)=0,"",IF(AND($S137=MesCiclo,2&gt;SemanaActual),"",MIN(1,SUMIFS(OFFSET($A$1,ROW(),30,1000-ROW(),1),OFFSET($A$1,ROW(),20,1000-ROW(),1),ROW(),OFFSET($A$1,ROW(),21,1000-ROW(),1),"Sub"))))</f>
        <v/>
      </c>
      <c r="K137" s="60">
        <f>IF(N($W137)=0,"",IF(AND($S137=MesCiclo,3&gt;SemanaActual),"",MIN(1,SUMIFS(OFFSET($A$1,ROW(),31,1000-ROW(),1),OFFSET($A$1,ROW(),20,1000-ROW(),1),ROW(),OFFSET($A$1,ROW(),21,1000-ROW(),1),"Sub"))))</f>
        <v/>
      </c>
      <c r="L137" s="60">
        <f>IF(N($W137)=0,"",IF(AND($S137=MesCiclo,4&gt;SemanaActual),"",MIN(1,SUMIFS(OFFSET($A$1,ROW(),32,1000-ROW(),1),OFFSET($A$1,ROW(),20,1000-ROW(),1),ROW(),OFFSET($A$1,ROW(),21,1000-ROW(),1),"Sub"))))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IF($V137&lt;&gt;"Sub","",N($X137)*IF(AND(ISNUMBER($G137),$G137&lt;=IF($S137=MesCiclo,InicioCiclo,$S137+MOD(2-WEEKDAY($S137),7))+6),1,MIN(1,MAX(0,IF(ISNUMBER(OFFSET($A$1,ROW()-1,8)),OFFSET($A$1,ROW()-1,8),0)))))</f>
        <v/>
      </c>
      <c r="AE137" s="62">
        <f>IF($V137&lt;&gt;"Sub","",N($X137)*IF(AND(ISNUMBER($G137),$G137&lt;=IF($S137=MesCiclo,InicioCiclo,$S137+MOD(2-WEEKDAY($S137),7))+13),1,MIN(1,MAX(0,IF(ISNUMBER(OFFSET($A$1,ROW()-1,9)),OFFSET($A$1,ROW()-1,9),IF(ISNUMBER(OFFSET($A$1,ROW()-1,8)),OFFSET($A$1,ROW()-1,8),0))))))</f>
        <v/>
      </c>
      <c r="AF137" s="62">
        <f>IF($V137&lt;&gt;"Sub","",N($X137)*IF(AND(ISNUMBER($G137),$G137&lt;=IF($S137=MesCiclo,InicioCiclo,$S137+MOD(2-WEEKDAY($S137),7))+20),1,MIN(1,MAX(0,IF(ISNUMBER(OFFSET($A$1,ROW()-1,10)),OFFSET($A$1,ROW()-1,10),IF(ISNUMBER(OFFSET($A$1,ROW()-1,9)),OFFSET($A$1,ROW()-1,9),IF(ISNUMBER(OFFSET($A$1,ROW()-1,8)),OFFSET($A$1,ROW()-1,8),0)))))))</f>
        <v/>
      </c>
      <c r="AG137" s="62">
        <f>IF($V137&lt;&gt;"Sub","",N($X137)*IF(AND(ISNUMBER($G137),$G137&lt;=IF($S137=MesCiclo,InicioCiclo,$S137+MOD(2-WEEKDAY($S137),7))+27),1,MIN(1,MAX(0,IF(ISNUMBER(OFFSET($A$1,ROW()-1,11)),OFFSET($A$1,ROW()-1,11),IF(ISNUMBER(OFFSET($A$1,ROW()-1,10)),OFFSET($A$1,ROW()-1,10),IF(ISNUMBER(OFFSET($A$1,ROW()-1,9)),OFFSET($A$1,ROW()-1,9),IF(ISNUMBER(OFFSET($A$1,ROW()-1,8)),OFFSET($A$1,ROW()-1,8),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",IFERROR(MATCH("Riesgo Normativo|"&amp;MID($C137,12,500),rDname_ADM,0),0),"")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IF(N($W138)=0,"",IF(AND($S138=MesCiclo,1&gt;SemanaActual),"",MIN(1,SUMIFS(OFFSET($A$1,ROW(),29,1000-ROW(),1),OFFSET($A$1,ROW(),20,1000-ROW(),1),ROW(),OFFSET($A$1,ROW(),21,1000-ROW(),1),"Sub"))))</f>
        <v/>
      </c>
      <c r="J138" s="60">
        <f>IF(N($W138)=0,"",IF(AND($S138=MesCiclo,2&gt;SemanaActual),"",MIN(1,SUMIFS(OFFSET($A$1,ROW(),30,1000-ROW(),1),OFFSET($A$1,ROW(),20,1000-ROW(),1),ROW(),OFFSET($A$1,ROW(),21,1000-ROW(),1),"Sub"))))</f>
        <v/>
      </c>
      <c r="K138" s="60">
        <f>IF(N($W138)=0,"",IF(AND($S138=MesCiclo,3&gt;SemanaActual),"",MIN(1,SUMIFS(OFFSET($A$1,ROW(),31,1000-ROW(),1),OFFSET($A$1,ROW(),20,1000-ROW(),1),ROW(),OFFSET($A$1,ROW(),21,1000-ROW(),1),"Sub"))))</f>
        <v/>
      </c>
      <c r="L138" s="60">
        <f>IF(N($W138)=0,"",IF(AND($S138=MesCiclo,4&gt;SemanaActual),"",MIN(1,SUMIFS(OFFSET($A$1,ROW(),32,1000-ROW(),1),OFFSET($A$1,ROW(),20,1000-ROW(),1),ROW(),OFFSET($A$1,ROW(),21,1000-ROW(),1),"Sub"))))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IF($V138&lt;&gt;"Sub","",N($X138)*IF(AND(ISNUMBER($G138),$G138&lt;=IF($S138=MesCiclo,InicioCiclo,$S138+MOD(2-WEEKDAY($S138),7))+6),1,MIN(1,MAX(0,IF(ISNUMBER(OFFSET($A$1,ROW()-1,8)),OFFSET($A$1,ROW()-1,8),0)))))</f>
        <v/>
      </c>
      <c r="AE138" s="62">
        <f>IF($V138&lt;&gt;"Sub","",N($X138)*IF(AND(ISNUMBER($G138),$G138&lt;=IF($S138=MesCiclo,InicioCiclo,$S138+MOD(2-WEEKDAY($S138),7))+13),1,MIN(1,MAX(0,IF(ISNUMBER(OFFSET($A$1,ROW()-1,9)),OFFSET($A$1,ROW()-1,9),IF(ISNUMBER(OFFSET($A$1,ROW()-1,8)),OFFSET($A$1,ROW()-1,8),0))))))</f>
        <v/>
      </c>
      <c r="AF138" s="62">
        <f>IF($V138&lt;&gt;"Sub","",N($X138)*IF(AND(ISNUMBER($G138),$G138&lt;=IF($S138=MesCiclo,InicioCiclo,$S138+MOD(2-WEEKDAY($S138),7))+20),1,MIN(1,MAX(0,IF(ISNUMBER(OFFSET($A$1,ROW()-1,10)),OFFSET($A$1,ROW()-1,10),IF(ISNUMBER(OFFSET($A$1,ROW()-1,9)),OFFSET($A$1,ROW()-1,9),IF(ISNUMBER(OFFSET($A$1,ROW()-1,8)),OFFSET($A$1,ROW()-1,8),0)))))))</f>
        <v/>
      </c>
      <c r="AG138" s="62">
        <f>IF($V138&lt;&gt;"Sub","",N($X138)*IF(AND(ISNUMBER($G138),$G138&lt;=IF($S138=MesCiclo,InicioCiclo,$S138+MOD(2-WEEKDAY($S138),7))+27),1,MIN(1,MAX(0,IF(ISNUMBER(OFFSET($A$1,ROW()-1,11)),OFFSET($A$1,ROW()-1,11),IF(ISNUMBER(OFFSET($A$1,ROW()-1,10)),OFFSET($A$1,ROW()-1,10),IF(ISNUMBER(OFFSET($A$1,ROW()-1,9)),OFFSET($A$1,ROW()-1,9),IF(ISNUMBER(OFFSET($A$1,ROW()-1,8)),OFFSET($A$1,ROW()-1,8),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",IFERROR(MATCH("Riesgo Normativo|"&amp;MID($C138,12,500),rDname_ADM,0),0),"")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IF(N($W139)=0,"",IF(AND($S139=MesCiclo,1&gt;SemanaActual),"",MIN(1,SUMIFS(OFFSET($A$1,ROW(),29,1000-ROW(),1),OFFSET($A$1,ROW(),20,1000-ROW(),1),ROW(),OFFSET($A$1,ROW(),21,1000-ROW(),1),"Sub"))))</f>
        <v/>
      </c>
      <c r="J139" s="60">
        <f>IF(N($W139)=0,"",IF(AND($S139=MesCiclo,2&gt;SemanaActual),"",MIN(1,SUMIFS(OFFSET($A$1,ROW(),30,1000-ROW(),1),OFFSET($A$1,ROW(),20,1000-ROW(),1),ROW(),OFFSET($A$1,ROW(),21,1000-ROW(),1),"Sub"))))</f>
        <v/>
      </c>
      <c r="K139" s="60">
        <f>IF(N($W139)=0,"",IF(AND($S139=MesCiclo,3&gt;SemanaActual),"",MIN(1,SUMIFS(OFFSET($A$1,ROW(),31,1000-ROW(),1),OFFSET($A$1,ROW(),20,1000-ROW(),1),ROW(),OFFSET($A$1,ROW(),21,1000-ROW(),1),"Sub"))))</f>
        <v/>
      </c>
      <c r="L139" s="60">
        <f>IF(N($W139)=0,"",IF(AND($S139=MesCiclo,4&gt;SemanaActual),"",MIN(1,SUMIFS(OFFSET($A$1,ROW(),32,1000-ROW(),1),OFFSET($A$1,ROW(),20,1000-ROW(),1),ROW(),OFFSET($A$1,ROW(),21,1000-ROW(),1),"Sub"))))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IF($V139&lt;&gt;"Sub","",N($X139)*IF(AND(ISNUMBER($G139),$G139&lt;=IF($S139=MesCiclo,InicioCiclo,$S139+MOD(2-WEEKDAY($S139),7))+6),1,MIN(1,MAX(0,IF(ISNUMBER(OFFSET($A$1,ROW()-1,8)),OFFSET($A$1,ROW()-1,8),0)))))</f>
        <v/>
      </c>
      <c r="AE139" s="62">
        <f>IF($V139&lt;&gt;"Sub","",N($X139)*IF(AND(ISNUMBER($G139),$G139&lt;=IF($S139=MesCiclo,InicioCiclo,$S139+MOD(2-WEEKDAY($S139),7))+13),1,MIN(1,MAX(0,IF(ISNUMBER(OFFSET($A$1,ROW()-1,9)),OFFSET($A$1,ROW()-1,9),IF(ISNUMBER(OFFSET($A$1,ROW()-1,8)),OFFSET($A$1,ROW()-1,8),0))))))</f>
        <v/>
      </c>
      <c r="AF139" s="62">
        <f>IF($V139&lt;&gt;"Sub","",N($X139)*IF(AND(ISNUMBER($G139),$G139&lt;=IF($S139=MesCiclo,InicioCiclo,$S139+MOD(2-WEEKDAY($S139),7))+20),1,MIN(1,MAX(0,IF(ISNUMBER(OFFSET($A$1,ROW()-1,10)),OFFSET($A$1,ROW()-1,10),IF(ISNUMBER(OFFSET($A$1,ROW()-1,9)),OFFSET($A$1,ROW()-1,9),IF(ISNUMBER(OFFSET($A$1,ROW()-1,8)),OFFSET($A$1,ROW()-1,8),0)))))))</f>
        <v/>
      </c>
      <c r="AG139" s="62">
        <f>IF($V139&lt;&gt;"Sub","",N($X139)*IF(AND(ISNUMBER($G139),$G139&lt;=IF($S139=MesCiclo,InicioCiclo,$S139+MOD(2-WEEKDAY($S139),7))+27),1,MIN(1,MAX(0,IF(ISNUMBER(OFFSET($A$1,ROW()-1,11)),OFFSET($A$1,ROW()-1,11),IF(ISNUMBER(OFFSET($A$1,ROW()-1,10)),OFFSET($A$1,ROW()-1,10),IF(ISNUMBER(OFFSET($A$1,ROW()-1,9)),OFFSET($A$1,ROW()-1,9),IF(ISNUMBER(OFFSET($A$1,ROW()-1,8)),OFFSET($A$1,ROW()-1,8),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",IFERROR(MATCH("Riesgo Normativo|"&amp;MID($C139,12,500),rDname_ADM,0),0),"")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IF(N($W140)=0,"",IF(AND($S140=MesCiclo,1&gt;SemanaActual),"",MIN(1,SUMIFS(OFFSET($A$1,ROW(),29,1000-ROW(),1),OFFSET($A$1,ROW(),20,1000-ROW(),1),ROW(),OFFSET($A$1,ROW(),21,1000-ROW(),1),"Sub"))))</f>
        <v/>
      </c>
      <c r="J140" s="60">
        <f>IF(N($W140)=0,"",IF(AND($S140=MesCiclo,2&gt;SemanaActual),"",MIN(1,SUMIFS(OFFSET($A$1,ROW(),30,1000-ROW(),1),OFFSET($A$1,ROW(),20,1000-ROW(),1),ROW(),OFFSET($A$1,ROW(),21,1000-ROW(),1),"Sub"))))</f>
        <v/>
      </c>
      <c r="K140" s="60">
        <f>IF(N($W140)=0,"",IF(AND($S140=MesCiclo,3&gt;SemanaActual),"",MIN(1,SUMIFS(OFFSET($A$1,ROW(),31,1000-ROW(),1),OFFSET($A$1,ROW(),20,1000-ROW(),1),ROW(),OFFSET($A$1,ROW(),21,1000-ROW(),1),"Sub"))))</f>
        <v/>
      </c>
      <c r="L140" s="60">
        <f>IF(N($W140)=0,"",IF(AND($S140=MesCiclo,4&gt;SemanaActual),"",MIN(1,SUMIFS(OFFSET($A$1,ROW(),32,1000-ROW(),1),OFFSET($A$1,ROW(),20,1000-ROW(),1),ROW(),OFFSET($A$1,ROW(),21,1000-ROW(),1),"Sub"))))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IF($V140&lt;&gt;"Sub","",N($X140)*IF(AND(ISNUMBER($G140),$G140&lt;=IF($S140=MesCiclo,InicioCiclo,$S140+MOD(2-WEEKDAY($S140),7))+6),1,MIN(1,MAX(0,IF(ISNUMBER(OFFSET($A$1,ROW()-1,8)),OFFSET($A$1,ROW()-1,8),0)))))</f>
        <v/>
      </c>
      <c r="AE140" s="62">
        <f>IF($V140&lt;&gt;"Sub","",N($X140)*IF(AND(ISNUMBER($G140),$G140&lt;=IF($S140=MesCiclo,InicioCiclo,$S140+MOD(2-WEEKDAY($S140),7))+13),1,MIN(1,MAX(0,IF(ISNUMBER(OFFSET($A$1,ROW()-1,9)),OFFSET($A$1,ROW()-1,9),IF(ISNUMBER(OFFSET($A$1,ROW()-1,8)),OFFSET($A$1,ROW()-1,8),0))))))</f>
        <v/>
      </c>
      <c r="AF140" s="62">
        <f>IF($V140&lt;&gt;"Sub","",N($X140)*IF(AND(ISNUMBER($G140),$G140&lt;=IF($S140=MesCiclo,InicioCiclo,$S140+MOD(2-WEEKDAY($S140),7))+20),1,MIN(1,MAX(0,IF(ISNUMBER(OFFSET($A$1,ROW()-1,10)),OFFSET($A$1,ROW()-1,10),IF(ISNUMBER(OFFSET($A$1,ROW()-1,9)),OFFSET($A$1,ROW()-1,9),IF(ISNUMBER(OFFSET($A$1,ROW()-1,8)),OFFSET($A$1,ROW()-1,8),0)))))))</f>
        <v/>
      </c>
      <c r="AG140" s="62">
        <f>IF($V140&lt;&gt;"Sub","",N($X140)*IF(AND(ISNUMBER($G140),$G140&lt;=IF($S140=MesCiclo,InicioCiclo,$S140+MOD(2-WEEKDAY($S140),7))+27),1,MIN(1,MAX(0,IF(ISNUMBER(OFFSET($A$1,ROW()-1,11)),OFFSET($A$1,ROW()-1,11),IF(ISNUMBER(OFFSET($A$1,ROW()-1,10)),OFFSET($A$1,ROW()-1,10),IF(ISNUMBER(OFFSET($A$1,ROW()-1,9)),OFFSET($A$1,ROW()-1,9),IF(ISNUMBER(OFFSET($A$1,ROW()-1,8)),OFFSET($A$1,ROW()-1,8),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",IFERROR(MATCH("Riesgo Normativo|"&amp;MID($C140,12,500),rDname_ADM,0),0),"")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IF(N($W141)=0,"",IF(AND($S141=MesCiclo,1&gt;SemanaActual),"",MIN(1,SUMIFS(OFFSET($A$1,ROW(),29,1000-ROW(),1),OFFSET($A$1,ROW(),20,1000-ROW(),1),ROW(),OFFSET($A$1,ROW(),21,1000-ROW(),1),"Sub"))))</f>
        <v/>
      </c>
      <c r="J141" s="60">
        <f>IF(N($W141)=0,"",IF(AND($S141=MesCiclo,2&gt;SemanaActual),"",MIN(1,SUMIFS(OFFSET($A$1,ROW(),30,1000-ROW(),1),OFFSET($A$1,ROW(),20,1000-ROW(),1),ROW(),OFFSET($A$1,ROW(),21,1000-ROW(),1),"Sub"))))</f>
        <v/>
      </c>
      <c r="K141" s="60">
        <f>IF(N($W141)=0,"",IF(AND($S141=MesCiclo,3&gt;SemanaActual),"",MIN(1,SUMIFS(OFFSET($A$1,ROW(),31,1000-ROW(),1),OFFSET($A$1,ROW(),20,1000-ROW(),1),ROW(),OFFSET($A$1,ROW(),21,1000-ROW(),1),"Sub"))))</f>
        <v/>
      </c>
      <c r="L141" s="60">
        <f>IF(N($W141)=0,"",IF(AND($S141=MesCiclo,4&gt;SemanaActual),"",MIN(1,SUMIFS(OFFSET($A$1,ROW(),32,1000-ROW(),1),OFFSET($A$1,ROW(),20,1000-ROW(),1),ROW(),OFFSET($A$1,ROW(),21,1000-ROW(),1),"Sub"))))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IF($V141&lt;&gt;"Sub","",N($X141)*IF(AND(ISNUMBER($G141),$G141&lt;=IF($S141=MesCiclo,InicioCiclo,$S141+MOD(2-WEEKDAY($S141),7))+6),1,MIN(1,MAX(0,IF(ISNUMBER(OFFSET($A$1,ROW()-1,8)),OFFSET($A$1,ROW()-1,8),0)))))</f>
        <v/>
      </c>
      <c r="AE141" s="62">
        <f>IF($V141&lt;&gt;"Sub","",N($X141)*IF(AND(ISNUMBER($G141),$G141&lt;=IF($S141=MesCiclo,InicioCiclo,$S141+MOD(2-WEEKDAY($S141),7))+13),1,MIN(1,MAX(0,IF(ISNUMBER(OFFSET($A$1,ROW()-1,9)),OFFSET($A$1,ROW()-1,9),IF(ISNUMBER(OFFSET($A$1,ROW()-1,8)),OFFSET($A$1,ROW()-1,8),0))))))</f>
        <v/>
      </c>
      <c r="AF141" s="62">
        <f>IF($V141&lt;&gt;"Sub","",N($X141)*IF(AND(ISNUMBER($G141),$G141&lt;=IF($S141=MesCiclo,InicioCiclo,$S141+MOD(2-WEEKDAY($S141),7))+20),1,MIN(1,MAX(0,IF(ISNUMBER(OFFSET($A$1,ROW()-1,10)),OFFSET($A$1,ROW()-1,10),IF(ISNUMBER(OFFSET($A$1,ROW()-1,9)),OFFSET($A$1,ROW()-1,9),IF(ISNUMBER(OFFSET($A$1,ROW()-1,8)),OFFSET($A$1,ROW()-1,8),0)))))))</f>
        <v/>
      </c>
      <c r="AG141" s="62">
        <f>IF($V141&lt;&gt;"Sub","",N($X141)*IF(AND(ISNUMBER($G141),$G141&lt;=IF($S141=MesCiclo,InicioCiclo,$S141+MOD(2-WEEKDAY($S141),7))+27),1,MIN(1,MAX(0,IF(ISNUMBER(OFFSET($A$1,ROW()-1,11)),OFFSET($A$1,ROW()-1,11),IF(ISNUMBER(OFFSET($A$1,ROW()-1,10)),OFFSET($A$1,ROW()-1,10),IF(ISNUMBER(OFFSET($A$1,ROW()-1,9)),OFFSET($A$1,ROW()-1,9),IF(ISNUMBER(OFFSET($A$1,ROW()-1,8)),OFFSET($A$1,ROW()-1,8),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",IFERROR(MATCH("Riesgo Normativo|"&amp;MID($C141,12,500),rDname_ADM,0),0),"")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IF(N($W142)=0,"",IF(AND($S142=MesCiclo,1&gt;SemanaActual),"",MIN(1,SUMIFS(OFFSET($A$1,ROW(),29,1000-ROW(),1),OFFSET($A$1,ROW(),20,1000-ROW(),1),ROW(),OFFSET($A$1,ROW(),21,1000-ROW(),1),"Sub"))))</f>
        <v/>
      </c>
      <c r="J142" s="60">
        <f>IF(N($W142)=0,"",IF(AND($S142=MesCiclo,2&gt;SemanaActual),"",MIN(1,SUMIFS(OFFSET($A$1,ROW(),30,1000-ROW(),1),OFFSET($A$1,ROW(),20,1000-ROW(),1),ROW(),OFFSET($A$1,ROW(),21,1000-ROW(),1),"Sub"))))</f>
        <v/>
      </c>
      <c r="K142" s="60">
        <f>IF(N($W142)=0,"",IF(AND($S142=MesCiclo,3&gt;SemanaActual),"",MIN(1,SUMIFS(OFFSET($A$1,ROW(),31,1000-ROW(),1),OFFSET($A$1,ROW(),20,1000-ROW(),1),ROW(),OFFSET($A$1,ROW(),21,1000-ROW(),1),"Sub"))))</f>
        <v/>
      </c>
      <c r="L142" s="60">
        <f>IF(N($W142)=0,"",IF(AND($S142=MesCiclo,4&gt;SemanaActual),"",MIN(1,SUMIFS(OFFSET($A$1,ROW(),32,1000-ROW(),1),OFFSET($A$1,ROW(),20,1000-ROW(),1),ROW(),OFFSET($A$1,ROW(),21,1000-ROW(),1),"Sub"))))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IF($V142&lt;&gt;"Sub","",N($X142)*IF(AND(ISNUMBER($G142),$G142&lt;=IF($S142=MesCiclo,InicioCiclo,$S142+MOD(2-WEEKDAY($S142),7))+6),1,MIN(1,MAX(0,IF(ISNUMBER(OFFSET($A$1,ROW()-1,8)),OFFSET($A$1,ROW()-1,8),0)))))</f>
        <v/>
      </c>
      <c r="AE142" s="62">
        <f>IF($V142&lt;&gt;"Sub","",N($X142)*IF(AND(ISNUMBER($G142),$G142&lt;=IF($S142=MesCiclo,InicioCiclo,$S142+MOD(2-WEEKDAY($S142),7))+13),1,MIN(1,MAX(0,IF(ISNUMBER(OFFSET($A$1,ROW()-1,9)),OFFSET($A$1,ROW()-1,9),IF(ISNUMBER(OFFSET($A$1,ROW()-1,8)),OFFSET($A$1,ROW()-1,8),0))))))</f>
        <v/>
      </c>
      <c r="AF142" s="62">
        <f>IF($V142&lt;&gt;"Sub","",N($X142)*IF(AND(ISNUMBER($G142),$G142&lt;=IF($S142=MesCiclo,InicioCiclo,$S142+MOD(2-WEEKDAY($S142),7))+20),1,MIN(1,MAX(0,IF(ISNUMBER(OFFSET($A$1,ROW()-1,10)),OFFSET($A$1,ROW()-1,10),IF(ISNUMBER(OFFSET($A$1,ROW()-1,9)),OFFSET($A$1,ROW()-1,9),IF(ISNUMBER(OFFSET($A$1,ROW()-1,8)),OFFSET($A$1,ROW()-1,8),0)))))))</f>
        <v/>
      </c>
      <c r="AG142" s="62">
        <f>IF($V142&lt;&gt;"Sub","",N($X142)*IF(AND(ISNUMBER($G142),$G142&lt;=IF($S142=MesCiclo,InicioCiclo,$S142+MOD(2-WEEKDAY($S142),7))+27),1,MIN(1,MAX(0,IF(ISNUMBER(OFFSET($A$1,ROW()-1,11)),OFFSET($A$1,ROW()-1,11),IF(ISNUMBER(OFFSET($A$1,ROW()-1,10)),OFFSET($A$1,ROW()-1,10),IF(ISNUMBER(OFFSET($A$1,ROW()-1,9)),OFFSET($A$1,ROW()-1,9),IF(ISNUMBER(OFFSET($A$1,ROW()-1,8)),OFFSET($A$1,ROW()-1,8),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",IFERROR(MATCH("Riesgo Normativo|"&amp;MID($C142,12,500),rDname_ADM,0),0),"")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IF(N($W143)=0,"",IF(AND($S143=MesCiclo,1&gt;SemanaActual),"",MIN(1,SUMIFS(OFFSET($A$1,ROW(),29,1000-ROW(),1),OFFSET($A$1,ROW(),20,1000-ROW(),1),ROW(),OFFSET($A$1,ROW(),21,1000-ROW(),1),"Sub"))))</f>
        <v/>
      </c>
      <c r="J143" s="60">
        <f>IF(N($W143)=0,"",IF(AND($S143=MesCiclo,2&gt;SemanaActual),"",MIN(1,SUMIFS(OFFSET($A$1,ROW(),30,1000-ROW(),1),OFFSET($A$1,ROW(),20,1000-ROW(),1),ROW(),OFFSET($A$1,ROW(),21,1000-ROW(),1),"Sub"))))</f>
        <v/>
      </c>
      <c r="K143" s="60">
        <f>IF(N($W143)=0,"",IF(AND($S143=MesCiclo,3&gt;SemanaActual),"",MIN(1,SUMIFS(OFFSET($A$1,ROW(),31,1000-ROW(),1),OFFSET($A$1,ROW(),20,1000-ROW(),1),ROW(),OFFSET($A$1,ROW(),21,1000-ROW(),1),"Sub"))))</f>
        <v/>
      </c>
      <c r="L143" s="60">
        <f>IF(N($W143)=0,"",IF(AND($S143=MesCiclo,4&gt;SemanaActual),"",MIN(1,SUMIFS(OFFSET($A$1,ROW(),32,1000-ROW(),1),OFFSET($A$1,ROW(),20,1000-ROW(),1),ROW(),OFFSET($A$1,ROW(),21,1000-ROW(),1),"Sub"))))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IF($V143&lt;&gt;"Sub","",N($X143)*IF(AND(ISNUMBER($G143),$G143&lt;=IF($S143=MesCiclo,InicioCiclo,$S143+MOD(2-WEEKDAY($S143),7))+6),1,MIN(1,MAX(0,IF(ISNUMBER(OFFSET($A$1,ROW()-1,8)),OFFSET($A$1,ROW()-1,8),0)))))</f>
        <v/>
      </c>
      <c r="AE143" s="62">
        <f>IF($V143&lt;&gt;"Sub","",N($X143)*IF(AND(ISNUMBER($G143),$G143&lt;=IF($S143=MesCiclo,InicioCiclo,$S143+MOD(2-WEEKDAY($S143),7))+13),1,MIN(1,MAX(0,IF(ISNUMBER(OFFSET($A$1,ROW()-1,9)),OFFSET($A$1,ROW()-1,9),IF(ISNUMBER(OFFSET($A$1,ROW()-1,8)),OFFSET($A$1,ROW()-1,8),0))))))</f>
        <v/>
      </c>
      <c r="AF143" s="62">
        <f>IF($V143&lt;&gt;"Sub","",N($X143)*IF(AND(ISNUMBER($G143),$G143&lt;=IF($S143=MesCiclo,InicioCiclo,$S143+MOD(2-WEEKDAY($S143),7))+20),1,MIN(1,MAX(0,IF(ISNUMBER(OFFSET($A$1,ROW()-1,10)),OFFSET($A$1,ROW()-1,10),IF(ISNUMBER(OFFSET($A$1,ROW()-1,9)),OFFSET($A$1,ROW()-1,9),IF(ISNUMBER(OFFSET($A$1,ROW()-1,8)),OFFSET($A$1,ROW()-1,8),0)))))))</f>
        <v/>
      </c>
      <c r="AG143" s="62">
        <f>IF($V143&lt;&gt;"Sub","",N($X143)*IF(AND(ISNUMBER($G143),$G143&lt;=IF($S143=MesCiclo,InicioCiclo,$S143+MOD(2-WEEKDAY($S143),7))+27),1,MIN(1,MAX(0,IF(ISNUMBER(OFFSET($A$1,ROW()-1,11)),OFFSET($A$1,ROW()-1,11),IF(ISNUMBER(OFFSET($A$1,ROW()-1,10)),OFFSET($A$1,ROW()-1,10),IF(ISNUMBER(OFFSET($A$1,ROW()-1,9)),OFFSET($A$1,ROW()-1,9),IF(ISNUMBER(OFFSET($A$1,ROW()-1,8)),OFFSET($A$1,ROW()-1,8),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",IFERROR(MATCH("Riesgo Normativo|"&amp;MID($C143,12,500),rDname_ADM,0),0),"")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IF(N($W144)=0,"",IF(AND($S144=MesCiclo,1&gt;SemanaActual),"",MIN(1,SUMIFS(OFFSET($A$1,ROW(),29,1000-ROW(),1),OFFSET($A$1,ROW(),20,1000-ROW(),1),ROW(),OFFSET($A$1,ROW(),21,1000-ROW(),1),"Sub"))))</f>
        <v/>
      </c>
      <c r="J144" s="60">
        <f>IF(N($W144)=0,"",IF(AND($S144=MesCiclo,2&gt;SemanaActual),"",MIN(1,SUMIFS(OFFSET($A$1,ROW(),30,1000-ROW(),1),OFFSET($A$1,ROW(),20,1000-ROW(),1),ROW(),OFFSET($A$1,ROW(),21,1000-ROW(),1),"Sub"))))</f>
        <v/>
      </c>
      <c r="K144" s="60">
        <f>IF(N($W144)=0,"",IF(AND($S144=MesCiclo,3&gt;SemanaActual),"",MIN(1,SUMIFS(OFFSET($A$1,ROW(),31,1000-ROW(),1),OFFSET($A$1,ROW(),20,1000-ROW(),1),ROW(),OFFSET($A$1,ROW(),21,1000-ROW(),1),"Sub"))))</f>
        <v/>
      </c>
      <c r="L144" s="60">
        <f>IF(N($W144)=0,"",IF(AND($S144=MesCiclo,4&gt;SemanaActual),"",MIN(1,SUMIFS(OFFSET($A$1,ROW(),32,1000-ROW(),1),OFFSET($A$1,ROW(),20,1000-ROW(),1),ROW(),OFFSET($A$1,ROW(),21,1000-ROW(),1),"Sub"))))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IF($V144&lt;&gt;"Sub","",N($X144)*IF(AND(ISNUMBER($G144),$G144&lt;=IF($S144=MesCiclo,InicioCiclo,$S144+MOD(2-WEEKDAY($S144),7))+6),1,MIN(1,MAX(0,IF(ISNUMBER(OFFSET($A$1,ROW()-1,8)),OFFSET($A$1,ROW()-1,8),0)))))</f>
        <v/>
      </c>
      <c r="AE144" s="62">
        <f>IF($V144&lt;&gt;"Sub","",N($X144)*IF(AND(ISNUMBER($G144),$G144&lt;=IF($S144=MesCiclo,InicioCiclo,$S144+MOD(2-WEEKDAY($S144),7))+13),1,MIN(1,MAX(0,IF(ISNUMBER(OFFSET($A$1,ROW()-1,9)),OFFSET($A$1,ROW()-1,9),IF(ISNUMBER(OFFSET($A$1,ROW()-1,8)),OFFSET($A$1,ROW()-1,8),0))))))</f>
        <v/>
      </c>
      <c r="AF144" s="62">
        <f>IF($V144&lt;&gt;"Sub","",N($X144)*IF(AND(ISNUMBER($G144),$G144&lt;=IF($S144=MesCiclo,InicioCiclo,$S144+MOD(2-WEEKDAY($S144),7))+20),1,MIN(1,MAX(0,IF(ISNUMBER(OFFSET($A$1,ROW()-1,10)),OFFSET($A$1,ROW()-1,10),IF(ISNUMBER(OFFSET($A$1,ROW()-1,9)),OFFSET($A$1,ROW()-1,9),IF(ISNUMBER(OFFSET($A$1,ROW()-1,8)),OFFSET($A$1,ROW()-1,8),0)))))))</f>
        <v/>
      </c>
      <c r="AG144" s="62">
        <f>IF($V144&lt;&gt;"Sub","",N($X144)*IF(AND(ISNUMBER($G144),$G144&lt;=IF($S144=MesCiclo,InicioCiclo,$S144+MOD(2-WEEKDAY($S144),7))+27),1,MIN(1,MAX(0,IF(ISNUMBER(OFFSET($A$1,ROW()-1,11)),OFFSET($A$1,ROW()-1,11),IF(ISNUMBER(OFFSET($A$1,ROW()-1,10)),OFFSET($A$1,ROW()-1,10),IF(ISNUMBER(OFFSET($A$1,ROW()-1,9)),OFFSET($A$1,ROW()-1,9),IF(ISNUMBER(OFFSET($A$1,ROW()-1,8)),OFFSET($A$1,ROW()-1,8),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",IFERROR(MATCH("Riesgo Normativo|"&amp;MID($C144,12,500),rDname_ADM,0),0),"")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IF(N($W145)=0,"",IF(AND($S145=MesCiclo,1&gt;SemanaActual),"",MIN(1,SUMIFS(OFFSET($A$1,ROW(),29,1000-ROW(),1),OFFSET($A$1,ROW(),20,1000-ROW(),1),ROW(),OFFSET($A$1,ROW(),21,1000-ROW(),1),"Sub"))))</f>
        <v/>
      </c>
      <c r="J145" s="60">
        <f>IF(N($W145)=0,"",IF(AND($S145=MesCiclo,2&gt;SemanaActual),"",MIN(1,SUMIFS(OFFSET($A$1,ROW(),30,1000-ROW(),1),OFFSET($A$1,ROW(),20,1000-ROW(),1),ROW(),OFFSET($A$1,ROW(),21,1000-ROW(),1),"Sub"))))</f>
        <v/>
      </c>
      <c r="K145" s="60">
        <f>IF(N($W145)=0,"",IF(AND($S145=MesCiclo,3&gt;SemanaActual),"",MIN(1,SUMIFS(OFFSET($A$1,ROW(),31,1000-ROW(),1),OFFSET($A$1,ROW(),20,1000-ROW(),1),ROW(),OFFSET($A$1,ROW(),21,1000-ROW(),1),"Sub"))))</f>
        <v/>
      </c>
      <c r="L145" s="60">
        <f>IF(N($W145)=0,"",IF(AND($S145=MesCiclo,4&gt;SemanaActual),"",MIN(1,SUMIFS(OFFSET($A$1,ROW(),32,1000-ROW(),1),OFFSET($A$1,ROW(),20,1000-ROW(),1),ROW(),OFFSET($A$1,ROW(),21,1000-ROW(),1),"Sub"))))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IF($V145&lt;&gt;"Sub","",N($X145)*IF(AND(ISNUMBER($G145),$G145&lt;=IF($S145=MesCiclo,InicioCiclo,$S145+MOD(2-WEEKDAY($S145),7))+6),1,MIN(1,MAX(0,IF(ISNUMBER(OFFSET($A$1,ROW()-1,8)),OFFSET($A$1,ROW()-1,8),0)))))</f>
        <v/>
      </c>
      <c r="AE145" s="62">
        <f>IF($V145&lt;&gt;"Sub","",N($X145)*IF(AND(ISNUMBER($G145),$G145&lt;=IF($S145=MesCiclo,InicioCiclo,$S145+MOD(2-WEEKDAY($S145),7))+13),1,MIN(1,MAX(0,IF(ISNUMBER(OFFSET($A$1,ROW()-1,9)),OFFSET($A$1,ROW()-1,9),IF(ISNUMBER(OFFSET($A$1,ROW()-1,8)),OFFSET($A$1,ROW()-1,8),0))))))</f>
        <v/>
      </c>
      <c r="AF145" s="62">
        <f>IF($V145&lt;&gt;"Sub","",N($X145)*IF(AND(ISNUMBER($G145),$G145&lt;=IF($S145=MesCiclo,InicioCiclo,$S145+MOD(2-WEEKDAY($S145),7))+20),1,MIN(1,MAX(0,IF(ISNUMBER(OFFSET($A$1,ROW()-1,10)),OFFSET($A$1,ROW()-1,10),IF(ISNUMBER(OFFSET($A$1,ROW()-1,9)),OFFSET($A$1,ROW()-1,9),IF(ISNUMBER(OFFSET($A$1,ROW()-1,8)),OFFSET($A$1,ROW()-1,8),0)))))))</f>
        <v/>
      </c>
      <c r="AG145" s="62">
        <f>IF($V145&lt;&gt;"Sub","",N($X145)*IF(AND(ISNUMBER($G145),$G145&lt;=IF($S145=MesCiclo,InicioCiclo,$S145+MOD(2-WEEKDAY($S145),7))+27),1,MIN(1,MAX(0,IF(ISNUMBER(OFFSET($A$1,ROW()-1,11)),OFFSET($A$1,ROW()-1,11),IF(ISNUMBER(OFFSET($A$1,ROW()-1,10)),OFFSET($A$1,ROW()-1,10),IF(ISNUMBER(OFFSET($A$1,ROW()-1,9)),OFFSET($A$1,ROW()-1,9),IF(ISNUMBER(OFFSET($A$1,ROW()-1,8)),OFFSET($A$1,ROW()-1,8),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",IFERROR(MATCH("Riesgo Normativo|"&amp;MID($C145,12,500),rDname_ADM,0),0),"")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IF(N($W146)=0,"",IF(AND($S146=MesCiclo,1&gt;SemanaActual),"",MIN(1,SUMIFS(OFFSET($A$1,ROW(),29,1000-ROW(),1),OFFSET($A$1,ROW(),20,1000-ROW(),1),ROW(),OFFSET($A$1,ROW(),21,1000-ROW(),1),"Sub"))))</f>
        <v/>
      </c>
      <c r="J146" s="60">
        <f>IF(N($W146)=0,"",IF(AND($S146=MesCiclo,2&gt;SemanaActual),"",MIN(1,SUMIFS(OFFSET($A$1,ROW(),30,1000-ROW(),1),OFFSET($A$1,ROW(),20,1000-ROW(),1),ROW(),OFFSET($A$1,ROW(),21,1000-ROW(),1),"Sub"))))</f>
        <v/>
      </c>
      <c r="K146" s="60">
        <f>IF(N($W146)=0,"",IF(AND($S146=MesCiclo,3&gt;SemanaActual),"",MIN(1,SUMIFS(OFFSET($A$1,ROW(),31,1000-ROW(),1),OFFSET($A$1,ROW(),20,1000-ROW(),1),ROW(),OFFSET($A$1,ROW(),21,1000-ROW(),1),"Sub"))))</f>
        <v/>
      </c>
      <c r="L146" s="60">
        <f>IF(N($W146)=0,"",IF(AND($S146=MesCiclo,4&gt;SemanaActual),"",MIN(1,SUMIFS(OFFSET($A$1,ROW(),32,1000-ROW(),1),OFFSET($A$1,ROW(),20,1000-ROW(),1),ROW(),OFFSET($A$1,ROW(),21,1000-ROW(),1),"Sub"))))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IF($V146&lt;&gt;"Sub","",N($X146)*IF(AND(ISNUMBER($G146),$G146&lt;=IF($S146=MesCiclo,InicioCiclo,$S146+MOD(2-WEEKDAY($S146),7))+6),1,MIN(1,MAX(0,IF(ISNUMBER(OFFSET($A$1,ROW()-1,8)),OFFSET($A$1,ROW()-1,8),0)))))</f>
        <v/>
      </c>
      <c r="AE146" s="62">
        <f>IF($V146&lt;&gt;"Sub","",N($X146)*IF(AND(ISNUMBER($G146),$G146&lt;=IF($S146=MesCiclo,InicioCiclo,$S146+MOD(2-WEEKDAY($S146),7))+13),1,MIN(1,MAX(0,IF(ISNUMBER(OFFSET($A$1,ROW()-1,9)),OFFSET($A$1,ROW()-1,9),IF(ISNUMBER(OFFSET($A$1,ROW()-1,8)),OFFSET($A$1,ROW()-1,8),0))))))</f>
        <v/>
      </c>
      <c r="AF146" s="62">
        <f>IF($V146&lt;&gt;"Sub","",N($X146)*IF(AND(ISNUMBER($G146),$G146&lt;=IF($S146=MesCiclo,InicioCiclo,$S146+MOD(2-WEEKDAY($S146),7))+20),1,MIN(1,MAX(0,IF(ISNUMBER(OFFSET($A$1,ROW()-1,10)),OFFSET($A$1,ROW()-1,10),IF(ISNUMBER(OFFSET($A$1,ROW()-1,9)),OFFSET($A$1,ROW()-1,9),IF(ISNUMBER(OFFSET($A$1,ROW()-1,8)),OFFSET($A$1,ROW()-1,8),0)))))))</f>
        <v/>
      </c>
      <c r="AG146" s="62">
        <f>IF($V146&lt;&gt;"Sub","",N($X146)*IF(AND(ISNUMBER($G146),$G146&lt;=IF($S146=MesCiclo,InicioCiclo,$S146+MOD(2-WEEKDAY($S146),7))+27),1,MIN(1,MAX(0,IF(ISNUMBER(OFFSET($A$1,ROW()-1,11)),OFFSET($A$1,ROW()-1,11),IF(ISNUMBER(OFFSET($A$1,ROW()-1,10)),OFFSET($A$1,ROW()-1,10),IF(ISNUMBER(OFFSET($A$1,ROW()-1,9)),OFFSET($A$1,ROW()-1,9),IF(ISNUMBER(OFFSET($A$1,ROW()-1,8)),OFFSET($A$1,ROW()-1,8),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",IFERROR(MATCH("Riesgo Normativo|"&amp;MID($C146,12,500),rDname_ADM,0),0),"")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IF(N($W147)=0,"",IF(AND($S147=MesCiclo,1&gt;SemanaActual),"",MIN(1,SUMIFS(OFFSET($A$1,ROW(),29,1000-ROW(),1),OFFSET($A$1,ROW(),20,1000-ROW(),1),ROW(),OFFSET($A$1,ROW(),21,1000-ROW(),1),"Sub"))))</f>
        <v/>
      </c>
      <c r="J147" s="60">
        <f>IF(N($W147)=0,"",IF(AND($S147=MesCiclo,2&gt;SemanaActual),"",MIN(1,SUMIFS(OFFSET($A$1,ROW(),30,1000-ROW(),1),OFFSET($A$1,ROW(),20,1000-ROW(),1),ROW(),OFFSET($A$1,ROW(),21,1000-ROW(),1),"Sub"))))</f>
        <v/>
      </c>
      <c r="K147" s="60">
        <f>IF(N($W147)=0,"",IF(AND($S147=MesCiclo,3&gt;SemanaActual),"",MIN(1,SUMIFS(OFFSET($A$1,ROW(),31,1000-ROW(),1),OFFSET($A$1,ROW(),20,1000-ROW(),1),ROW(),OFFSET($A$1,ROW(),21,1000-ROW(),1),"Sub"))))</f>
        <v/>
      </c>
      <c r="L147" s="60">
        <f>IF(N($W147)=0,"",IF(AND($S147=MesCiclo,4&gt;SemanaActual),"",MIN(1,SUMIFS(OFFSET($A$1,ROW(),32,1000-ROW(),1),OFFSET($A$1,ROW(),20,1000-ROW(),1),ROW(),OFFSET($A$1,ROW(),21,1000-ROW(),1),"Sub"))))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IF($V147&lt;&gt;"Sub","",N($X147)*IF(AND(ISNUMBER($G147),$G147&lt;=IF($S147=MesCiclo,InicioCiclo,$S147+MOD(2-WEEKDAY($S147),7))+6),1,MIN(1,MAX(0,IF(ISNUMBER(OFFSET($A$1,ROW()-1,8)),OFFSET($A$1,ROW()-1,8),0)))))</f>
        <v/>
      </c>
      <c r="AE147" s="62">
        <f>IF($V147&lt;&gt;"Sub","",N($X147)*IF(AND(ISNUMBER($G147),$G147&lt;=IF($S147=MesCiclo,InicioCiclo,$S147+MOD(2-WEEKDAY($S147),7))+13),1,MIN(1,MAX(0,IF(ISNUMBER(OFFSET($A$1,ROW()-1,9)),OFFSET($A$1,ROW()-1,9),IF(ISNUMBER(OFFSET($A$1,ROW()-1,8)),OFFSET($A$1,ROW()-1,8),0))))))</f>
        <v/>
      </c>
      <c r="AF147" s="62">
        <f>IF($V147&lt;&gt;"Sub","",N($X147)*IF(AND(ISNUMBER($G147),$G147&lt;=IF($S147=MesCiclo,InicioCiclo,$S147+MOD(2-WEEKDAY($S147),7))+20),1,MIN(1,MAX(0,IF(ISNUMBER(OFFSET($A$1,ROW()-1,10)),OFFSET($A$1,ROW()-1,10),IF(ISNUMBER(OFFSET($A$1,ROW()-1,9)),OFFSET($A$1,ROW()-1,9),IF(ISNUMBER(OFFSET($A$1,ROW()-1,8)),OFFSET($A$1,ROW()-1,8),0)))))))</f>
        <v/>
      </c>
      <c r="AG147" s="62">
        <f>IF($V147&lt;&gt;"Sub","",N($X147)*IF(AND(ISNUMBER($G147),$G147&lt;=IF($S147=MesCiclo,InicioCiclo,$S147+MOD(2-WEEKDAY($S147),7))+27),1,MIN(1,MAX(0,IF(ISNUMBER(OFFSET($A$1,ROW()-1,11)),OFFSET($A$1,ROW()-1,11),IF(ISNUMBER(OFFSET($A$1,ROW()-1,10)),OFFSET($A$1,ROW()-1,10),IF(ISNUMBER(OFFSET($A$1,ROW()-1,9)),OFFSET($A$1,ROW()-1,9),IF(ISNUMBER(OFFSET($A$1,ROW()-1,8)),OFFSET($A$1,ROW()-1,8),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",IFERROR(MATCH("Riesgo Normativo|"&amp;MID($C147,12,500),rDname_ADM,0),0),"")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IF(N($W148)=0,"",IF(AND($S148=MesCiclo,1&gt;SemanaActual),"",MIN(1,SUMIFS(OFFSET($A$1,ROW(),29,1000-ROW(),1),OFFSET($A$1,ROW(),20,1000-ROW(),1),ROW(),OFFSET($A$1,ROW(),21,1000-ROW(),1),"Sub"))))</f>
        <v/>
      </c>
      <c r="J148" s="60">
        <f>IF(N($W148)=0,"",IF(AND($S148=MesCiclo,2&gt;SemanaActual),"",MIN(1,SUMIFS(OFFSET($A$1,ROW(),30,1000-ROW(),1),OFFSET($A$1,ROW(),20,1000-ROW(),1),ROW(),OFFSET($A$1,ROW(),21,1000-ROW(),1),"Sub"))))</f>
        <v/>
      </c>
      <c r="K148" s="60">
        <f>IF(N($W148)=0,"",IF(AND($S148=MesCiclo,3&gt;SemanaActual),"",MIN(1,SUMIFS(OFFSET($A$1,ROW(),31,1000-ROW(),1),OFFSET($A$1,ROW(),20,1000-ROW(),1),ROW(),OFFSET($A$1,ROW(),21,1000-ROW(),1),"Sub"))))</f>
        <v/>
      </c>
      <c r="L148" s="60">
        <f>IF(N($W148)=0,"",IF(AND($S148=MesCiclo,4&gt;SemanaActual),"",MIN(1,SUMIFS(OFFSET($A$1,ROW(),32,1000-ROW(),1),OFFSET($A$1,ROW(),20,1000-ROW(),1),ROW(),OFFSET($A$1,ROW(),21,1000-ROW(),1),"Sub"))))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IF($V148&lt;&gt;"Sub","",N($X148)*IF(AND(ISNUMBER($G148),$G148&lt;=IF($S148=MesCiclo,InicioCiclo,$S148+MOD(2-WEEKDAY($S148),7))+6),1,MIN(1,MAX(0,IF(ISNUMBER(OFFSET($A$1,ROW()-1,8)),OFFSET($A$1,ROW()-1,8),0)))))</f>
        <v/>
      </c>
      <c r="AE148" s="62">
        <f>IF($V148&lt;&gt;"Sub","",N($X148)*IF(AND(ISNUMBER($G148),$G148&lt;=IF($S148=MesCiclo,InicioCiclo,$S148+MOD(2-WEEKDAY($S148),7))+13),1,MIN(1,MAX(0,IF(ISNUMBER(OFFSET($A$1,ROW()-1,9)),OFFSET($A$1,ROW()-1,9),IF(ISNUMBER(OFFSET($A$1,ROW()-1,8)),OFFSET($A$1,ROW()-1,8),0))))))</f>
        <v/>
      </c>
      <c r="AF148" s="62">
        <f>IF($V148&lt;&gt;"Sub","",N($X148)*IF(AND(ISNUMBER($G148),$G148&lt;=IF($S148=MesCiclo,InicioCiclo,$S148+MOD(2-WEEKDAY($S148),7))+20),1,MIN(1,MAX(0,IF(ISNUMBER(OFFSET($A$1,ROW()-1,10)),OFFSET($A$1,ROW()-1,10),IF(ISNUMBER(OFFSET($A$1,ROW()-1,9)),OFFSET($A$1,ROW()-1,9),IF(ISNUMBER(OFFSET($A$1,ROW()-1,8)),OFFSET($A$1,ROW()-1,8),0)))))))</f>
        <v/>
      </c>
      <c r="AG148" s="62">
        <f>IF($V148&lt;&gt;"Sub","",N($X148)*IF(AND(ISNUMBER($G148),$G148&lt;=IF($S148=MesCiclo,InicioCiclo,$S148+MOD(2-WEEKDAY($S148),7))+27),1,MIN(1,MAX(0,IF(ISNUMBER(OFFSET($A$1,ROW()-1,11)),OFFSET($A$1,ROW()-1,11),IF(ISNUMBER(OFFSET($A$1,ROW()-1,10)),OFFSET($A$1,ROW()-1,10),IF(ISNUMBER(OFFSET($A$1,ROW()-1,9)),OFFSET($A$1,ROW()-1,9),IF(ISNUMBER(OFFSET($A$1,ROW()-1,8)),OFFSET($A$1,ROW()-1,8),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",IFERROR(MATCH("Riesgo Normativo|"&amp;MID($C148,12,500),rDname_ADM,0),0),"")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IF(N($W149)=0,"",IF(AND($S149=MesCiclo,1&gt;SemanaActual),"",MIN(1,SUMIFS(OFFSET($A$1,ROW(),29,1000-ROW(),1),OFFSET($A$1,ROW(),20,1000-ROW(),1),ROW(),OFFSET($A$1,ROW(),21,1000-ROW(),1),"Sub"))))</f>
        <v/>
      </c>
      <c r="J149" s="60">
        <f>IF(N($W149)=0,"",IF(AND($S149=MesCiclo,2&gt;SemanaActual),"",MIN(1,SUMIFS(OFFSET($A$1,ROW(),30,1000-ROW(),1),OFFSET($A$1,ROW(),20,1000-ROW(),1),ROW(),OFFSET($A$1,ROW(),21,1000-ROW(),1),"Sub"))))</f>
        <v/>
      </c>
      <c r="K149" s="60">
        <f>IF(N($W149)=0,"",IF(AND($S149=MesCiclo,3&gt;SemanaActual),"",MIN(1,SUMIFS(OFFSET($A$1,ROW(),31,1000-ROW(),1),OFFSET($A$1,ROW(),20,1000-ROW(),1),ROW(),OFFSET($A$1,ROW(),21,1000-ROW(),1),"Sub"))))</f>
        <v/>
      </c>
      <c r="L149" s="60">
        <f>IF(N($W149)=0,"",IF(AND($S149=MesCiclo,4&gt;SemanaActual),"",MIN(1,SUMIFS(OFFSET($A$1,ROW(),32,1000-ROW(),1),OFFSET($A$1,ROW(),20,1000-ROW(),1),ROW(),OFFSET($A$1,ROW(),21,1000-ROW(),1),"Sub"))))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IF($V149&lt;&gt;"Sub","",N($X149)*IF(AND(ISNUMBER($G149),$G149&lt;=IF($S149=MesCiclo,InicioCiclo,$S149+MOD(2-WEEKDAY($S149),7))+6),1,MIN(1,MAX(0,IF(ISNUMBER(OFFSET($A$1,ROW()-1,8)),OFFSET($A$1,ROW()-1,8),0)))))</f>
        <v/>
      </c>
      <c r="AE149" s="62">
        <f>IF($V149&lt;&gt;"Sub","",N($X149)*IF(AND(ISNUMBER($G149),$G149&lt;=IF($S149=MesCiclo,InicioCiclo,$S149+MOD(2-WEEKDAY($S149),7))+13),1,MIN(1,MAX(0,IF(ISNUMBER(OFFSET($A$1,ROW()-1,9)),OFFSET($A$1,ROW()-1,9),IF(ISNUMBER(OFFSET($A$1,ROW()-1,8)),OFFSET($A$1,ROW()-1,8),0))))))</f>
        <v/>
      </c>
      <c r="AF149" s="62">
        <f>IF($V149&lt;&gt;"Sub","",N($X149)*IF(AND(ISNUMBER($G149),$G149&lt;=IF($S149=MesCiclo,InicioCiclo,$S149+MOD(2-WEEKDAY($S149),7))+20),1,MIN(1,MAX(0,IF(ISNUMBER(OFFSET($A$1,ROW()-1,10)),OFFSET($A$1,ROW()-1,10),IF(ISNUMBER(OFFSET($A$1,ROW()-1,9)),OFFSET($A$1,ROW()-1,9),IF(ISNUMBER(OFFSET($A$1,ROW()-1,8)),OFFSET($A$1,ROW()-1,8),0)))))))</f>
        <v/>
      </c>
      <c r="AG149" s="62">
        <f>IF($V149&lt;&gt;"Sub","",N($X149)*IF(AND(ISNUMBER($G149),$G149&lt;=IF($S149=MesCiclo,InicioCiclo,$S149+MOD(2-WEEKDAY($S149),7))+27),1,MIN(1,MAX(0,IF(ISNUMBER(OFFSET($A$1,ROW()-1,11)),OFFSET($A$1,ROW()-1,11),IF(ISNUMBER(OFFSET($A$1,ROW()-1,10)),OFFSET($A$1,ROW()-1,10),IF(ISNUMBER(OFFSET($A$1,ROW()-1,9)),OFFSET($A$1,ROW()-1,9),IF(ISNUMBER(OFFSET($A$1,ROW()-1,8)),OFFSET($A$1,ROW()-1,8),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",IFERROR(MATCH("Riesgo Normativo|"&amp;MID($C149,12,500),rDname_ADM,0),0),"")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IF(N($W150)=0,"",IF(AND($S150=MesCiclo,1&gt;SemanaActual),"",MIN(1,SUMIFS(OFFSET($A$1,ROW(),29,1000-ROW(),1),OFFSET($A$1,ROW(),20,1000-ROW(),1),ROW(),OFFSET($A$1,ROW(),21,1000-ROW(),1),"Sub"))))</f>
        <v/>
      </c>
      <c r="J150" s="60">
        <f>IF(N($W150)=0,"",IF(AND($S150=MesCiclo,2&gt;SemanaActual),"",MIN(1,SUMIFS(OFFSET($A$1,ROW(),30,1000-ROW(),1),OFFSET($A$1,ROW(),20,1000-ROW(),1),ROW(),OFFSET($A$1,ROW(),21,1000-ROW(),1),"Sub"))))</f>
        <v/>
      </c>
      <c r="K150" s="60">
        <f>IF(N($W150)=0,"",IF(AND($S150=MesCiclo,3&gt;SemanaActual),"",MIN(1,SUMIFS(OFFSET($A$1,ROW(),31,1000-ROW(),1),OFFSET($A$1,ROW(),20,1000-ROW(),1),ROW(),OFFSET($A$1,ROW(),21,1000-ROW(),1),"Sub"))))</f>
        <v/>
      </c>
      <c r="L150" s="60">
        <f>IF(N($W150)=0,"",IF(AND($S150=MesCiclo,4&gt;SemanaActual),"",MIN(1,SUMIFS(OFFSET($A$1,ROW(),32,1000-ROW(),1),OFFSET($A$1,ROW(),20,1000-ROW(),1),ROW(),OFFSET($A$1,ROW(),21,1000-ROW(),1),"Sub"))))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IF($V150&lt;&gt;"Sub","",N($X150)*IF(AND(ISNUMBER($G150),$G150&lt;=IF($S150=MesCiclo,InicioCiclo,$S150+MOD(2-WEEKDAY($S150),7))+6),1,MIN(1,MAX(0,IF(ISNUMBER(OFFSET($A$1,ROW()-1,8)),OFFSET($A$1,ROW()-1,8),0)))))</f>
        <v/>
      </c>
      <c r="AE150" s="62">
        <f>IF($V150&lt;&gt;"Sub","",N($X150)*IF(AND(ISNUMBER($G150),$G150&lt;=IF($S150=MesCiclo,InicioCiclo,$S150+MOD(2-WEEKDAY($S150),7))+13),1,MIN(1,MAX(0,IF(ISNUMBER(OFFSET($A$1,ROW()-1,9)),OFFSET($A$1,ROW()-1,9),IF(ISNUMBER(OFFSET($A$1,ROW()-1,8)),OFFSET($A$1,ROW()-1,8),0))))))</f>
        <v/>
      </c>
      <c r="AF150" s="62">
        <f>IF($V150&lt;&gt;"Sub","",N($X150)*IF(AND(ISNUMBER($G150),$G150&lt;=IF($S150=MesCiclo,InicioCiclo,$S150+MOD(2-WEEKDAY($S150),7))+20),1,MIN(1,MAX(0,IF(ISNUMBER(OFFSET($A$1,ROW()-1,10)),OFFSET($A$1,ROW()-1,10),IF(ISNUMBER(OFFSET($A$1,ROW()-1,9)),OFFSET($A$1,ROW()-1,9),IF(ISNUMBER(OFFSET($A$1,ROW()-1,8)),OFFSET($A$1,ROW()-1,8),0)))))))</f>
        <v/>
      </c>
      <c r="AG150" s="62">
        <f>IF($V150&lt;&gt;"Sub","",N($X150)*IF(AND(ISNUMBER($G150),$G150&lt;=IF($S150=MesCiclo,InicioCiclo,$S150+MOD(2-WEEKDAY($S150),7))+27),1,MIN(1,MAX(0,IF(ISNUMBER(OFFSET($A$1,ROW()-1,11)),OFFSET($A$1,ROW()-1,11),IF(ISNUMBER(OFFSET($A$1,ROW()-1,10)),OFFSET($A$1,ROW()-1,10),IF(ISNUMBER(OFFSET($A$1,ROW()-1,9)),OFFSET($A$1,ROW()-1,9),IF(ISNUMBER(OFFSET($A$1,ROW()-1,8)),OFFSET($A$1,ROW()-1,8),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",IFERROR(MATCH("Riesgo Normativo|"&amp;MID($C150,12,500),rDname_ADM,0),0),"")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IF(N($W151)=0,"",IF(AND($S151=MesCiclo,1&gt;SemanaActual),"",MIN(1,SUMIFS(OFFSET($A$1,ROW(),29,1000-ROW(),1),OFFSET($A$1,ROW(),20,1000-ROW(),1),ROW(),OFFSET($A$1,ROW(),21,1000-ROW(),1),"Sub"))))</f>
        <v/>
      </c>
      <c r="J151" s="60">
        <f>IF(N($W151)=0,"",IF(AND($S151=MesCiclo,2&gt;SemanaActual),"",MIN(1,SUMIFS(OFFSET($A$1,ROW(),30,1000-ROW(),1),OFFSET($A$1,ROW(),20,1000-ROW(),1),ROW(),OFFSET($A$1,ROW(),21,1000-ROW(),1),"Sub"))))</f>
        <v/>
      </c>
      <c r="K151" s="60">
        <f>IF(N($W151)=0,"",IF(AND($S151=MesCiclo,3&gt;SemanaActual),"",MIN(1,SUMIFS(OFFSET($A$1,ROW(),31,1000-ROW(),1),OFFSET($A$1,ROW(),20,1000-ROW(),1),ROW(),OFFSET($A$1,ROW(),21,1000-ROW(),1),"Sub"))))</f>
        <v/>
      </c>
      <c r="L151" s="60">
        <f>IF(N($W151)=0,"",IF(AND($S151=MesCiclo,4&gt;SemanaActual),"",MIN(1,SUMIFS(OFFSET($A$1,ROW(),32,1000-ROW(),1),OFFSET($A$1,ROW(),20,1000-ROW(),1),ROW(),OFFSET($A$1,ROW(),21,1000-ROW(),1),"Sub"))))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IF($V151&lt;&gt;"Sub","",N($X151)*IF(AND(ISNUMBER($G151),$G151&lt;=IF($S151=MesCiclo,InicioCiclo,$S151+MOD(2-WEEKDAY($S151),7))+6),1,MIN(1,MAX(0,IF(ISNUMBER(OFFSET($A$1,ROW()-1,8)),OFFSET($A$1,ROW()-1,8),0)))))</f>
        <v/>
      </c>
      <c r="AE151" s="62">
        <f>IF($V151&lt;&gt;"Sub","",N($X151)*IF(AND(ISNUMBER($G151),$G151&lt;=IF($S151=MesCiclo,InicioCiclo,$S151+MOD(2-WEEKDAY($S151),7))+13),1,MIN(1,MAX(0,IF(ISNUMBER(OFFSET($A$1,ROW()-1,9)),OFFSET($A$1,ROW()-1,9),IF(ISNUMBER(OFFSET($A$1,ROW()-1,8)),OFFSET($A$1,ROW()-1,8),0))))))</f>
        <v/>
      </c>
      <c r="AF151" s="62">
        <f>IF($V151&lt;&gt;"Sub","",N($X151)*IF(AND(ISNUMBER($G151),$G151&lt;=IF($S151=MesCiclo,InicioCiclo,$S151+MOD(2-WEEKDAY($S151),7))+20),1,MIN(1,MAX(0,IF(ISNUMBER(OFFSET($A$1,ROW()-1,10)),OFFSET($A$1,ROW()-1,10),IF(ISNUMBER(OFFSET($A$1,ROW()-1,9)),OFFSET($A$1,ROW()-1,9),IF(ISNUMBER(OFFSET($A$1,ROW()-1,8)),OFFSET($A$1,ROW()-1,8),0)))))))</f>
        <v/>
      </c>
      <c r="AG151" s="62">
        <f>IF($V151&lt;&gt;"Sub","",N($X151)*IF(AND(ISNUMBER($G151),$G151&lt;=IF($S151=MesCiclo,InicioCiclo,$S151+MOD(2-WEEKDAY($S151),7))+27),1,MIN(1,MAX(0,IF(ISNUMBER(OFFSET($A$1,ROW()-1,11)),OFFSET($A$1,ROW()-1,11),IF(ISNUMBER(OFFSET($A$1,ROW()-1,10)),OFFSET($A$1,ROW()-1,10),IF(ISNUMBER(OFFSET($A$1,ROW()-1,9)),OFFSET($A$1,ROW()-1,9),IF(ISNUMBER(OFFSET($A$1,ROW()-1,8)),OFFSET($A$1,ROW()-1,8),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",IFERROR(MATCH("Riesgo Normativo|"&amp;MID($C151,12,500),rDname_ADM,0),0),"")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IF(N($W152)=0,"",IF(AND($S152=MesCiclo,1&gt;SemanaActual),"",MIN(1,SUMIFS(OFFSET($A$1,ROW(),29,1000-ROW(),1),OFFSET($A$1,ROW(),20,1000-ROW(),1),ROW(),OFFSET($A$1,ROW(),21,1000-ROW(),1),"Sub"))))</f>
        <v/>
      </c>
      <c r="J152" s="60">
        <f>IF(N($W152)=0,"",IF(AND($S152=MesCiclo,2&gt;SemanaActual),"",MIN(1,SUMIFS(OFFSET($A$1,ROW(),30,1000-ROW(),1),OFFSET($A$1,ROW(),20,1000-ROW(),1),ROW(),OFFSET($A$1,ROW(),21,1000-ROW(),1),"Sub"))))</f>
        <v/>
      </c>
      <c r="K152" s="60">
        <f>IF(N($W152)=0,"",IF(AND($S152=MesCiclo,3&gt;SemanaActual),"",MIN(1,SUMIFS(OFFSET($A$1,ROW(),31,1000-ROW(),1),OFFSET($A$1,ROW(),20,1000-ROW(),1),ROW(),OFFSET($A$1,ROW(),21,1000-ROW(),1),"Sub"))))</f>
        <v/>
      </c>
      <c r="L152" s="60">
        <f>IF(N($W152)=0,"",IF(AND($S152=MesCiclo,4&gt;SemanaActual),"",MIN(1,SUMIFS(OFFSET($A$1,ROW(),32,1000-ROW(),1),OFFSET($A$1,ROW(),20,1000-ROW(),1),ROW(),OFFSET($A$1,ROW(),21,1000-ROW(),1),"Sub"))))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IF($V152&lt;&gt;"Sub","",N($X152)*IF(AND(ISNUMBER($G152),$G152&lt;=IF($S152=MesCiclo,InicioCiclo,$S152+MOD(2-WEEKDAY($S152),7))+6),1,MIN(1,MAX(0,IF(ISNUMBER(OFFSET($A$1,ROW()-1,8)),OFFSET($A$1,ROW()-1,8),0)))))</f>
        <v/>
      </c>
      <c r="AE152" s="62">
        <f>IF($V152&lt;&gt;"Sub","",N($X152)*IF(AND(ISNUMBER($G152),$G152&lt;=IF($S152=MesCiclo,InicioCiclo,$S152+MOD(2-WEEKDAY($S152),7))+13),1,MIN(1,MAX(0,IF(ISNUMBER(OFFSET($A$1,ROW()-1,9)),OFFSET($A$1,ROW()-1,9),IF(ISNUMBER(OFFSET($A$1,ROW()-1,8)),OFFSET($A$1,ROW()-1,8),0))))))</f>
        <v/>
      </c>
      <c r="AF152" s="62">
        <f>IF($V152&lt;&gt;"Sub","",N($X152)*IF(AND(ISNUMBER($G152),$G152&lt;=IF($S152=MesCiclo,InicioCiclo,$S152+MOD(2-WEEKDAY($S152),7))+20),1,MIN(1,MAX(0,IF(ISNUMBER(OFFSET($A$1,ROW()-1,10)),OFFSET($A$1,ROW()-1,10),IF(ISNUMBER(OFFSET($A$1,ROW()-1,9)),OFFSET($A$1,ROW()-1,9),IF(ISNUMBER(OFFSET($A$1,ROW()-1,8)),OFFSET($A$1,ROW()-1,8),0)))))))</f>
        <v/>
      </c>
      <c r="AG152" s="62">
        <f>IF($V152&lt;&gt;"Sub","",N($X152)*IF(AND(ISNUMBER($G152),$G152&lt;=IF($S152=MesCiclo,InicioCiclo,$S152+MOD(2-WEEKDAY($S152),7))+27),1,MIN(1,MAX(0,IF(ISNUMBER(OFFSET($A$1,ROW()-1,11)),OFFSET($A$1,ROW()-1,11),IF(ISNUMBER(OFFSET($A$1,ROW()-1,10)),OFFSET($A$1,ROW()-1,10),IF(ISNUMBER(OFFSET($A$1,ROW()-1,9)),OFFSET($A$1,ROW()-1,9),IF(ISNUMBER(OFFSET($A$1,ROW()-1,8)),OFFSET($A$1,ROW()-1,8),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",IFERROR(MATCH("Riesgo Normativo|"&amp;MID($C152,12,500),rDname_ADM,0),0),"")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IF(N($W153)=0,"",IF(AND($S153=MesCiclo,1&gt;SemanaActual),"",MIN(1,SUMIFS(OFFSET($A$1,ROW(),29,1000-ROW(),1),OFFSET($A$1,ROW(),20,1000-ROW(),1),ROW(),OFFSET($A$1,ROW(),21,1000-ROW(),1),"Sub"))))</f>
        <v/>
      </c>
      <c r="J153" s="60">
        <f>IF(N($W153)=0,"",IF(AND($S153=MesCiclo,2&gt;SemanaActual),"",MIN(1,SUMIFS(OFFSET($A$1,ROW(),30,1000-ROW(),1),OFFSET($A$1,ROW(),20,1000-ROW(),1),ROW(),OFFSET($A$1,ROW(),21,1000-ROW(),1),"Sub"))))</f>
        <v/>
      </c>
      <c r="K153" s="60">
        <f>IF(N($W153)=0,"",IF(AND($S153=MesCiclo,3&gt;SemanaActual),"",MIN(1,SUMIFS(OFFSET($A$1,ROW(),31,1000-ROW(),1),OFFSET($A$1,ROW(),20,1000-ROW(),1),ROW(),OFFSET($A$1,ROW(),21,1000-ROW(),1),"Sub"))))</f>
        <v/>
      </c>
      <c r="L153" s="60">
        <f>IF(N($W153)=0,"",IF(AND($S153=MesCiclo,4&gt;SemanaActual),"",MIN(1,SUMIFS(OFFSET($A$1,ROW(),32,1000-ROW(),1),OFFSET($A$1,ROW(),20,1000-ROW(),1),ROW(),OFFSET($A$1,ROW(),21,1000-ROW(),1),"Sub"))))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IF($V153&lt;&gt;"Sub","",N($X153)*IF(AND(ISNUMBER($G153),$G153&lt;=IF($S153=MesCiclo,InicioCiclo,$S153+MOD(2-WEEKDAY($S153),7))+6),1,MIN(1,MAX(0,IF(ISNUMBER(OFFSET($A$1,ROW()-1,8)),OFFSET($A$1,ROW()-1,8),0)))))</f>
        <v/>
      </c>
      <c r="AE153" s="62">
        <f>IF($V153&lt;&gt;"Sub","",N($X153)*IF(AND(ISNUMBER($G153),$G153&lt;=IF($S153=MesCiclo,InicioCiclo,$S153+MOD(2-WEEKDAY($S153),7))+13),1,MIN(1,MAX(0,IF(ISNUMBER(OFFSET($A$1,ROW()-1,9)),OFFSET($A$1,ROW()-1,9),IF(ISNUMBER(OFFSET($A$1,ROW()-1,8)),OFFSET($A$1,ROW()-1,8),0))))))</f>
        <v/>
      </c>
      <c r="AF153" s="62">
        <f>IF($V153&lt;&gt;"Sub","",N($X153)*IF(AND(ISNUMBER($G153),$G153&lt;=IF($S153=MesCiclo,InicioCiclo,$S153+MOD(2-WEEKDAY($S153),7))+20),1,MIN(1,MAX(0,IF(ISNUMBER(OFFSET($A$1,ROW()-1,10)),OFFSET($A$1,ROW()-1,10),IF(ISNUMBER(OFFSET($A$1,ROW()-1,9)),OFFSET($A$1,ROW()-1,9),IF(ISNUMBER(OFFSET($A$1,ROW()-1,8)),OFFSET($A$1,ROW()-1,8),0)))))))</f>
        <v/>
      </c>
      <c r="AG153" s="62">
        <f>IF($V153&lt;&gt;"Sub","",N($X153)*IF(AND(ISNUMBER($G153),$G153&lt;=IF($S153=MesCiclo,InicioCiclo,$S153+MOD(2-WEEKDAY($S153),7))+27),1,MIN(1,MAX(0,IF(ISNUMBER(OFFSET($A$1,ROW()-1,11)),OFFSET($A$1,ROW()-1,11),IF(ISNUMBER(OFFSET($A$1,ROW()-1,10)),OFFSET($A$1,ROW()-1,10),IF(ISNUMBER(OFFSET($A$1,ROW()-1,9)),OFFSET($A$1,ROW()-1,9),IF(ISNUMBER(OFFSET($A$1,ROW()-1,8)),OFFSET($A$1,ROW()-1,8),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",IFERROR(MATCH("Riesgo Normativo|"&amp;MID($C153,12,500),rDname_ADM,0),0),"")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IF(N($W154)=0,"",IF(AND($S154=MesCiclo,1&gt;SemanaActual),"",MIN(1,SUMIFS(OFFSET($A$1,ROW(),29,1000-ROW(),1),OFFSET($A$1,ROW(),20,1000-ROW(),1),ROW(),OFFSET($A$1,ROW(),21,1000-ROW(),1),"Sub"))))</f>
        <v/>
      </c>
      <c r="J154" s="60">
        <f>IF(N($W154)=0,"",IF(AND($S154=MesCiclo,2&gt;SemanaActual),"",MIN(1,SUMIFS(OFFSET($A$1,ROW(),30,1000-ROW(),1),OFFSET($A$1,ROW(),20,1000-ROW(),1),ROW(),OFFSET($A$1,ROW(),21,1000-ROW(),1),"Sub"))))</f>
        <v/>
      </c>
      <c r="K154" s="60">
        <f>IF(N($W154)=0,"",IF(AND($S154=MesCiclo,3&gt;SemanaActual),"",MIN(1,SUMIFS(OFFSET($A$1,ROW(),31,1000-ROW(),1),OFFSET($A$1,ROW(),20,1000-ROW(),1),ROW(),OFFSET($A$1,ROW(),21,1000-ROW(),1),"Sub"))))</f>
        <v/>
      </c>
      <c r="L154" s="60">
        <f>IF(N($W154)=0,"",IF(AND($S154=MesCiclo,4&gt;SemanaActual),"",MIN(1,SUMIFS(OFFSET($A$1,ROW(),32,1000-ROW(),1),OFFSET($A$1,ROW(),20,1000-ROW(),1),ROW(),OFFSET($A$1,ROW(),21,1000-ROW(),1),"Sub"))))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IF($V154&lt;&gt;"Sub","",N($X154)*IF(AND(ISNUMBER($G154),$G154&lt;=IF($S154=MesCiclo,InicioCiclo,$S154+MOD(2-WEEKDAY($S154),7))+6),1,MIN(1,MAX(0,IF(ISNUMBER(OFFSET($A$1,ROW()-1,8)),OFFSET($A$1,ROW()-1,8),0)))))</f>
        <v/>
      </c>
      <c r="AE154" s="62">
        <f>IF($V154&lt;&gt;"Sub","",N($X154)*IF(AND(ISNUMBER($G154),$G154&lt;=IF($S154=MesCiclo,InicioCiclo,$S154+MOD(2-WEEKDAY($S154),7))+13),1,MIN(1,MAX(0,IF(ISNUMBER(OFFSET($A$1,ROW()-1,9)),OFFSET($A$1,ROW()-1,9),IF(ISNUMBER(OFFSET($A$1,ROW()-1,8)),OFFSET($A$1,ROW()-1,8),0))))))</f>
        <v/>
      </c>
      <c r="AF154" s="62">
        <f>IF($V154&lt;&gt;"Sub","",N($X154)*IF(AND(ISNUMBER($G154),$G154&lt;=IF($S154=MesCiclo,InicioCiclo,$S154+MOD(2-WEEKDAY($S154),7))+20),1,MIN(1,MAX(0,IF(ISNUMBER(OFFSET($A$1,ROW()-1,10)),OFFSET($A$1,ROW()-1,10),IF(ISNUMBER(OFFSET($A$1,ROW()-1,9)),OFFSET($A$1,ROW()-1,9),IF(ISNUMBER(OFFSET($A$1,ROW()-1,8)),OFFSET($A$1,ROW()-1,8),0)))))))</f>
        <v/>
      </c>
      <c r="AG154" s="62">
        <f>IF($V154&lt;&gt;"Sub","",N($X154)*IF(AND(ISNUMBER($G154),$G154&lt;=IF($S154=MesCiclo,InicioCiclo,$S154+MOD(2-WEEKDAY($S154),7))+27),1,MIN(1,MAX(0,IF(ISNUMBER(OFFSET($A$1,ROW()-1,11)),OFFSET($A$1,ROW()-1,11),IF(ISNUMBER(OFFSET($A$1,ROW()-1,10)),OFFSET($A$1,ROW()-1,10),IF(ISNUMBER(OFFSET($A$1,ROW()-1,9)),OFFSET($A$1,ROW()-1,9),IF(ISNUMBER(OFFSET($A$1,ROW()-1,8)),OFFSET($A$1,ROW()-1,8),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",IFERROR(MATCH("Riesgo Normativo|"&amp;MID($C154,12,500),rDname_ADM,0),0),"")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IF(N($W155)=0,"",IF(AND($S155=MesCiclo,1&gt;SemanaActual),"",MIN(1,SUMIFS(OFFSET($A$1,ROW(),29,1000-ROW(),1),OFFSET($A$1,ROW(),20,1000-ROW(),1),ROW(),OFFSET($A$1,ROW(),21,1000-ROW(),1),"Sub"))))</f>
        <v/>
      </c>
      <c r="J155" s="60">
        <f>IF(N($W155)=0,"",IF(AND($S155=MesCiclo,2&gt;SemanaActual),"",MIN(1,SUMIFS(OFFSET($A$1,ROW(),30,1000-ROW(),1),OFFSET($A$1,ROW(),20,1000-ROW(),1),ROW(),OFFSET($A$1,ROW(),21,1000-ROW(),1),"Sub"))))</f>
        <v/>
      </c>
      <c r="K155" s="60">
        <f>IF(N($W155)=0,"",IF(AND($S155=MesCiclo,3&gt;SemanaActual),"",MIN(1,SUMIFS(OFFSET($A$1,ROW(),31,1000-ROW(),1),OFFSET($A$1,ROW(),20,1000-ROW(),1),ROW(),OFFSET($A$1,ROW(),21,1000-ROW(),1),"Sub"))))</f>
        <v/>
      </c>
      <c r="L155" s="60">
        <f>IF(N($W155)=0,"",IF(AND($S155=MesCiclo,4&gt;SemanaActual),"",MIN(1,SUMIFS(OFFSET($A$1,ROW(),32,1000-ROW(),1),OFFSET($A$1,ROW(),20,1000-ROW(),1),ROW(),OFFSET($A$1,ROW(),21,1000-ROW(),1),"Sub"))))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IF($V155&lt;&gt;"Sub","",N($X155)*IF(AND(ISNUMBER($G155),$G155&lt;=IF($S155=MesCiclo,InicioCiclo,$S155+MOD(2-WEEKDAY($S155),7))+6),1,MIN(1,MAX(0,IF(ISNUMBER(OFFSET($A$1,ROW()-1,8)),OFFSET($A$1,ROW()-1,8),0)))))</f>
        <v/>
      </c>
      <c r="AE155" s="62">
        <f>IF($V155&lt;&gt;"Sub","",N($X155)*IF(AND(ISNUMBER($G155),$G155&lt;=IF($S155=MesCiclo,InicioCiclo,$S155+MOD(2-WEEKDAY($S155),7))+13),1,MIN(1,MAX(0,IF(ISNUMBER(OFFSET($A$1,ROW()-1,9)),OFFSET($A$1,ROW()-1,9),IF(ISNUMBER(OFFSET($A$1,ROW()-1,8)),OFFSET($A$1,ROW()-1,8),0))))))</f>
        <v/>
      </c>
      <c r="AF155" s="62">
        <f>IF($V155&lt;&gt;"Sub","",N($X155)*IF(AND(ISNUMBER($G155),$G155&lt;=IF($S155=MesCiclo,InicioCiclo,$S155+MOD(2-WEEKDAY($S155),7))+20),1,MIN(1,MAX(0,IF(ISNUMBER(OFFSET($A$1,ROW()-1,10)),OFFSET($A$1,ROW()-1,10),IF(ISNUMBER(OFFSET($A$1,ROW()-1,9)),OFFSET($A$1,ROW()-1,9),IF(ISNUMBER(OFFSET($A$1,ROW()-1,8)),OFFSET($A$1,ROW()-1,8),0)))))))</f>
        <v/>
      </c>
      <c r="AG155" s="62">
        <f>IF($V155&lt;&gt;"Sub","",N($X155)*IF(AND(ISNUMBER($G155),$G155&lt;=IF($S155=MesCiclo,InicioCiclo,$S155+MOD(2-WEEKDAY($S155),7))+27),1,MIN(1,MAX(0,IF(ISNUMBER(OFFSET($A$1,ROW()-1,11)),OFFSET($A$1,ROW()-1,11),IF(ISNUMBER(OFFSET($A$1,ROW()-1,10)),OFFSET($A$1,ROW()-1,10),IF(ISNUMBER(OFFSET($A$1,ROW()-1,9)),OFFSET($A$1,ROW()-1,9),IF(ISNUMBER(OFFSET($A$1,ROW()-1,8)),OFFSET($A$1,ROW()-1,8),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",IFERROR(MATCH("Riesgo Normativo|"&amp;MID($C155,12,500),rDname_ADM,0),0),"")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IF(N($W156)=0,"",IF(AND($S156=MesCiclo,1&gt;SemanaActual),"",MIN(1,SUMIFS(OFFSET($A$1,ROW(),29,1000-ROW(),1),OFFSET($A$1,ROW(),20,1000-ROW(),1),ROW(),OFFSET($A$1,ROW(),21,1000-ROW(),1),"Sub"))))</f>
        <v/>
      </c>
      <c r="J156" s="60">
        <f>IF(N($W156)=0,"",IF(AND($S156=MesCiclo,2&gt;SemanaActual),"",MIN(1,SUMIFS(OFFSET($A$1,ROW(),30,1000-ROW(),1),OFFSET($A$1,ROW(),20,1000-ROW(),1),ROW(),OFFSET($A$1,ROW(),21,1000-ROW(),1),"Sub"))))</f>
        <v/>
      </c>
      <c r="K156" s="60">
        <f>IF(N($W156)=0,"",IF(AND($S156=MesCiclo,3&gt;SemanaActual),"",MIN(1,SUMIFS(OFFSET($A$1,ROW(),31,1000-ROW(),1),OFFSET($A$1,ROW(),20,1000-ROW(),1),ROW(),OFFSET($A$1,ROW(),21,1000-ROW(),1),"Sub"))))</f>
        <v/>
      </c>
      <c r="L156" s="60">
        <f>IF(N($W156)=0,"",IF(AND($S156=MesCiclo,4&gt;SemanaActual),"",MIN(1,SUMIFS(OFFSET($A$1,ROW(),32,1000-ROW(),1),OFFSET($A$1,ROW(),20,1000-ROW(),1),ROW(),OFFSET($A$1,ROW(),21,1000-ROW(),1),"Sub"))))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IF($V156&lt;&gt;"Sub","",N($X156)*IF(AND(ISNUMBER($G156),$G156&lt;=IF($S156=MesCiclo,InicioCiclo,$S156+MOD(2-WEEKDAY($S156),7))+6),1,MIN(1,MAX(0,IF(ISNUMBER(OFFSET($A$1,ROW()-1,8)),OFFSET($A$1,ROW()-1,8),0)))))</f>
        <v/>
      </c>
      <c r="AE156" s="62">
        <f>IF($V156&lt;&gt;"Sub","",N($X156)*IF(AND(ISNUMBER($G156),$G156&lt;=IF($S156=MesCiclo,InicioCiclo,$S156+MOD(2-WEEKDAY($S156),7))+13),1,MIN(1,MAX(0,IF(ISNUMBER(OFFSET($A$1,ROW()-1,9)),OFFSET($A$1,ROW()-1,9),IF(ISNUMBER(OFFSET($A$1,ROW()-1,8)),OFFSET($A$1,ROW()-1,8),0))))))</f>
        <v/>
      </c>
      <c r="AF156" s="62">
        <f>IF($V156&lt;&gt;"Sub","",N($X156)*IF(AND(ISNUMBER($G156),$G156&lt;=IF($S156=MesCiclo,InicioCiclo,$S156+MOD(2-WEEKDAY($S156),7))+20),1,MIN(1,MAX(0,IF(ISNUMBER(OFFSET($A$1,ROW()-1,10)),OFFSET($A$1,ROW()-1,10),IF(ISNUMBER(OFFSET($A$1,ROW()-1,9)),OFFSET($A$1,ROW()-1,9),IF(ISNUMBER(OFFSET($A$1,ROW()-1,8)),OFFSET($A$1,ROW()-1,8),0)))))))</f>
        <v/>
      </c>
      <c r="AG156" s="62">
        <f>IF($V156&lt;&gt;"Sub","",N($X156)*IF(AND(ISNUMBER($G156),$G156&lt;=IF($S156=MesCiclo,InicioCiclo,$S156+MOD(2-WEEKDAY($S156),7))+27),1,MIN(1,MAX(0,IF(ISNUMBER(OFFSET($A$1,ROW()-1,11)),OFFSET($A$1,ROW()-1,11),IF(ISNUMBER(OFFSET($A$1,ROW()-1,10)),OFFSET($A$1,ROW()-1,10),IF(ISNUMBER(OFFSET($A$1,ROW()-1,9)),OFFSET($A$1,ROW()-1,9),IF(ISNUMBER(OFFSET($A$1,ROW()-1,8)),OFFSET($A$1,ROW()-1,8),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",IFERROR(MATCH("Riesgo Normativo|"&amp;MID($C156,12,500),rDname_ADM,0),0),"")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IF(N($W157)=0,"",IF(AND($S157=MesCiclo,1&gt;SemanaActual),"",MIN(1,SUMIFS(OFFSET($A$1,ROW(),29,1000-ROW(),1),OFFSET($A$1,ROW(),20,1000-ROW(),1),ROW(),OFFSET($A$1,ROW(),21,1000-ROW(),1),"Sub"))))</f>
        <v/>
      </c>
      <c r="J157" s="60">
        <f>IF(N($W157)=0,"",IF(AND($S157=MesCiclo,2&gt;SemanaActual),"",MIN(1,SUMIFS(OFFSET($A$1,ROW(),30,1000-ROW(),1),OFFSET($A$1,ROW(),20,1000-ROW(),1),ROW(),OFFSET($A$1,ROW(),21,1000-ROW(),1),"Sub"))))</f>
        <v/>
      </c>
      <c r="K157" s="60">
        <f>IF(N($W157)=0,"",IF(AND($S157=MesCiclo,3&gt;SemanaActual),"",MIN(1,SUMIFS(OFFSET($A$1,ROW(),31,1000-ROW(),1),OFFSET($A$1,ROW(),20,1000-ROW(),1),ROW(),OFFSET($A$1,ROW(),21,1000-ROW(),1),"Sub"))))</f>
        <v/>
      </c>
      <c r="L157" s="60">
        <f>IF(N($W157)=0,"",IF(AND($S157=MesCiclo,4&gt;SemanaActual),"",MIN(1,SUMIFS(OFFSET($A$1,ROW(),32,1000-ROW(),1),OFFSET($A$1,ROW(),20,1000-ROW(),1),ROW(),OFFSET($A$1,ROW(),21,1000-ROW(),1),"Sub"))))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IF($V157&lt;&gt;"Sub","",N($X157)*IF(AND(ISNUMBER($G157),$G157&lt;=IF($S157=MesCiclo,InicioCiclo,$S157+MOD(2-WEEKDAY($S157),7))+6),1,MIN(1,MAX(0,IF(ISNUMBER(OFFSET($A$1,ROW()-1,8)),OFFSET($A$1,ROW()-1,8),0)))))</f>
        <v/>
      </c>
      <c r="AE157" s="62">
        <f>IF($V157&lt;&gt;"Sub","",N($X157)*IF(AND(ISNUMBER($G157),$G157&lt;=IF($S157=MesCiclo,InicioCiclo,$S157+MOD(2-WEEKDAY($S157),7))+13),1,MIN(1,MAX(0,IF(ISNUMBER(OFFSET($A$1,ROW()-1,9)),OFFSET($A$1,ROW()-1,9),IF(ISNUMBER(OFFSET($A$1,ROW()-1,8)),OFFSET($A$1,ROW()-1,8),0))))))</f>
        <v/>
      </c>
      <c r="AF157" s="62">
        <f>IF($V157&lt;&gt;"Sub","",N($X157)*IF(AND(ISNUMBER($G157),$G157&lt;=IF($S157=MesCiclo,InicioCiclo,$S157+MOD(2-WEEKDAY($S157),7))+20),1,MIN(1,MAX(0,IF(ISNUMBER(OFFSET($A$1,ROW()-1,10)),OFFSET($A$1,ROW()-1,10),IF(ISNUMBER(OFFSET($A$1,ROW()-1,9)),OFFSET($A$1,ROW()-1,9),IF(ISNUMBER(OFFSET($A$1,ROW()-1,8)),OFFSET($A$1,ROW()-1,8),0)))))))</f>
        <v/>
      </c>
      <c r="AG157" s="62">
        <f>IF($V157&lt;&gt;"Sub","",N($X157)*IF(AND(ISNUMBER($G157),$G157&lt;=IF($S157=MesCiclo,InicioCiclo,$S157+MOD(2-WEEKDAY($S157),7))+27),1,MIN(1,MAX(0,IF(ISNUMBER(OFFSET($A$1,ROW()-1,11)),OFFSET($A$1,ROW()-1,11),IF(ISNUMBER(OFFSET($A$1,ROW()-1,10)),OFFSET($A$1,ROW()-1,10),IF(ISNUMBER(OFFSET($A$1,ROW()-1,9)),OFFSET($A$1,ROW()-1,9),IF(ISNUMBER(OFFSET($A$1,ROW()-1,8)),OFFSET($A$1,ROW()-1,8),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",IFERROR(MATCH("Riesgo Normativo|"&amp;MID($C157,12,500),rDname_ADM,0),0),"")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IF(N($W158)=0,"",IF(AND($S158=MesCiclo,1&gt;SemanaActual),"",MIN(1,SUMIFS(OFFSET($A$1,ROW(),29,1000-ROW(),1),OFFSET($A$1,ROW(),20,1000-ROW(),1),ROW(),OFFSET($A$1,ROW(),21,1000-ROW(),1),"Sub"))))</f>
        <v/>
      </c>
      <c r="J158" s="60">
        <f>IF(N($W158)=0,"",IF(AND($S158=MesCiclo,2&gt;SemanaActual),"",MIN(1,SUMIFS(OFFSET($A$1,ROW(),30,1000-ROW(),1),OFFSET($A$1,ROW(),20,1000-ROW(),1),ROW(),OFFSET($A$1,ROW(),21,1000-ROW(),1),"Sub"))))</f>
        <v/>
      </c>
      <c r="K158" s="60">
        <f>IF(N($W158)=0,"",IF(AND($S158=MesCiclo,3&gt;SemanaActual),"",MIN(1,SUMIFS(OFFSET($A$1,ROW(),31,1000-ROW(),1),OFFSET($A$1,ROW(),20,1000-ROW(),1),ROW(),OFFSET($A$1,ROW(),21,1000-ROW(),1),"Sub"))))</f>
        <v/>
      </c>
      <c r="L158" s="60">
        <f>IF(N($W158)=0,"",IF(AND($S158=MesCiclo,4&gt;SemanaActual),"",MIN(1,SUMIFS(OFFSET($A$1,ROW(),32,1000-ROW(),1),OFFSET($A$1,ROW(),20,1000-ROW(),1),ROW(),OFFSET($A$1,ROW(),21,1000-ROW(),1),"Sub"))))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IF($V158&lt;&gt;"Sub","",N($X158)*IF(AND(ISNUMBER($G158),$G158&lt;=IF($S158=MesCiclo,InicioCiclo,$S158+MOD(2-WEEKDAY($S158),7))+6),1,MIN(1,MAX(0,IF(ISNUMBER(OFFSET($A$1,ROW()-1,8)),OFFSET($A$1,ROW()-1,8),0)))))</f>
        <v/>
      </c>
      <c r="AE158" s="62">
        <f>IF($V158&lt;&gt;"Sub","",N($X158)*IF(AND(ISNUMBER($G158),$G158&lt;=IF($S158=MesCiclo,InicioCiclo,$S158+MOD(2-WEEKDAY($S158),7))+13),1,MIN(1,MAX(0,IF(ISNUMBER(OFFSET($A$1,ROW()-1,9)),OFFSET($A$1,ROW()-1,9),IF(ISNUMBER(OFFSET($A$1,ROW()-1,8)),OFFSET($A$1,ROW()-1,8),0))))))</f>
        <v/>
      </c>
      <c r="AF158" s="62">
        <f>IF($V158&lt;&gt;"Sub","",N($X158)*IF(AND(ISNUMBER($G158),$G158&lt;=IF($S158=MesCiclo,InicioCiclo,$S158+MOD(2-WEEKDAY($S158),7))+20),1,MIN(1,MAX(0,IF(ISNUMBER(OFFSET($A$1,ROW()-1,10)),OFFSET($A$1,ROW()-1,10),IF(ISNUMBER(OFFSET($A$1,ROW()-1,9)),OFFSET($A$1,ROW()-1,9),IF(ISNUMBER(OFFSET($A$1,ROW()-1,8)),OFFSET($A$1,ROW()-1,8),0)))))))</f>
        <v/>
      </c>
      <c r="AG158" s="62">
        <f>IF($V158&lt;&gt;"Sub","",N($X158)*IF(AND(ISNUMBER($G158),$G158&lt;=IF($S158=MesCiclo,InicioCiclo,$S158+MOD(2-WEEKDAY($S158),7))+27),1,MIN(1,MAX(0,IF(ISNUMBER(OFFSET($A$1,ROW()-1,11)),OFFSET($A$1,ROW()-1,11),IF(ISNUMBER(OFFSET($A$1,ROW()-1,10)),OFFSET($A$1,ROW()-1,10),IF(ISNUMBER(OFFSET($A$1,ROW()-1,9)),OFFSET($A$1,ROW()-1,9),IF(ISNUMBER(OFFSET($A$1,ROW()-1,8)),OFFSET($A$1,ROW()-1,8),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",IFERROR(MATCH("Riesgo Normativo|"&amp;MID($C158,12,500),rDname_ADM,0),0),"")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IF(N($W159)=0,"",IF(AND($S159=MesCiclo,1&gt;SemanaActual),"",MIN(1,SUMIFS(OFFSET($A$1,ROW(),29,1000-ROW(),1),OFFSET($A$1,ROW(),20,1000-ROW(),1),ROW(),OFFSET($A$1,ROW(),21,1000-ROW(),1),"Sub"))))</f>
        <v/>
      </c>
      <c r="J159" s="60">
        <f>IF(N($W159)=0,"",IF(AND($S159=MesCiclo,2&gt;SemanaActual),"",MIN(1,SUMIFS(OFFSET($A$1,ROW(),30,1000-ROW(),1),OFFSET($A$1,ROW(),20,1000-ROW(),1),ROW(),OFFSET($A$1,ROW(),21,1000-ROW(),1),"Sub"))))</f>
        <v/>
      </c>
      <c r="K159" s="60">
        <f>IF(N($W159)=0,"",IF(AND($S159=MesCiclo,3&gt;SemanaActual),"",MIN(1,SUMIFS(OFFSET($A$1,ROW(),31,1000-ROW(),1),OFFSET($A$1,ROW(),20,1000-ROW(),1),ROW(),OFFSET($A$1,ROW(),21,1000-ROW(),1),"Sub"))))</f>
        <v/>
      </c>
      <c r="L159" s="60">
        <f>IF(N($W159)=0,"",IF(AND($S159=MesCiclo,4&gt;SemanaActual),"",MIN(1,SUMIFS(OFFSET($A$1,ROW(),32,1000-ROW(),1),OFFSET($A$1,ROW(),20,1000-ROW(),1),ROW(),OFFSET($A$1,ROW(),21,1000-ROW(),1),"Sub"))))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IF($V159&lt;&gt;"Sub","",N($X159)*IF(AND(ISNUMBER($G159),$G159&lt;=IF($S159=MesCiclo,InicioCiclo,$S159+MOD(2-WEEKDAY($S159),7))+6),1,MIN(1,MAX(0,IF(ISNUMBER(OFFSET($A$1,ROW()-1,8)),OFFSET($A$1,ROW()-1,8),0)))))</f>
        <v/>
      </c>
      <c r="AE159" s="62">
        <f>IF($V159&lt;&gt;"Sub","",N($X159)*IF(AND(ISNUMBER($G159),$G159&lt;=IF($S159=MesCiclo,InicioCiclo,$S159+MOD(2-WEEKDAY($S159),7))+13),1,MIN(1,MAX(0,IF(ISNUMBER(OFFSET($A$1,ROW()-1,9)),OFFSET($A$1,ROW()-1,9),IF(ISNUMBER(OFFSET($A$1,ROW()-1,8)),OFFSET($A$1,ROW()-1,8),0))))))</f>
        <v/>
      </c>
      <c r="AF159" s="62">
        <f>IF($V159&lt;&gt;"Sub","",N($X159)*IF(AND(ISNUMBER($G159),$G159&lt;=IF($S159=MesCiclo,InicioCiclo,$S159+MOD(2-WEEKDAY($S159),7))+20),1,MIN(1,MAX(0,IF(ISNUMBER(OFFSET($A$1,ROW()-1,10)),OFFSET($A$1,ROW()-1,10),IF(ISNUMBER(OFFSET($A$1,ROW()-1,9)),OFFSET($A$1,ROW()-1,9),IF(ISNUMBER(OFFSET($A$1,ROW()-1,8)),OFFSET($A$1,ROW()-1,8),0)))))))</f>
        <v/>
      </c>
      <c r="AG159" s="62">
        <f>IF($V159&lt;&gt;"Sub","",N($X159)*IF(AND(ISNUMBER($G159),$G159&lt;=IF($S159=MesCiclo,InicioCiclo,$S159+MOD(2-WEEKDAY($S159),7))+27),1,MIN(1,MAX(0,IF(ISNUMBER(OFFSET($A$1,ROW()-1,11)),OFFSET($A$1,ROW()-1,11),IF(ISNUMBER(OFFSET($A$1,ROW()-1,10)),OFFSET($A$1,ROW()-1,10),IF(ISNUMBER(OFFSET($A$1,ROW()-1,9)),OFFSET($A$1,ROW()-1,9),IF(ISNUMBER(OFFSET($A$1,ROW()-1,8)),OFFSET($A$1,ROW()-1,8),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",IFERROR(MATCH("Riesgo Normativo|"&amp;MID($C159,12,500),rDname_ADM,0),0),"")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IF(N($W160)=0,"",IF(AND($S160=MesCiclo,1&gt;SemanaActual),"",MIN(1,SUMIFS(OFFSET($A$1,ROW(),29,1000-ROW(),1),OFFSET($A$1,ROW(),20,1000-ROW(),1),ROW(),OFFSET($A$1,ROW(),21,1000-ROW(),1),"Sub"))))</f>
        <v/>
      </c>
      <c r="J160" s="60">
        <f>IF(N($W160)=0,"",IF(AND($S160=MesCiclo,2&gt;SemanaActual),"",MIN(1,SUMIFS(OFFSET($A$1,ROW(),30,1000-ROW(),1),OFFSET($A$1,ROW(),20,1000-ROW(),1),ROW(),OFFSET($A$1,ROW(),21,1000-ROW(),1),"Sub"))))</f>
        <v/>
      </c>
      <c r="K160" s="60">
        <f>IF(N($W160)=0,"",IF(AND($S160=MesCiclo,3&gt;SemanaActual),"",MIN(1,SUMIFS(OFFSET($A$1,ROW(),31,1000-ROW(),1),OFFSET($A$1,ROW(),20,1000-ROW(),1),ROW(),OFFSET($A$1,ROW(),21,1000-ROW(),1),"Sub"))))</f>
        <v/>
      </c>
      <c r="L160" s="60">
        <f>IF(N($W160)=0,"",IF(AND($S160=MesCiclo,4&gt;SemanaActual),"",MIN(1,SUMIFS(OFFSET($A$1,ROW(),32,1000-ROW(),1),OFFSET($A$1,ROW(),20,1000-ROW(),1),ROW(),OFFSET($A$1,ROW(),21,1000-ROW(),1),"Sub"))))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IF($V160&lt;&gt;"Sub","",N($X160)*IF(AND(ISNUMBER($G160),$G160&lt;=IF($S160=MesCiclo,InicioCiclo,$S160+MOD(2-WEEKDAY($S160),7))+6),1,MIN(1,MAX(0,IF(ISNUMBER(OFFSET($A$1,ROW()-1,8)),OFFSET($A$1,ROW()-1,8),0)))))</f>
        <v/>
      </c>
      <c r="AE160" s="62">
        <f>IF($V160&lt;&gt;"Sub","",N($X160)*IF(AND(ISNUMBER($G160),$G160&lt;=IF($S160=MesCiclo,InicioCiclo,$S160+MOD(2-WEEKDAY($S160),7))+13),1,MIN(1,MAX(0,IF(ISNUMBER(OFFSET($A$1,ROW()-1,9)),OFFSET($A$1,ROW()-1,9),IF(ISNUMBER(OFFSET($A$1,ROW()-1,8)),OFFSET($A$1,ROW()-1,8),0))))))</f>
        <v/>
      </c>
      <c r="AF160" s="62">
        <f>IF($V160&lt;&gt;"Sub","",N($X160)*IF(AND(ISNUMBER($G160),$G160&lt;=IF($S160=MesCiclo,InicioCiclo,$S160+MOD(2-WEEKDAY($S160),7))+20),1,MIN(1,MAX(0,IF(ISNUMBER(OFFSET($A$1,ROW()-1,10)),OFFSET($A$1,ROW()-1,10),IF(ISNUMBER(OFFSET($A$1,ROW()-1,9)),OFFSET($A$1,ROW()-1,9),IF(ISNUMBER(OFFSET($A$1,ROW()-1,8)),OFFSET($A$1,ROW()-1,8),0)))))))</f>
        <v/>
      </c>
      <c r="AG160" s="62">
        <f>IF($V160&lt;&gt;"Sub","",N($X160)*IF(AND(ISNUMBER($G160),$G160&lt;=IF($S160=MesCiclo,InicioCiclo,$S160+MOD(2-WEEKDAY($S160),7))+27),1,MIN(1,MAX(0,IF(ISNUMBER(OFFSET($A$1,ROW()-1,11)),OFFSET($A$1,ROW()-1,11),IF(ISNUMBER(OFFSET($A$1,ROW()-1,10)),OFFSET($A$1,ROW()-1,10),IF(ISNUMBER(OFFSET($A$1,ROW()-1,9)),OFFSET($A$1,ROW()-1,9),IF(ISNUMBER(OFFSET($A$1,ROW()-1,8)),OFFSET($A$1,ROW()-1,8),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",IFERROR(MATCH("Riesgo Normativo|"&amp;MID($C160,12,500),rDname_ADM,0),0),"")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IF(N($W161)=0,"",IF(AND($S161=MesCiclo,1&gt;SemanaActual),"",MIN(1,SUMIFS(OFFSET($A$1,ROW(),29,1000-ROW(),1),OFFSET($A$1,ROW(),20,1000-ROW(),1),ROW(),OFFSET($A$1,ROW(),21,1000-ROW(),1),"Sub"))))</f>
        <v/>
      </c>
      <c r="J161" s="60">
        <f>IF(N($W161)=0,"",IF(AND($S161=MesCiclo,2&gt;SemanaActual),"",MIN(1,SUMIFS(OFFSET($A$1,ROW(),30,1000-ROW(),1),OFFSET($A$1,ROW(),20,1000-ROW(),1),ROW(),OFFSET($A$1,ROW(),21,1000-ROW(),1),"Sub"))))</f>
        <v/>
      </c>
      <c r="K161" s="60">
        <f>IF(N($W161)=0,"",IF(AND($S161=MesCiclo,3&gt;SemanaActual),"",MIN(1,SUMIFS(OFFSET($A$1,ROW(),31,1000-ROW(),1),OFFSET($A$1,ROW(),20,1000-ROW(),1),ROW(),OFFSET($A$1,ROW(),21,1000-ROW(),1),"Sub"))))</f>
        <v/>
      </c>
      <c r="L161" s="60">
        <f>IF(N($W161)=0,"",IF(AND($S161=MesCiclo,4&gt;SemanaActual),"",MIN(1,SUMIFS(OFFSET($A$1,ROW(),32,1000-ROW(),1),OFFSET($A$1,ROW(),20,1000-ROW(),1),ROW(),OFFSET($A$1,ROW(),21,1000-ROW(),1),"Sub"))))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IF($V161&lt;&gt;"Sub","",N($X161)*IF(AND(ISNUMBER($G161),$G161&lt;=IF($S161=MesCiclo,InicioCiclo,$S161+MOD(2-WEEKDAY($S161),7))+6),1,MIN(1,MAX(0,IF(ISNUMBER(OFFSET($A$1,ROW()-1,8)),OFFSET($A$1,ROW()-1,8),0)))))</f>
        <v/>
      </c>
      <c r="AE161" s="62">
        <f>IF($V161&lt;&gt;"Sub","",N($X161)*IF(AND(ISNUMBER($G161),$G161&lt;=IF($S161=MesCiclo,InicioCiclo,$S161+MOD(2-WEEKDAY($S161),7))+13),1,MIN(1,MAX(0,IF(ISNUMBER(OFFSET($A$1,ROW()-1,9)),OFFSET($A$1,ROW()-1,9),IF(ISNUMBER(OFFSET($A$1,ROW()-1,8)),OFFSET($A$1,ROW()-1,8),0))))))</f>
        <v/>
      </c>
      <c r="AF161" s="62">
        <f>IF($V161&lt;&gt;"Sub","",N($X161)*IF(AND(ISNUMBER($G161),$G161&lt;=IF($S161=MesCiclo,InicioCiclo,$S161+MOD(2-WEEKDAY($S161),7))+20),1,MIN(1,MAX(0,IF(ISNUMBER(OFFSET($A$1,ROW()-1,10)),OFFSET($A$1,ROW()-1,10),IF(ISNUMBER(OFFSET($A$1,ROW()-1,9)),OFFSET($A$1,ROW()-1,9),IF(ISNUMBER(OFFSET($A$1,ROW()-1,8)),OFFSET($A$1,ROW()-1,8),0)))))))</f>
        <v/>
      </c>
      <c r="AG161" s="62">
        <f>IF($V161&lt;&gt;"Sub","",N($X161)*IF(AND(ISNUMBER($G161),$G161&lt;=IF($S161=MesCiclo,InicioCiclo,$S161+MOD(2-WEEKDAY($S161),7))+27),1,MIN(1,MAX(0,IF(ISNUMBER(OFFSET($A$1,ROW()-1,11)),OFFSET($A$1,ROW()-1,11),IF(ISNUMBER(OFFSET($A$1,ROW()-1,10)),OFFSET($A$1,ROW()-1,10),IF(ISNUMBER(OFFSET($A$1,ROW()-1,9)),OFFSET($A$1,ROW()-1,9),IF(ISNUMBER(OFFSET($A$1,ROW()-1,8)),OFFSET($A$1,ROW()-1,8),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",IFERROR(MATCH("Riesgo Normativo|"&amp;MID($C161,12,500),rDname_ADM,0),0),"")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IF(N($W162)=0,"",IF(AND($S162=MesCiclo,1&gt;SemanaActual),"",MIN(1,SUMIFS(OFFSET($A$1,ROW(),29,1000-ROW(),1),OFFSET($A$1,ROW(),20,1000-ROW(),1),ROW(),OFFSET($A$1,ROW(),21,1000-ROW(),1),"Sub"))))</f>
        <v/>
      </c>
      <c r="J162" s="60">
        <f>IF(N($W162)=0,"",IF(AND($S162=MesCiclo,2&gt;SemanaActual),"",MIN(1,SUMIFS(OFFSET($A$1,ROW(),30,1000-ROW(),1),OFFSET($A$1,ROW(),20,1000-ROW(),1),ROW(),OFFSET($A$1,ROW(),21,1000-ROW(),1),"Sub"))))</f>
        <v/>
      </c>
      <c r="K162" s="60">
        <f>IF(N($W162)=0,"",IF(AND($S162=MesCiclo,3&gt;SemanaActual),"",MIN(1,SUMIFS(OFFSET($A$1,ROW(),31,1000-ROW(),1),OFFSET($A$1,ROW(),20,1000-ROW(),1),ROW(),OFFSET($A$1,ROW(),21,1000-ROW(),1),"Sub"))))</f>
        <v/>
      </c>
      <c r="L162" s="60">
        <f>IF(N($W162)=0,"",IF(AND($S162=MesCiclo,4&gt;SemanaActual),"",MIN(1,SUMIFS(OFFSET($A$1,ROW(),32,1000-ROW(),1),OFFSET($A$1,ROW(),20,1000-ROW(),1),ROW(),OFFSET($A$1,ROW(),21,1000-ROW(),1),"Sub"))))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IF($V162&lt;&gt;"Sub","",N($X162)*IF(AND(ISNUMBER($G162),$G162&lt;=IF($S162=MesCiclo,InicioCiclo,$S162+MOD(2-WEEKDAY($S162),7))+6),1,MIN(1,MAX(0,IF(ISNUMBER(OFFSET($A$1,ROW()-1,8)),OFFSET($A$1,ROW()-1,8),0)))))</f>
        <v/>
      </c>
      <c r="AE162" s="62">
        <f>IF($V162&lt;&gt;"Sub","",N($X162)*IF(AND(ISNUMBER($G162),$G162&lt;=IF($S162=MesCiclo,InicioCiclo,$S162+MOD(2-WEEKDAY($S162),7))+13),1,MIN(1,MAX(0,IF(ISNUMBER(OFFSET($A$1,ROW()-1,9)),OFFSET($A$1,ROW()-1,9),IF(ISNUMBER(OFFSET($A$1,ROW()-1,8)),OFFSET($A$1,ROW()-1,8),0))))))</f>
        <v/>
      </c>
      <c r="AF162" s="62">
        <f>IF($V162&lt;&gt;"Sub","",N($X162)*IF(AND(ISNUMBER($G162),$G162&lt;=IF($S162=MesCiclo,InicioCiclo,$S162+MOD(2-WEEKDAY($S162),7))+20),1,MIN(1,MAX(0,IF(ISNUMBER(OFFSET($A$1,ROW()-1,10)),OFFSET($A$1,ROW()-1,10),IF(ISNUMBER(OFFSET($A$1,ROW()-1,9)),OFFSET($A$1,ROW()-1,9),IF(ISNUMBER(OFFSET($A$1,ROW()-1,8)),OFFSET($A$1,ROW()-1,8),0)))))))</f>
        <v/>
      </c>
      <c r="AG162" s="62">
        <f>IF($V162&lt;&gt;"Sub","",N($X162)*IF(AND(ISNUMBER($G162),$G162&lt;=IF($S162=MesCiclo,InicioCiclo,$S162+MOD(2-WEEKDAY($S162),7))+27),1,MIN(1,MAX(0,IF(ISNUMBER(OFFSET($A$1,ROW()-1,11)),OFFSET($A$1,ROW()-1,11),IF(ISNUMBER(OFFSET($A$1,ROW()-1,10)),OFFSET($A$1,ROW()-1,10),IF(ISNUMBER(OFFSET($A$1,ROW()-1,9)),OFFSET($A$1,ROW()-1,9),IF(ISNUMBER(OFFSET($A$1,ROW()-1,8)),OFFSET($A$1,ROW()-1,8),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",IFERROR(MATCH("Riesgo Normativo|"&amp;MID($C162,12,500),rDname_ADM,0),0),"")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IF(N($W163)=0,"",IF(AND($S163=MesCiclo,1&gt;SemanaActual),"",MIN(1,SUMIFS(OFFSET($A$1,ROW(),29,1000-ROW(),1),OFFSET($A$1,ROW(),20,1000-ROW(),1),ROW(),OFFSET($A$1,ROW(),21,1000-ROW(),1),"Sub"))))</f>
        <v/>
      </c>
      <c r="J163" s="60">
        <f>IF(N($W163)=0,"",IF(AND($S163=MesCiclo,2&gt;SemanaActual),"",MIN(1,SUMIFS(OFFSET($A$1,ROW(),30,1000-ROW(),1),OFFSET($A$1,ROW(),20,1000-ROW(),1),ROW(),OFFSET($A$1,ROW(),21,1000-ROW(),1),"Sub"))))</f>
        <v/>
      </c>
      <c r="K163" s="60">
        <f>IF(N($W163)=0,"",IF(AND($S163=MesCiclo,3&gt;SemanaActual),"",MIN(1,SUMIFS(OFFSET($A$1,ROW(),31,1000-ROW(),1),OFFSET($A$1,ROW(),20,1000-ROW(),1),ROW(),OFFSET($A$1,ROW(),21,1000-ROW(),1),"Sub"))))</f>
        <v/>
      </c>
      <c r="L163" s="60">
        <f>IF(N($W163)=0,"",IF(AND($S163=MesCiclo,4&gt;SemanaActual),"",MIN(1,SUMIFS(OFFSET($A$1,ROW(),32,1000-ROW(),1),OFFSET($A$1,ROW(),20,1000-ROW(),1),ROW(),OFFSET($A$1,ROW(),21,1000-ROW(),1),"Sub"))))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IF($V163&lt;&gt;"Sub","",N($X163)*IF(AND(ISNUMBER($G163),$G163&lt;=IF($S163=MesCiclo,InicioCiclo,$S163+MOD(2-WEEKDAY($S163),7))+6),1,MIN(1,MAX(0,IF(ISNUMBER(OFFSET($A$1,ROW()-1,8)),OFFSET($A$1,ROW()-1,8),0)))))</f>
        <v/>
      </c>
      <c r="AE163" s="62">
        <f>IF($V163&lt;&gt;"Sub","",N($X163)*IF(AND(ISNUMBER($G163),$G163&lt;=IF($S163=MesCiclo,InicioCiclo,$S163+MOD(2-WEEKDAY($S163),7))+13),1,MIN(1,MAX(0,IF(ISNUMBER(OFFSET($A$1,ROW()-1,9)),OFFSET($A$1,ROW()-1,9),IF(ISNUMBER(OFFSET($A$1,ROW()-1,8)),OFFSET($A$1,ROW()-1,8),0))))))</f>
        <v/>
      </c>
      <c r="AF163" s="62">
        <f>IF($V163&lt;&gt;"Sub","",N($X163)*IF(AND(ISNUMBER($G163),$G163&lt;=IF($S163=MesCiclo,InicioCiclo,$S163+MOD(2-WEEKDAY($S163),7))+20),1,MIN(1,MAX(0,IF(ISNUMBER(OFFSET($A$1,ROW()-1,10)),OFFSET($A$1,ROW()-1,10),IF(ISNUMBER(OFFSET($A$1,ROW()-1,9)),OFFSET($A$1,ROW()-1,9),IF(ISNUMBER(OFFSET($A$1,ROW()-1,8)),OFFSET($A$1,ROW()-1,8),0)))))))</f>
        <v/>
      </c>
      <c r="AG163" s="62">
        <f>IF($V163&lt;&gt;"Sub","",N($X163)*IF(AND(ISNUMBER($G163),$G163&lt;=IF($S163=MesCiclo,InicioCiclo,$S163+MOD(2-WEEKDAY($S163),7))+27),1,MIN(1,MAX(0,IF(ISNUMBER(OFFSET($A$1,ROW()-1,11)),OFFSET($A$1,ROW()-1,11),IF(ISNUMBER(OFFSET($A$1,ROW()-1,10)),OFFSET($A$1,ROW()-1,10),IF(ISNUMBER(OFFSET($A$1,ROW()-1,9)),OFFSET($A$1,ROW()-1,9),IF(ISNUMBER(OFFSET($A$1,ROW()-1,8)),OFFSET($A$1,ROW()-1,8),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",IFERROR(MATCH("Riesgo Normativo|"&amp;MID($C163,12,500),rDname_ADM,0),0),"")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IF(N($W164)=0,"",IF(AND($S164=MesCiclo,1&gt;SemanaActual),"",MIN(1,SUMIFS(OFFSET($A$1,ROW(),29,1000-ROW(),1),OFFSET($A$1,ROW(),20,1000-ROW(),1),ROW(),OFFSET($A$1,ROW(),21,1000-ROW(),1),"Sub"))))</f>
        <v/>
      </c>
      <c r="J164" s="60">
        <f>IF(N($W164)=0,"",IF(AND($S164=MesCiclo,2&gt;SemanaActual),"",MIN(1,SUMIFS(OFFSET($A$1,ROW(),30,1000-ROW(),1),OFFSET($A$1,ROW(),20,1000-ROW(),1),ROW(),OFFSET($A$1,ROW(),21,1000-ROW(),1),"Sub"))))</f>
        <v/>
      </c>
      <c r="K164" s="60">
        <f>IF(N($W164)=0,"",IF(AND($S164=MesCiclo,3&gt;SemanaActual),"",MIN(1,SUMIFS(OFFSET($A$1,ROW(),31,1000-ROW(),1),OFFSET($A$1,ROW(),20,1000-ROW(),1),ROW(),OFFSET($A$1,ROW(),21,1000-ROW(),1),"Sub"))))</f>
        <v/>
      </c>
      <c r="L164" s="60">
        <f>IF(N($W164)=0,"",IF(AND($S164=MesCiclo,4&gt;SemanaActual),"",MIN(1,SUMIFS(OFFSET($A$1,ROW(),32,1000-ROW(),1),OFFSET($A$1,ROW(),20,1000-ROW(),1),ROW(),OFFSET($A$1,ROW(),21,1000-ROW(),1),"Sub"))))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IF($V164&lt;&gt;"Sub","",N($X164)*IF(AND(ISNUMBER($G164),$G164&lt;=IF($S164=MesCiclo,InicioCiclo,$S164+MOD(2-WEEKDAY($S164),7))+6),1,MIN(1,MAX(0,IF(ISNUMBER(OFFSET($A$1,ROW()-1,8)),OFFSET($A$1,ROW()-1,8),0)))))</f>
        <v/>
      </c>
      <c r="AE164" s="62">
        <f>IF($V164&lt;&gt;"Sub","",N($X164)*IF(AND(ISNUMBER($G164),$G164&lt;=IF($S164=MesCiclo,InicioCiclo,$S164+MOD(2-WEEKDAY($S164),7))+13),1,MIN(1,MAX(0,IF(ISNUMBER(OFFSET($A$1,ROW()-1,9)),OFFSET($A$1,ROW()-1,9),IF(ISNUMBER(OFFSET($A$1,ROW()-1,8)),OFFSET($A$1,ROW()-1,8),0))))))</f>
        <v/>
      </c>
      <c r="AF164" s="62">
        <f>IF($V164&lt;&gt;"Sub","",N($X164)*IF(AND(ISNUMBER($G164),$G164&lt;=IF($S164=MesCiclo,InicioCiclo,$S164+MOD(2-WEEKDAY($S164),7))+20),1,MIN(1,MAX(0,IF(ISNUMBER(OFFSET($A$1,ROW()-1,10)),OFFSET($A$1,ROW()-1,10),IF(ISNUMBER(OFFSET($A$1,ROW()-1,9)),OFFSET($A$1,ROW()-1,9),IF(ISNUMBER(OFFSET($A$1,ROW()-1,8)),OFFSET($A$1,ROW()-1,8),0)))))))</f>
        <v/>
      </c>
      <c r="AG164" s="62">
        <f>IF($V164&lt;&gt;"Sub","",N($X164)*IF(AND(ISNUMBER($G164),$G164&lt;=IF($S164=MesCiclo,InicioCiclo,$S164+MOD(2-WEEKDAY($S164),7))+27),1,MIN(1,MAX(0,IF(ISNUMBER(OFFSET($A$1,ROW()-1,11)),OFFSET($A$1,ROW()-1,11),IF(ISNUMBER(OFFSET($A$1,ROW()-1,10)),OFFSET($A$1,ROW()-1,10),IF(ISNUMBER(OFFSET($A$1,ROW()-1,9)),OFFSET($A$1,ROW()-1,9),IF(ISNUMBER(OFFSET($A$1,ROW()-1,8)),OFFSET($A$1,ROW()-1,8),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",IFERROR(MATCH("Riesgo Normativo|"&amp;MID($C164,12,500),rDname_ADM,0),0),"")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IF(N($W165)=0,"",IF(AND($S165=MesCiclo,1&gt;SemanaActual),"",MIN(1,SUMIFS(OFFSET($A$1,ROW(),29,1000-ROW(),1),OFFSET($A$1,ROW(),20,1000-ROW(),1),ROW(),OFFSET($A$1,ROW(),21,1000-ROW(),1),"Sub"))))</f>
        <v/>
      </c>
      <c r="J165" s="60">
        <f>IF(N($W165)=0,"",IF(AND($S165=MesCiclo,2&gt;SemanaActual),"",MIN(1,SUMIFS(OFFSET($A$1,ROW(),30,1000-ROW(),1),OFFSET($A$1,ROW(),20,1000-ROW(),1),ROW(),OFFSET($A$1,ROW(),21,1000-ROW(),1),"Sub"))))</f>
        <v/>
      </c>
      <c r="K165" s="60">
        <f>IF(N($W165)=0,"",IF(AND($S165=MesCiclo,3&gt;SemanaActual),"",MIN(1,SUMIFS(OFFSET($A$1,ROW(),31,1000-ROW(),1),OFFSET($A$1,ROW(),20,1000-ROW(),1),ROW(),OFFSET($A$1,ROW(),21,1000-ROW(),1),"Sub"))))</f>
        <v/>
      </c>
      <c r="L165" s="60">
        <f>IF(N($W165)=0,"",IF(AND($S165=MesCiclo,4&gt;SemanaActual),"",MIN(1,SUMIFS(OFFSET($A$1,ROW(),32,1000-ROW(),1),OFFSET($A$1,ROW(),20,1000-ROW(),1),ROW(),OFFSET($A$1,ROW(),21,1000-ROW(),1),"Sub"))))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IF($V165&lt;&gt;"Sub","",N($X165)*IF(AND(ISNUMBER($G165),$G165&lt;=IF($S165=MesCiclo,InicioCiclo,$S165+MOD(2-WEEKDAY($S165),7))+6),1,MIN(1,MAX(0,IF(ISNUMBER(OFFSET($A$1,ROW()-1,8)),OFFSET($A$1,ROW()-1,8),0)))))</f>
        <v/>
      </c>
      <c r="AE165" s="62">
        <f>IF($V165&lt;&gt;"Sub","",N($X165)*IF(AND(ISNUMBER($G165),$G165&lt;=IF($S165=MesCiclo,InicioCiclo,$S165+MOD(2-WEEKDAY($S165),7))+13),1,MIN(1,MAX(0,IF(ISNUMBER(OFFSET($A$1,ROW()-1,9)),OFFSET($A$1,ROW()-1,9),IF(ISNUMBER(OFFSET($A$1,ROW()-1,8)),OFFSET($A$1,ROW()-1,8),0))))))</f>
        <v/>
      </c>
      <c r="AF165" s="62">
        <f>IF($V165&lt;&gt;"Sub","",N($X165)*IF(AND(ISNUMBER($G165),$G165&lt;=IF($S165=MesCiclo,InicioCiclo,$S165+MOD(2-WEEKDAY($S165),7))+20),1,MIN(1,MAX(0,IF(ISNUMBER(OFFSET($A$1,ROW()-1,10)),OFFSET($A$1,ROW()-1,10),IF(ISNUMBER(OFFSET($A$1,ROW()-1,9)),OFFSET($A$1,ROW()-1,9),IF(ISNUMBER(OFFSET($A$1,ROW()-1,8)),OFFSET($A$1,ROW()-1,8),0)))))))</f>
        <v/>
      </c>
      <c r="AG165" s="62">
        <f>IF($V165&lt;&gt;"Sub","",N($X165)*IF(AND(ISNUMBER($G165),$G165&lt;=IF($S165=MesCiclo,InicioCiclo,$S165+MOD(2-WEEKDAY($S165),7))+27),1,MIN(1,MAX(0,IF(ISNUMBER(OFFSET($A$1,ROW()-1,11)),OFFSET($A$1,ROW()-1,11),IF(ISNUMBER(OFFSET($A$1,ROW()-1,10)),OFFSET($A$1,ROW()-1,10),IF(ISNUMBER(OFFSET($A$1,ROW()-1,9)),OFFSET($A$1,ROW()-1,9),IF(ISNUMBER(OFFSET($A$1,ROW()-1,8)),OFFSET($A$1,ROW()-1,8),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",IFERROR(MATCH("Riesgo Normativo|"&amp;MID($C165,12,500),rDname_ADM,0),0),"")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IF(N($W166)=0,"",IF(AND($S166=MesCiclo,1&gt;SemanaActual),"",MIN(1,SUMIFS(OFFSET($A$1,ROW(),29,1000-ROW(),1),OFFSET($A$1,ROW(),20,1000-ROW(),1),ROW(),OFFSET($A$1,ROW(),21,1000-ROW(),1),"Sub"))))</f>
        <v/>
      </c>
      <c r="J166" s="60">
        <f>IF(N($W166)=0,"",IF(AND($S166=MesCiclo,2&gt;SemanaActual),"",MIN(1,SUMIFS(OFFSET($A$1,ROW(),30,1000-ROW(),1),OFFSET($A$1,ROW(),20,1000-ROW(),1),ROW(),OFFSET($A$1,ROW(),21,1000-ROW(),1),"Sub"))))</f>
        <v/>
      </c>
      <c r="K166" s="60">
        <f>IF(N($W166)=0,"",IF(AND($S166=MesCiclo,3&gt;SemanaActual),"",MIN(1,SUMIFS(OFFSET($A$1,ROW(),31,1000-ROW(),1),OFFSET($A$1,ROW(),20,1000-ROW(),1),ROW(),OFFSET($A$1,ROW(),21,1000-ROW(),1),"Sub"))))</f>
        <v/>
      </c>
      <c r="L166" s="60">
        <f>IF(N($W166)=0,"",IF(AND($S166=MesCiclo,4&gt;SemanaActual),"",MIN(1,SUMIFS(OFFSET($A$1,ROW(),32,1000-ROW(),1),OFFSET($A$1,ROW(),20,1000-ROW(),1),ROW(),OFFSET($A$1,ROW(),21,1000-ROW(),1),"Sub"))))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IF($V166&lt;&gt;"Sub","",N($X166)*IF(AND(ISNUMBER($G166),$G166&lt;=IF($S166=MesCiclo,InicioCiclo,$S166+MOD(2-WEEKDAY($S166),7))+6),1,MIN(1,MAX(0,IF(ISNUMBER(OFFSET($A$1,ROW()-1,8)),OFFSET($A$1,ROW()-1,8),0)))))</f>
        <v/>
      </c>
      <c r="AE166" s="62">
        <f>IF($V166&lt;&gt;"Sub","",N($X166)*IF(AND(ISNUMBER($G166),$G166&lt;=IF($S166=MesCiclo,InicioCiclo,$S166+MOD(2-WEEKDAY($S166),7))+13),1,MIN(1,MAX(0,IF(ISNUMBER(OFFSET($A$1,ROW()-1,9)),OFFSET($A$1,ROW()-1,9),IF(ISNUMBER(OFFSET($A$1,ROW()-1,8)),OFFSET($A$1,ROW()-1,8),0))))))</f>
        <v/>
      </c>
      <c r="AF166" s="62">
        <f>IF($V166&lt;&gt;"Sub","",N($X166)*IF(AND(ISNUMBER($G166),$G166&lt;=IF($S166=MesCiclo,InicioCiclo,$S166+MOD(2-WEEKDAY($S166),7))+20),1,MIN(1,MAX(0,IF(ISNUMBER(OFFSET($A$1,ROW()-1,10)),OFFSET($A$1,ROW()-1,10),IF(ISNUMBER(OFFSET($A$1,ROW()-1,9)),OFFSET($A$1,ROW()-1,9),IF(ISNUMBER(OFFSET($A$1,ROW()-1,8)),OFFSET($A$1,ROW()-1,8),0)))))))</f>
        <v/>
      </c>
      <c r="AG166" s="62">
        <f>IF($V166&lt;&gt;"Sub","",N($X166)*IF(AND(ISNUMBER($G166),$G166&lt;=IF($S166=MesCiclo,InicioCiclo,$S166+MOD(2-WEEKDAY($S166),7))+27),1,MIN(1,MAX(0,IF(ISNUMBER(OFFSET($A$1,ROW()-1,11)),OFFSET($A$1,ROW()-1,11),IF(ISNUMBER(OFFSET($A$1,ROW()-1,10)),OFFSET($A$1,ROW()-1,10),IF(ISNUMBER(OFFSET($A$1,ROW()-1,9)),OFFSET($A$1,ROW()-1,9),IF(ISNUMBER(OFFSET($A$1,ROW()-1,8)),OFFSET($A$1,ROW()-1,8),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",IFERROR(MATCH("Riesgo Normativo|"&amp;MID($C166,12,500),rDname_ADM,0),0),"")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IF(N($W167)=0,"",IF(AND($S167=MesCiclo,1&gt;SemanaActual),"",MIN(1,SUMIFS(OFFSET($A$1,ROW(),29,1000-ROW(),1),OFFSET($A$1,ROW(),20,1000-ROW(),1),ROW(),OFFSET($A$1,ROW(),21,1000-ROW(),1),"Sub"))))</f>
        <v/>
      </c>
      <c r="J167" s="60">
        <f>IF(N($W167)=0,"",IF(AND($S167=MesCiclo,2&gt;SemanaActual),"",MIN(1,SUMIFS(OFFSET($A$1,ROW(),30,1000-ROW(),1),OFFSET($A$1,ROW(),20,1000-ROW(),1),ROW(),OFFSET($A$1,ROW(),21,1000-ROW(),1),"Sub"))))</f>
        <v/>
      </c>
      <c r="K167" s="60">
        <f>IF(N($W167)=0,"",IF(AND($S167=MesCiclo,3&gt;SemanaActual),"",MIN(1,SUMIFS(OFFSET($A$1,ROW(),31,1000-ROW(),1),OFFSET($A$1,ROW(),20,1000-ROW(),1),ROW(),OFFSET($A$1,ROW(),21,1000-ROW(),1),"Sub"))))</f>
        <v/>
      </c>
      <c r="L167" s="60">
        <f>IF(N($W167)=0,"",IF(AND($S167=MesCiclo,4&gt;SemanaActual),"",MIN(1,SUMIFS(OFFSET($A$1,ROW(),32,1000-ROW(),1),OFFSET($A$1,ROW(),20,1000-ROW(),1),ROW(),OFFSET($A$1,ROW(),21,1000-ROW(),1),"Sub"))))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IF($V167&lt;&gt;"Sub","",N($X167)*IF(AND(ISNUMBER($G167),$G167&lt;=IF($S167=MesCiclo,InicioCiclo,$S167+MOD(2-WEEKDAY($S167),7))+6),1,MIN(1,MAX(0,IF(ISNUMBER(OFFSET($A$1,ROW()-1,8)),OFFSET($A$1,ROW()-1,8),0)))))</f>
        <v/>
      </c>
      <c r="AE167" s="62">
        <f>IF($V167&lt;&gt;"Sub","",N($X167)*IF(AND(ISNUMBER($G167),$G167&lt;=IF($S167=MesCiclo,InicioCiclo,$S167+MOD(2-WEEKDAY($S167),7))+13),1,MIN(1,MAX(0,IF(ISNUMBER(OFFSET($A$1,ROW()-1,9)),OFFSET($A$1,ROW()-1,9),IF(ISNUMBER(OFFSET($A$1,ROW()-1,8)),OFFSET($A$1,ROW()-1,8),0))))))</f>
        <v/>
      </c>
      <c r="AF167" s="62">
        <f>IF($V167&lt;&gt;"Sub","",N($X167)*IF(AND(ISNUMBER($G167),$G167&lt;=IF($S167=MesCiclo,InicioCiclo,$S167+MOD(2-WEEKDAY($S167),7))+20),1,MIN(1,MAX(0,IF(ISNUMBER(OFFSET($A$1,ROW()-1,10)),OFFSET($A$1,ROW()-1,10),IF(ISNUMBER(OFFSET($A$1,ROW()-1,9)),OFFSET($A$1,ROW()-1,9),IF(ISNUMBER(OFFSET($A$1,ROW()-1,8)),OFFSET($A$1,ROW()-1,8),0)))))))</f>
        <v/>
      </c>
      <c r="AG167" s="62">
        <f>IF($V167&lt;&gt;"Sub","",N($X167)*IF(AND(ISNUMBER($G167),$G167&lt;=IF($S167=MesCiclo,InicioCiclo,$S167+MOD(2-WEEKDAY($S167),7))+27),1,MIN(1,MAX(0,IF(ISNUMBER(OFFSET($A$1,ROW()-1,11)),OFFSET($A$1,ROW()-1,11),IF(ISNUMBER(OFFSET($A$1,ROW()-1,10)),OFFSET($A$1,ROW()-1,10),IF(ISNUMBER(OFFSET($A$1,ROW()-1,9)),OFFSET($A$1,ROW()-1,9),IF(ISNUMBER(OFFSET($A$1,ROW()-1,8)),OFFSET($A$1,ROW()-1,8),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",IFERROR(MATCH("Riesgo Normativo|"&amp;MID($C167,12,500),rDname_ADM,0),0),"")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IF(N($W168)=0,"",IF(AND($S168=MesCiclo,1&gt;SemanaActual),"",MIN(1,SUMIFS(OFFSET($A$1,ROW(),29,1000-ROW(),1),OFFSET($A$1,ROW(),20,1000-ROW(),1),ROW(),OFFSET($A$1,ROW(),21,1000-ROW(),1),"Sub"))))</f>
        <v/>
      </c>
      <c r="J168" s="60">
        <f>IF(N($W168)=0,"",IF(AND($S168=MesCiclo,2&gt;SemanaActual),"",MIN(1,SUMIFS(OFFSET($A$1,ROW(),30,1000-ROW(),1),OFFSET($A$1,ROW(),20,1000-ROW(),1),ROW(),OFFSET($A$1,ROW(),21,1000-ROW(),1),"Sub"))))</f>
        <v/>
      </c>
      <c r="K168" s="60">
        <f>IF(N($W168)=0,"",IF(AND($S168=MesCiclo,3&gt;SemanaActual),"",MIN(1,SUMIFS(OFFSET($A$1,ROW(),31,1000-ROW(),1),OFFSET($A$1,ROW(),20,1000-ROW(),1),ROW(),OFFSET($A$1,ROW(),21,1000-ROW(),1),"Sub"))))</f>
        <v/>
      </c>
      <c r="L168" s="60">
        <f>IF(N($W168)=0,"",IF(AND($S168=MesCiclo,4&gt;SemanaActual),"",MIN(1,SUMIFS(OFFSET($A$1,ROW(),32,1000-ROW(),1),OFFSET($A$1,ROW(),20,1000-ROW(),1),ROW(),OFFSET($A$1,ROW(),21,1000-ROW(),1),"Sub"))))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IF($V168&lt;&gt;"Sub","",N($X168)*IF(AND(ISNUMBER($G168),$G168&lt;=IF($S168=MesCiclo,InicioCiclo,$S168+MOD(2-WEEKDAY($S168),7))+6),1,MIN(1,MAX(0,IF(ISNUMBER(OFFSET($A$1,ROW()-1,8)),OFFSET($A$1,ROW()-1,8),0)))))</f>
        <v/>
      </c>
      <c r="AE168" s="62">
        <f>IF($V168&lt;&gt;"Sub","",N($X168)*IF(AND(ISNUMBER($G168),$G168&lt;=IF($S168=MesCiclo,InicioCiclo,$S168+MOD(2-WEEKDAY($S168),7))+13),1,MIN(1,MAX(0,IF(ISNUMBER(OFFSET($A$1,ROW()-1,9)),OFFSET($A$1,ROW()-1,9),IF(ISNUMBER(OFFSET($A$1,ROW()-1,8)),OFFSET($A$1,ROW()-1,8),0))))))</f>
        <v/>
      </c>
      <c r="AF168" s="62">
        <f>IF($V168&lt;&gt;"Sub","",N($X168)*IF(AND(ISNUMBER($G168),$G168&lt;=IF($S168=MesCiclo,InicioCiclo,$S168+MOD(2-WEEKDAY($S168),7))+20),1,MIN(1,MAX(0,IF(ISNUMBER(OFFSET($A$1,ROW()-1,10)),OFFSET($A$1,ROW()-1,10),IF(ISNUMBER(OFFSET($A$1,ROW()-1,9)),OFFSET($A$1,ROW()-1,9),IF(ISNUMBER(OFFSET($A$1,ROW()-1,8)),OFFSET($A$1,ROW()-1,8),0)))))))</f>
        <v/>
      </c>
      <c r="AG168" s="62">
        <f>IF($V168&lt;&gt;"Sub","",N($X168)*IF(AND(ISNUMBER($G168),$G168&lt;=IF($S168=MesCiclo,InicioCiclo,$S168+MOD(2-WEEKDAY($S168),7))+27),1,MIN(1,MAX(0,IF(ISNUMBER(OFFSET($A$1,ROW()-1,11)),OFFSET($A$1,ROW()-1,11),IF(ISNUMBER(OFFSET($A$1,ROW()-1,10)),OFFSET($A$1,ROW()-1,10),IF(ISNUMBER(OFFSET($A$1,ROW()-1,9)),OFFSET($A$1,ROW()-1,9),IF(ISNUMBER(OFFSET($A$1,ROW()-1,8)),OFFSET($A$1,ROW()-1,8),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",IFERROR(MATCH("Riesgo Normativo|"&amp;MID($C168,12,500),rDname_ADM,0),0),"")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IF(N($W169)=0,"",IF(AND($S169=MesCiclo,1&gt;SemanaActual),"",MIN(1,SUMIFS(OFFSET($A$1,ROW(),29,1000-ROW(),1),OFFSET($A$1,ROW(),20,1000-ROW(),1),ROW(),OFFSET($A$1,ROW(),21,1000-ROW(),1),"Sub"))))</f>
        <v/>
      </c>
      <c r="J169" s="60">
        <f>IF(N($W169)=0,"",IF(AND($S169=MesCiclo,2&gt;SemanaActual),"",MIN(1,SUMIFS(OFFSET($A$1,ROW(),30,1000-ROW(),1),OFFSET($A$1,ROW(),20,1000-ROW(),1),ROW(),OFFSET($A$1,ROW(),21,1000-ROW(),1),"Sub"))))</f>
        <v/>
      </c>
      <c r="K169" s="60">
        <f>IF(N($W169)=0,"",IF(AND($S169=MesCiclo,3&gt;SemanaActual),"",MIN(1,SUMIFS(OFFSET($A$1,ROW(),31,1000-ROW(),1),OFFSET($A$1,ROW(),20,1000-ROW(),1),ROW(),OFFSET($A$1,ROW(),21,1000-ROW(),1),"Sub"))))</f>
        <v/>
      </c>
      <c r="L169" s="60">
        <f>IF(N($W169)=0,"",IF(AND($S169=MesCiclo,4&gt;SemanaActual),"",MIN(1,SUMIFS(OFFSET($A$1,ROW(),32,1000-ROW(),1),OFFSET($A$1,ROW(),20,1000-ROW(),1),ROW(),OFFSET($A$1,ROW(),21,1000-ROW(),1),"Sub"))))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IF($V169&lt;&gt;"Sub","",N($X169)*IF(AND(ISNUMBER($G169),$G169&lt;=IF($S169=MesCiclo,InicioCiclo,$S169+MOD(2-WEEKDAY($S169),7))+6),1,MIN(1,MAX(0,IF(ISNUMBER(OFFSET($A$1,ROW()-1,8)),OFFSET($A$1,ROW()-1,8),0)))))</f>
        <v/>
      </c>
      <c r="AE169" s="62">
        <f>IF($V169&lt;&gt;"Sub","",N($X169)*IF(AND(ISNUMBER($G169),$G169&lt;=IF($S169=MesCiclo,InicioCiclo,$S169+MOD(2-WEEKDAY($S169),7))+13),1,MIN(1,MAX(0,IF(ISNUMBER(OFFSET($A$1,ROW()-1,9)),OFFSET($A$1,ROW()-1,9),IF(ISNUMBER(OFFSET($A$1,ROW()-1,8)),OFFSET($A$1,ROW()-1,8),0))))))</f>
        <v/>
      </c>
      <c r="AF169" s="62">
        <f>IF($V169&lt;&gt;"Sub","",N($X169)*IF(AND(ISNUMBER($G169),$G169&lt;=IF($S169=MesCiclo,InicioCiclo,$S169+MOD(2-WEEKDAY($S169),7))+20),1,MIN(1,MAX(0,IF(ISNUMBER(OFFSET($A$1,ROW()-1,10)),OFFSET($A$1,ROW()-1,10),IF(ISNUMBER(OFFSET($A$1,ROW()-1,9)),OFFSET($A$1,ROW()-1,9),IF(ISNUMBER(OFFSET($A$1,ROW()-1,8)),OFFSET($A$1,ROW()-1,8),0)))))))</f>
        <v/>
      </c>
      <c r="AG169" s="62">
        <f>IF($V169&lt;&gt;"Sub","",N($X169)*IF(AND(ISNUMBER($G169),$G169&lt;=IF($S169=MesCiclo,InicioCiclo,$S169+MOD(2-WEEKDAY($S169),7))+27),1,MIN(1,MAX(0,IF(ISNUMBER(OFFSET($A$1,ROW()-1,11)),OFFSET($A$1,ROW()-1,11),IF(ISNUMBER(OFFSET($A$1,ROW()-1,10)),OFFSET($A$1,ROW()-1,10),IF(ISNUMBER(OFFSET($A$1,ROW()-1,9)),OFFSET($A$1,ROW()-1,9),IF(ISNUMBER(OFFSET($A$1,ROW()-1,8)),OFFSET($A$1,ROW()-1,8),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",IFERROR(MATCH("Riesgo Normativo|"&amp;MID($C169,12,500),rDname_ADM,0),0),"")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IF(N($W170)=0,"",IF(AND($S170=MesCiclo,1&gt;SemanaActual),"",MIN(1,SUMIFS(OFFSET($A$1,ROW(),29,1000-ROW(),1),OFFSET($A$1,ROW(),20,1000-ROW(),1),ROW(),OFFSET($A$1,ROW(),21,1000-ROW(),1),"Sub"))))</f>
        <v/>
      </c>
      <c r="J170" s="60">
        <f>IF(N($W170)=0,"",IF(AND($S170=MesCiclo,2&gt;SemanaActual),"",MIN(1,SUMIFS(OFFSET($A$1,ROW(),30,1000-ROW(),1),OFFSET($A$1,ROW(),20,1000-ROW(),1),ROW(),OFFSET($A$1,ROW(),21,1000-ROW(),1),"Sub"))))</f>
        <v/>
      </c>
      <c r="K170" s="60">
        <f>IF(N($W170)=0,"",IF(AND($S170=MesCiclo,3&gt;SemanaActual),"",MIN(1,SUMIFS(OFFSET($A$1,ROW(),31,1000-ROW(),1),OFFSET($A$1,ROW(),20,1000-ROW(),1),ROW(),OFFSET($A$1,ROW(),21,1000-ROW(),1),"Sub"))))</f>
        <v/>
      </c>
      <c r="L170" s="60">
        <f>IF(N($W170)=0,"",IF(AND($S170=MesCiclo,4&gt;SemanaActual),"",MIN(1,SUMIFS(OFFSET($A$1,ROW(),32,1000-ROW(),1),OFFSET($A$1,ROW(),20,1000-ROW(),1),ROW(),OFFSET($A$1,ROW(),21,1000-ROW(),1),"Sub"))))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IF($V170&lt;&gt;"Sub","",N($X170)*IF(AND(ISNUMBER($G170),$G170&lt;=IF($S170=MesCiclo,InicioCiclo,$S170+MOD(2-WEEKDAY($S170),7))+6),1,MIN(1,MAX(0,IF(ISNUMBER(OFFSET($A$1,ROW()-1,8)),OFFSET($A$1,ROW()-1,8),0)))))</f>
        <v/>
      </c>
      <c r="AE170" s="62">
        <f>IF($V170&lt;&gt;"Sub","",N($X170)*IF(AND(ISNUMBER($G170),$G170&lt;=IF($S170=MesCiclo,InicioCiclo,$S170+MOD(2-WEEKDAY($S170),7))+13),1,MIN(1,MAX(0,IF(ISNUMBER(OFFSET($A$1,ROW()-1,9)),OFFSET($A$1,ROW()-1,9),IF(ISNUMBER(OFFSET($A$1,ROW()-1,8)),OFFSET($A$1,ROW()-1,8),0))))))</f>
        <v/>
      </c>
      <c r="AF170" s="62">
        <f>IF($V170&lt;&gt;"Sub","",N($X170)*IF(AND(ISNUMBER($G170),$G170&lt;=IF($S170=MesCiclo,InicioCiclo,$S170+MOD(2-WEEKDAY($S170),7))+20),1,MIN(1,MAX(0,IF(ISNUMBER(OFFSET($A$1,ROW()-1,10)),OFFSET($A$1,ROW()-1,10),IF(ISNUMBER(OFFSET($A$1,ROW()-1,9)),OFFSET($A$1,ROW()-1,9),IF(ISNUMBER(OFFSET($A$1,ROW()-1,8)),OFFSET($A$1,ROW()-1,8),0)))))))</f>
        <v/>
      </c>
      <c r="AG170" s="62">
        <f>IF($V170&lt;&gt;"Sub","",N($X170)*IF(AND(ISNUMBER($G170),$G170&lt;=IF($S170=MesCiclo,InicioCiclo,$S170+MOD(2-WEEKDAY($S170),7))+27),1,MIN(1,MAX(0,IF(ISNUMBER(OFFSET($A$1,ROW()-1,11)),OFFSET($A$1,ROW()-1,11),IF(ISNUMBER(OFFSET($A$1,ROW()-1,10)),OFFSET($A$1,ROW()-1,10),IF(ISNUMBER(OFFSET($A$1,ROW()-1,9)),OFFSET($A$1,ROW()-1,9),IF(ISNUMBER(OFFSET($A$1,ROW()-1,8)),OFFSET($A$1,ROW()-1,8),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",IFERROR(MATCH("Riesgo Normativo|"&amp;MID($C170,12,500),rDname_ADM,0),0),"")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IF(N($W171)=0,"",IF(AND($S171=MesCiclo,1&gt;SemanaActual),"",MIN(1,SUMIFS(OFFSET($A$1,ROW(),29,1000-ROW(),1),OFFSET($A$1,ROW(),20,1000-ROW(),1),ROW(),OFFSET($A$1,ROW(),21,1000-ROW(),1),"Sub"))))</f>
        <v/>
      </c>
      <c r="J171" s="60">
        <f>IF(N($W171)=0,"",IF(AND($S171=MesCiclo,2&gt;SemanaActual),"",MIN(1,SUMIFS(OFFSET($A$1,ROW(),30,1000-ROW(),1),OFFSET($A$1,ROW(),20,1000-ROW(),1),ROW(),OFFSET($A$1,ROW(),21,1000-ROW(),1),"Sub"))))</f>
        <v/>
      </c>
      <c r="K171" s="60">
        <f>IF(N($W171)=0,"",IF(AND($S171=MesCiclo,3&gt;SemanaActual),"",MIN(1,SUMIFS(OFFSET($A$1,ROW(),31,1000-ROW(),1),OFFSET($A$1,ROW(),20,1000-ROW(),1),ROW(),OFFSET($A$1,ROW(),21,1000-ROW(),1),"Sub"))))</f>
        <v/>
      </c>
      <c r="L171" s="60">
        <f>IF(N($W171)=0,"",IF(AND($S171=MesCiclo,4&gt;SemanaActual),"",MIN(1,SUMIFS(OFFSET($A$1,ROW(),32,1000-ROW(),1),OFFSET($A$1,ROW(),20,1000-ROW(),1),ROW(),OFFSET($A$1,ROW(),21,1000-ROW(),1),"Sub"))))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IF($V171&lt;&gt;"Sub","",N($X171)*IF(AND(ISNUMBER($G171),$G171&lt;=IF($S171=MesCiclo,InicioCiclo,$S171+MOD(2-WEEKDAY($S171),7))+6),1,MIN(1,MAX(0,IF(ISNUMBER(OFFSET($A$1,ROW()-1,8)),OFFSET($A$1,ROW()-1,8),0)))))</f>
        <v/>
      </c>
      <c r="AE171" s="62">
        <f>IF($V171&lt;&gt;"Sub","",N($X171)*IF(AND(ISNUMBER($G171),$G171&lt;=IF($S171=MesCiclo,InicioCiclo,$S171+MOD(2-WEEKDAY($S171),7))+13),1,MIN(1,MAX(0,IF(ISNUMBER(OFFSET($A$1,ROW()-1,9)),OFFSET($A$1,ROW()-1,9),IF(ISNUMBER(OFFSET($A$1,ROW()-1,8)),OFFSET($A$1,ROW()-1,8),0))))))</f>
        <v/>
      </c>
      <c r="AF171" s="62">
        <f>IF($V171&lt;&gt;"Sub","",N($X171)*IF(AND(ISNUMBER($G171),$G171&lt;=IF($S171=MesCiclo,InicioCiclo,$S171+MOD(2-WEEKDAY($S171),7))+20),1,MIN(1,MAX(0,IF(ISNUMBER(OFFSET($A$1,ROW()-1,10)),OFFSET($A$1,ROW()-1,10),IF(ISNUMBER(OFFSET($A$1,ROW()-1,9)),OFFSET($A$1,ROW()-1,9),IF(ISNUMBER(OFFSET($A$1,ROW()-1,8)),OFFSET($A$1,ROW()-1,8),0)))))))</f>
        <v/>
      </c>
      <c r="AG171" s="62">
        <f>IF($V171&lt;&gt;"Sub","",N($X171)*IF(AND(ISNUMBER($G171),$G171&lt;=IF($S171=MesCiclo,InicioCiclo,$S171+MOD(2-WEEKDAY($S171),7))+27),1,MIN(1,MAX(0,IF(ISNUMBER(OFFSET($A$1,ROW()-1,11)),OFFSET($A$1,ROW()-1,11),IF(ISNUMBER(OFFSET($A$1,ROW()-1,10)),OFFSET($A$1,ROW()-1,10),IF(ISNUMBER(OFFSET($A$1,ROW()-1,9)),OFFSET($A$1,ROW()-1,9),IF(ISNUMBER(OFFSET($A$1,ROW()-1,8)),OFFSET($A$1,ROW()-1,8),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",IFERROR(MATCH("Riesgo Normativo|"&amp;MID($C171,12,500),rDname_ADM,0),0),"")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IF(N($W172)=0,"",IF(AND($S172=MesCiclo,1&gt;SemanaActual),"",MIN(1,SUMIFS(OFFSET($A$1,ROW(),29,1000-ROW(),1),OFFSET($A$1,ROW(),20,1000-ROW(),1),ROW(),OFFSET($A$1,ROW(),21,1000-ROW(),1),"Sub"))))</f>
        <v/>
      </c>
      <c r="J172" s="60">
        <f>IF(N($W172)=0,"",IF(AND($S172=MesCiclo,2&gt;SemanaActual),"",MIN(1,SUMIFS(OFFSET($A$1,ROW(),30,1000-ROW(),1),OFFSET($A$1,ROW(),20,1000-ROW(),1),ROW(),OFFSET($A$1,ROW(),21,1000-ROW(),1),"Sub"))))</f>
        <v/>
      </c>
      <c r="K172" s="60">
        <f>IF(N($W172)=0,"",IF(AND($S172=MesCiclo,3&gt;SemanaActual),"",MIN(1,SUMIFS(OFFSET($A$1,ROW(),31,1000-ROW(),1),OFFSET($A$1,ROW(),20,1000-ROW(),1),ROW(),OFFSET($A$1,ROW(),21,1000-ROW(),1),"Sub"))))</f>
        <v/>
      </c>
      <c r="L172" s="60">
        <f>IF(N($W172)=0,"",IF(AND($S172=MesCiclo,4&gt;SemanaActual),"",MIN(1,SUMIFS(OFFSET($A$1,ROW(),32,1000-ROW(),1),OFFSET($A$1,ROW(),20,1000-ROW(),1),ROW(),OFFSET($A$1,ROW(),21,1000-ROW(),1),"Sub"))))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IF($V172&lt;&gt;"Sub","",N($X172)*IF(AND(ISNUMBER($G172),$G172&lt;=IF($S172=MesCiclo,InicioCiclo,$S172+MOD(2-WEEKDAY($S172),7))+6),1,MIN(1,MAX(0,IF(ISNUMBER(OFFSET($A$1,ROW()-1,8)),OFFSET($A$1,ROW()-1,8),0)))))</f>
        <v/>
      </c>
      <c r="AE172" s="62">
        <f>IF($V172&lt;&gt;"Sub","",N($X172)*IF(AND(ISNUMBER($G172),$G172&lt;=IF($S172=MesCiclo,InicioCiclo,$S172+MOD(2-WEEKDAY($S172),7))+13),1,MIN(1,MAX(0,IF(ISNUMBER(OFFSET($A$1,ROW()-1,9)),OFFSET($A$1,ROW()-1,9),IF(ISNUMBER(OFFSET($A$1,ROW()-1,8)),OFFSET($A$1,ROW()-1,8),0))))))</f>
        <v/>
      </c>
      <c r="AF172" s="62">
        <f>IF($V172&lt;&gt;"Sub","",N($X172)*IF(AND(ISNUMBER($G172),$G172&lt;=IF($S172=MesCiclo,InicioCiclo,$S172+MOD(2-WEEKDAY($S172),7))+20),1,MIN(1,MAX(0,IF(ISNUMBER(OFFSET($A$1,ROW()-1,10)),OFFSET($A$1,ROW()-1,10),IF(ISNUMBER(OFFSET($A$1,ROW()-1,9)),OFFSET($A$1,ROW()-1,9),IF(ISNUMBER(OFFSET($A$1,ROW()-1,8)),OFFSET($A$1,ROW()-1,8),0)))))))</f>
        <v/>
      </c>
      <c r="AG172" s="62">
        <f>IF($V172&lt;&gt;"Sub","",N($X172)*IF(AND(ISNUMBER($G172),$G172&lt;=IF($S172=MesCiclo,InicioCiclo,$S172+MOD(2-WEEKDAY($S172),7))+27),1,MIN(1,MAX(0,IF(ISNUMBER(OFFSET($A$1,ROW()-1,11)),OFFSET($A$1,ROW()-1,11),IF(ISNUMBER(OFFSET($A$1,ROW()-1,10)),OFFSET($A$1,ROW()-1,10),IF(ISNUMBER(OFFSET($A$1,ROW()-1,9)),OFFSET($A$1,ROW()-1,9),IF(ISNUMBER(OFFSET($A$1,ROW()-1,8)),OFFSET($A$1,ROW()-1,8),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",IFERROR(MATCH("Riesgo Normativo|"&amp;MID($C172,12,500),rDname_ADM,0),0),"")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IF(N($W173)=0,"",IF(AND($S173=MesCiclo,1&gt;SemanaActual),"",MIN(1,SUMIFS(OFFSET($A$1,ROW(),29,1000-ROW(),1),OFFSET($A$1,ROW(),20,1000-ROW(),1),ROW(),OFFSET($A$1,ROW(),21,1000-ROW(),1),"Sub"))))</f>
        <v/>
      </c>
      <c r="J173" s="60">
        <f>IF(N($W173)=0,"",IF(AND($S173=MesCiclo,2&gt;SemanaActual),"",MIN(1,SUMIFS(OFFSET($A$1,ROW(),30,1000-ROW(),1),OFFSET($A$1,ROW(),20,1000-ROW(),1),ROW(),OFFSET($A$1,ROW(),21,1000-ROW(),1),"Sub"))))</f>
        <v/>
      </c>
      <c r="K173" s="60">
        <f>IF(N($W173)=0,"",IF(AND($S173=MesCiclo,3&gt;SemanaActual),"",MIN(1,SUMIFS(OFFSET($A$1,ROW(),31,1000-ROW(),1),OFFSET($A$1,ROW(),20,1000-ROW(),1),ROW(),OFFSET($A$1,ROW(),21,1000-ROW(),1),"Sub"))))</f>
        <v/>
      </c>
      <c r="L173" s="60">
        <f>IF(N($W173)=0,"",IF(AND($S173=MesCiclo,4&gt;SemanaActual),"",MIN(1,SUMIFS(OFFSET($A$1,ROW(),32,1000-ROW(),1),OFFSET($A$1,ROW(),20,1000-ROW(),1),ROW(),OFFSET($A$1,ROW(),21,1000-ROW(),1),"Sub"))))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IF($V173&lt;&gt;"Sub","",N($X173)*IF(AND(ISNUMBER($G173),$G173&lt;=IF($S173=MesCiclo,InicioCiclo,$S173+MOD(2-WEEKDAY($S173),7))+6),1,MIN(1,MAX(0,IF(ISNUMBER(OFFSET($A$1,ROW()-1,8)),OFFSET($A$1,ROW()-1,8),0)))))</f>
        <v/>
      </c>
      <c r="AE173" s="62">
        <f>IF($V173&lt;&gt;"Sub","",N($X173)*IF(AND(ISNUMBER($G173),$G173&lt;=IF($S173=MesCiclo,InicioCiclo,$S173+MOD(2-WEEKDAY($S173),7))+13),1,MIN(1,MAX(0,IF(ISNUMBER(OFFSET($A$1,ROW()-1,9)),OFFSET($A$1,ROW()-1,9),IF(ISNUMBER(OFFSET($A$1,ROW()-1,8)),OFFSET($A$1,ROW()-1,8),0))))))</f>
        <v/>
      </c>
      <c r="AF173" s="62">
        <f>IF($V173&lt;&gt;"Sub","",N($X173)*IF(AND(ISNUMBER($G173),$G173&lt;=IF($S173=MesCiclo,InicioCiclo,$S173+MOD(2-WEEKDAY($S173),7))+20),1,MIN(1,MAX(0,IF(ISNUMBER(OFFSET($A$1,ROW()-1,10)),OFFSET($A$1,ROW()-1,10),IF(ISNUMBER(OFFSET($A$1,ROW()-1,9)),OFFSET($A$1,ROW()-1,9),IF(ISNUMBER(OFFSET($A$1,ROW()-1,8)),OFFSET($A$1,ROW()-1,8),0)))))))</f>
        <v/>
      </c>
      <c r="AG173" s="62">
        <f>IF($V173&lt;&gt;"Sub","",N($X173)*IF(AND(ISNUMBER($G173),$G173&lt;=IF($S173=MesCiclo,InicioCiclo,$S173+MOD(2-WEEKDAY($S173),7))+27),1,MIN(1,MAX(0,IF(ISNUMBER(OFFSET($A$1,ROW()-1,11)),OFFSET($A$1,ROW()-1,11),IF(ISNUMBER(OFFSET($A$1,ROW()-1,10)),OFFSET($A$1,ROW()-1,10),IF(ISNUMBER(OFFSET($A$1,ROW()-1,9)),OFFSET($A$1,ROW()-1,9),IF(ISNUMBER(OFFSET($A$1,ROW()-1,8)),OFFSET($A$1,ROW()-1,8),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",IFERROR(MATCH("Riesgo Normativo|"&amp;MID($C173,12,500),rDname_ADM,0),0),"")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IF(N($W174)=0,"",IF(AND($S174=MesCiclo,1&gt;SemanaActual),"",MIN(1,SUMIFS(OFFSET($A$1,ROW(),29,1000-ROW(),1),OFFSET($A$1,ROW(),20,1000-ROW(),1),ROW(),OFFSET($A$1,ROW(),21,1000-ROW(),1),"Sub"))))</f>
        <v/>
      </c>
      <c r="J174" s="60">
        <f>IF(N($W174)=0,"",IF(AND($S174=MesCiclo,2&gt;SemanaActual),"",MIN(1,SUMIFS(OFFSET($A$1,ROW(),30,1000-ROW(),1),OFFSET($A$1,ROW(),20,1000-ROW(),1),ROW(),OFFSET($A$1,ROW(),21,1000-ROW(),1),"Sub"))))</f>
        <v/>
      </c>
      <c r="K174" s="60">
        <f>IF(N($W174)=0,"",IF(AND($S174=MesCiclo,3&gt;SemanaActual),"",MIN(1,SUMIFS(OFFSET($A$1,ROW(),31,1000-ROW(),1),OFFSET($A$1,ROW(),20,1000-ROW(),1),ROW(),OFFSET($A$1,ROW(),21,1000-ROW(),1),"Sub"))))</f>
        <v/>
      </c>
      <c r="L174" s="60">
        <f>IF(N($W174)=0,"",IF(AND($S174=MesCiclo,4&gt;SemanaActual),"",MIN(1,SUMIFS(OFFSET($A$1,ROW(),32,1000-ROW(),1),OFFSET($A$1,ROW(),20,1000-ROW(),1),ROW(),OFFSET($A$1,ROW(),21,1000-ROW(),1),"Sub"))))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IF($V174&lt;&gt;"Sub","",N($X174)*IF(AND(ISNUMBER($G174),$G174&lt;=IF($S174=MesCiclo,InicioCiclo,$S174+MOD(2-WEEKDAY($S174),7))+6),1,MIN(1,MAX(0,IF(ISNUMBER(OFFSET($A$1,ROW()-1,8)),OFFSET($A$1,ROW()-1,8),0)))))</f>
        <v/>
      </c>
      <c r="AE174" s="62">
        <f>IF($V174&lt;&gt;"Sub","",N($X174)*IF(AND(ISNUMBER($G174),$G174&lt;=IF($S174=MesCiclo,InicioCiclo,$S174+MOD(2-WEEKDAY($S174),7))+13),1,MIN(1,MAX(0,IF(ISNUMBER(OFFSET($A$1,ROW()-1,9)),OFFSET($A$1,ROW()-1,9),IF(ISNUMBER(OFFSET($A$1,ROW()-1,8)),OFFSET($A$1,ROW()-1,8),0))))))</f>
        <v/>
      </c>
      <c r="AF174" s="62">
        <f>IF($V174&lt;&gt;"Sub","",N($X174)*IF(AND(ISNUMBER($G174),$G174&lt;=IF($S174=MesCiclo,InicioCiclo,$S174+MOD(2-WEEKDAY($S174),7))+20),1,MIN(1,MAX(0,IF(ISNUMBER(OFFSET($A$1,ROW()-1,10)),OFFSET($A$1,ROW()-1,10),IF(ISNUMBER(OFFSET($A$1,ROW()-1,9)),OFFSET($A$1,ROW()-1,9),IF(ISNUMBER(OFFSET($A$1,ROW()-1,8)),OFFSET($A$1,ROW()-1,8),0)))))))</f>
        <v/>
      </c>
      <c r="AG174" s="62">
        <f>IF($V174&lt;&gt;"Sub","",N($X174)*IF(AND(ISNUMBER($G174),$G174&lt;=IF($S174=MesCiclo,InicioCiclo,$S174+MOD(2-WEEKDAY($S174),7))+27),1,MIN(1,MAX(0,IF(ISNUMBER(OFFSET($A$1,ROW()-1,11)),OFFSET($A$1,ROW()-1,11),IF(ISNUMBER(OFFSET($A$1,ROW()-1,10)),OFFSET($A$1,ROW()-1,10),IF(ISNUMBER(OFFSET($A$1,ROW()-1,9)),OFFSET($A$1,ROW()-1,9),IF(ISNUMBER(OFFSET($A$1,ROW()-1,8)),OFFSET($A$1,ROW()-1,8),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",IFERROR(MATCH("Riesgo Normativo|"&amp;MID($C174,12,500),rDname_ADM,0),0),"")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IF(N($W175)=0,"",IF(AND($S175=MesCiclo,1&gt;SemanaActual),"",MIN(1,SUMIFS(OFFSET($A$1,ROW(),29,1000-ROW(),1),OFFSET($A$1,ROW(),20,1000-ROW(),1),ROW(),OFFSET($A$1,ROW(),21,1000-ROW(),1),"Sub"))))</f>
        <v/>
      </c>
      <c r="J175" s="60">
        <f>IF(N($W175)=0,"",IF(AND($S175=MesCiclo,2&gt;SemanaActual),"",MIN(1,SUMIFS(OFFSET($A$1,ROW(),30,1000-ROW(),1),OFFSET($A$1,ROW(),20,1000-ROW(),1),ROW(),OFFSET($A$1,ROW(),21,1000-ROW(),1),"Sub"))))</f>
        <v/>
      </c>
      <c r="K175" s="60">
        <f>IF(N($W175)=0,"",IF(AND($S175=MesCiclo,3&gt;SemanaActual),"",MIN(1,SUMIFS(OFFSET($A$1,ROW(),31,1000-ROW(),1),OFFSET($A$1,ROW(),20,1000-ROW(),1),ROW(),OFFSET($A$1,ROW(),21,1000-ROW(),1),"Sub"))))</f>
        <v/>
      </c>
      <c r="L175" s="60">
        <f>IF(N($W175)=0,"",IF(AND($S175=MesCiclo,4&gt;SemanaActual),"",MIN(1,SUMIFS(OFFSET($A$1,ROW(),32,1000-ROW(),1),OFFSET($A$1,ROW(),20,1000-ROW(),1),ROW(),OFFSET($A$1,ROW(),21,1000-ROW(),1),"Sub"))))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IF($V175&lt;&gt;"Sub","",N($X175)*IF(AND(ISNUMBER($G175),$G175&lt;=IF($S175=MesCiclo,InicioCiclo,$S175+MOD(2-WEEKDAY($S175),7))+6),1,MIN(1,MAX(0,IF(ISNUMBER(OFFSET($A$1,ROW()-1,8)),OFFSET($A$1,ROW()-1,8),0)))))</f>
        <v/>
      </c>
      <c r="AE175" s="62">
        <f>IF($V175&lt;&gt;"Sub","",N($X175)*IF(AND(ISNUMBER($G175),$G175&lt;=IF($S175=MesCiclo,InicioCiclo,$S175+MOD(2-WEEKDAY($S175),7))+13),1,MIN(1,MAX(0,IF(ISNUMBER(OFFSET($A$1,ROW()-1,9)),OFFSET($A$1,ROW()-1,9),IF(ISNUMBER(OFFSET($A$1,ROW()-1,8)),OFFSET($A$1,ROW()-1,8),0))))))</f>
        <v/>
      </c>
      <c r="AF175" s="62">
        <f>IF($V175&lt;&gt;"Sub","",N($X175)*IF(AND(ISNUMBER($G175),$G175&lt;=IF($S175=MesCiclo,InicioCiclo,$S175+MOD(2-WEEKDAY($S175),7))+20),1,MIN(1,MAX(0,IF(ISNUMBER(OFFSET($A$1,ROW()-1,10)),OFFSET($A$1,ROW()-1,10),IF(ISNUMBER(OFFSET($A$1,ROW()-1,9)),OFFSET($A$1,ROW()-1,9),IF(ISNUMBER(OFFSET($A$1,ROW()-1,8)),OFFSET($A$1,ROW()-1,8),0)))))))</f>
        <v/>
      </c>
      <c r="AG175" s="62">
        <f>IF($V175&lt;&gt;"Sub","",N($X175)*IF(AND(ISNUMBER($G175),$G175&lt;=IF($S175=MesCiclo,InicioCiclo,$S175+MOD(2-WEEKDAY($S175),7))+27),1,MIN(1,MAX(0,IF(ISNUMBER(OFFSET($A$1,ROW()-1,11)),OFFSET($A$1,ROW()-1,11),IF(ISNUMBER(OFFSET($A$1,ROW()-1,10)),OFFSET($A$1,ROW()-1,10),IF(ISNUMBER(OFFSET($A$1,ROW()-1,9)),OFFSET($A$1,ROW()-1,9),IF(ISNUMBER(OFFSET($A$1,ROW()-1,8)),OFFSET($A$1,ROW()-1,8),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",IFERROR(MATCH("Riesgo Normativo|"&amp;MID($C175,12,500),rDname_ADM,0),0),"")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IF(N($W176)=0,"",IF(AND($S176=MesCiclo,1&gt;SemanaActual),"",MIN(1,SUMIFS(OFFSET($A$1,ROW(),29,1000-ROW(),1),OFFSET($A$1,ROW(),20,1000-ROW(),1),ROW(),OFFSET($A$1,ROW(),21,1000-ROW(),1),"Sub"))))</f>
        <v/>
      </c>
      <c r="J176" s="60">
        <f>IF(N($W176)=0,"",IF(AND($S176=MesCiclo,2&gt;SemanaActual),"",MIN(1,SUMIFS(OFFSET($A$1,ROW(),30,1000-ROW(),1),OFFSET($A$1,ROW(),20,1000-ROW(),1),ROW(),OFFSET($A$1,ROW(),21,1000-ROW(),1),"Sub"))))</f>
        <v/>
      </c>
      <c r="K176" s="60">
        <f>IF(N($W176)=0,"",IF(AND($S176=MesCiclo,3&gt;SemanaActual),"",MIN(1,SUMIFS(OFFSET($A$1,ROW(),31,1000-ROW(),1),OFFSET($A$1,ROW(),20,1000-ROW(),1),ROW(),OFFSET($A$1,ROW(),21,1000-ROW(),1),"Sub"))))</f>
        <v/>
      </c>
      <c r="L176" s="60">
        <f>IF(N($W176)=0,"",IF(AND($S176=MesCiclo,4&gt;SemanaActual),"",MIN(1,SUMIFS(OFFSET($A$1,ROW(),32,1000-ROW(),1),OFFSET($A$1,ROW(),20,1000-ROW(),1),ROW(),OFFSET($A$1,ROW(),21,1000-ROW(),1),"Sub"))))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IF($V176&lt;&gt;"Sub","",N($X176)*IF(AND(ISNUMBER($G176),$G176&lt;=IF($S176=MesCiclo,InicioCiclo,$S176+MOD(2-WEEKDAY($S176),7))+6),1,MIN(1,MAX(0,IF(ISNUMBER(OFFSET($A$1,ROW()-1,8)),OFFSET($A$1,ROW()-1,8),0)))))</f>
        <v/>
      </c>
      <c r="AE176" s="62">
        <f>IF($V176&lt;&gt;"Sub","",N($X176)*IF(AND(ISNUMBER($G176),$G176&lt;=IF($S176=MesCiclo,InicioCiclo,$S176+MOD(2-WEEKDAY($S176),7))+13),1,MIN(1,MAX(0,IF(ISNUMBER(OFFSET($A$1,ROW()-1,9)),OFFSET($A$1,ROW()-1,9),IF(ISNUMBER(OFFSET($A$1,ROW()-1,8)),OFFSET($A$1,ROW()-1,8),0))))))</f>
        <v/>
      </c>
      <c r="AF176" s="62">
        <f>IF($V176&lt;&gt;"Sub","",N($X176)*IF(AND(ISNUMBER($G176),$G176&lt;=IF($S176=MesCiclo,InicioCiclo,$S176+MOD(2-WEEKDAY($S176),7))+20),1,MIN(1,MAX(0,IF(ISNUMBER(OFFSET($A$1,ROW()-1,10)),OFFSET($A$1,ROW()-1,10),IF(ISNUMBER(OFFSET($A$1,ROW()-1,9)),OFFSET($A$1,ROW()-1,9),IF(ISNUMBER(OFFSET($A$1,ROW()-1,8)),OFFSET($A$1,ROW()-1,8),0)))))))</f>
        <v/>
      </c>
      <c r="AG176" s="62">
        <f>IF($V176&lt;&gt;"Sub","",N($X176)*IF(AND(ISNUMBER($G176),$G176&lt;=IF($S176=MesCiclo,InicioCiclo,$S176+MOD(2-WEEKDAY($S176),7))+27),1,MIN(1,MAX(0,IF(ISNUMBER(OFFSET($A$1,ROW()-1,11)),OFFSET($A$1,ROW()-1,11),IF(ISNUMBER(OFFSET($A$1,ROW()-1,10)),OFFSET($A$1,ROW()-1,10),IF(ISNUMBER(OFFSET($A$1,ROW()-1,9)),OFFSET($A$1,ROW()-1,9),IF(ISNUMBER(OFFSET($A$1,ROW()-1,8)),OFFSET($A$1,ROW()-1,8),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",IFERROR(MATCH("Riesgo Normativo|"&amp;MID($C176,12,500),rDname_ADM,0),0),"")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IF(N($W177)=0,"",IF(AND($S177=MesCiclo,1&gt;SemanaActual),"",MIN(1,SUMIFS(OFFSET($A$1,ROW(),29,1000-ROW(),1),OFFSET($A$1,ROW(),20,1000-ROW(),1),ROW(),OFFSET($A$1,ROW(),21,1000-ROW(),1),"Sub"))))</f>
        <v/>
      </c>
      <c r="J177" s="60">
        <f>IF(N($W177)=0,"",IF(AND($S177=MesCiclo,2&gt;SemanaActual),"",MIN(1,SUMIFS(OFFSET($A$1,ROW(),30,1000-ROW(),1),OFFSET($A$1,ROW(),20,1000-ROW(),1),ROW(),OFFSET($A$1,ROW(),21,1000-ROW(),1),"Sub"))))</f>
        <v/>
      </c>
      <c r="K177" s="60">
        <f>IF(N($W177)=0,"",IF(AND($S177=MesCiclo,3&gt;SemanaActual),"",MIN(1,SUMIFS(OFFSET($A$1,ROW(),31,1000-ROW(),1),OFFSET($A$1,ROW(),20,1000-ROW(),1),ROW(),OFFSET($A$1,ROW(),21,1000-ROW(),1),"Sub"))))</f>
        <v/>
      </c>
      <c r="L177" s="60">
        <f>IF(N($W177)=0,"",IF(AND($S177=MesCiclo,4&gt;SemanaActual),"",MIN(1,SUMIFS(OFFSET($A$1,ROW(),32,1000-ROW(),1),OFFSET($A$1,ROW(),20,1000-ROW(),1),ROW(),OFFSET($A$1,ROW(),21,1000-ROW(),1),"Sub"))))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IF($V177&lt;&gt;"Sub","",N($X177)*IF(AND(ISNUMBER($G177),$G177&lt;=IF($S177=MesCiclo,InicioCiclo,$S177+MOD(2-WEEKDAY($S177),7))+6),1,MIN(1,MAX(0,IF(ISNUMBER(OFFSET($A$1,ROW()-1,8)),OFFSET($A$1,ROW()-1,8),0)))))</f>
        <v/>
      </c>
      <c r="AE177" s="62">
        <f>IF($V177&lt;&gt;"Sub","",N($X177)*IF(AND(ISNUMBER($G177),$G177&lt;=IF($S177=MesCiclo,InicioCiclo,$S177+MOD(2-WEEKDAY($S177),7))+13),1,MIN(1,MAX(0,IF(ISNUMBER(OFFSET($A$1,ROW()-1,9)),OFFSET($A$1,ROW()-1,9),IF(ISNUMBER(OFFSET($A$1,ROW()-1,8)),OFFSET($A$1,ROW()-1,8),0))))))</f>
        <v/>
      </c>
      <c r="AF177" s="62">
        <f>IF($V177&lt;&gt;"Sub","",N($X177)*IF(AND(ISNUMBER($G177),$G177&lt;=IF($S177=MesCiclo,InicioCiclo,$S177+MOD(2-WEEKDAY($S177),7))+20),1,MIN(1,MAX(0,IF(ISNUMBER(OFFSET($A$1,ROW()-1,10)),OFFSET($A$1,ROW()-1,10),IF(ISNUMBER(OFFSET($A$1,ROW()-1,9)),OFFSET($A$1,ROW()-1,9),IF(ISNUMBER(OFFSET($A$1,ROW()-1,8)),OFFSET($A$1,ROW()-1,8),0)))))))</f>
        <v/>
      </c>
      <c r="AG177" s="62">
        <f>IF($V177&lt;&gt;"Sub","",N($X177)*IF(AND(ISNUMBER($G177),$G177&lt;=IF($S177=MesCiclo,InicioCiclo,$S177+MOD(2-WEEKDAY($S177),7))+27),1,MIN(1,MAX(0,IF(ISNUMBER(OFFSET($A$1,ROW()-1,11)),OFFSET($A$1,ROW()-1,11),IF(ISNUMBER(OFFSET($A$1,ROW()-1,10)),OFFSET($A$1,ROW()-1,10),IF(ISNUMBER(OFFSET($A$1,ROW()-1,9)),OFFSET($A$1,ROW()-1,9),IF(ISNUMBER(OFFSET($A$1,ROW()-1,8)),OFFSET($A$1,ROW()-1,8),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",IFERROR(MATCH("Riesgo Normativo|"&amp;MID($C177,12,500),rDname_ADM,0),0),"")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IF(N($W178)=0,"",IF(AND($S178=MesCiclo,1&gt;SemanaActual),"",MIN(1,SUMIFS(OFFSET($A$1,ROW(),29,1000-ROW(),1),OFFSET($A$1,ROW(),20,1000-ROW(),1),ROW(),OFFSET($A$1,ROW(),21,1000-ROW(),1),"Sub"))))</f>
        <v/>
      </c>
      <c r="J178" s="60">
        <f>IF(N($W178)=0,"",IF(AND($S178=MesCiclo,2&gt;SemanaActual),"",MIN(1,SUMIFS(OFFSET($A$1,ROW(),30,1000-ROW(),1),OFFSET($A$1,ROW(),20,1000-ROW(),1),ROW(),OFFSET($A$1,ROW(),21,1000-ROW(),1),"Sub"))))</f>
        <v/>
      </c>
      <c r="K178" s="60">
        <f>IF(N($W178)=0,"",IF(AND($S178=MesCiclo,3&gt;SemanaActual),"",MIN(1,SUMIFS(OFFSET($A$1,ROW(),31,1000-ROW(),1),OFFSET($A$1,ROW(),20,1000-ROW(),1),ROW(),OFFSET($A$1,ROW(),21,1000-ROW(),1),"Sub"))))</f>
        <v/>
      </c>
      <c r="L178" s="60">
        <f>IF(N($W178)=0,"",IF(AND($S178=MesCiclo,4&gt;SemanaActual),"",MIN(1,SUMIFS(OFFSET($A$1,ROW(),32,1000-ROW(),1),OFFSET($A$1,ROW(),20,1000-ROW(),1),ROW(),OFFSET($A$1,ROW(),21,1000-ROW(),1),"Sub"))))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IF($V178&lt;&gt;"Sub","",N($X178)*IF(AND(ISNUMBER($G178),$G178&lt;=IF($S178=MesCiclo,InicioCiclo,$S178+MOD(2-WEEKDAY($S178),7))+6),1,MIN(1,MAX(0,IF(ISNUMBER(OFFSET($A$1,ROW()-1,8)),OFFSET($A$1,ROW()-1,8),0)))))</f>
        <v/>
      </c>
      <c r="AE178" s="62">
        <f>IF($V178&lt;&gt;"Sub","",N($X178)*IF(AND(ISNUMBER($G178),$G178&lt;=IF($S178=MesCiclo,InicioCiclo,$S178+MOD(2-WEEKDAY($S178),7))+13),1,MIN(1,MAX(0,IF(ISNUMBER(OFFSET($A$1,ROW()-1,9)),OFFSET($A$1,ROW()-1,9),IF(ISNUMBER(OFFSET($A$1,ROW()-1,8)),OFFSET($A$1,ROW()-1,8),0))))))</f>
        <v/>
      </c>
      <c r="AF178" s="62">
        <f>IF($V178&lt;&gt;"Sub","",N($X178)*IF(AND(ISNUMBER($G178),$G178&lt;=IF($S178=MesCiclo,InicioCiclo,$S178+MOD(2-WEEKDAY($S178),7))+20),1,MIN(1,MAX(0,IF(ISNUMBER(OFFSET($A$1,ROW()-1,10)),OFFSET($A$1,ROW()-1,10),IF(ISNUMBER(OFFSET($A$1,ROW()-1,9)),OFFSET($A$1,ROW()-1,9),IF(ISNUMBER(OFFSET($A$1,ROW()-1,8)),OFFSET($A$1,ROW()-1,8),0)))))))</f>
        <v/>
      </c>
      <c r="AG178" s="62">
        <f>IF($V178&lt;&gt;"Sub","",N($X178)*IF(AND(ISNUMBER($G178),$G178&lt;=IF($S178=MesCiclo,InicioCiclo,$S178+MOD(2-WEEKDAY($S178),7))+27),1,MIN(1,MAX(0,IF(ISNUMBER(OFFSET($A$1,ROW()-1,11)),OFFSET($A$1,ROW()-1,11),IF(ISNUMBER(OFFSET($A$1,ROW()-1,10)),OFFSET($A$1,ROW()-1,10),IF(ISNUMBER(OFFSET($A$1,ROW()-1,9)),OFFSET($A$1,ROW()-1,9),IF(ISNUMBER(OFFSET($A$1,ROW()-1,8)),OFFSET($A$1,ROW()-1,8),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",IFERROR(MATCH("Riesgo Normativo|"&amp;MID($C178,12,500),rDname_ADM,0),0),"")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IF(N($W179)=0,"",IF(AND($S179=MesCiclo,1&gt;SemanaActual),"",MIN(1,SUMIFS(OFFSET($A$1,ROW(),29,1000-ROW(),1),OFFSET($A$1,ROW(),20,1000-ROW(),1),ROW(),OFFSET($A$1,ROW(),21,1000-ROW(),1),"Sub"))))</f>
        <v/>
      </c>
      <c r="J179" s="60">
        <f>IF(N($W179)=0,"",IF(AND($S179=MesCiclo,2&gt;SemanaActual),"",MIN(1,SUMIFS(OFFSET($A$1,ROW(),30,1000-ROW(),1),OFFSET($A$1,ROW(),20,1000-ROW(),1),ROW(),OFFSET($A$1,ROW(),21,1000-ROW(),1),"Sub"))))</f>
        <v/>
      </c>
      <c r="K179" s="60">
        <f>IF(N($W179)=0,"",IF(AND($S179=MesCiclo,3&gt;SemanaActual),"",MIN(1,SUMIFS(OFFSET($A$1,ROW(),31,1000-ROW(),1),OFFSET($A$1,ROW(),20,1000-ROW(),1),ROW(),OFFSET($A$1,ROW(),21,1000-ROW(),1),"Sub"))))</f>
        <v/>
      </c>
      <c r="L179" s="60">
        <f>IF(N($W179)=0,"",IF(AND($S179=MesCiclo,4&gt;SemanaActual),"",MIN(1,SUMIFS(OFFSET($A$1,ROW(),32,1000-ROW(),1),OFFSET($A$1,ROW(),20,1000-ROW(),1),ROW(),OFFSET($A$1,ROW(),21,1000-ROW(),1),"Sub"))))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IF($V179&lt;&gt;"Sub","",N($X179)*IF(AND(ISNUMBER($G179),$G179&lt;=IF($S179=MesCiclo,InicioCiclo,$S179+MOD(2-WEEKDAY($S179),7))+6),1,MIN(1,MAX(0,IF(ISNUMBER(OFFSET($A$1,ROW()-1,8)),OFFSET($A$1,ROW()-1,8),0)))))</f>
        <v/>
      </c>
      <c r="AE179" s="62">
        <f>IF($V179&lt;&gt;"Sub","",N($X179)*IF(AND(ISNUMBER($G179),$G179&lt;=IF($S179=MesCiclo,InicioCiclo,$S179+MOD(2-WEEKDAY($S179),7))+13),1,MIN(1,MAX(0,IF(ISNUMBER(OFFSET($A$1,ROW()-1,9)),OFFSET($A$1,ROW()-1,9),IF(ISNUMBER(OFFSET($A$1,ROW()-1,8)),OFFSET($A$1,ROW()-1,8),0))))))</f>
        <v/>
      </c>
      <c r="AF179" s="62">
        <f>IF($V179&lt;&gt;"Sub","",N($X179)*IF(AND(ISNUMBER($G179),$G179&lt;=IF($S179=MesCiclo,InicioCiclo,$S179+MOD(2-WEEKDAY($S179),7))+20),1,MIN(1,MAX(0,IF(ISNUMBER(OFFSET($A$1,ROW()-1,10)),OFFSET($A$1,ROW()-1,10),IF(ISNUMBER(OFFSET($A$1,ROW()-1,9)),OFFSET($A$1,ROW()-1,9),IF(ISNUMBER(OFFSET($A$1,ROW()-1,8)),OFFSET($A$1,ROW()-1,8),0)))))))</f>
        <v/>
      </c>
      <c r="AG179" s="62">
        <f>IF($V179&lt;&gt;"Sub","",N($X179)*IF(AND(ISNUMBER($G179),$G179&lt;=IF($S179=MesCiclo,InicioCiclo,$S179+MOD(2-WEEKDAY($S179),7))+27),1,MIN(1,MAX(0,IF(ISNUMBER(OFFSET($A$1,ROW()-1,11)),OFFSET($A$1,ROW()-1,11),IF(ISNUMBER(OFFSET($A$1,ROW()-1,10)),OFFSET($A$1,ROW()-1,10),IF(ISNUMBER(OFFSET($A$1,ROW()-1,9)),OFFSET($A$1,ROW()-1,9),IF(ISNUMBER(OFFSET($A$1,ROW()-1,8)),OFFSET($A$1,ROW()-1,8),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",IFERROR(MATCH("Riesgo Normativo|"&amp;MID($C179,12,500),rDname_ADM,0),0),"")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IF(N($W180)=0,"",IF(AND($S180=MesCiclo,1&gt;SemanaActual),"",MIN(1,SUMIFS(OFFSET($A$1,ROW(),29,1000-ROW(),1),OFFSET($A$1,ROW(),20,1000-ROW(),1),ROW(),OFFSET($A$1,ROW(),21,1000-ROW(),1),"Sub"))))</f>
        <v/>
      </c>
      <c r="J180" s="60">
        <f>IF(N($W180)=0,"",IF(AND($S180=MesCiclo,2&gt;SemanaActual),"",MIN(1,SUMIFS(OFFSET($A$1,ROW(),30,1000-ROW(),1),OFFSET($A$1,ROW(),20,1000-ROW(),1),ROW(),OFFSET($A$1,ROW(),21,1000-ROW(),1),"Sub"))))</f>
        <v/>
      </c>
      <c r="K180" s="60">
        <f>IF(N($W180)=0,"",IF(AND($S180=MesCiclo,3&gt;SemanaActual),"",MIN(1,SUMIFS(OFFSET($A$1,ROW(),31,1000-ROW(),1),OFFSET($A$1,ROW(),20,1000-ROW(),1),ROW(),OFFSET($A$1,ROW(),21,1000-ROW(),1),"Sub"))))</f>
        <v/>
      </c>
      <c r="L180" s="60">
        <f>IF(N($W180)=0,"",IF(AND($S180=MesCiclo,4&gt;SemanaActual),"",MIN(1,SUMIFS(OFFSET($A$1,ROW(),32,1000-ROW(),1),OFFSET($A$1,ROW(),20,1000-ROW(),1),ROW(),OFFSET($A$1,ROW(),21,1000-ROW(),1),"Sub"))))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IF($V180&lt;&gt;"Sub","",N($X180)*IF(AND(ISNUMBER($G180),$G180&lt;=IF($S180=MesCiclo,InicioCiclo,$S180+MOD(2-WEEKDAY($S180),7))+6),1,MIN(1,MAX(0,IF(ISNUMBER(OFFSET($A$1,ROW()-1,8)),OFFSET($A$1,ROW()-1,8),0)))))</f>
        <v/>
      </c>
      <c r="AE180" s="62">
        <f>IF($V180&lt;&gt;"Sub","",N($X180)*IF(AND(ISNUMBER($G180),$G180&lt;=IF($S180=MesCiclo,InicioCiclo,$S180+MOD(2-WEEKDAY($S180),7))+13),1,MIN(1,MAX(0,IF(ISNUMBER(OFFSET($A$1,ROW()-1,9)),OFFSET($A$1,ROW()-1,9),IF(ISNUMBER(OFFSET($A$1,ROW()-1,8)),OFFSET($A$1,ROW()-1,8),0))))))</f>
        <v/>
      </c>
      <c r="AF180" s="62">
        <f>IF($V180&lt;&gt;"Sub","",N($X180)*IF(AND(ISNUMBER($G180),$G180&lt;=IF($S180=MesCiclo,InicioCiclo,$S180+MOD(2-WEEKDAY($S180),7))+20),1,MIN(1,MAX(0,IF(ISNUMBER(OFFSET($A$1,ROW()-1,10)),OFFSET($A$1,ROW()-1,10),IF(ISNUMBER(OFFSET($A$1,ROW()-1,9)),OFFSET($A$1,ROW()-1,9),IF(ISNUMBER(OFFSET($A$1,ROW()-1,8)),OFFSET($A$1,ROW()-1,8),0)))))))</f>
        <v/>
      </c>
      <c r="AG180" s="62">
        <f>IF($V180&lt;&gt;"Sub","",N($X180)*IF(AND(ISNUMBER($G180),$G180&lt;=IF($S180=MesCiclo,InicioCiclo,$S180+MOD(2-WEEKDAY($S180),7))+27),1,MIN(1,MAX(0,IF(ISNUMBER(OFFSET($A$1,ROW()-1,11)),OFFSET($A$1,ROW()-1,11),IF(ISNUMBER(OFFSET($A$1,ROW()-1,10)),OFFSET($A$1,ROW()-1,10),IF(ISNUMBER(OFFSET($A$1,ROW()-1,9)),OFFSET($A$1,ROW()-1,9),IF(ISNUMBER(OFFSET($A$1,ROW()-1,8)),OFFSET($A$1,ROW()-1,8),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",IFERROR(MATCH("Riesgo Normativo|"&amp;MID($C180,12,500),rDname_ADM,0),0),"")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IF(N($W181)=0,"",IF(AND($S181=MesCiclo,1&gt;SemanaActual),"",MIN(1,SUMIFS(OFFSET($A$1,ROW(),29,1000-ROW(),1),OFFSET($A$1,ROW(),20,1000-ROW(),1),ROW(),OFFSET($A$1,ROW(),21,1000-ROW(),1),"Sub"))))</f>
        <v/>
      </c>
      <c r="J181" s="60">
        <f>IF(N($W181)=0,"",IF(AND($S181=MesCiclo,2&gt;SemanaActual),"",MIN(1,SUMIFS(OFFSET($A$1,ROW(),30,1000-ROW(),1),OFFSET($A$1,ROW(),20,1000-ROW(),1),ROW(),OFFSET($A$1,ROW(),21,1000-ROW(),1),"Sub"))))</f>
        <v/>
      </c>
      <c r="K181" s="60">
        <f>IF(N($W181)=0,"",IF(AND($S181=MesCiclo,3&gt;SemanaActual),"",MIN(1,SUMIFS(OFFSET($A$1,ROW(),31,1000-ROW(),1),OFFSET($A$1,ROW(),20,1000-ROW(),1),ROW(),OFFSET($A$1,ROW(),21,1000-ROW(),1),"Sub"))))</f>
        <v/>
      </c>
      <c r="L181" s="60">
        <f>IF(N($W181)=0,"",IF(AND($S181=MesCiclo,4&gt;SemanaActual),"",MIN(1,SUMIFS(OFFSET($A$1,ROW(),32,1000-ROW(),1),OFFSET($A$1,ROW(),20,1000-ROW(),1),ROW(),OFFSET($A$1,ROW(),21,1000-ROW(),1),"Sub"))))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IF($V181&lt;&gt;"Sub","",N($X181)*IF(AND(ISNUMBER($G181),$G181&lt;=IF($S181=MesCiclo,InicioCiclo,$S181+MOD(2-WEEKDAY($S181),7))+6),1,MIN(1,MAX(0,IF(ISNUMBER(OFFSET($A$1,ROW()-1,8)),OFFSET($A$1,ROW()-1,8),0)))))</f>
        <v/>
      </c>
      <c r="AE181" s="62">
        <f>IF($V181&lt;&gt;"Sub","",N($X181)*IF(AND(ISNUMBER($G181),$G181&lt;=IF($S181=MesCiclo,InicioCiclo,$S181+MOD(2-WEEKDAY($S181),7))+13),1,MIN(1,MAX(0,IF(ISNUMBER(OFFSET($A$1,ROW()-1,9)),OFFSET($A$1,ROW()-1,9),IF(ISNUMBER(OFFSET($A$1,ROW()-1,8)),OFFSET($A$1,ROW()-1,8),0))))))</f>
        <v/>
      </c>
      <c r="AF181" s="62">
        <f>IF($V181&lt;&gt;"Sub","",N($X181)*IF(AND(ISNUMBER($G181),$G181&lt;=IF($S181=MesCiclo,InicioCiclo,$S181+MOD(2-WEEKDAY($S181),7))+20),1,MIN(1,MAX(0,IF(ISNUMBER(OFFSET($A$1,ROW()-1,10)),OFFSET($A$1,ROW()-1,10),IF(ISNUMBER(OFFSET($A$1,ROW()-1,9)),OFFSET($A$1,ROW()-1,9),IF(ISNUMBER(OFFSET($A$1,ROW()-1,8)),OFFSET($A$1,ROW()-1,8),0)))))))</f>
        <v/>
      </c>
      <c r="AG181" s="62">
        <f>IF($V181&lt;&gt;"Sub","",N($X181)*IF(AND(ISNUMBER($G181),$G181&lt;=IF($S181=MesCiclo,InicioCiclo,$S181+MOD(2-WEEKDAY($S181),7))+27),1,MIN(1,MAX(0,IF(ISNUMBER(OFFSET($A$1,ROW()-1,11)),OFFSET($A$1,ROW()-1,11),IF(ISNUMBER(OFFSET($A$1,ROW()-1,10)),OFFSET($A$1,ROW()-1,10),IF(ISNUMBER(OFFSET($A$1,ROW()-1,9)),OFFSET($A$1,ROW()-1,9),IF(ISNUMBER(OFFSET($A$1,ROW()-1,8)),OFFSET($A$1,ROW()-1,8),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",IFERROR(MATCH("Riesgo Normativo|"&amp;MID($C181,12,500),rDname_ADM,0),0),"")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IF(N($W182)=0,"",IF(AND($S182=MesCiclo,1&gt;SemanaActual),"",MIN(1,SUMIFS(OFFSET($A$1,ROW(),29,1000-ROW(),1),OFFSET($A$1,ROW(),20,1000-ROW(),1),ROW(),OFFSET($A$1,ROW(),21,1000-ROW(),1),"Sub"))))</f>
        <v/>
      </c>
      <c r="J182" s="60">
        <f>IF(N($W182)=0,"",IF(AND($S182=MesCiclo,2&gt;SemanaActual),"",MIN(1,SUMIFS(OFFSET($A$1,ROW(),30,1000-ROW(),1),OFFSET($A$1,ROW(),20,1000-ROW(),1),ROW(),OFFSET($A$1,ROW(),21,1000-ROW(),1),"Sub"))))</f>
        <v/>
      </c>
      <c r="K182" s="60">
        <f>IF(N($W182)=0,"",IF(AND($S182=MesCiclo,3&gt;SemanaActual),"",MIN(1,SUMIFS(OFFSET($A$1,ROW(),31,1000-ROW(),1),OFFSET($A$1,ROW(),20,1000-ROW(),1),ROW(),OFFSET($A$1,ROW(),21,1000-ROW(),1),"Sub"))))</f>
        <v/>
      </c>
      <c r="L182" s="60">
        <f>IF(N($W182)=0,"",IF(AND($S182=MesCiclo,4&gt;SemanaActual),"",MIN(1,SUMIFS(OFFSET($A$1,ROW(),32,1000-ROW(),1),OFFSET($A$1,ROW(),20,1000-ROW(),1),ROW(),OFFSET($A$1,ROW(),21,1000-ROW(),1),"Sub"))))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IF($V182&lt;&gt;"Sub","",N($X182)*IF(AND(ISNUMBER($G182),$G182&lt;=IF($S182=MesCiclo,InicioCiclo,$S182+MOD(2-WEEKDAY($S182),7))+6),1,MIN(1,MAX(0,IF(ISNUMBER(OFFSET($A$1,ROW()-1,8)),OFFSET($A$1,ROW()-1,8),0)))))</f>
        <v/>
      </c>
      <c r="AE182" s="62">
        <f>IF($V182&lt;&gt;"Sub","",N($X182)*IF(AND(ISNUMBER($G182),$G182&lt;=IF($S182=MesCiclo,InicioCiclo,$S182+MOD(2-WEEKDAY($S182),7))+13),1,MIN(1,MAX(0,IF(ISNUMBER(OFFSET($A$1,ROW()-1,9)),OFFSET($A$1,ROW()-1,9),IF(ISNUMBER(OFFSET($A$1,ROW()-1,8)),OFFSET($A$1,ROW()-1,8),0))))))</f>
        <v/>
      </c>
      <c r="AF182" s="62">
        <f>IF($V182&lt;&gt;"Sub","",N($X182)*IF(AND(ISNUMBER($G182),$G182&lt;=IF($S182=MesCiclo,InicioCiclo,$S182+MOD(2-WEEKDAY($S182),7))+20),1,MIN(1,MAX(0,IF(ISNUMBER(OFFSET($A$1,ROW()-1,10)),OFFSET($A$1,ROW()-1,10),IF(ISNUMBER(OFFSET($A$1,ROW()-1,9)),OFFSET($A$1,ROW()-1,9),IF(ISNUMBER(OFFSET($A$1,ROW()-1,8)),OFFSET($A$1,ROW()-1,8),0)))))))</f>
        <v/>
      </c>
      <c r="AG182" s="62">
        <f>IF($V182&lt;&gt;"Sub","",N($X182)*IF(AND(ISNUMBER($G182),$G182&lt;=IF($S182=MesCiclo,InicioCiclo,$S182+MOD(2-WEEKDAY($S182),7))+27),1,MIN(1,MAX(0,IF(ISNUMBER(OFFSET($A$1,ROW()-1,11)),OFFSET($A$1,ROW()-1,11),IF(ISNUMBER(OFFSET($A$1,ROW()-1,10)),OFFSET($A$1,ROW()-1,10),IF(ISNUMBER(OFFSET($A$1,ROW()-1,9)),OFFSET($A$1,ROW()-1,9),IF(ISNUMBER(OFFSET($A$1,ROW()-1,8)),OFFSET($A$1,ROW()-1,8),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",IFERROR(MATCH("Riesgo Normativo|"&amp;MID($C182,12,500),rDname_ADM,0),0),"")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IF(N($W183)=0,"",IF(AND($S183=MesCiclo,1&gt;SemanaActual),"",MIN(1,SUMIFS(OFFSET($A$1,ROW(),29,1000-ROW(),1),OFFSET($A$1,ROW(),20,1000-ROW(),1),ROW(),OFFSET($A$1,ROW(),21,1000-ROW(),1),"Sub"))))</f>
        <v/>
      </c>
      <c r="J183" s="60">
        <f>IF(N($W183)=0,"",IF(AND($S183=MesCiclo,2&gt;SemanaActual),"",MIN(1,SUMIFS(OFFSET($A$1,ROW(),30,1000-ROW(),1),OFFSET($A$1,ROW(),20,1000-ROW(),1),ROW(),OFFSET($A$1,ROW(),21,1000-ROW(),1),"Sub"))))</f>
        <v/>
      </c>
      <c r="K183" s="60">
        <f>IF(N($W183)=0,"",IF(AND($S183=MesCiclo,3&gt;SemanaActual),"",MIN(1,SUMIFS(OFFSET($A$1,ROW(),31,1000-ROW(),1),OFFSET($A$1,ROW(),20,1000-ROW(),1),ROW(),OFFSET($A$1,ROW(),21,1000-ROW(),1),"Sub"))))</f>
        <v/>
      </c>
      <c r="L183" s="60">
        <f>IF(N($W183)=0,"",IF(AND($S183=MesCiclo,4&gt;SemanaActual),"",MIN(1,SUMIFS(OFFSET($A$1,ROW(),32,1000-ROW(),1),OFFSET($A$1,ROW(),20,1000-ROW(),1),ROW(),OFFSET($A$1,ROW(),21,1000-ROW(),1),"Sub"))))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IF($V183&lt;&gt;"Sub","",N($X183)*IF(AND(ISNUMBER($G183),$G183&lt;=IF($S183=MesCiclo,InicioCiclo,$S183+MOD(2-WEEKDAY($S183),7))+6),1,MIN(1,MAX(0,IF(ISNUMBER(OFFSET($A$1,ROW()-1,8)),OFFSET($A$1,ROW()-1,8),0)))))</f>
        <v/>
      </c>
      <c r="AE183" s="62">
        <f>IF($V183&lt;&gt;"Sub","",N($X183)*IF(AND(ISNUMBER($G183),$G183&lt;=IF($S183=MesCiclo,InicioCiclo,$S183+MOD(2-WEEKDAY($S183),7))+13),1,MIN(1,MAX(0,IF(ISNUMBER(OFFSET($A$1,ROW()-1,9)),OFFSET($A$1,ROW()-1,9),IF(ISNUMBER(OFFSET($A$1,ROW()-1,8)),OFFSET($A$1,ROW()-1,8),0))))))</f>
        <v/>
      </c>
      <c r="AF183" s="62">
        <f>IF($V183&lt;&gt;"Sub","",N($X183)*IF(AND(ISNUMBER($G183),$G183&lt;=IF($S183=MesCiclo,InicioCiclo,$S183+MOD(2-WEEKDAY($S183),7))+20),1,MIN(1,MAX(0,IF(ISNUMBER(OFFSET($A$1,ROW()-1,10)),OFFSET($A$1,ROW()-1,10),IF(ISNUMBER(OFFSET($A$1,ROW()-1,9)),OFFSET($A$1,ROW()-1,9),IF(ISNUMBER(OFFSET($A$1,ROW()-1,8)),OFFSET($A$1,ROW()-1,8),0)))))))</f>
        <v/>
      </c>
      <c r="AG183" s="62">
        <f>IF($V183&lt;&gt;"Sub","",N($X183)*IF(AND(ISNUMBER($G183),$G183&lt;=IF($S183=MesCiclo,InicioCiclo,$S183+MOD(2-WEEKDAY($S183),7))+27),1,MIN(1,MAX(0,IF(ISNUMBER(OFFSET($A$1,ROW()-1,11)),OFFSET($A$1,ROW()-1,11),IF(ISNUMBER(OFFSET($A$1,ROW()-1,10)),OFFSET($A$1,ROW()-1,10),IF(ISNUMBER(OFFSET($A$1,ROW()-1,9)),OFFSET($A$1,ROW()-1,9),IF(ISNUMBER(OFFSET($A$1,ROW()-1,8)),OFFSET($A$1,ROW()-1,8),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",IFERROR(MATCH("Riesgo Normativo|"&amp;MID($C183,12,500),rDname_ADM,0),0),"")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IF(N($W184)=0,"",IF(AND($S184=MesCiclo,1&gt;SemanaActual),"",MIN(1,SUMIFS(OFFSET($A$1,ROW(),29,1000-ROW(),1),OFFSET($A$1,ROW(),20,1000-ROW(),1),ROW(),OFFSET($A$1,ROW(),21,1000-ROW(),1),"Sub"))))</f>
        <v/>
      </c>
      <c r="J184" s="60">
        <f>IF(N($W184)=0,"",IF(AND($S184=MesCiclo,2&gt;SemanaActual),"",MIN(1,SUMIFS(OFFSET($A$1,ROW(),30,1000-ROW(),1),OFFSET($A$1,ROW(),20,1000-ROW(),1),ROW(),OFFSET($A$1,ROW(),21,1000-ROW(),1),"Sub"))))</f>
        <v/>
      </c>
      <c r="K184" s="60">
        <f>IF(N($W184)=0,"",IF(AND($S184=MesCiclo,3&gt;SemanaActual),"",MIN(1,SUMIFS(OFFSET($A$1,ROW(),31,1000-ROW(),1),OFFSET($A$1,ROW(),20,1000-ROW(),1),ROW(),OFFSET($A$1,ROW(),21,1000-ROW(),1),"Sub"))))</f>
        <v/>
      </c>
      <c r="L184" s="60">
        <f>IF(N($W184)=0,"",IF(AND($S184=MesCiclo,4&gt;SemanaActual),"",MIN(1,SUMIFS(OFFSET($A$1,ROW(),32,1000-ROW(),1),OFFSET($A$1,ROW(),20,1000-ROW(),1),ROW(),OFFSET($A$1,ROW(),21,1000-ROW(),1),"Sub"))))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IF($V184&lt;&gt;"Sub","",N($X184)*IF(AND(ISNUMBER($G184),$G184&lt;=IF($S184=MesCiclo,InicioCiclo,$S184+MOD(2-WEEKDAY($S184),7))+6),1,MIN(1,MAX(0,IF(ISNUMBER(OFFSET($A$1,ROW()-1,8)),OFFSET($A$1,ROW()-1,8),0)))))</f>
        <v/>
      </c>
      <c r="AE184" s="62">
        <f>IF($V184&lt;&gt;"Sub","",N($X184)*IF(AND(ISNUMBER($G184),$G184&lt;=IF($S184=MesCiclo,InicioCiclo,$S184+MOD(2-WEEKDAY($S184),7))+13),1,MIN(1,MAX(0,IF(ISNUMBER(OFFSET($A$1,ROW()-1,9)),OFFSET($A$1,ROW()-1,9),IF(ISNUMBER(OFFSET($A$1,ROW()-1,8)),OFFSET($A$1,ROW()-1,8),0))))))</f>
        <v/>
      </c>
      <c r="AF184" s="62">
        <f>IF($V184&lt;&gt;"Sub","",N($X184)*IF(AND(ISNUMBER($G184),$G184&lt;=IF($S184=MesCiclo,InicioCiclo,$S184+MOD(2-WEEKDAY($S184),7))+20),1,MIN(1,MAX(0,IF(ISNUMBER(OFFSET($A$1,ROW()-1,10)),OFFSET($A$1,ROW()-1,10),IF(ISNUMBER(OFFSET($A$1,ROW()-1,9)),OFFSET($A$1,ROW()-1,9),IF(ISNUMBER(OFFSET($A$1,ROW()-1,8)),OFFSET($A$1,ROW()-1,8),0)))))))</f>
        <v/>
      </c>
      <c r="AG184" s="62">
        <f>IF($V184&lt;&gt;"Sub","",N($X184)*IF(AND(ISNUMBER($G184),$G184&lt;=IF($S184=MesCiclo,InicioCiclo,$S184+MOD(2-WEEKDAY($S184),7))+27),1,MIN(1,MAX(0,IF(ISNUMBER(OFFSET($A$1,ROW()-1,11)),OFFSET($A$1,ROW()-1,11),IF(ISNUMBER(OFFSET($A$1,ROW()-1,10)),OFFSET($A$1,ROW()-1,10),IF(ISNUMBER(OFFSET($A$1,ROW()-1,9)),OFFSET($A$1,ROW()-1,9),IF(ISNUMBER(OFFSET($A$1,ROW()-1,8)),OFFSET($A$1,ROW()-1,8),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",IFERROR(MATCH("Riesgo Normativo|"&amp;MID($C184,12,500),rDname_ADM,0),0),"")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IF(N($W185)=0,"",IF(AND($S185=MesCiclo,1&gt;SemanaActual),"",MIN(1,SUMIFS(OFFSET($A$1,ROW(),29,1000-ROW(),1),OFFSET($A$1,ROW(),20,1000-ROW(),1),ROW(),OFFSET($A$1,ROW(),21,1000-ROW(),1),"Sub"))))</f>
        <v/>
      </c>
      <c r="J185" s="60">
        <f>IF(N($W185)=0,"",IF(AND($S185=MesCiclo,2&gt;SemanaActual),"",MIN(1,SUMIFS(OFFSET($A$1,ROW(),30,1000-ROW(),1),OFFSET($A$1,ROW(),20,1000-ROW(),1),ROW(),OFFSET($A$1,ROW(),21,1000-ROW(),1),"Sub"))))</f>
        <v/>
      </c>
      <c r="K185" s="60">
        <f>IF(N($W185)=0,"",IF(AND($S185=MesCiclo,3&gt;SemanaActual),"",MIN(1,SUMIFS(OFFSET($A$1,ROW(),31,1000-ROW(),1),OFFSET($A$1,ROW(),20,1000-ROW(),1),ROW(),OFFSET($A$1,ROW(),21,1000-ROW(),1),"Sub"))))</f>
        <v/>
      </c>
      <c r="L185" s="60">
        <f>IF(N($W185)=0,"",IF(AND($S185=MesCiclo,4&gt;SemanaActual),"",MIN(1,SUMIFS(OFFSET($A$1,ROW(),32,1000-ROW(),1),OFFSET($A$1,ROW(),20,1000-ROW(),1),ROW(),OFFSET($A$1,ROW(),21,1000-ROW(),1),"Sub"))))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IF($V185&lt;&gt;"Sub","",N($X185)*IF(AND(ISNUMBER($G185),$G185&lt;=IF($S185=MesCiclo,InicioCiclo,$S185+MOD(2-WEEKDAY($S185),7))+6),1,MIN(1,MAX(0,IF(ISNUMBER(OFFSET($A$1,ROW()-1,8)),OFFSET($A$1,ROW()-1,8),0)))))</f>
        <v/>
      </c>
      <c r="AE185" s="62">
        <f>IF($V185&lt;&gt;"Sub","",N($X185)*IF(AND(ISNUMBER($G185),$G185&lt;=IF($S185=MesCiclo,InicioCiclo,$S185+MOD(2-WEEKDAY($S185),7))+13),1,MIN(1,MAX(0,IF(ISNUMBER(OFFSET($A$1,ROW()-1,9)),OFFSET($A$1,ROW()-1,9),IF(ISNUMBER(OFFSET($A$1,ROW()-1,8)),OFFSET($A$1,ROW()-1,8),0))))))</f>
        <v/>
      </c>
      <c r="AF185" s="62">
        <f>IF($V185&lt;&gt;"Sub","",N($X185)*IF(AND(ISNUMBER($G185),$G185&lt;=IF($S185=MesCiclo,InicioCiclo,$S185+MOD(2-WEEKDAY($S185),7))+20),1,MIN(1,MAX(0,IF(ISNUMBER(OFFSET($A$1,ROW()-1,10)),OFFSET($A$1,ROW()-1,10),IF(ISNUMBER(OFFSET($A$1,ROW()-1,9)),OFFSET($A$1,ROW()-1,9),IF(ISNUMBER(OFFSET($A$1,ROW()-1,8)),OFFSET($A$1,ROW()-1,8),0)))))))</f>
        <v/>
      </c>
      <c r="AG185" s="62">
        <f>IF($V185&lt;&gt;"Sub","",N($X185)*IF(AND(ISNUMBER($G185),$G185&lt;=IF($S185=MesCiclo,InicioCiclo,$S185+MOD(2-WEEKDAY($S185),7))+27),1,MIN(1,MAX(0,IF(ISNUMBER(OFFSET($A$1,ROW()-1,11)),OFFSET($A$1,ROW()-1,11),IF(ISNUMBER(OFFSET($A$1,ROW()-1,10)),OFFSET($A$1,ROW()-1,10),IF(ISNUMBER(OFFSET($A$1,ROW()-1,9)),OFFSET($A$1,ROW()-1,9),IF(ISNUMBER(OFFSET($A$1,ROW()-1,8)),OFFSET($A$1,ROW()-1,8),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",IFERROR(MATCH("Riesgo Normativo|"&amp;MID($C185,12,500),rDname_ADM,0),0),"")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IF(N($W186)=0,"",IF(AND($S186=MesCiclo,1&gt;SemanaActual),"",MIN(1,SUMIFS(OFFSET($A$1,ROW(),29,1000-ROW(),1),OFFSET($A$1,ROW(),20,1000-ROW(),1),ROW(),OFFSET($A$1,ROW(),21,1000-ROW(),1),"Sub"))))</f>
        <v/>
      </c>
      <c r="J186" s="60">
        <f>IF(N($W186)=0,"",IF(AND($S186=MesCiclo,2&gt;SemanaActual),"",MIN(1,SUMIFS(OFFSET($A$1,ROW(),30,1000-ROW(),1),OFFSET($A$1,ROW(),20,1000-ROW(),1),ROW(),OFFSET($A$1,ROW(),21,1000-ROW(),1),"Sub"))))</f>
        <v/>
      </c>
      <c r="K186" s="60">
        <f>IF(N($W186)=0,"",IF(AND($S186=MesCiclo,3&gt;SemanaActual),"",MIN(1,SUMIFS(OFFSET($A$1,ROW(),31,1000-ROW(),1),OFFSET($A$1,ROW(),20,1000-ROW(),1),ROW(),OFFSET($A$1,ROW(),21,1000-ROW(),1),"Sub"))))</f>
        <v/>
      </c>
      <c r="L186" s="60">
        <f>IF(N($W186)=0,"",IF(AND($S186=MesCiclo,4&gt;SemanaActual),"",MIN(1,SUMIFS(OFFSET($A$1,ROW(),32,1000-ROW(),1),OFFSET($A$1,ROW(),20,1000-ROW(),1),ROW(),OFFSET($A$1,ROW(),21,1000-ROW(),1),"Sub"))))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IF($V186&lt;&gt;"Sub","",N($X186)*IF(AND(ISNUMBER($G186),$G186&lt;=IF($S186=MesCiclo,InicioCiclo,$S186+MOD(2-WEEKDAY($S186),7))+6),1,MIN(1,MAX(0,IF(ISNUMBER(OFFSET($A$1,ROW()-1,8)),OFFSET($A$1,ROW()-1,8),0)))))</f>
        <v/>
      </c>
      <c r="AE186" s="62">
        <f>IF($V186&lt;&gt;"Sub","",N($X186)*IF(AND(ISNUMBER($G186),$G186&lt;=IF($S186=MesCiclo,InicioCiclo,$S186+MOD(2-WEEKDAY($S186),7))+13),1,MIN(1,MAX(0,IF(ISNUMBER(OFFSET($A$1,ROW()-1,9)),OFFSET($A$1,ROW()-1,9),IF(ISNUMBER(OFFSET($A$1,ROW()-1,8)),OFFSET($A$1,ROW()-1,8),0))))))</f>
        <v/>
      </c>
      <c r="AF186" s="62">
        <f>IF($V186&lt;&gt;"Sub","",N($X186)*IF(AND(ISNUMBER($G186),$G186&lt;=IF($S186=MesCiclo,InicioCiclo,$S186+MOD(2-WEEKDAY($S186),7))+20),1,MIN(1,MAX(0,IF(ISNUMBER(OFFSET($A$1,ROW()-1,10)),OFFSET($A$1,ROW()-1,10),IF(ISNUMBER(OFFSET($A$1,ROW()-1,9)),OFFSET($A$1,ROW()-1,9),IF(ISNUMBER(OFFSET($A$1,ROW()-1,8)),OFFSET($A$1,ROW()-1,8),0)))))))</f>
        <v/>
      </c>
      <c r="AG186" s="62">
        <f>IF($V186&lt;&gt;"Sub","",N($X186)*IF(AND(ISNUMBER($G186),$G186&lt;=IF($S186=MesCiclo,InicioCiclo,$S186+MOD(2-WEEKDAY($S186),7))+27),1,MIN(1,MAX(0,IF(ISNUMBER(OFFSET($A$1,ROW()-1,11)),OFFSET($A$1,ROW()-1,11),IF(ISNUMBER(OFFSET($A$1,ROW()-1,10)),OFFSET($A$1,ROW()-1,10),IF(ISNUMBER(OFFSET($A$1,ROW()-1,9)),OFFSET($A$1,ROW()-1,9),IF(ISNUMBER(OFFSET($A$1,ROW()-1,8)),OFFSET($A$1,ROW()-1,8),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",IFERROR(MATCH("Riesgo Normativo|"&amp;MID($C186,12,500),rDname_ADM,0),0),"")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IF(N($W187)=0,"",IF(AND($S187=MesCiclo,1&gt;SemanaActual),"",MIN(1,SUMIFS(OFFSET($A$1,ROW(),29,1000-ROW(),1),OFFSET($A$1,ROW(),20,1000-ROW(),1),ROW(),OFFSET($A$1,ROW(),21,1000-ROW(),1),"Sub"))))</f>
        <v/>
      </c>
      <c r="J187" s="60">
        <f>IF(N($W187)=0,"",IF(AND($S187=MesCiclo,2&gt;SemanaActual),"",MIN(1,SUMIFS(OFFSET($A$1,ROW(),30,1000-ROW(),1),OFFSET($A$1,ROW(),20,1000-ROW(),1),ROW(),OFFSET($A$1,ROW(),21,1000-ROW(),1),"Sub"))))</f>
        <v/>
      </c>
      <c r="K187" s="60">
        <f>IF(N($W187)=0,"",IF(AND($S187=MesCiclo,3&gt;SemanaActual),"",MIN(1,SUMIFS(OFFSET($A$1,ROW(),31,1000-ROW(),1),OFFSET($A$1,ROW(),20,1000-ROW(),1),ROW(),OFFSET($A$1,ROW(),21,1000-ROW(),1),"Sub"))))</f>
        <v/>
      </c>
      <c r="L187" s="60">
        <f>IF(N($W187)=0,"",IF(AND($S187=MesCiclo,4&gt;SemanaActual),"",MIN(1,SUMIFS(OFFSET($A$1,ROW(),32,1000-ROW(),1),OFFSET($A$1,ROW(),20,1000-ROW(),1),ROW(),OFFSET($A$1,ROW(),21,1000-ROW(),1),"Sub"))))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IF($V187&lt;&gt;"Sub","",N($X187)*IF(AND(ISNUMBER($G187),$G187&lt;=IF($S187=MesCiclo,InicioCiclo,$S187+MOD(2-WEEKDAY($S187),7))+6),1,MIN(1,MAX(0,IF(ISNUMBER(OFFSET($A$1,ROW()-1,8)),OFFSET($A$1,ROW()-1,8),0)))))</f>
        <v/>
      </c>
      <c r="AE187" s="62">
        <f>IF($V187&lt;&gt;"Sub","",N($X187)*IF(AND(ISNUMBER($G187),$G187&lt;=IF($S187=MesCiclo,InicioCiclo,$S187+MOD(2-WEEKDAY($S187),7))+13),1,MIN(1,MAX(0,IF(ISNUMBER(OFFSET($A$1,ROW()-1,9)),OFFSET($A$1,ROW()-1,9),IF(ISNUMBER(OFFSET($A$1,ROW()-1,8)),OFFSET($A$1,ROW()-1,8),0))))))</f>
        <v/>
      </c>
      <c r="AF187" s="62">
        <f>IF($V187&lt;&gt;"Sub","",N($X187)*IF(AND(ISNUMBER($G187),$G187&lt;=IF($S187=MesCiclo,InicioCiclo,$S187+MOD(2-WEEKDAY($S187),7))+20),1,MIN(1,MAX(0,IF(ISNUMBER(OFFSET($A$1,ROW()-1,10)),OFFSET($A$1,ROW()-1,10),IF(ISNUMBER(OFFSET($A$1,ROW()-1,9)),OFFSET($A$1,ROW()-1,9),IF(ISNUMBER(OFFSET($A$1,ROW()-1,8)),OFFSET($A$1,ROW()-1,8),0)))))))</f>
        <v/>
      </c>
      <c r="AG187" s="62">
        <f>IF($V187&lt;&gt;"Sub","",N($X187)*IF(AND(ISNUMBER($G187),$G187&lt;=IF($S187=MesCiclo,InicioCiclo,$S187+MOD(2-WEEKDAY($S187),7))+27),1,MIN(1,MAX(0,IF(ISNUMBER(OFFSET($A$1,ROW()-1,11)),OFFSET($A$1,ROW()-1,11),IF(ISNUMBER(OFFSET($A$1,ROW()-1,10)),OFFSET($A$1,ROW()-1,10),IF(ISNUMBER(OFFSET($A$1,ROW()-1,9)),OFFSET($A$1,ROW()-1,9),IF(ISNUMBER(OFFSET($A$1,ROW()-1,8)),OFFSET($A$1,ROW()-1,8),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",IFERROR(MATCH("Riesgo Normativo|"&amp;MID($C187,12,500),rDname_ADM,0),0),"")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IF(N($W188)=0,"",IF(AND($S188=MesCiclo,1&gt;SemanaActual),"",MIN(1,SUMIFS(OFFSET($A$1,ROW(),29,1000-ROW(),1),OFFSET($A$1,ROW(),20,1000-ROW(),1),ROW(),OFFSET($A$1,ROW(),21,1000-ROW(),1),"Sub"))))</f>
        <v/>
      </c>
      <c r="J188" s="60">
        <f>IF(N($W188)=0,"",IF(AND($S188=MesCiclo,2&gt;SemanaActual),"",MIN(1,SUMIFS(OFFSET($A$1,ROW(),30,1000-ROW(),1),OFFSET($A$1,ROW(),20,1000-ROW(),1),ROW(),OFFSET($A$1,ROW(),21,1000-ROW(),1),"Sub"))))</f>
        <v/>
      </c>
      <c r="K188" s="60">
        <f>IF(N($W188)=0,"",IF(AND($S188=MesCiclo,3&gt;SemanaActual),"",MIN(1,SUMIFS(OFFSET($A$1,ROW(),31,1000-ROW(),1),OFFSET($A$1,ROW(),20,1000-ROW(),1),ROW(),OFFSET($A$1,ROW(),21,1000-ROW(),1),"Sub"))))</f>
        <v/>
      </c>
      <c r="L188" s="60">
        <f>IF(N($W188)=0,"",IF(AND($S188=MesCiclo,4&gt;SemanaActual),"",MIN(1,SUMIFS(OFFSET($A$1,ROW(),32,1000-ROW(),1),OFFSET($A$1,ROW(),20,1000-ROW(),1),ROW(),OFFSET($A$1,ROW(),21,1000-ROW(),1),"Sub"))))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IF($V188&lt;&gt;"Sub","",N($X188)*IF(AND(ISNUMBER($G188),$G188&lt;=IF($S188=MesCiclo,InicioCiclo,$S188+MOD(2-WEEKDAY($S188),7))+6),1,MIN(1,MAX(0,IF(ISNUMBER(OFFSET($A$1,ROW()-1,8)),OFFSET($A$1,ROW()-1,8),0)))))</f>
        <v/>
      </c>
      <c r="AE188" s="62">
        <f>IF($V188&lt;&gt;"Sub","",N($X188)*IF(AND(ISNUMBER($G188),$G188&lt;=IF($S188=MesCiclo,InicioCiclo,$S188+MOD(2-WEEKDAY($S188),7))+13),1,MIN(1,MAX(0,IF(ISNUMBER(OFFSET($A$1,ROW()-1,9)),OFFSET($A$1,ROW()-1,9),IF(ISNUMBER(OFFSET($A$1,ROW()-1,8)),OFFSET($A$1,ROW()-1,8),0))))))</f>
        <v/>
      </c>
      <c r="AF188" s="62">
        <f>IF($V188&lt;&gt;"Sub","",N($X188)*IF(AND(ISNUMBER($G188),$G188&lt;=IF($S188=MesCiclo,InicioCiclo,$S188+MOD(2-WEEKDAY($S188),7))+20),1,MIN(1,MAX(0,IF(ISNUMBER(OFFSET($A$1,ROW()-1,10)),OFFSET($A$1,ROW()-1,10),IF(ISNUMBER(OFFSET($A$1,ROW()-1,9)),OFFSET($A$1,ROW()-1,9),IF(ISNUMBER(OFFSET($A$1,ROW()-1,8)),OFFSET($A$1,ROW()-1,8),0)))))))</f>
        <v/>
      </c>
      <c r="AG188" s="62">
        <f>IF($V188&lt;&gt;"Sub","",N($X188)*IF(AND(ISNUMBER($G188),$G188&lt;=IF($S188=MesCiclo,InicioCiclo,$S188+MOD(2-WEEKDAY($S188),7))+27),1,MIN(1,MAX(0,IF(ISNUMBER(OFFSET($A$1,ROW()-1,11)),OFFSET($A$1,ROW()-1,11),IF(ISNUMBER(OFFSET($A$1,ROW()-1,10)),OFFSET($A$1,ROW()-1,10),IF(ISNUMBER(OFFSET($A$1,ROW()-1,9)),OFFSET($A$1,ROW()-1,9),IF(ISNUMBER(OFFSET($A$1,ROW()-1,8)),OFFSET($A$1,ROW()-1,8),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",IFERROR(MATCH("Riesgo Normativo|"&amp;MID($C188,12,500),rDname_ADM,0),0),"")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IF(N($W189)=0,"",IF(AND($S189=MesCiclo,1&gt;SemanaActual),"",MIN(1,SUMIFS(OFFSET($A$1,ROW(),29,1000-ROW(),1),OFFSET($A$1,ROW(),20,1000-ROW(),1),ROW(),OFFSET($A$1,ROW(),21,1000-ROW(),1),"Sub"))))</f>
        <v/>
      </c>
      <c r="J189" s="60">
        <f>IF(N($W189)=0,"",IF(AND($S189=MesCiclo,2&gt;SemanaActual),"",MIN(1,SUMIFS(OFFSET($A$1,ROW(),30,1000-ROW(),1),OFFSET($A$1,ROW(),20,1000-ROW(),1),ROW(),OFFSET($A$1,ROW(),21,1000-ROW(),1),"Sub"))))</f>
        <v/>
      </c>
      <c r="K189" s="60">
        <f>IF(N($W189)=0,"",IF(AND($S189=MesCiclo,3&gt;SemanaActual),"",MIN(1,SUMIFS(OFFSET($A$1,ROW(),31,1000-ROW(),1),OFFSET($A$1,ROW(),20,1000-ROW(),1),ROW(),OFFSET($A$1,ROW(),21,1000-ROW(),1),"Sub"))))</f>
        <v/>
      </c>
      <c r="L189" s="60">
        <f>IF(N($W189)=0,"",IF(AND($S189=MesCiclo,4&gt;SemanaActual),"",MIN(1,SUMIFS(OFFSET($A$1,ROW(),32,1000-ROW(),1),OFFSET($A$1,ROW(),20,1000-ROW(),1),ROW(),OFFSET($A$1,ROW(),21,1000-ROW(),1),"Sub"))))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IF($V189&lt;&gt;"Sub","",N($X189)*IF(AND(ISNUMBER($G189),$G189&lt;=IF($S189=MesCiclo,InicioCiclo,$S189+MOD(2-WEEKDAY($S189),7))+6),1,MIN(1,MAX(0,IF(ISNUMBER(OFFSET($A$1,ROW()-1,8)),OFFSET($A$1,ROW()-1,8),0)))))</f>
        <v/>
      </c>
      <c r="AE189" s="62">
        <f>IF($V189&lt;&gt;"Sub","",N($X189)*IF(AND(ISNUMBER($G189),$G189&lt;=IF($S189=MesCiclo,InicioCiclo,$S189+MOD(2-WEEKDAY($S189),7))+13),1,MIN(1,MAX(0,IF(ISNUMBER(OFFSET($A$1,ROW()-1,9)),OFFSET($A$1,ROW()-1,9),IF(ISNUMBER(OFFSET($A$1,ROW()-1,8)),OFFSET($A$1,ROW()-1,8),0))))))</f>
        <v/>
      </c>
      <c r="AF189" s="62">
        <f>IF($V189&lt;&gt;"Sub","",N($X189)*IF(AND(ISNUMBER($G189),$G189&lt;=IF($S189=MesCiclo,InicioCiclo,$S189+MOD(2-WEEKDAY($S189),7))+20),1,MIN(1,MAX(0,IF(ISNUMBER(OFFSET($A$1,ROW()-1,10)),OFFSET($A$1,ROW()-1,10),IF(ISNUMBER(OFFSET($A$1,ROW()-1,9)),OFFSET($A$1,ROW()-1,9),IF(ISNUMBER(OFFSET($A$1,ROW()-1,8)),OFFSET($A$1,ROW()-1,8),0)))))))</f>
        <v/>
      </c>
      <c r="AG189" s="62">
        <f>IF($V189&lt;&gt;"Sub","",N($X189)*IF(AND(ISNUMBER($G189),$G189&lt;=IF($S189=MesCiclo,InicioCiclo,$S189+MOD(2-WEEKDAY($S189),7))+27),1,MIN(1,MAX(0,IF(ISNUMBER(OFFSET($A$1,ROW()-1,11)),OFFSET($A$1,ROW()-1,11),IF(ISNUMBER(OFFSET($A$1,ROW()-1,10)),OFFSET($A$1,ROW()-1,10),IF(ISNUMBER(OFFSET($A$1,ROW()-1,9)),OFFSET($A$1,ROW()-1,9),IF(ISNUMBER(OFFSET($A$1,ROW()-1,8)),OFFSET($A$1,ROW()-1,8),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",IFERROR(MATCH("Riesgo Normativo|"&amp;MID($C189,12,500),rDname_ADM,0),0),"")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IF(N($W190)=0,"",IF(AND($S190=MesCiclo,1&gt;SemanaActual),"",MIN(1,SUMIFS(OFFSET($A$1,ROW(),29,1000-ROW(),1),OFFSET($A$1,ROW(),20,1000-ROW(),1),ROW(),OFFSET($A$1,ROW(),21,1000-ROW(),1),"Sub"))))</f>
        <v/>
      </c>
      <c r="J190" s="60">
        <f>IF(N($W190)=0,"",IF(AND($S190=MesCiclo,2&gt;SemanaActual),"",MIN(1,SUMIFS(OFFSET($A$1,ROW(),30,1000-ROW(),1),OFFSET($A$1,ROW(),20,1000-ROW(),1),ROW(),OFFSET($A$1,ROW(),21,1000-ROW(),1),"Sub"))))</f>
        <v/>
      </c>
      <c r="K190" s="60">
        <f>IF(N($W190)=0,"",IF(AND($S190=MesCiclo,3&gt;SemanaActual),"",MIN(1,SUMIFS(OFFSET($A$1,ROW(),31,1000-ROW(),1),OFFSET($A$1,ROW(),20,1000-ROW(),1),ROW(),OFFSET($A$1,ROW(),21,1000-ROW(),1),"Sub"))))</f>
        <v/>
      </c>
      <c r="L190" s="60">
        <f>IF(N($W190)=0,"",IF(AND($S190=MesCiclo,4&gt;SemanaActual),"",MIN(1,SUMIFS(OFFSET($A$1,ROW(),32,1000-ROW(),1),OFFSET($A$1,ROW(),20,1000-ROW(),1),ROW(),OFFSET($A$1,ROW(),21,1000-ROW(),1),"Sub"))))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IF($V190&lt;&gt;"Sub","",N($X190)*IF(AND(ISNUMBER($G190),$G190&lt;=IF($S190=MesCiclo,InicioCiclo,$S190+MOD(2-WEEKDAY($S190),7))+6),1,MIN(1,MAX(0,IF(ISNUMBER(OFFSET($A$1,ROW()-1,8)),OFFSET($A$1,ROW()-1,8),0)))))</f>
        <v/>
      </c>
      <c r="AE190" s="62">
        <f>IF($V190&lt;&gt;"Sub","",N($X190)*IF(AND(ISNUMBER($G190),$G190&lt;=IF($S190=MesCiclo,InicioCiclo,$S190+MOD(2-WEEKDAY($S190),7))+13),1,MIN(1,MAX(0,IF(ISNUMBER(OFFSET($A$1,ROW()-1,9)),OFFSET($A$1,ROW()-1,9),IF(ISNUMBER(OFFSET($A$1,ROW()-1,8)),OFFSET($A$1,ROW()-1,8),0))))))</f>
        <v/>
      </c>
      <c r="AF190" s="62">
        <f>IF($V190&lt;&gt;"Sub","",N($X190)*IF(AND(ISNUMBER($G190),$G190&lt;=IF($S190=MesCiclo,InicioCiclo,$S190+MOD(2-WEEKDAY($S190),7))+20),1,MIN(1,MAX(0,IF(ISNUMBER(OFFSET($A$1,ROW()-1,10)),OFFSET($A$1,ROW()-1,10),IF(ISNUMBER(OFFSET($A$1,ROW()-1,9)),OFFSET($A$1,ROW()-1,9),IF(ISNUMBER(OFFSET($A$1,ROW()-1,8)),OFFSET($A$1,ROW()-1,8),0)))))))</f>
        <v/>
      </c>
      <c r="AG190" s="62">
        <f>IF($V190&lt;&gt;"Sub","",N($X190)*IF(AND(ISNUMBER($G190),$G190&lt;=IF($S190=MesCiclo,InicioCiclo,$S190+MOD(2-WEEKDAY($S190),7))+27),1,MIN(1,MAX(0,IF(ISNUMBER(OFFSET($A$1,ROW()-1,11)),OFFSET($A$1,ROW()-1,11),IF(ISNUMBER(OFFSET($A$1,ROW()-1,10)),OFFSET($A$1,ROW()-1,10),IF(ISNUMBER(OFFSET($A$1,ROW()-1,9)),OFFSET($A$1,ROW()-1,9),IF(ISNUMBER(OFFSET($A$1,ROW()-1,8)),OFFSET($A$1,ROW()-1,8),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",IFERROR(MATCH("Riesgo Normativo|"&amp;MID($C190,12,500),rDname_ADM,0),0),"")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IF(N($W191)=0,"",IF(AND($S191=MesCiclo,1&gt;SemanaActual),"",MIN(1,SUMIFS(OFFSET($A$1,ROW(),29,1000-ROW(),1),OFFSET($A$1,ROW(),20,1000-ROW(),1),ROW(),OFFSET($A$1,ROW(),21,1000-ROW(),1),"Sub"))))</f>
        <v/>
      </c>
      <c r="J191" s="60">
        <f>IF(N($W191)=0,"",IF(AND($S191=MesCiclo,2&gt;SemanaActual),"",MIN(1,SUMIFS(OFFSET($A$1,ROW(),30,1000-ROW(),1),OFFSET($A$1,ROW(),20,1000-ROW(),1),ROW(),OFFSET($A$1,ROW(),21,1000-ROW(),1),"Sub"))))</f>
        <v/>
      </c>
      <c r="K191" s="60">
        <f>IF(N($W191)=0,"",IF(AND($S191=MesCiclo,3&gt;SemanaActual),"",MIN(1,SUMIFS(OFFSET($A$1,ROW(),31,1000-ROW(),1),OFFSET($A$1,ROW(),20,1000-ROW(),1),ROW(),OFFSET($A$1,ROW(),21,1000-ROW(),1),"Sub"))))</f>
        <v/>
      </c>
      <c r="L191" s="60">
        <f>IF(N($W191)=0,"",IF(AND($S191=MesCiclo,4&gt;SemanaActual),"",MIN(1,SUMIFS(OFFSET($A$1,ROW(),32,1000-ROW(),1),OFFSET($A$1,ROW(),20,1000-ROW(),1),ROW(),OFFSET($A$1,ROW(),21,1000-ROW(),1),"Sub"))))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IF($V191&lt;&gt;"Sub","",N($X191)*IF(AND(ISNUMBER($G191),$G191&lt;=IF($S191=MesCiclo,InicioCiclo,$S191+MOD(2-WEEKDAY($S191),7))+6),1,MIN(1,MAX(0,IF(ISNUMBER(OFFSET($A$1,ROW()-1,8)),OFFSET($A$1,ROW()-1,8),0)))))</f>
        <v/>
      </c>
      <c r="AE191" s="62">
        <f>IF($V191&lt;&gt;"Sub","",N($X191)*IF(AND(ISNUMBER($G191),$G191&lt;=IF($S191=MesCiclo,InicioCiclo,$S191+MOD(2-WEEKDAY($S191),7))+13),1,MIN(1,MAX(0,IF(ISNUMBER(OFFSET($A$1,ROW()-1,9)),OFFSET($A$1,ROW()-1,9),IF(ISNUMBER(OFFSET($A$1,ROW()-1,8)),OFFSET($A$1,ROW()-1,8),0))))))</f>
        <v/>
      </c>
      <c r="AF191" s="62">
        <f>IF($V191&lt;&gt;"Sub","",N($X191)*IF(AND(ISNUMBER($G191),$G191&lt;=IF($S191=MesCiclo,InicioCiclo,$S191+MOD(2-WEEKDAY($S191),7))+20),1,MIN(1,MAX(0,IF(ISNUMBER(OFFSET($A$1,ROW()-1,10)),OFFSET($A$1,ROW()-1,10),IF(ISNUMBER(OFFSET($A$1,ROW()-1,9)),OFFSET($A$1,ROW()-1,9),IF(ISNUMBER(OFFSET($A$1,ROW()-1,8)),OFFSET($A$1,ROW()-1,8),0)))))))</f>
        <v/>
      </c>
      <c r="AG191" s="62">
        <f>IF($V191&lt;&gt;"Sub","",N($X191)*IF(AND(ISNUMBER($G191),$G191&lt;=IF($S191=MesCiclo,InicioCiclo,$S191+MOD(2-WEEKDAY($S191),7))+27),1,MIN(1,MAX(0,IF(ISNUMBER(OFFSET($A$1,ROW()-1,11)),OFFSET($A$1,ROW()-1,11),IF(ISNUMBER(OFFSET($A$1,ROW()-1,10)),OFFSET($A$1,ROW()-1,10),IF(ISNUMBER(OFFSET($A$1,ROW()-1,9)),OFFSET($A$1,ROW()-1,9),IF(ISNUMBER(OFFSET($A$1,ROW()-1,8)),OFFSET($A$1,ROW()-1,8),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",IFERROR(MATCH("Riesgo Normativo|"&amp;MID($C191,12,500),rDname_ADM,0),0),"")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IF(N($W192)=0,"",IF(AND($S192=MesCiclo,1&gt;SemanaActual),"",MIN(1,SUMIFS(OFFSET($A$1,ROW(),29,1000-ROW(),1),OFFSET($A$1,ROW(),20,1000-ROW(),1),ROW(),OFFSET($A$1,ROW(),21,1000-ROW(),1),"Sub"))))</f>
        <v/>
      </c>
      <c r="J192" s="60">
        <f>IF(N($W192)=0,"",IF(AND($S192=MesCiclo,2&gt;SemanaActual),"",MIN(1,SUMIFS(OFFSET($A$1,ROW(),30,1000-ROW(),1),OFFSET($A$1,ROW(),20,1000-ROW(),1),ROW(),OFFSET($A$1,ROW(),21,1000-ROW(),1),"Sub"))))</f>
        <v/>
      </c>
      <c r="K192" s="60">
        <f>IF(N($W192)=0,"",IF(AND($S192=MesCiclo,3&gt;SemanaActual),"",MIN(1,SUMIFS(OFFSET($A$1,ROW(),31,1000-ROW(),1),OFFSET($A$1,ROW(),20,1000-ROW(),1),ROW(),OFFSET($A$1,ROW(),21,1000-ROW(),1),"Sub"))))</f>
        <v/>
      </c>
      <c r="L192" s="60">
        <f>IF(N($W192)=0,"",IF(AND($S192=MesCiclo,4&gt;SemanaActual),"",MIN(1,SUMIFS(OFFSET($A$1,ROW(),32,1000-ROW(),1),OFFSET($A$1,ROW(),20,1000-ROW(),1),ROW(),OFFSET($A$1,ROW(),21,1000-ROW(),1),"Sub"))))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IF($V192&lt;&gt;"Sub","",N($X192)*IF(AND(ISNUMBER($G192),$G192&lt;=IF($S192=MesCiclo,InicioCiclo,$S192+MOD(2-WEEKDAY($S192),7))+6),1,MIN(1,MAX(0,IF(ISNUMBER(OFFSET($A$1,ROW()-1,8)),OFFSET($A$1,ROW()-1,8),0)))))</f>
        <v/>
      </c>
      <c r="AE192" s="62">
        <f>IF($V192&lt;&gt;"Sub","",N($X192)*IF(AND(ISNUMBER($G192),$G192&lt;=IF($S192=MesCiclo,InicioCiclo,$S192+MOD(2-WEEKDAY($S192),7))+13),1,MIN(1,MAX(0,IF(ISNUMBER(OFFSET($A$1,ROW()-1,9)),OFFSET($A$1,ROW()-1,9),IF(ISNUMBER(OFFSET($A$1,ROW()-1,8)),OFFSET($A$1,ROW()-1,8),0))))))</f>
        <v/>
      </c>
      <c r="AF192" s="62">
        <f>IF($V192&lt;&gt;"Sub","",N($X192)*IF(AND(ISNUMBER($G192),$G192&lt;=IF($S192=MesCiclo,InicioCiclo,$S192+MOD(2-WEEKDAY($S192),7))+20),1,MIN(1,MAX(0,IF(ISNUMBER(OFFSET($A$1,ROW()-1,10)),OFFSET($A$1,ROW()-1,10),IF(ISNUMBER(OFFSET($A$1,ROW()-1,9)),OFFSET($A$1,ROW()-1,9),IF(ISNUMBER(OFFSET($A$1,ROW()-1,8)),OFFSET($A$1,ROW()-1,8),0)))))))</f>
        <v/>
      </c>
      <c r="AG192" s="62">
        <f>IF($V192&lt;&gt;"Sub","",N($X192)*IF(AND(ISNUMBER($G192),$G192&lt;=IF($S192=MesCiclo,InicioCiclo,$S192+MOD(2-WEEKDAY($S192),7))+27),1,MIN(1,MAX(0,IF(ISNUMBER(OFFSET($A$1,ROW()-1,11)),OFFSET($A$1,ROW()-1,11),IF(ISNUMBER(OFFSET($A$1,ROW()-1,10)),OFFSET($A$1,ROW()-1,10),IF(ISNUMBER(OFFSET($A$1,ROW()-1,9)),OFFSET($A$1,ROW()-1,9),IF(ISNUMBER(OFFSET($A$1,ROW()-1,8)),OFFSET($A$1,ROW()-1,8),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",IFERROR(MATCH("Riesgo Normativo|"&amp;MID($C192,12,500),rDname_ADM,0),0),"")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IF(N($W193)=0,"",IF(AND($S193=MesCiclo,1&gt;SemanaActual),"",MIN(1,SUMIFS(OFFSET($A$1,ROW(),29,1000-ROW(),1),OFFSET($A$1,ROW(),20,1000-ROW(),1),ROW(),OFFSET($A$1,ROW(),21,1000-ROW(),1),"Sub"))))</f>
        <v/>
      </c>
      <c r="J193" s="60">
        <f>IF(N($W193)=0,"",IF(AND($S193=MesCiclo,2&gt;SemanaActual),"",MIN(1,SUMIFS(OFFSET($A$1,ROW(),30,1000-ROW(),1),OFFSET($A$1,ROW(),20,1000-ROW(),1),ROW(),OFFSET($A$1,ROW(),21,1000-ROW(),1),"Sub"))))</f>
        <v/>
      </c>
      <c r="K193" s="60">
        <f>IF(N($W193)=0,"",IF(AND($S193=MesCiclo,3&gt;SemanaActual),"",MIN(1,SUMIFS(OFFSET($A$1,ROW(),31,1000-ROW(),1),OFFSET($A$1,ROW(),20,1000-ROW(),1),ROW(),OFFSET($A$1,ROW(),21,1000-ROW(),1),"Sub"))))</f>
        <v/>
      </c>
      <c r="L193" s="60">
        <f>IF(N($W193)=0,"",IF(AND($S193=MesCiclo,4&gt;SemanaActual),"",MIN(1,SUMIFS(OFFSET($A$1,ROW(),32,1000-ROW(),1),OFFSET($A$1,ROW(),20,1000-ROW(),1),ROW(),OFFSET($A$1,ROW(),21,1000-ROW(),1),"Sub"))))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IF($V193&lt;&gt;"Sub","",N($X193)*IF(AND(ISNUMBER($G193),$G193&lt;=IF($S193=MesCiclo,InicioCiclo,$S193+MOD(2-WEEKDAY($S193),7))+6),1,MIN(1,MAX(0,IF(ISNUMBER(OFFSET($A$1,ROW()-1,8)),OFFSET($A$1,ROW()-1,8),0)))))</f>
        <v/>
      </c>
      <c r="AE193" s="62">
        <f>IF($V193&lt;&gt;"Sub","",N($X193)*IF(AND(ISNUMBER($G193),$G193&lt;=IF($S193=MesCiclo,InicioCiclo,$S193+MOD(2-WEEKDAY($S193),7))+13),1,MIN(1,MAX(0,IF(ISNUMBER(OFFSET($A$1,ROW()-1,9)),OFFSET($A$1,ROW()-1,9),IF(ISNUMBER(OFFSET($A$1,ROW()-1,8)),OFFSET($A$1,ROW()-1,8),0))))))</f>
        <v/>
      </c>
      <c r="AF193" s="62">
        <f>IF($V193&lt;&gt;"Sub","",N($X193)*IF(AND(ISNUMBER($G193),$G193&lt;=IF($S193=MesCiclo,InicioCiclo,$S193+MOD(2-WEEKDAY($S193),7))+20),1,MIN(1,MAX(0,IF(ISNUMBER(OFFSET($A$1,ROW()-1,10)),OFFSET($A$1,ROW()-1,10),IF(ISNUMBER(OFFSET($A$1,ROW()-1,9)),OFFSET($A$1,ROW()-1,9),IF(ISNUMBER(OFFSET($A$1,ROW()-1,8)),OFFSET($A$1,ROW()-1,8),0)))))))</f>
        <v/>
      </c>
      <c r="AG193" s="62">
        <f>IF($V193&lt;&gt;"Sub","",N($X193)*IF(AND(ISNUMBER($G193),$G193&lt;=IF($S193=MesCiclo,InicioCiclo,$S193+MOD(2-WEEKDAY($S193),7))+27),1,MIN(1,MAX(0,IF(ISNUMBER(OFFSET($A$1,ROW()-1,11)),OFFSET($A$1,ROW()-1,11),IF(ISNUMBER(OFFSET($A$1,ROW()-1,10)),OFFSET($A$1,ROW()-1,10),IF(ISNUMBER(OFFSET($A$1,ROW()-1,9)),OFFSET($A$1,ROW()-1,9),IF(ISNUMBER(OFFSET($A$1,ROW()-1,8)),OFFSET($A$1,ROW()-1,8),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",IFERROR(MATCH("Riesgo Normativo|"&amp;MID($C193,12,500),rDname_ADM,0),0),"")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IF(N($W194)=0,"",IF(AND($S194=MesCiclo,1&gt;SemanaActual),"",MIN(1,SUMIFS(OFFSET($A$1,ROW(),29,1000-ROW(),1),OFFSET($A$1,ROW(),20,1000-ROW(),1),ROW(),OFFSET($A$1,ROW(),21,1000-ROW(),1),"Sub"))))</f>
        <v/>
      </c>
      <c r="J194" s="60">
        <f>IF(N($W194)=0,"",IF(AND($S194=MesCiclo,2&gt;SemanaActual),"",MIN(1,SUMIFS(OFFSET($A$1,ROW(),30,1000-ROW(),1),OFFSET($A$1,ROW(),20,1000-ROW(),1),ROW(),OFFSET($A$1,ROW(),21,1000-ROW(),1),"Sub"))))</f>
        <v/>
      </c>
      <c r="K194" s="60">
        <f>IF(N($W194)=0,"",IF(AND($S194=MesCiclo,3&gt;SemanaActual),"",MIN(1,SUMIFS(OFFSET($A$1,ROW(),31,1000-ROW(),1),OFFSET($A$1,ROW(),20,1000-ROW(),1),ROW(),OFFSET($A$1,ROW(),21,1000-ROW(),1),"Sub"))))</f>
        <v/>
      </c>
      <c r="L194" s="60">
        <f>IF(N($W194)=0,"",IF(AND($S194=MesCiclo,4&gt;SemanaActual),"",MIN(1,SUMIFS(OFFSET($A$1,ROW(),32,1000-ROW(),1),OFFSET($A$1,ROW(),20,1000-ROW(),1),ROW(),OFFSET($A$1,ROW(),21,1000-ROW(),1),"Sub"))))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IF($V194&lt;&gt;"Sub","",N($X194)*IF(AND(ISNUMBER($G194),$G194&lt;=IF($S194=MesCiclo,InicioCiclo,$S194+MOD(2-WEEKDAY($S194),7))+6),1,MIN(1,MAX(0,IF(ISNUMBER(OFFSET($A$1,ROW()-1,8)),OFFSET($A$1,ROW()-1,8),0)))))</f>
        <v/>
      </c>
      <c r="AE194" s="62">
        <f>IF($V194&lt;&gt;"Sub","",N($X194)*IF(AND(ISNUMBER($G194),$G194&lt;=IF($S194=MesCiclo,InicioCiclo,$S194+MOD(2-WEEKDAY($S194),7))+13),1,MIN(1,MAX(0,IF(ISNUMBER(OFFSET($A$1,ROW()-1,9)),OFFSET($A$1,ROW()-1,9),IF(ISNUMBER(OFFSET($A$1,ROW()-1,8)),OFFSET($A$1,ROW()-1,8),0))))))</f>
        <v/>
      </c>
      <c r="AF194" s="62">
        <f>IF($V194&lt;&gt;"Sub","",N($X194)*IF(AND(ISNUMBER($G194),$G194&lt;=IF($S194=MesCiclo,InicioCiclo,$S194+MOD(2-WEEKDAY($S194),7))+20),1,MIN(1,MAX(0,IF(ISNUMBER(OFFSET($A$1,ROW()-1,10)),OFFSET($A$1,ROW()-1,10),IF(ISNUMBER(OFFSET($A$1,ROW()-1,9)),OFFSET($A$1,ROW()-1,9),IF(ISNUMBER(OFFSET($A$1,ROW()-1,8)),OFFSET($A$1,ROW()-1,8),0)))))))</f>
        <v/>
      </c>
      <c r="AG194" s="62">
        <f>IF($V194&lt;&gt;"Sub","",N($X194)*IF(AND(ISNUMBER($G194),$G194&lt;=IF($S194=MesCiclo,InicioCiclo,$S194+MOD(2-WEEKDAY($S194),7))+27),1,MIN(1,MAX(0,IF(ISNUMBER(OFFSET($A$1,ROW()-1,11)),OFFSET($A$1,ROW()-1,11),IF(ISNUMBER(OFFSET($A$1,ROW()-1,10)),OFFSET($A$1,ROW()-1,10),IF(ISNUMBER(OFFSET($A$1,ROW()-1,9)),OFFSET($A$1,ROW()-1,9),IF(ISNUMBER(OFFSET($A$1,ROW()-1,8)),OFFSET($A$1,ROW()-1,8),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",IFERROR(MATCH("Riesgo Normativo|"&amp;MID($C194,12,500),rDname_ADM,0),0),"")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IF(N($W195)=0,"",IF(AND($S195=MesCiclo,1&gt;SemanaActual),"",MIN(1,SUMIFS(OFFSET($A$1,ROW(),29,1000-ROW(),1),OFFSET($A$1,ROW(),20,1000-ROW(),1),ROW(),OFFSET($A$1,ROW(),21,1000-ROW(),1),"Sub"))))</f>
        <v/>
      </c>
      <c r="J195" s="60">
        <f>IF(N($W195)=0,"",IF(AND($S195=MesCiclo,2&gt;SemanaActual),"",MIN(1,SUMIFS(OFFSET($A$1,ROW(),30,1000-ROW(),1),OFFSET($A$1,ROW(),20,1000-ROW(),1),ROW(),OFFSET($A$1,ROW(),21,1000-ROW(),1),"Sub"))))</f>
        <v/>
      </c>
      <c r="K195" s="60">
        <f>IF(N($W195)=0,"",IF(AND($S195=MesCiclo,3&gt;SemanaActual),"",MIN(1,SUMIFS(OFFSET($A$1,ROW(),31,1000-ROW(),1),OFFSET($A$1,ROW(),20,1000-ROW(),1),ROW(),OFFSET($A$1,ROW(),21,1000-ROW(),1),"Sub"))))</f>
        <v/>
      </c>
      <c r="L195" s="60">
        <f>IF(N($W195)=0,"",IF(AND($S195=MesCiclo,4&gt;SemanaActual),"",MIN(1,SUMIFS(OFFSET($A$1,ROW(),32,1000-ROW(),1),OFFSET($A$1,ROW(),20,1000-ROW(),1),ROW(),OFFSET($A$1,ROW(),21,1000-ROW(),1),"Sub"))))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IF($V195&lt;&gt;"Sub","",N($X195)*IF(AND(ISNUMBER($G195),$G195&lt;=IF($S195=MesCiclo,InicioCiclo,$S195+MOD(2-WEEKDAY($S195),7))+6),1,MIN(1,MAX(0,IF(ISNUMBER(OFFSET($A$1,ROW()-1,8)),OFFSET($A$1,ROW()-1,8),0)))))</f>
        <v/>
      </c>
      <c r="AE195" s="62">
        <f>IF($V195&lt;&gt;"Sub","",N($X195)*IF(AND(ISNUMBER($G195),$G195&lt;=IF($S195=MesCiclo,InicioCiclo,$S195+MOD(2-WEEKDAY($S195),7))+13),1,MIN(1,MAX(0,IF(ISNUMBER(OFFSET($A$1,ROW()-1,9)),OFFSET($A$1,ROW()-1,9),IF(ISNUMBER(OFFSET($A$1,ROW()-1,8)),OFFSET($A$1,ROW()-1,8),0))))))</f>
        <v/>
      </c>
      <c r="AF195" s="62">
        <f>IF($V195&lt;&gt;"Sub","",N($X195)*IF(AND(ISNUMBER($G195),$G195&lt;=IF($S195=MesCiclo,InicioCiclo,$S195+MOD(2-WEEKDAY($S195),7))+20),1,MIN(1,MAX(0,IF(ISNUMBER(OFFSET($A$1,ROW()-1,10)),OFFSET($A$1,ROW()-1,10),IF(ISNUMBER(OFFSET($A$1,ROW()-1,9)),OFFSET($A$1,ROW()-1,9),IF(ISNUMBER(OFFSET($A$1,ROW()-1,8)),OFFSET($A$1,ROW()-1,8),0)))))))</f>
        <v/>
      </c>
      <c r="AG195" s="62">
        <f>IF($V195&lt;&gt;"Sub","",N($X195)*IF(AND(ISNUMBER($G195),$G195&lt;=IF($S195=MesCiclo,InicioCiclo,$S195+MOD(2-WEEKDAY($S195),7))+27),1,MIN(1,MAX(0,IF(ISNUMBER(OFFSET($A$1,ROW()-1,11)),OFFSET($A$1,ROW()-1,11),IF(ISNUMBER(OFFSET($A$1,ROW()-1,10)),OFFSET($A$1,ROW()-1,10),IF(ISNUMBER(OFFSET($A$1,ROW()-1,9)),OFFSET($A$1,ROW()-1,9),IF(ISNUMBER(OFFSET($A$1,ROW()-1,8)),OFFSET($A$1,ROW()-1,8),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",IFERROR(MATCH("Riesgo Normativo|"&amp;MID($C195,12,500),rDname_ADM,0),0),"")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IF(N($W196)=0,"",IF(AND($S196=MesCiclo,1&gt;SemanaActual),"",MIN(1,SUMIFS(OFFSET($A$1,ROW(),29,1000-ROW(),1),OFFSET($A$1,ROW(),20,1000-ROW(),1),ROW(),OFFSET($A$1,ROW(),21,1000-ROW(),1),"Sub"))))</f>
        <v/>
      </c>
      <c r="J196" s="60">
        <f>IF(N($W196)=0,"",IF(AND($S196=MesCiclo,2&gt;SemanaActual),"",MIN(1,SUMIFS(OFFSET($A$1,ROW(),30,1000-ROW(),1),OFFSET($A$1,ROW(),20,1000-ROW(),1),ROW(),OFFSET($A$1,ROW(),21,1000-ROW(),1),"Sub"))))</f>
        <v/>
      </c>
      <c r="K196" s="60">
        <f>IF(N($W196)=0,"",IF(AND($S196=MesCiclo,3&gt;SemanaActual),"",MIN(1,SUMIFS(OFFSET($A$1,ROW(),31,1000-ROW(),1),OFFSET($A$1,ROW(),20,1000-ROW(),1),ROW(),OFFSET($A$1,ROW(),21,1000-ROW(),1),"Sub"))))</f>
        <v/>
      </c>
      <c r="L196" s="60">
        <f>IF(N($W196)=0,"",IF(AND($S196=MesCiclo,4&gt;SemanaActual),"",MIN(1,SUMIFS(OFFSET($A$1,ROW(),32,1000-ROW(),1),OFFSET($A$1,ROW(),20,1000-ROW(),1),ROW(),OFFSET($A$1,ROW(),21,1000-ROW(),1),"Sub"))))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IF($V196&lt;&gt;"Sub","",N($X196)*IF(AND(ISNUMBER($G196),$G196&lt;=IF($S196=MesCiclo,InicioCiclo,$S196+MOD(2-WEEKDAY($S196),7))+6),1,MIN(1,MAX(0,IF(ISNUMBER(OFFSET($A$1,ROW()-1,8)),OFFSET($A$1,ROW()-1,8),0)))))</f>
        <v/>
      </c>
      <c r="AE196" s="62">
        <f>IF($V196&lt;&gt;"Sub","",N($X196)*IF(AND(ISNUMBER($G196),$G196&lt;=IF($S196=MesCiclo,InicioCiclo,$S196+MOD(2-WEEKDAY($S196),7))+13),1,MIN(1,MAX(0,IF(ISNUMBER(OFFSET($A$1,ROW()-1,9)),OFFSET($A$1,ROW()-1,9),IF(ISNUMBER(OFFSET($A$1,ROW()-1,8)),OFFSET($A$1,ROW()-1,8),0))))))</f>
        <v/>
      </c>
      <c r="AF196" s="62">
        <f>IF($V196&lt;&gt;"Sub","",N($X196)*IF(AND(ISNUMBER($G196),$G196&lt;=IF($S196=MesCiclo,InicioCiclo,$S196+MOD(2-WEEKDAY($S196),7))+20),1,MIN(1,MAX(0,IF(ISNUMBER(OFFSET($A$1,ROW()-1,10)),OFFSET($A$1,ROW()-1,10),IF(ISNUMBER(OFFSET($A$1,ROW()-1,9)),OFFSET($A$1,ROW()-1,9),IF(ISNUMBER(OFFSET($A$1,ROW()-1,8)),OFFSET($A$1,ROW()-1,8),0)))))))</f>
        <v/>
      </c>
      <c r="AG196" s="62">
        <f>IF($V196&lt;&gt;"Sub","",N($X196)*IF(AND(ISNUMBER($G196),$G196&lt;=IF($S196=MesCiclo,InicioCiclo,$S196+MOD(2-WEEKDAY($S196),7))+27),1,MIN(1,MAX(0,IF(ISNUMBER(OFFSET($A$1,ROW()-1,11)),OFFSET($A$1,ROW()-1,11),IF(ISNUMBER(OFFSET($A$1,ROW()-1,10)),OFFSET($A$1,ROW()-1,10),IF(ISNUMBER(OFFSET($A$1,ROW()-1,9)),OFFSET($A$1,ROW()-1,9),IF(ISNUMBER(OFFSET($A$1,ROW()-1,8)),OFFSET($A$1,ROW()-1,8),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",IFERROR(MATCH("Riesgo Normativo|"&amp;MID($C196,12,500),rDname_ADM,0),0),"")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IF(N($W197)=0,"",IF(AND($S197=MesCiclo,1&gt;SemanaActual),"",MIN(1,SUMIFS(OFFSET($A$1,ROW(),29,1000-ROW(),1),OFFSET($A$1,ROW(),20,1000-ROW(),1),ROW(),OFFSET($A$1,ROW(),21,1000-ROW(),1),"Sub"))))</f>
        <v/>
      </c>
      <c r="J197" s="60">
        <f>IF(N($W197)=0,"",IF(AND($S197=MesCiclo,2&gt;SemanaActual),"",MIN(1,SUMIFS(OFFSET($A$1,ROW(),30,1000-ROW(),1),OFFSET($A$1,ROW(),20,1000-ROW(),1),ROW(),OFFSET($A$1,ROW(),21,1000-ROW(),1),"Sub"))))</f>
        <v/>
      </c>
      <c r="K197" s="60">
        <f>IF(N($W197)=0,"",IF(AND($S197=MesCiclo,3&gt;SemanaActual),"",MIN(1,SUMIFS(OFFSET($A$1,ROW(),31,1000-ROW(),1),OFFSET($A$1,ROW(),20,1000-ROW(),1),ROW(),OFFSET($A$1,ROW(),21,1000-ROW(),1),"Sub"))))</f>
        <v/>
      </c>
      <c r="L197" s="60">
        <f>IF(N($W197)=0,"",IF(AND($S197=MesCiclo,4&gt;SemanaActual),"",MIN(1,SUMIFS(OFFSET($A$1,ROW(),32,1000-ROW(),1),OFFSET($A$1,ROW(),20,1000-ROW(),1),ROW(),OFFSET($A$1,ROW(),21,1000-ROW(),1),"Sub"))))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IF($V197&lt;&gt;"Sub","",N($X197)*IF(AND(ISNUMBER($G197),$G197&lt;=IF($S197=MesCiclo,InicioCiclo,$S197+MOD(2-WEEKDAY($S197),7))+6),1,MIN(1,MAX(0,IF(ISNUMBER(OFFSET($A$1,ROW()-1,8)),OFFSET($A$1,ROW()-1,8),0)))))</f>
        <v/>
      </c>
      <c r="AE197" s="62">
        <f>IF($V197&lt;&gt;"Sub","",N($X197)*IF(AND(ISNUMBER($G197),$G197&lt;=IF($S197=MesCiclo,InicioCiclo,$S197+MOD(2-WEEKDAY($S197),7))+13),1,MIN(1,MAX(0,IF(ISNUMBER(OFFSET($A$1,ROW()-1,9)),OFFSET($A$1,ROW()-1,9),IF(ISNUMBER(OFFSET($A$1,ROW()-1,8)),OFFSET($A$1,ROW()-1,8),0))))))</f>
        <v/>
      </c>
      <c r="AF197" s="62">
        <f>IF($V197&lt;&gt;"Sub","",N($X197)*IF(AND(ISNUMBER($G197),$G197&lt;=IF($S197=MesCiclo,InicioCiclo,$S197+MOD(2-WEEKDAY($S197),7))+20),1,MIN(1,MAX(0,IF(ISNUMBER(OFFSET($A$1,ROW()-1,10)),OFFSET($A$1,ROW()-1,10),IF(ISNUMBER(OFFSET($A$1,ROW()-1,9)),OFFSET($A$1,ROW()-1,9),IF(ISNUMBER(OFFSET($A$1,ROW()-1,8)),OFFSET($A$1,ROW()-1,8),0)))))))</f>
        <v/>
      </c>
      <c r="AG197" s="62">
        <f>IF($V197&lt;&gt;"Sub","",N($X197)*IF(AND(ISNUMBER($G197),$G197&lt;=IF($S197=MesCiclo,InicioCiclo,$S197+MOD(2-WEEKDAY($S197),7))+27),1,MIN(1,MAX(0,IF(ISNUMBER(OFFSET($A$1,ROW()-1,11)),OFFSET($A$1,ROW()-1,11),IF(ISNUMBER(OFFSET($A$1,ROW()-1,10)),OFFSET($A$1,ROW()-1,10),IF(ISNUMBER(OFFSET($A$1,ROW()-1,9)),OFFSET($A$1,ROW()-1,9),IF(ISNUMBER(OFFSET($A$1,ROW()-1,8)),OFFSET($A$1,ROW()-1,8),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",IFERROR(MATCH("Riesgo Normativo|"&amp;MID($C197,12,500),rDname_ADM,0),0),"")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IF(N($W198)=0,"",IF(AND($S198=MesCiclo,1&gt;SemanaActual),"",MIN(1,SUMIFS(OFFSET($A$1,ROW(),29,1000-ROW(),1),OFFSET($A$1,ROW(),20,1000-ROW(),1),ROW(),OFFSET($A$1,ROW(),21,1000-ROW(),1),"Sub"))))</f>
        <v/>
      </c>
      <c r="J198" s="60">
        <f>IF(N($W198)=0,"",IF(AND($S198=MesCiclo,2&gt;SemanaActual),"",MIN(1,SUMIFS(OFFSET($A$1,ROW(),30,1000-ROW(),1),OFFSET($A$1,ROW(),20,1000-ROW(),1),ROW(),OFFSET($A$1,ROW(),21,1000-ROW(),1),"Sub"))))</f>
        <v/>
      </c>
      <c r="K198" s="60">
        <f>IF(N($W198)=0,"",IF(AND($S198=MesCiclo,3&gt;SemanaActual),"",MIN(1,SUMIFS(OFFSET($A$1,ROW(),31,1000-ROW(),1),OFFSET($A$1,ROW(),20,1000-ROW(),1),ROW(),OFFSET($A$1,ROW(),21,1000-ROW(),1),"Sub"))))</f>
        <v/>
      </c>
      <c r="L198" s="60">
        <f>IF(N($W198)=0,"",IF(AND($S198=MesCiclo,4&gt;SemanaActual),"",MIN(1,SUMIFS(OFFSET($A$1,ROW(),32,1000-ROW(),1),OFFSET($A$1,ROW(),20,1000-ROW(),1),ROW(),OFFSET($A$1,ROW(),21,1000-ROW(),1),"Sub"))))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IF($V198&lt;&gt;"Sub","",N($X198)*IF(AND(ISNUMBER($G198),$G198&lt;=IF($S198=MesCiclo,InicioCiclo,$S198+MOD(2-WEEKDAY($S198),7))+6),1,MIN(1,MAX(0,IF(ISNUMBER(OFFSET($A$1,ROW()-1,8)),OFFSET($A$1,ROW()-1,8),0)))))</f>
        <v/>
      </c>
      <c r="AE198" s="62">
        <f>IF($V198&lt;&gt;"Sub","",N($X198)*IF(AND(ISNUMBER($G198),$G198&lt;=IF($S198=MesCiclo,InicioCiclo,$S198+MOD(2-WEEKDAY($S198),7))+13),1,MIN(1,MAX(0,IF(ISNUMBER(OFFSET($A$1,ROW()-1,9)),OFFSET($A$1,ROW()-1,9),IF(ISNUMBER(OFFSET($A$1,ROW()-1,8)),OFFSET($A$1,ROW()-1,8),0))))))</f>
        <v/>
      </c>
      <c r="AF198" s="62">
        <f>IF($V198&lt;&gt;"Sub","",N($X198)*IF(AND(ISNUMBER($G198),$G198&lt;=IF($S198=MesCiclo,InicioCiclo,$S198+MOD(2-WEEKDAY($S198),7))+20),1,MIN(1,MAX(0,IF(ISNUMBER(OFFSET($A$1,ROW()-1,10)),OFFSET($A$1,ROW()-1,10),IF(ISNUMBER(OFFSET($A$1,ROW()-1,9)),OFFSET($A$1,ROW()-1,9),IF(ISNUMBER(OFFSET($A$1,ROW()-1,8)),OFFSET($A$1,ROW()-1,8),0)))))))</f>
        <v/>
      </c>
      <c r="AG198" s="62">
        <f>IF($V198&lt;&gt;"Sub","",N($X198)*IF(AND(ISNUMBER($G198),$G198&lt;=IF($S198=MesCiclo,InicioCiclo,$S198+MOD(2-WEEKDAY($S198),7))+27),1,MIN(1,MAX(0,IF(ISNUMBER(OFFSET($A$1,ROW()-1,11)),OFFSET($A$1,ROW()-1,11),IF(ISNUMBER(OFFSET($A$1,ROW()-1,10)),OFFSET($A$1,ROW()-1,10),IF(ISNUMBER(OFFSET($A$1,ROW()-1,9)),OFFSET($A$1,ROW()-1,9),IF(ISNUMBER(OFFSET($A$1,ROW()-1,8)),OFFSET($A$1,ROW()-1,8),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",IFERROR(MATCH("Riesgo Normativo|"&amp;MID($C198,12,500),rDname_ADM,0),0),"")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IF(N($W199)=0,"",IF(AND($S199=MesCiclo,1&gt;SemanaActual),"",MIN(1,SUMIFS(OFFSET($A$1,ROW(),29,1000-ROW(),1),OFFSET($A$1,ROW(),20,1000-ROW(),1),ROW(),OFFSET($A$1,ROW(),21,1000-ROW(),1),"Sub"))))</f>
        <v/>
      </c>
      <c r="J199" s="60">
        <f>IF(N($W199)=0,"",IF(AND($S199=MesCiclo,2&gt;SemanaActual),"",MIN(1,SUMIFS(OFFSET($A$1,ROW(),30,1000-ROW(),1),OFFSET($A$1,ROW(),20,1000-ROW(),1),ROW(),OFFSET($A$1,ROW(),21,1000-ROW(),1),"Sub"))))</f>
        <v/>
      </c>
      <c r="K199" s="60">
        <f>IF(N($W199)=0,"",IF(AND($S199=MesCiclo,3&gt;SemanaActual),"",MIN(1,SUMIFS(OFFSET($A$1,ROW(),31,1000-ROW(),1),OFFSET($A$1,ROW(),20,1000-ROW(),1),ROW(),OFFSET($A$1,ROW(),21,1000-ROW(),1),"Sub"))))</f>
        <v/>
      </c>
      <c r="L199" s="60">
        <f>IF(N($W199)=0,"",IF(AND($S199=MesCiclo,4&gt;SemanaActual),"",MIN(1,SUMIFS(OFFSET($A$1,ROW(),32,1000-ROW(),1),OFFSET($A$1,ROW(),20,1000-ROW(),1),ROW(),OFFSET($A$1,ROW(),21,1000-ROW(),1),"Sub"))))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IF($V199&lt;&gt;"Sub","",N($X199)*IF(AND(ISNUMBER($G199),$G199&lt;=IF($S199=MesCiclo,InicioCiclo,$S199+MOD(2-WEEKDAY($S199),7))+6),1,MIN(1,MAX(0,IF(ISNUMBER(OFFSET($A$1,ROW()-1,8)),OFFSET($A$1,ROW()-1,8),0)))))</f>
        <v/>
      </c>
      <c r="AE199" s="62">
        <f>IF($V199&lt;&gt;"Sub","",N($X199)*IF(AND(ISNUMBER($G199),$G199&lt;=IF($S199=MesCiclo,InicioCiclo,$S199+MOD(2-WEEKDAY($S199),7))+13),1,MIN(1,MAX(0,IF(ISNUMBER(OFFSET($A$1,ROW()-1,9)),OFFSET($A$1,ROW()-1,9),IF(ISNUMBER(OFFSET($A$1,ROW()-1,8)),OFFSET($A$1,ROW()-1,8),0))))))</f>
        <v/>
      </c>
      <c r="AF199" s="62">
        <f>IF($V199&lt;&gt;"Sub","",N($X199)*IF(AND(ISNUMBER($G199),$G199&lt;=IF($S199=MesCiclo,InicioCiclo,$S199+MOD(2-WEEKDAY($S199),7))+20),1,MIN(1,MAX(0,IF(ISNUMBER(OFFSET($A$1,ROW()-1,10)),OFFSET($A$1,ROW()-1,10),IF(ISNUMBER(OFFSET($A$1,ROW()-1,9)),OFFSET($A$1,ROW()-1,9),IF(ISNUMBER(OFFSET($A$1,ROW()-1,8)),OFFSET($A$1,ROW()-1,8),0)))))))</f>
        <v/>
      </c>
      <c r="AG199" s="62">
        <f>IF($V199&lt;&gt;"Sub","",N($X199)*IF(AND(ISNUMBER($G199),$G199&lt;=IF($S199=MesCiclo,InicioCiclo,$S199+MOD(2-WEEKDAY($S199),7))+27),1,MIN(1,MAX(0,IF(ISNUMBER(OFFSET($A$1,ROW()-1,11)),OFFSET($A$1,ROW()-1,11),IF(ISNUMBER(OFFSET($A$1,ROW()-1,10)),OFFSET($A$1,ROW()-1,10),IF(ISNUMBER(OFFSET($A$1,ROW()-1,9)),OFFSET($A$1,ROW()-1,9),IF(ISNUMBER(OFFSET($A$1,ROW()-1,8)),OFFSET($A$1,ROW()-1,8),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",IFERROR(MATCH("Riesgo Normativo|"&amp;MID($C199,12,500),rDname_ADM,0),0),"")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IF(N($W200)=0,"",IF(AND($S200=MesCiclo,1&gt;SemanaActual),"",MIN(1,SUMIFS(OFFSET($A$1,ROW(),29,1000-ROW(),1),OFFSET($A$1,ROW(),20,1000-ROW(),1),ROW(),OFFSET($A$1,ROW(),21,1000-ROW(),1),"Sub"))))</f>
        <v/>
      </c>
      <c r="J200" s="60">
        <f>IF(N($W200)=0,"",IF(AND($S200=MesCiclo,2&gt;SemanaActual),"",MIN(1,SUMIFS(OFFSET($A$1,ROW(),30,1000-ROW(),1),OFFSET($A$1,ROW(),20,1000-ROW(),1),ROW(),OFFSET($A$1,ROW(),21,1000-ROW(),1),"Sub"))))</f>
        <v/>
      </c>
      <c r="K200" s="60">
        <f>IF(N($W200)=0,"",IF(AND($S200=MesCiclo,3&gt;SemanaActual),"",MIN(1,SUMIFS(OFFSET($A$1,ROW(),31,1000-ROW(),1),OFFSET($A$1,ROW(),20,1000-ROW(),1),ROW(),OFFSET($A$1,ROW(),21,1000-ROW(),1),"Sub"))))</f>
        <v/>
      </c>
      <c r="L200" s="60">
        <f>IF(N($W200)=0,"",IF(AND($S200=MesCiclo,4&gt;SemanaActual),"",MIN(1,SUMIFS(OFFSET($A$1,ROW(),32,1000-ROW(),1),OFFSET($A$1,ROW(),20,1000-ROW(),1),ROW(),OFFSET($A$1,ROW(),21,1000-ROW(),1),"Sub"))))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IF($V200&lt;&gt;"Sub","",N($X200)*IF(AND(ISNUMBER($G200),$G200&lt;=IF($S200=MesCiclo,InicioCiclo,$S200+MOD(2-WEEKDAY($S200),7))+6),1,MIN(1,MAX(0,IF(ISNUMBER(OFFSET($A$1,ROW()-1,8)),OFFSET($A$1,ROW()-1,8),0)))))</f>
        <v/>
      </c>
      <c r="AE200" s="62">
        <f>IF($V200&lt;&gt;"Sub","",N($X200)*IF(AND(ISNUMBER($G200),$G200&lt;=IF($S200=MesCiclo,InicioCiclo,$S200+MOD(2-WEEKDAY($S200),7))+13),1,MIN(1,MAX(0,IF(ISNUMBER(OFFSET($A$1,ROW()-1,9)),OFFSET($A$1,ROW()-1,9),IF(ISNUMBER(OFFSET($A$1,ROW()-1,8)),OFFSET($A$1,ROW()-1,8),0))))))</f>
        <v/>
      </c>
      <c r="AF200" s="62">
        <f>IF($V200&lt;&gt;"Sub","",N($X200)*IF(AND(ISNUMBER($G200),$G200&lt;=IF($S200=MesCiclo,InicioCiclo,$S200+MOD(2-WEEKDAY($S200),7))+20),1,MIN(1,MAX(0,IF(ISNUMBER(OFFSET($A$1,ROW()-1,10)),OFFSET($A$1,ROW()-1,10),IF(ISNUMBER(OFFSET($A$1,ROW()-1,9)),OFFSET($A$1,ROW()-1,9),IF(ISNUMBER(OFFSET($A$1,ROW()-1,8)),OFFSET($A$1,ROW()-1,8),0)))))))</f>
        <v/>
      </c>
      <c r="AG200" s="62">
        <f>IF($V200&lt;&gt;"Sub","",N($X200)*IF(AND(ISNUMBER($G200),$G200&lt;=IF($S200=MesCiclo,InicioCiclo,$S200+MOD(2-WEEKDAY($S200),7))+27),1,MIN(1,MAX(0,IF(ISNUMBER(OFFSET($A$1,ROW()-1,11)),OFFSET($A$1,ROW()-1,11),IF(ISNUMBER(OFFSET($A$1,ROW()-1,10)),OFFSET($A$1,ROW()-1,10),IF(ISNUMBER(OFFSET($A$1,ROW()-1,9)),OFFSET($A$1,ROW()-1,9),IF(ISNUMBER(OFFSET($A$1,ROW()-1,8)),OFFSET($A$1,ROW()-1,8),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",IFERROR(MATCH("Riesgo Normativo|"&amp;MID($C200,12,500),rDname_ADM,0),0),"")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IF(N($W201)=0,"",IF(AND($S201=MesCiclo,1&gt;SemanaActual),"",MIN(1,SUMIFS(OFFSET($A$1,ROW(),29,1000-ROW(),1),OFFSET($A$1,ROW(),20,1000-ROW(),1),ROW(),OFFSET($A$1,ROW(),21,1000-ROW(),1),"Sub"))))</f>
        <v/>
      </c>
      <c r="J201" s="60">
        <f>IF(N($W201)=0,"",IF(AND($S201=MesCiclo,2&gt;SemanaActual),"",MIN(1,SUMIFS(OFFSET($A$1,ROW(),30,1000-ROW(),1),OFFSET($A$1,ROW(),20,1000-ROW(),1),ROW(),OFFSET($A$1,ROW(),21,1000-ROW(),1),"Sub"))))</f>
        <v/>
      </c>
      <c r="K201" s="60">
        <f>IF(N($W201)=0,"",IF(AND($S201=MesCiclo,3&gt;SemanaActual),"",MIN(1,SUMIFS(OFFSET($A$1,ROW(),31,1000-ROW(),1),OFFSET($A$1,ROW(),20,1000-ROW(),1),ROW(),OFFSET($A$1,ROW(),21,1000-ROW(),1),"Sub"))))</f>
        <v/>
      </c>
      <c r="L201" s="60">
        <f>IF(N($W201)=0,"",IF(AND($S201=MesCiclo,4&gt;SemanaActual),"",MIN(1,SUMIFS(OFFSET($A$1,ROW(),32,1000-ROW(),1),OFFSET($A$1,ROW(),20,1000-ROW(),1),ROW(),OFFSET($A$1,ROW(),21,1000-ROW(),1),"Sub"))))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IF($V201&lt;&gt;"Sub","",N($X201)*IF(AND(ISNUMBER($G201),$G201&lt;=IF($S201=MesCiclo,InicioCiclo,$S201+MOD(2-WEEKDAY($S201),7))+6),1,MIN(1,MAX(0,IF(ISNUMBER(OFFSET($A$1,ROW()-1,8)),OFFSET($A$1,ROW()-1,8),0)))))</f>
        <v/>
      </c>
      <c r="AE201" s="62">
        <f>IF($V201&lt;&gt;"Sub","",N($X201)*IF(AND(ISNUMBER($G201),$G201&lt;=IF($S201=MesCiclo,InicioCiclo,$S201+MOD(2-WEEKDAY($S201),7))+13),1,MIN(1,MAX(0,IF(ISNUMBER(OFFSET($A$1,ROW()-1,9)),OFFSET($A$1,ROW()-1,9),IF(ISNUMBER(OFFSET($A$1,ROW()-1,8)),OFFSET($A$1,ROW()-1,8),0))))))</f>
        <v/>
      </c>
      <c r="AF201" s="62">
        <f>IF($V201&lt;&gt;"Sub","",N($X201)*IF(AND(ISNUMBER($G201),$G201&lt;=IF($S201=MesCiclo,InicioCiclo,$S201+MOD(2-WEEKDAY($S201),7))+20),1,MIN(1,MAX(0,IF(ISNUMBER(OFFSET($A$1,ROW()-1,10)),OFFSET($A$1,ROW()-1,10),IF(ISNUMBER(OFFSET($A$1,ROW()-1,9)),OFFSET($A$1,ROW()-1,9),IF(ISNUMBER(OFFSET($A$1,ROW()-1,8)),OFFSET($A$1,ROW()-1,8),0)))))))</f>
        <v/>
      </c>
      <c r="AG201" s="62">
        <f>IF($V201&lt;&gt;"Sub","",N($X201)*IF(AND(ISNUMBER($G201),$G201&lt;=IF($S201=MesCiclo,InicioCiclo,$S201+MOD(2-WEEKDAY($S201),7))+27),1,MIN(1,MAX(0,IF(ISNUMBER(OFFSET($A$1,ROW()-1,11)),OFFSET($A$1,ROW()-1,11),IF(ISNUMBER(OFFSET($A$1,ROW()-1,10)),OFFSET($A$1,ROW()-1,10),IF(ISNUMBER(OFFSET($A$1,ROW()-1,9)),OFFSET($A$1,ROW()-1,9),IF(ISNUMBER(OFFSET($A$1,ROW()-1,8)),OFFSET($A$1,ROW()-1,8),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",IFERROR(MATCH("Riesgo Normativo|"&amp;MID($C201,12,500),rDname_ADM,0),0),"")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IF(N($W202)=0,"",IF(AND($S202=MesCiclo,1&gt;SemanaActual),"",MIN(1,SUMIFS(OFFSET($A$1,ROW(),29,1000-ROW(),1),OFFSET($A$1,ROW(),20,1000-ROW(),1),ROW(),OFFSET($A$1,ROW(),21,1000-ROW(),1),"Sub"))))</f>
        <v/>
      </c>
      <c r="J202" s="60">
        <f>IF(N($W202)=0,"",IF(AND($S202=MesCiclo,2&gt;SemanaActual),"",MIN(1,SUMIFS(OFFSET($A$1,ROW(),30,1000-ROW(),1),OFFSET($A$1,ROW(),20,1000-ROW(),1),ROW(),OFFSET($A$1,ROW(),21,1000-ROW(),1),"Sub"))))</f>
        <v/>
      </c>
      <c r="K202" s="60">
        <f>IF(N($W202)=0,"",IF(AND($S202=MesCiclo,3&gt;SemanaActual),"",MIN(1,SUMIFS(OFFSET($A$1,ROW(),31,1000-ROW(),1),OFFSET($A$1,ROW(),20,1000-ROW(),1),ROW(),OFFSET($A$1,ROW(),21,1000-ROW(),1),"Sub"))))</f>
        <v/>
      </c>
      <c r="L202" s="60">
        <f>IF(N($W202)=0,"",IF(AND($S202=MesCiclo,4&gt;SemanaActual),"",MIN(1,SUMIFS(OFFSET($A$1,ROW(),32,1000-ROW(),1),OFFSET($A$1,ROW(),20,1000-ROW(),1),ROW(),OFFSET($A$1,ROW(),21,1000-ROW(),1),"Sub"))))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IF($V202&lt;&gt;"Sub","",N($X202)*IF(AND(ISNUMBER($G202),$G202&lt;=IF($S202=MesCiclo,InicioCiclo,$S202+MOD(2-WEEKDAY($S202),7))+6),1,MIN(1,MAX(0,IF(ISNUMBER(OFFSET($A$1,ROW()-1,8)),OFFSET($A$1,ROW()-1,8),0)))))</f>
        <v/>
      </c>
      <c r="AE202" s="62">
        <f>IF($V202&lt;&gt;"Sub","",N($X202)*IF(AND(ISNUMBER($G202),$G202&lt;=IF($S202=MesCiclo,InicioCiclo,$S202+MOD(2-WEEKDAY($S202),7))+13),1,MIN(1,MAX(0,IF(ISNUMBER(OFFSET($A$1,ROW()-1,9)),OFFSET($A$1,ROW()-1,9),IF(ISNUMBER(OFFSET($A$1,ROW()-1,8)),OFFSET($A$1,ROW()-1,8),0))))))</f>
        <v/>
      </c>
      <c r="AF202" s="62">
        <f>IF($V202&lt;&gt;"Sub","",N($X202)*IF(AND(ISNUMBER($G202),$G202&lt;=IF($S202=MesCiclo,InicioCiclo,$S202+MOD(2-WEEKDAY($S202),7))+20),1,MIN(1,MAX(0,IF(ISNUMBER(OFFSET($A$1,ROW()-1,10)),OFFSET($A$1,ROW()-1,10),IF(ISNUMBER(OFFSET($A$1,ROW()-1,9)),OFFSET($A$1,ROW()-1,9),IF(ISNUMBER(OFFSET($A$1,ROW()-1,8)),OFFSET($A$1,ROW()-1,8),0)))))))</f>
        <v/>
      </c>
      <c r="AG202" s="62">
        <f>IF($V202&lt;&gt;"Sub","",N($X202)*IF(AND(ISNUMBER($G202),$G202&lt;=IF($S202=MesCiclo,InicioCiclo,$S202+MOD(2-WEEKDAY($S202),7))+27),1,MIN(1,MAX(0,IF(ISNUMBER(OFFSET($A$1,ROW()-1,11)),OFFSET($A$1,ROW()-1,11),IF(ISNUMBER(OFFSET($A$1,ROW()-1,10)),OFFSET($A$1,ROW()-1,10),IF(ISNUMBER(OFFSET($A$1,ROW()-1,9)),OFFSET($A$1,ROW()-1,9),IF(ISNUMBER(OFFSET($A$1,ROW()-1,8)),OFFSET($A$1,ROW()-1,8),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",IFERROR(MATCH("Riesgo Normativo|"&amp;MID($C202,12,500),rDname_ADM,0),0),"")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IF(N($W203)=0,"",IF(AND($S203=MesCiclo,1&gt;SemanaActual),"",MIN(1,SUMIFS(OFFSET($A$1,ROW(),29,1000-ROW(),1),OFFSET($A$1,ROW(),20,1000-ROW(),1),ROW(),OFFSET($A$1,ROW(),21,1000-ROW(),1),"Sub"))))</f>
        <v/>
      </c>
      <c r="J203" s="60">
        <f>IF(N($W203)=0,"",IF(AND($S203=MesCiclo,2&gt;SemanaActual),"",MIN(1,SUMIFS(OFFSET($A$1,ROW(),30,1000-ROW(),1),OFFSET($A$1,ROW(),20,1000-ROW(),1),ROW(),OFFSET($A$1,ROW(),21,1000-ROW(),1),"Sub"))))</f>
        <v/>
      </c>
      <c r="K203" s="60">
        <f>IF(N($W203)=0,"",IF(AND($S203=MesCiclo,3&gt;SemanaActual),"",MIN(1,SUMIFS(OFFSET($A$1,ROW(),31,1000-ROW(),1),OFFSET($A$1,ROW(),20,1000-ROW(),1),ROW(),OFFSET($A$1,ROW(),21,1000-ROW(),1),"Sub"))))</f>
        <v/>
      </c>
      <c r="L203" s="60">
        <f>IF(N($W203)=0,"",IF(AND($S203=MesCiclo,4&gt;SemanaActual),"",MIN(1,SUMIFS(OFFSET($A$1,ROW(),32,1000-ROW(),1),OFFSET($A$1,ROW(),20,1000-ROW(),1),ROW(),OFFSET($A$1,ROW(),21,1000-ROW(),1),"Sub"))))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IF($V203&lt;&gt;"Sub","",N($X203)*IF(AND(ISNUMBER($G203),$G203&lt;=IF($S203=MesCiclo,InicioCiclo,$S203+MOD(2-WEEKDAY($S203),7))+6),1,MIN(1,MAX(0,IF(ISNUMBER(OFFSET($A$1,ROW()-1,8)),OFFSET($A$1,ROW()-1,8),0)))))</f>
        <v/>
      </c>
      <c r="AE203" s="62">
        <f>IF($V203&lt;&gt;"Sub","",N($X203)*IF(AND(ISNUMBER($G203),$G203&lt;=IF($S203=MesCiclo,InicioCiclo,$S203+MOD(2-WEEKDAY($S203),7))+13),1,MIN(1,MAX(0,IF(ISNUMBER(OFFSET($A$1,ROW()-1,9)),OFFSET($A$1,ROW()-1,9),IF(ISNUMBER(OFFSET($A$1,ROW()-1,8)),OFFSET($A$1,ROW()-1,8),0))))))</f>
        <v/>
      </c>
      <c r="AF203" s="62">
        <f>IF($V203&lt;&gt;"Sub","",N($X203)*IF(AND(ISNUMBER($G203),$G203&lt;=IF($S203=MesCiclo,InicioCiclo,$S203+MOD(2-WEEKDAY($S203),7))+20),1,MIN(1,MAX(0,IF(ISNUMBER(OFFSET($A$1,ROW()-1,10)),OFFSET($A$1,ROW()-1,10),IF(ISNUMBER(OFFSET($A$1,ROW()-1,9)),OFFSET($A$1,ROW()-1,9),IF(ISNUMBER(OFFSET($A$1,ROW()-1,8)),OFFSET($A$1,ROW()-1,8),0)))))))</f>
        <v/>
      </c>
      <c r="AG203" s="62">
        <f>IF($V203&lt;&gt;"Sub","",N($X203)*IF(AND(ISNUMBER($G203),$G203&lt;=IF($S203=MesCiclo,InicioCiclo,$S203+MOD(2-WEEKDAY($S203),7))+27),1,MIN(1,MAX(0,IF(ISNUMBER(OFFSET($A$1,ROW()-1,11)),OFFSET($A$1,ROW()-1,11),IF(ISNUMBER(OFFSET($A$1,ROW()-1,10)),OFFSET($A$1,ROW()-1,10),IF(ISNUMBER(OFFSET($A$1,ROW()-1,9)),OFFSET($A$1,ROW()-1,9),IF(ISNUMBER(OFFSET($A$1,ROW()-1,8)),OFFSET($A$1,ROW()-1,8),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",IFERROR(MATCH("Riesgo Normativo|"&amp;MID($C203,12,500),rDname_ADM,0),0),"")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IF(N($W204)=0,"",IF(AND($S204=MesCiclo,1&gt;SemanaActual),"",MIN(1,SUMIFS(OFFSET($A$1,ROW(),29,1000-ROW(),1),OFFSET($A$1,ROW(),20,1000-ROW(),1),ROW(),OFFSET($A$1,ROW(),21,1000-ROW(),1),"Sub"))))</f>
        <v/>
      </c>
      <c r="J204" s="60">
        <f>IF(N($W204)=0,"",IF(AND($S204=MesCiclo,2&gt;SemanaActual),"",MIN(1,SUMIFS(OFFSET($A$1,ROW(),30,1000-ROW(),1),OFFSET($A$1,ROW(),20,1000-ROW(),1),ROW(),OFFSET($A$1,ROW(),21,1000-ROW(),1),"Sub"))))</f>
        <v/>
      </c>
      <c r="K204" s="60">
        <f>IF(N($W204)=0,"",IF(AND($S204=MesCiclo,3&gt;SemanaActual),"",MIN(1,SUMIFS(OFFSET($A$1,ROW(),31,1000-ROW(),1),OFFSET($A$1,ROW(),20,1000-ROW(),1),ROW(),OFFSET($A$1,ROW(),21,1000-ROW(),1),"Sub"))))</f>
        <v/>
      </c>
      <c r="L204" s="60">
        <f>IF(N($W204)=0,"",IF(AND($S204=MesCiclo,4&gt;SemanaActual),"",MIN(1,SUMIFS(OFFSET($A$1,ROW(),32,1000-ROW(),1),OFFSET($A$1,ROW(),20,1000-ROW(),1),ROW(),OFFSET($A$1,ROW(),21,1000-ROW(),1),"Sub"))))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IF($V204&lt;&gt;"Sub","",N($X204)*IF(AND(ISNUMBER($G204),$G204&lt;=IF($S204=MesCiclo,InicioCiclo,$S204+MOD(2-WEEKDAY($S204),7))+6),1,MIN(1,MAX(0,IF(ISNUMBER(OFFSET($A$1,ROW()-1,8)),OFFSET($A$1,ROW()-1,8),0)))))</f>
        <v/>
      </c>
      <c r="AE204" s="62">
        <f>IF($V204&lt;&gt;"Sub","",N($X204)*IF(AND(ISNUMBER($G204),$G204&lt;=IF($S204=MesCiclo,InicioCiclo,$S204+MOD(2-WEEKDAY($S204),7))+13),1,MIN(1,MAX(0,IF(ISNUMBER(OFFSET($A$1,ROW()-1,9)),OFFSET($A$1,ROW()-1,9),IF(ISNUMBER(OFFSET($A$1,ROW()-1,8)),OFFSET($A$1,ROW()-1,8),0))))))</f>
        <v/>
      </c>
      <c r="AF204" s="62">
        <f>IF($V204&lt;&gt;"Sub","",N($X204)*IF(AND(ISNUMBER($G204),$G204&lt;=IF($S204=MesCiclo,InicioCiclo,$S204+MOD(2-WEEKDAY($S204),7))+20),1,MIN(1,MAX(0,IF(ISNUMBER(OFFSET($A$1,ROW()-1,10)),OFFSET($A$1,ROW()-1,10),IF(ISNUMBER(OFFSET($A$1,ROW()-1,9)),OFFSET($A$1,ROW()-1,9),IF(ISNUMBER(OFFSET($A$1,ROW()-1,8)),OFFSET($A$1,ROW()-1,8),0)))))))</f>
        <v/>
      </c>
      <c r="AG204" s="62">
        <f>IF($V204&lt;&gt;"Sub","",N($X204)*IF(AND(ISNUMBER($G204),$G204&lt;=IF($S204=MesCiclo,InicioCiclo,$S204+MOD(2-WEEKDAY($S204),7))+27),1,MIN(1,MAX(0,IF(ISNUMBER(OFFSET($A$1,ROW()-1,11)),OFFSET($A$1,ROW()-1,11),IF(ISNUMBER(OFFSET($A$1,ROW()-1,10)),OFFSET($A$1,ROW()-1,10),IF(ISNUMBER(OFFSET($A$1,ROW()-1,9)),OFFSET($A$1,ROW()-1,9),IF(ISNUMBER(OFFSET($A$1,ROW()-1,8)),OFFSET($A$1,ROW()-1,8),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",IFERROR(MATCH("Riesgo Normativo|"&amp;MID($C204,12,500),rDname_ADM,0),0),"")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IF(N($W205)=0,"",IF(AND($S205=MesCiclo,1&gt;SemanaActual),"",MIN(1,SUMIFS(OFFSET($A$1,ROW(),29,1000-ROW(),1),OFFSET($A$1,ROW(),20,1000-ROW(),1),ROW(),OFFSET($A$1,ROW(),21,1000-ROW(),1),"Sub"))))</f>
        <v/>
      </c>
      <c r="J205" s="60">
        <f>IF(N($W205)=0,"",IF(AND($S205=MesCiclo,2&gt;SemanaActual),"",MIN(1,SUMIFS(OFFSET($A$1,ROW(),30,1000-ROW(),1),OFFSET($A$1,ROW(),20,1000-ROW(),1),ROW(),OFFSET($A$1,ROW(),21,1000-ROW(),1),"Sub"))))</f>
        <v/>
      </c>
      <c r="K205" s="60">
        <f>IF(N($W205)=0,"",IF(AND($S205=MesCiclo,3&gt;SemanaActual),"",MIN(1,SUMIFS(OFFSET($A$1,ROW(),31,1000-ROW(),1),OFFSET($A$1,ROW(),20,1000-ROW(),1),ROW(),OFFSET($A$1,ROW(),21,1000-ROW(),1),"Sub"))))</f>
        <v/>
      </c>
      <c r="L205" s="60">
        <f>IF(N($W205)=0,"",IF(AND($S205=MesCiclo,4&gt;SemanaActual),"",MIN(1,SUMIFS(OFFSET($A$1,ROW(),32,1000-ROW(),1),OFFSET($A$1,ROW(),20,1000-ROW(),1),ROW(),OFFSET($A$1,ROW(),21,1000-ROW(),1),"Sub"))))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IF($V205&lt;&gt;"Sub","",N($X205)*IF(AND(ISNUMBER($G205),$G205&lt;=IF($S205=MesCiclo,InicioCiclo,$S205+MOD(2-WEEKDAY($S205),7))+6),1,MIN(1,MAX(0,IF(ISNUMBER(OFFSET($A$1,ROW()-1,8)),OFFSET($A$1,ROW()-1,8),0)))))</f>
        <v/>
      </c>
      <c r="AE205" s="62">
        <f>IF($V205&lt;&gt;"Sub","",N($X205)*IF(AND(ISNUMBER($G205),$G205&lt;=IF($S205=MesCiclo,InicioCiclo,$S205+MOD(2-WEEKDAY($S205),7))+13),1,MIN(1,MAX(0,IF(ISNUMBER(OFFSET($A$1,ROW()-1,9)),OFFSET($A$1,ROW()-1,9),IF(ISNUMBER(OFFSET($A$1,ROW()-1,8)),OFFSET($A$1,ROW()-1,8),0))))))</f>
        <v/>
      </c>
      <c r="AF205" s="62">
        <f>IF($V205&lt;&gt;"Sub","",N($X205)*IF(AND(ISNUMBER($G205),$G205&lt;=IF($S205=MesCiclo,InicioCiclo,$S205+MOD(2-WEEKDAY($S205),7))+20),1,MIN(1,MAX(0,IF(ISNUMBER(OFFSET($A$1,ROW()-1,10)),OFFSET($A$1,ROW()-1,10),IF(ISNUMBER(OFFSET($A$1,ROW()-1,9)),OFFSET($A$1,ROW()-1,9),IF(ISNUMBER(OFFSET($A$1,ROW()-1,8)),OFFSET($A$1,ROW()-1,8),0)))))))</f>
        <v/>
      </c>
      <c r="AG205" s="62">
        <f>IF($V205&lt;&gt;"Sub","",N($X205)*IF(AND(ISNUMBER($G205),$G205&lt;=IF($S205=MesCiclo,InicioCiclo,$S205+MOD(2-WEEKDAY($S205),7))+27),1,MIN(1,MAX(0,IF(ISNUMBER(OFFSET($A$1,ROW()-1,11)),OFFSET($A$1,ROW()-1,11),IF(ISNUMBER(OFFSET($A$1,ROW()-1,10)),OFFSET($A$1,ROW()-1,10),IF(ISNUMBER(OFFSET($A$1,ROW()-1,9)),OFFSET($A$1,ROW()-1,9),IF(ISNUMBER(OFFSET($A$1,ROW()-1,8)),OFFSET($A$1,ROW()-1,8),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",IFERROR(MATCH("Riesgo Normativo|"&amp;MID($C205,12,500),rDname_ADM,0),0),"")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IF(N($W206)=0,"",IF(AND($S206=MesCiclo,1&gt;SemanaActual),"",MIN(1,SUMIFS(OFFSET($A$1,ROW(),29,1000-ROW(),1),OFFSET($A$1,ROW(),20,1000-ROW(),1),ROW(),OFFSET($A$1,ROW(),21,1000-ROW(),1),"Sub"))))</f>
        <v/>
      </c>
      <c r="J206" s="60">
        <f>IF(N($W206)=0,"",IF(AND($S206=MesCiclo,2&gt;SemanaActual),"",MIN(1,SUMIFS(OFFSET($A$1,ROW(),30,1000-ROW(),1),OFFSET($A$1,ROW(),20,1000-ROW(),1),ROW(),OFFSET($A$1,ROW(),21,1000-ROW(),1),"Sub"))))</f>
        <v/>
      </c>
      <c r="K206" s="60">
        <f>IF(N($W206)=0,"",IF(AND($S206=MesCiclo,3&gt;SemanaActual),"",MIN(1,SUMIFS(OFFSET($A$1,ROW(),31,1000-ROW(),1),OFFSET($A$1,ROW(),20,1000-ROW(),1),ROW(),OFFSET($A$1,ROW(),21,1000-ROW(),1),"Sub"))))</f>
        <v/>
      </c>
      <c r="L206" s="60">
        <f>IF(N($W206)=0,"",IF(AND($S206=MesCiclo,4&gt;SemanaActual),"",MIN(1,SUMIFS(OFFSET($A$1,ROW(),32,1000-ROW(),1),OFFSET($A$1,ROW(),20,1000-ROW(),1),ROW(),OFFSET($A$1,ROW(),21,1000-ROW(),1),"Sub"))))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IF($V206&lt;&gt;"Sub","",N($X206)*IF(AND(ISNUMBER($G206),$G206&lt;=IF($S206=MesCiclo,InicioCiclo,$S206+MOD(2-WEEKDAY($S206),7))+6),1,MIN(1,MAX(0,IF(ISNUMBER(OFFSET($A$1,ROW()-1,8)),OFFSET($A$1,ROW()-1,8),0)))))</f>
        <v/>
      </c>
      <c r="AE206" s="62">
        <f>IF($V206&lt;&gt;"Sub","",N($X206)*IF(AND(ISNUMBER($G206),$G206&lt;=IF($S206=MesCiclo,InicioCiclo,$S206+MOD(2-WEEKDAY($S206),7))+13),1,MIN(1,MAX(0,IF(ISNUMBER(OFFSET($A$1,ROW()-1,9)),OFFSET($A$1,ROW()-1,9),IF(ISNUMBER(OFFSET($A$1,ROW()-1,8)),OFFSET($A$1,ROW()-1,8),0))))))</f>
        <v/>
      </c>
      <c r="AF206" s="62">
        <f>IF($V206&lt;&gt;"Sub","",N($X206)*IF(AND(ISNUMBER($G206),$G206&lt;=IF($S206=MesCiclo,InicioCiclo,$S206+MOD(2-WEEKDAY($S206),7))+20),1,MIN(1,MAX(0,IF(ISNUMBER(OFFSET($A$1,ROW()-1,10)),OFFSET($A$1,ROW()-1,10),IF(ISNUMBER(OFFSET($A$1,ROW()-1,9)),OFFSET($A$1,ROW()-1,9),IF(ISNUMBER(OFFSET($A$1,ROW()-1,8)),OFFSET($A$1,ROW()-1,8),0)))))))</f>
        <v/>
      </c>
      <c r="AG206" s="62">
        <f>IF($V206&lt;&gt;"Sub","",N($X206)*IF(AND(ISNUMBER($G206),$G206&lt;=IF($S206=MesCiclo,InicioCiclo,$S206+MOD(2-WEEKDAY($S206),7))+27),1,MIN(1,MAX(0,IF(ISNUMBER(OFFSET($A$1,ROW()-1,11)),OFFSET($A$1,ROW()-1,11),IF(ISNUMBER(OFFSET($A$1,ROW()-1,10)),OFFSET($A$1,ROW()-1,10),IF(ISNUMBER(OFFSET($A$1,ROW()-1,9)),OFFSET($A$1,ROW()-1,9),IF(ISNUMBER(OFFSET($A$1,ROW()-1,8)),OFFSET($A$1,ROW()-1,8),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",IFERROR(MATCH("Riesgo Normativo|"&amp;MID($C206,12,500),rDname_ADM,0),0),"")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IF(N($W207)=0,"",IF(AND($S207=MesCiclo,1&gt;SemanaActual),"",MIN(1,SUMIFS(OFFSET($A$1,ROW(),29,1000-ROW(),1),OFFSET($A$1,ROW(),20,1000-ROW(),1),ROW(),OFFSET($A$1,ROW(),21,1000-ROW(),1),"Sub"))))</f>
        <v/>
      </c>
      <c r="J207" s="60">
        <f>IF(N($W207)=0,"",IF(AND($S207=MesCiclo,2&gt;SemanaActual),"",MIN(1,SUMIFS(OFFSET($A$1,ROW(),30,1000-ROW(),1),OFFSET($A$1,ROW(),20,1000-ROW(),1),ROW(),OFFSET($A$1,ROW(),21,1000-ROW(),1),"Sub"))))</f>
        <v/>
      </c>
      <c r="K207" s="60">
        <f>IF(N($W207)=0,"",IF(AND($S207=MesCiclo,3&gt;SemanaActual),"",MIN(1,SUMIFS(OFFSET($A$1,ROW(),31,1000-ROW(),1),OFFSET($A$1,ROW(),20,1000-ROW(),1),ROW(),OFFSET($A$1,ROW(),21,1000-ROW(),1),"Sub"))))</f>
        <v/>
      </c>
      <c r="L207" s="60">
        <f>IF(N($W207)=0,"",IF(AND($S207=MesCiclo,4&gt;SemanaActual),"",MIN(1,SUMIFS(OFFSET($A$1,ROW(),32,1000-ROW(),1),OFFSET($A$1,ROW(),20,1000-ROW(),1),ROW(),OFFSET($A$1,ROW(),21,1000-ROW(),1),"Sub"))))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IF($V207&lt;&gt;"Sub","",N($X207)*IF(AND(ISNUMBER($G207),$G207&lt;=IF($S207=MesCiclo,InicioCiclo,$S207+MOD(2-WEEKDAY($S207),7))+6),1,MIN(1,MAX(0,IF(ISNUMBER(OFFSET($A$1,ROW()-1,8)),OFFSET($A$1,ROW()-1,8),0)))))</f>
        <v/>
      </c>
      <c r="AE207" s="62">
        <f>IF($V207&lt;&gt;"Sub","",N($X207)*IF(AND(ISNUMBER($G207),$G207&lt;=IF($S207=MesCiclo,InicioCiclo,$S207+MOD(2-WEEKDAY($S207),7))+13),1,MIN(1,MAX(0,IF(ISNUMBER(OFFSET($A$1,ROW()-1,9)),OFFSET($A$1,ROW()-1,9),IF(ISNUMBER(OFFSET($A$1,ROW()-1,8)),OFFSET($A$1,ROW()-1,8),0))))))</f>
        <v/>
      </c>
      <c r="AF207" s="62">
        <f>IF($V207&lt;&gt;"Sub","",N($X207)*IF(AND(ISNUMBER($G207),$G207&lt;=IF($S207=MesCiclo,InicioCiclo,$S207+MOD(2-WEEKDAY($S207),7))+20),1,MIN(1,MAX(0,IF(ISNUMBER(OFFSET($A$1,ROW()-1,10)),OFFSET($A$1,ROW()-1,10),IF(ISNUMBER(OFFSET($A$1,ROW()-1,9)),OFFSET($A$1,ROW()-1,9),IF(ISNUMBER(OFFSET($A$1,ROW()-1,8)),OFFSET($A$1,ROW()-1,8),0)))))))</f>
        <v/>
      </c>
      <c r="AG207" s="62">
        <f>IF($V207&lt;&gt;"Sub","",N($X207)*IF(AND(ISNUMBER($G207),$G207&lt;=IF($S207=MesCiclo,InicioCiclo,$S207+MOD(2-WEEKDAY($S207),7))+27),1,MIN(1,MAX(0,IF(ISNUMBER(OFFSET($A$1,ROW()-1,11)),OFFSET($A$1,ROW()-1,11),IF(ISNUMBER(OFFSET($A$1,ROW()-1,10)),OFFSET($A$1,ROW()-1,10),IF(ISNUMBER(OFFSET($A$1,ROW()-1,9)),OFFSET($A$1,ROW()-1,9),IF(ISNUMBER(OFFSET($A$1,ROW()-1,8)),OFFSET($A$1,ROW()-1,8),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",IFERROR(MATCH("Riesgo Normativo|"&amp;MID($C207,12,500),rDname_ADM,0),0),"")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IF(N($W208)=0,"",IF(AND($S208=MesCiclo,1&gt;SemanaActual),"",MIN(1,SUMIFS(OFFSET($A$1,ROW(),29,1000-ROW(),1),OFFSET($A$1,ROW(),20,1000-ROW(),1),ROW(),OFFSET($A$1,ROW(),21,1000-ROW(),1),"Sub"))))</f>
        <v/>
      </c>
      <c r="J208" s="60">
        <f>IF(N($W208)=0,"",IF(AND($S208=MesCiclo,2&gt;SemanaActual),"",MIN(1,SUMIFS(OFFSET($A$1,ROW(),30,1000-ROW(),1),OFFSET($A$1,ROW(),20,1000-ROW(),1),ROW(),OFFSET($A$1,ROW(),21,1000-ROW(),1),"Sub"))))</f>
        <v/>
      </c>
      <c r="K208" s="60">
        <f>IF(N($W208)=0,"",IF(AND($S208=MesCiclo,3&gt;SemanaActual),"",MIN(1,SUMIFS(OFFSET($A$1,ROW(),31,1000-ROW(),1),OFFSET($A$1,ROW(),20,1000-ROW(),1),ROW(),OFFSET($A$1,ROW(),21,1000-ROW(),1),"Sub"))))</f>
        <v/>
      </c>
      <c r="L208" s="60">
        <f>IF(N($W208)=0,"",IF(AND($S208=MesCiclo,4&gt;SemanaActual),"",MIN(1,SUMIFS(OFFSET($A$1,ROW(),32,1000-ROW(),1),OFFSET($A$1,ROW(),20,1000-ROW(),1),ROW(),OFFSET($A$1,ROW(),21,1000-ROW(),1),"Sub"))))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IF($V208&lt;&gt;"Sub","",N($X208)*IF(AND(ISNUMBER($G208),$G208&lt;=IF($S208=MesCiclo,InicioCiclo,$S208+MOD(2-WEEKDAY($S208),7))+6),1,MIN(1,MAX(0,IF(ISNUMBER(OFFSET($A$1,ROW()-1,8)),OFFSET($A$1,ROW()-1,8),0)))))</f>
        <v/>
      </c>
      <c r="AE208" s="62">
        <f>IF($V208&lt;&gt;"Sub","",N($X208)*IF(AND(ISNUMBER($G208),$G208&lt;=IF($S208=MesCiclo,InicioCiclo,$S208+MOD(2-WEEKDAY($S208),7))+13),1,MIN(1,MAX(0,IF(ISNUMBER(OFFSET($A$1,ROW()-1,9)),OFFSET($A$1,ROW()-1,9),IF(ISNUMBER(OFFSET($A$1,ROW()-1,8)),OFFSET($A$1,ROW()-1,8),0))))))</f>
        <v/>
      </c>
      <c r="AF208" s="62">
        <f>IF($V208&lt;&gt;"Sub","",N($X208)*IF(AND(ISNUMBER($G208),$G208&lt;=IF($S208=MesCiclo,InicioCiclo,$S208+MOD(2-WEEKDAY($S208),7))+20),1,MIN(1,MAX(0,IF(ISNUMBER(OFFSET($A$1,ROW()-1,10)),OFFSET($A$1,ROW()-1,10),IF(ISNUMBER(OFFSET($A$1,ROW()-1,9)),OFFSET($A$1,ROW()-1,9),IF(ISNUMBER(OFFSET($A$1,ROW()-1,8)),OFFSET($A$1,ROW()-1,8),0)))))))</f>
        <v/>
      </c>
      <c r="AG208" s="62">
        <f>IF($V208&lt;&gt;"Sub","",N($X208)*IF(AND(ISNUMBER($G208),$G208&lt;=IF($S208=MesCiclo,InicioCiclo,$S208+MOD(2-WEEKDAY($S208),7))+27),1,MIN(1,MAX(0,IF(ISNUMBER(OFFSET($A$1,ROW()-1,11)),OFFSET($A$1,ROW()-1,11),IF(ISNUMBER(OFFSET($A$1,ROW()-1,10)),OFFSET($A$1,ROW()-1,10),IF(ISNUMBER(OFFSET($A$1,ROW()-1,9)),OFFSET($A$1,ROW()-1,9),IF(ISNUMBER(OFFSET($A$1,ROW()-1,8)),OFFSET($A$1,ROW()-1,8),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",IFERROR(MATCH("Riesgo Normativo|"&amp;MID($C208,12,500),rDname_ADM,0),0),"")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IF(N($W209)=0,"",IF(AND($S209=MesCiclo,1&gt;SemanaActual),"",MIN(1,SUMIFS(OFFSET($A$1,ROW(),29,1000-ROW(),1),OFFSET($A$1,ROW(),20,1000-ROW(),1),ROW(),OFFSET($A$1,ROW(),21,1000-ROW(),1),"Sub"))))</f>
        <v/>
      </c>
      <c r="J209" s="60">
        <f>IF(N($W209)=0,"",IF(AND($S209=MesCiclo,2&gt;SemanaActual),"",MIN(1,SUMIFS(OFFSET($A$1,ROW(),30,1000-ROW(),1),OFFSET($A$1,ROW(),20,1000-ROW(),1),ROW(),OFFSET($A$1,ROW(),21,1000-ROW(),1),"Sub"))))</f>
        <v/>
      </c>
      <c r="K209" s="60">
        <f>IF(N($W209)=0,"",IF(AND($S209=MesCiclo,3&gt;SemanaActual),"",MIN(1,SUMIFS(OFFSET($A$1,ROW(),31,1000-ROW(),1),OFFSET($A$1,ROW(),20,1000-ROW(),1),ROW(),OFFSET($A$1,ROW(),21,1000-ROW(),1),"Sub"))))</f>
        <v/>
      </c>
      <c r="L209" s="60">
        <f>IF(N($W209)=0,"",IF(AND($S209=MesCiclo,4&gt;SemanaActual),"",MIN(1,SUMIFS(OFFSET($A$1,ROW(),32,1000-ROW(),1),OFFSET($A$1,ROW(),20,1000-ROW(),1),ROW(),OFFSET($A$1,ROW(),21,1000-ROW(),1),"Sub"))))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IF($V209&lt;&gt;"Sub","",N($X209)*IF(AND(ISNUMBER($G209),$G209&lt;=IF($S209=MesCiclo,InicioCiclo,$S209+MOD(2-WEEKDAY($S209),7))+6),1,MIN(1,MAX(0,IF(ISNUMBER(OFFSET($A$1,ROW()-1,8)),OFFSET($A$1,ROW()-1,8),0)))))</f>
        <v/>
      </c>
      <c r="AE209" s="62">
        <f>IF($V209&lt;&gt;"Sub","",N($X209)*IF(AND(ISNUMBER($G209),$G209&lt;=IF($S209=MesCiclo,InicioCiclo,$S209+MOD(2-WEEKDAY($S209),7))+13),1,MIN(1,MAX(0,IF(ISNUMBER(OFFSET($A$1,ROW()-1,9)),OFFSET($A$1,ROW()-1,9),IF(ISNUMBER(OFFSET($A$1,ROW()-1,8)),OFFSET($A$1,ROW()-1,8),0))))))</f>
        <v/>
      </c>
      <c r="AF209" s="62">
        <f>IF($V209&lt;&gt;"Sub","",N($X209)*IF(AND(ISNUMBER($G209),$G209&lt;=IF($S209=MesCiclo,InicioCiclo,$S209+MOD(2-WEEKDAY($S209),7))+20),1,MIN(1,MAX(0,IF(ISNUMBER(OFFSET($A$1,ROW()-1,10)),OFFSET($A$1,ROW()-1,10),IF(ISNUMBER(OFFSET($A$1,ROW()-1,9)),OFFSET($A$1,ROW()-1,9),IF(ISNUMBER(OFFSET($A$1,ROW()-1,8)),OFFSET($A$1,ROW()-1,8),0)))))))</f>
        <v/>
      </c>
      <c r="AG209" s="62">
        <f>IF($V209&lt;&gt;"Sub","",N($X209)*IF(AND(ISNUMBER($G209),$G209&lt;=IF($S209=MesCiclo,InicioCiclo,$S209+MOD(2-WEEKDAY($S209),7))+27),1,MIN(1,MAX(0,IF(ISNUMBER(OFFSET($A$1,ROW()-1,11)),OFFSET($A$1,ROW()-1,11),IF(ISNUMBER(OFFSET($A$1,ROW()-1,10)),OFFSET($A$1,ROW()-1,10),IF(ISNUMBER(OFFSET($A$1,ROW()-1,9)),OFFSET($A$1,ROW()-1,9),IF(ISNUMBER(OFFSET($A$1,ROW()-1,8)),OFFSET($A$1,ROW()-1,8),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",IFERROR(MATCH("Riesgo Normativo|"&amp;MID($C209,12,500),rDname_ADM,0),0),"")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IF(N($W210)=0,"",IF(AND($S210=MesCiclo,1&gt;SemanaActual),"",MIN(1,SUMIFS(OFFSET($A$1,ROW(),29,1000-ROW(),1),OFFSET($A$1,ROW(),20,1000-ROW(),1),ROW(),OFFSET($A$1,ROW(),21,1000-ROW(),1),"Sub"))))</f>
        <v/>
      </c>
      <c r="J210" s="60">
        <f>IF(N($W210)=0,"",IF(AND($S210=MesCiclo,2&gt;SemanaActual),"",MIN(1,SUMIFS(OFFSET($A$1,ROW(),30,1000-ROW(),1),OFFSET($A$1,ROW(),20,1000-ROW(),1),ROW(),OFFSET($A$1,ROW(),21,1000-ROW(),1),"Sub"))))</f>
        <v/>
      </c>
      <c r="K210" s="60">
        <f>IF(N($W210)=0,"",IF(AND($S210=MesCiclo,3&gt;SemanaActual),"",MIN(1,SUMIFS(OFFSET($A$1,ROW(),31,1000-ROW(),1),OFFSET($A$1,ROW(),20,1000-ROW(),1),ROW(),OFFSET($A$1,ROW(),21,1000-ROW(),1),"Sub"))))</f>
        <v/>
      </c>
      <c r="L210" s="60">
        <f>IF(N($W210)=0,"",IF(AND($S210=MesCiclo,4&gt;SemanaActual),"",MIN(1,SUMIFS(OFFSET($A$1,ROW(),32,1000-ROW(),1),OFFSET($A$1,ROW(),20,1000-ROW(),1),ROW(),OFFSET($A$1,ROW(),21,1000-ROW(),1),"Sub"))))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IF($V210&lt;&gt;"Sub","",N($X210)*IF(AND(ISNUMBER($G210),$G210&lt;=IF($S210=MesCiclo,InicioCiclo,$S210+MOD(2-WEEKDAY($S210),7))+6),1,MIN(1,MAX(0,IF(ISNUMBER(OFFSET($A$1,ROW()-1,8)),OFFSET($A$1,ROW()-1,8),0)))))</f>
        <v/>
      </c>
      <c r="AE210" s="62">
        <f>IF($V210&lt;&gt;"Sub","",N($X210)*IF(AND(ISNUMBER($G210),$G210&lt;=IF($S210=MesCiclo,InicioCiclo,$S210+MOD(2-WEEKDAY($S210),7))+13),1,MIN(1,MAX(0,IF(ISNUMBER(OFFSET($A$1,ROW()-1,9)),OFFSET($A$1,ROW()-1,9),IF(ISNUMBER(OFFSET($A$1,ROW()-1,8)),OFFSET($A$1,ROW()-1,8),0))))))</f>
        <v/>
      </c>
      <c r="AF210" s="62">
        <f>IF($V210&lt;&gt;"Sub","",N($X210)*IF(AND(ISNUMBER($G210),$G210&lt;=IF($S210=MesCiclo,InicioCiclo,$S210+MOD(2-WEEKDAY($S210),7))+20),1,MIN(1,MAX(0,IF(ISNUMBER(OFFSET($A$1,ROW()-1,10)),OFFSET($A$1,ROW()-1,10),IF(ISNUMBER(OFFSET($A$1,ROW()-1,9)),OFFSET($A$1,ROW()-1,9),IF(ISNUMBER(OFFSET($A$1,ROW()-1,8)),OFFSET($A$1,ROW()-1,8),0)))))))</f>
        <v/>
      </c>
      <c r="AG210" s="62">
        <f>IF($V210&lt;&gt;"Sub","",N($X210)*IF(AND(ISNUMBER($G210),$G210&lt;=IF($S210=MesCiclo,InicioCiclo,$S210+MOD(2-WEEKDAY($S210),7))+27),1,MIN(1,MAX(0,IF(ISNUMBER(OFFSET($A$1,ROW()-1,11)),OFFSET($A$1,ROW()-1,11),IF(ISNUMBER(OFFSET($A$1,ROW()-1,10)),OFFSET($A$1,ROW()-1,10),IF(ISNUMBER(OFFSET($A$1,ROW()-1,9)),OFFSET($A$1,ROW()-1,9),IF(ISNUMBER(OFFSET($A$1,ROW()-1,8)),OFFSET($A$1,ROW()-1,8),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",IFERROR(MATCH("Riesgo Normativo|"&amp;MID($C210,12,500),rDname_ADM,0),0),"")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IF(N($W211)=0,"",IF(AND($S211=MesCiclo,1&gt;SemanaActual),"",MIN(1,SUMIFS(OFFSET($A$1,ROW(),29,1000-ROW(),1),OFFSET($A$1,ROW(),20,1000-ROW(),1),ROW(),OFFSET($A$1,ROW(),21,1000-ROW(),1),"Sub"))))</f>
        <v/>
      </c>
      <c r="J211" s="60">
        <f>IF(N($W211)=0,"",IF(AND($S211=MesCiclo,2&gt;SemanaActual),"",MIN(1,SUMIFS(OFFSET($A$1,ROW(),30,1000-ROW(),1),OFFSET($A$1,ROW(),20,1000-ROW(),1),ROW(),OFFSET($A$1,ROW(),21,1000-ROW(),1),"Sub"))))</f>
        <v/>
      </c>
      <c r="K211" s="60">
        <f>IF(N($W211)=0,"",IF(AND($S211=MesCiclo,3&gt;SemanaActual),"",MIN(1,SUMIFS(OFFSET($A$1,ROW(),31,1000-ROW(),1),OFFSET($A$1,ROW(),20,1000-ROW(),1),ROW(),OFFSET($A$1,ROW(),21,1000-ROW(),1),"Sub"))))</f>
        <v/>
      </c>
      <c r="L211" s="60">
        <f>IF(N($W211)=0,"",IF(AND($S211=MesCiclo,4&gt;SemanaActual),"",MIN(1,SUMIFS(OFFSET($A$1,ROW(),32,1000-ROW(),1),OFFSET($A$1,ROW(),20,1000-ROW(),1),ROW(),OFFSET($A$1,ROW(),21,1000-ROW(),1),"Sub"))))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IF($V211&lt;&gt;"Sub","",N($X211)*IF(AND(ISNUMBER($G211),$G211&lt;=IF($S211=MesCiclo,InicioCiclo,$S211+MOD(2-WEEKDAY($S211),7))+6),1,MIN(1,MAX(0,IF(ISNUMBER(OFFSET($A$1,ROW()-1,8)),OFFSET($A$1,ROW()-1,8),0)))))</f>
        <v/>
      </c>
      <c r="AE211" s="62">
        <f>IF($V211&lt;&gt;"Sub","",N($X211)*IF(AND(ISNUMBER($G211),$G211&lt;=IF($S211=MesCiclo,InicioCiclo,$S211+MOD(2-WEEKDAY($S211),7))+13),1,MIN(1,MAX(0,IF(ISNUMBER(OFFSET($A$1,ROW()-1,9)),OFFSET($A$1,ROW()-1,9),IF(ISNUMBER(OFFSET($A$1,ROW()-1,8)),OFFSET($A$1,ROW()-1,8),0))))))</f>
        <v/>
      </c>
      <c r="AF211" s="62">
        <f>IF($V211&lt;&gt;"Sub","",N($X211)*IF(AND(ISNUMBER($G211),$G211&lt;=IF($S211=MesCiclo,InicioCiclo,$S211+MOD(2-WEEKDAY($S211),7))+20),1,MIN(1,MAX(0,IF(ISNUMBER(OFFSET($A$1,ROW()-1,10)),OFFSET($A$1,ROW()-1,10),IF(ISNUMBER(OFFSET($A$1,ROW()-1,9)),OFFSET($A$1,ROW()-1,9),IF(ISNUMBER(OFFSET($A$1,ROW()-1,8)),OFFSET($A$1,ROW()-1,8),0)))))))</f>
        <v/>
      </c>
      <c r="AG211" s="62">
        <f>IF($V211&lt;&gt;"Sub","",N($X211)*IF(AND(ISNUMBER($G211),$G211&lt;=IF($S211=MesCiclo,InicioCiclo,$S211+MOD(2-WEEKDAY($S211),7))+27),1,MIN(1,MAX(0,IF(ISNUMBER(OFFSET($A$1,ROW()-1,11)),OFFSET($A$1,ROW()-1,11),IF(ISNUMBER(OFFSET($A$1,ROW()-1,10)),OFFSET($A$1,ROW()-1,10),IF(ISNUMBER(OFFSET($A$1,ROW()-1,9)),OFFSET($A$1,ROW()-1,9),IF(ISNUMBER(OFFSET($A$1,ROW()-1,8)),OFFSET($A$1,ROW()-1,8),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",IFERROR(MATCH("Riesgo Normativo|"&amp;MID($C211,12,500),rDname_ADM,0),0),"")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IF(N($W212)=0,"",IF(AND($S212=MesCiclo,1&gt;SemanaActual),"",MIN(1,SUMIFS(OFFSET($A$1,ROW(),29,1000-ROW(),1),OFFSET($A$1,ROW(),20,1000-ROW(),1),ROW(),OFFSET($A$1,ROW(),21,1000-ROW(),1),"Sub"))))</f>
        <v/>
      </c>
      <c r="J212" s="60">
        <f>IF(N($W212)=0,"",IF(AND($S212=MesCiclo,2&gt;SemanaActual),"",MIN(1,SUMIFS(OFFSET($A$1,ROW(),30,1000-ROW(),1),OFFSET($A$1,ROW(),20,1000-ROW(),1),ROW(),OFFSET($A$1,ROW(),21,1000-ROW(),1),"Sub"))))</f>
        <v/>
      </c>
      <c r="K212" s="60">
        <f>IF(N($W212)=0,"",IF(AND($S212=MesCiclo,3&gt;SemanaActual),"",MIN(1,SUMIFS(OFFSET($A$1,ROW(),31,1000-ROW(),1),OFFSET($A$1,ROW(),20,1000-ROW(),1),ROW(),OFFSET($A$1,ROW(),21,1000-ROW(),1),"Sub"))))</f>
        <v/>
      </c>
      <c r="L212" s="60">
        <f>IF(N($W212)=0,"",IF(AND($S212=MesCiclo,4&gt;SemanaActual),"",MIN(1,SUMIFS(OFFSET($A$1,ROW(),32,1000-ROW(),1),OFFSET($A$1,ROW(),20,1000-ROW(),1),ROW(),OFFSET($A$1,ROW(),21,1000-ROW(),1),"Sub"))))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IF($V212&lt;&gt;"Sub","",N($X212)*IF(AND(ISNUMBER($G212),$G212&lt;=IF($S212=MesCiclo,InicioCiclo,$S212+MOD(2-WEEKDAY($S212),7))+6),1,MIN(1,MAX(0,IF(ISNUMBER(OFFSET($A$1,ROW()-1,8)),OFFSET($A$1,ROW()-1,8),0)))))</f>
        <v/>
      </c>
      <c r="AE212" s="62">
        <f>IF($V212&lt;&gt;"Sub","",N($X212)*IF(AND(ISNUMBER($G212),$G212&lt;=IF($S212=MesCiclo,InicioCiclo,$S212+MOD(2-WEEKDAY($S212),7))+13),1,MIN(1,MAX(0,IF(ISNUMBER(OFFSET($A$1,ROW()-1,9)),OFFSET($A$1,ROW()-1,9),IF(ISNUMBER(OFFSET($A$1,ROW()-1,8)),OFFSET($A$1,ROW()-1,8),0))))))</f>
        <v/>
      </c>
      <c r="AF212" s="62">
        <f>IF($V212&lt;&gt;"Sub","",N($X212)*IF(AND(ISNUMBER($G212),$G212&lt;=IF($S212=MesCiclo,InicioCiclo,$S212+MOD(2-WEEKDAY($S212),7))+20),1,MIN(1,MAX(0,IF(ISNUMBER(OFFSET($A$1,ROW()-1,10)),OFFSET($A$1,ROW()-1,10),IF(ISNUMBER(OFFSET($A$1,ROW()-1,9)),OFFSET($A$1,ROW()-1,9),IF(ISNUMBER(OFFSET($A$1,ROW()-1,8)),OFFSET($A$1,ROW()-1,8),0)))))))</f>
        <v/>
      </c>
      <c r="AG212" s="62">
        <f>IF($V212&lt;&gt;"Sub","",N($X212)*IF(AND(ISNUMBER($G212),$G212&lt;=IF($S212=MesCiclo,InicioCiclo,$S212+MOD(2-WEEKDAY($S212),7))+27),1,MIN(1,MAX(0,IF(ISNUMBER(OFFSET($A$1,ROW()-1,11)),OFFSET($A$1,ROW()-1,11),IF(ISNUMBER(OFFSET($A$1,ROW()-1,10)),OFFSET($A$1,ROW()-1,10),IF(ISNUMBER(OFFSET($A$1,ROW()-1,9)),OFFSET($A$1,ROW()-1,9),IF(ISNUMBER(OFFSET($A$1,ROW()-1,8)),OFFSET($A$1,ROW()-1,8),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",IFERROR(MATCH("Riesgo Normativo|"&amp;MID($C212,12,500),rDname_ADM,0),0),"")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IF(N($W213)=0,"",IF(AND($S213=MesCiclo,1&gt;SemanaActual),"",MIN(1,SUMIFS(OFFSET($A$1,ROW(),29,1000-ROW(),1),OFFSET($A$1,ROW(),20,1000-ROW(),1),ROW(),OFFSET($A$1,ROW(),21,1000-ROW(),1),"Sub"))))</f>
        <v/>
      </c>
      <c r="J213" s="60">
        <f>IF(N($W213)=0,"",IF(AND($S213=MesCiclo,2&gt;SemanaActual),"",MIN(1,SUMIFS(OFFSET($A$1,ROW(),30,1000-ROW(),1),OFFSET($A$1,ROW(),20,1000-ROW(),1),ROW(),OFFSET($A$1,ROW(),21,1000-ROW(),1),"Sub"))))</f>
        <v/>
      </c>
      <c r="K213" s="60">
        <f>IF(N($W213)=0,"",IF(AND($S213=MesCiclo,3&gt;SemanaActual),"",MIN(1,SUMIFS(OFFSET($A$1,ROW(),31,1000-ROW(),1),OFFSET($A$1,ROW(),20,1000-ROW(),1),ROW(),OFFSET($A$1,ROW(),21,1000-ROW(),1),"Sub"))))</f>
        <v/>
      </c>
      <c r="L213" s="60">
        <f>IF(N($W213)=0,"",IF(AND($S213=MesCiclo,4&gt;SemanaActual),"",MIN(1,SUMIFS(OFFSET($A$1,ROW(),32,1000-ROW(),1),OFFSET($A$1,ROW(),20,1000-ROW(),1),ROW(),OFFSET($A$1,ROW(),21,1000-ROW(),1),"Sub"))))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IF($V213&lt;&gt;"Sub","",N($X213)*IF(AND(ISNUMBER($G213),$G213&lt;=IF($S213=MesCiclo,InicioCiclo,$S213+MOD(2-WEEKDAY($S213),7))+6),1,MIN(1,MAX(0,IF(ISNUMBER(OFFSET($A$1,ROW()-1,8)),OFFSET($A$1,ROW()-1,8),0)))))</f>
        <v/>
      </c>
      <c r="AE213" s="62">
        <f>IF($V213&lt;&gt;"Sub","",N($X213)*IF(AND(ISNUMBER($G213),$G213&lt;=IF($S213=MesCiclo,InicioCiclo,$S213+MOD(2-WEEKDAY($S213),7))+13),1,MIN(1,MAX(0,IF(ISNUMBER(OFFSET($A$1,ROW()-1,9)),OFFSET($A$1,ROW()-1,9),IF(ISNUMBER(OFFSET($A$1,ROW()-1,8)),OFFSET($A$1,ROW()-1,8),0))))))</f>
        <v/>
      </c>
      <c r="AF213" s="62">
        <f>IF($V213&lt;&gt;"Sub","",N($X213)*IF(AND(ISNUMBER($G213),$G213&lt;=IF($S213=MesCiclo,InicioCiclo,$S213+MOD(2-WEEKDAY($S213),7))+20),1,MIN(1,MAX(0,IF(ISNUMBER(OFFSET($A$1,ROW()-1,10)),OFFSET($A$1,ROW()-1,10),IF(ISNUMBER(OFFSET($A$1,ROW()-1,9)),OFFSET($A$1,ROW()-1,9),IF(ISNUMBER(OFFSET($A$1,ROW()-1,8)),OFFSET($A$1,ROW()-1,8),0)))))))</f>
        <v/>
      </c>
      <c r="AG213" s="62">
        <f>IF($V213&lt;&gt;"Sub","",N($X213)*IF(AND(ISNUMBER($G213),$G213&lt;=IF($S213=MesCiclo,InicioCiclo,$S213+MOD(2-WEEKDAY($S213),7))+27),1,MIN(1,MAX(0,IF(ISNUMBER(OFFSET($A$1,ROW()-1,11)),OFFSET($A$1,ROW()-1,11),IF(ISNUMBER(OFFSET($A$1,ROW()-1,10)),OFFSET($A$1,ROW()-1,10),IF(ISNUMBER(OFFSET($A$1,ROW()-1,9)),OFFSET($A$1,ROW()-1,9),IF(ISNUMBER(OFFSET($A$1,ROW()-1,8)),OFFSET($A$1,ROW()-1,8),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",IFERROR(MATCH("Riesgo Normativo|"&amp;MID($C213,12,500),rDname_ADM,0),0),"")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IF(N($W214)=0,"",IF(AND($S214=MesCiclo,1&gt;SemanaActual),"",MIN(1,SUMIFS(OFFSET($A$1,ROW(),29,1000-ROW(),1),OFFSET($A$1,ROW(),20,1000-ROW(),1),ROW(),OFFSET($A$1,ROW(),21,1000-ROW(),1),"Sub"))))</f>
        <v/>
      </c>
      <c r="J214" s="60">
        <f>IF(N($W214)=0,"",IF(AND($S214=MesCiclo,2&gt;SemanaActual),"",MIN(1,SUMIFS(OFFSET($A$1,ROW(),30,1000-ROW(),1),OFFSET($A$1,ROW(),20,1000-ROW(),1),ROW(),OFFSET($A$1,ROW(),21,1000-ROW(),1),"Sub"))))</f>
        <v/>
      </c>
      <c r="K214" s="60">
        <f>IF(N($W214)=0,"",IF(AND($S214=MesCiclo,3&gt;SemanaActual),"",MIN(1,SUMIFS(OFFSET($A$1,ROW(),31,1000-ROW(),1),OFFSET($A$1,ROW(),20,1000-ROW(),1),ROW(),OFFSET($A$1,ROW(),21,1000-ROW(),1),"Sub"))))</f>
        <v/>
      </c>
      <c r="L214" s="60">
        <f>IF(N($W214)=0,"",IF(AND($S214=MesCiclo,4&gt;SemanaActual),"",MIN(1,SUMIFS(OFFSET($A$1,ROW(),32,1000-ROW(),1),OFFSET($A$1,ROW(),20,1000-ROW(),1),ROW(),OFFSET($A$1,ROW(),21,1000-ROW(),1),"Sub"))))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IF($V214&lt;&gt;"Sub","",N($X214)*IF(AND(ISNUMBER($G214),$G214&lt;=IF($S214=MesCiclo,InicioCiclo,$S214+MOD(2-WEEKDAY($S214),7))+6),1,MIN(1,MAX(0,IF(ISNUMBER(OFFSET($A$1,ROW()-1,8)),OFFSET($A$1,ROW()-1,8),0)))))</f>
        <v/>
      </c>
      <c r="AE214" s="62">
        <f>IF($V214&lt;&gt;"Sub","",N($X214)*IF(AND(ISNUMBER($G214),$G214&lt;=IF($S214=MesCiclo,InicioCiclo,$S214+MOD(2-WEEKDAY($S214),7))+13),1,MIN(1,MAX(0,IF(ISNUMBER(OFFSET($A$1,ROW()-1,9)),OFFSET($A$1,ROW()-1,9),IF(ISNUMBER(OFFSET($A$1,ROW()-1,8)),OFFSET($A$1,ROW()-1,8),0))))))</f>
        <v/>
      </c>
      <c r="AF214" s="62">
        <f>IF($V214&lt;&gt;"Sub","",N($X214)*IF(AND(ISNUMBER($G214),$G214&lt;=IF($S214=MesCiclo,InicioCiclo,$S214+MOD(2-WEEKDAY($S214),7))+20),1,MIN(1,MAX(0,IF(ISNUMBER(OFFSET($A$1,ROW()-1,10)),OFFSET($A$1,ROW()-1,10),IF(ISNUMBER(OFFSET($A$1,ROW()-1,9)),OFFSET($A$1,ROW()-1,9),IF(ISNUMBER(OFFSET($A$1,ROW()-1,8)),OFFSET($A$1,ROW()-1,8),0)))))))</f>
        <v/>
      </c>
      <c r="AG214" s="62">
        <f>IF($V214&lt;&gt;"Sub","",N($X214)*IF(AND(ISNUMBER($G214),$G214&lt;=IF($S214=MesCiclo,InicioCiclo,$S214+MOD(2-WEEKDAY($S214),7))+27),1,MIN(1,MAX(0,IF(ISNUMBER(OFFSET($A$1,ROW()-1,11)),OFFSET($A$1,ROW()-1,11),IF(ISNUMBER(OFFSET($A$1,ROW()-1,10)),OFFSET($A$1,ROW()-1,10),IF(ISNUMBER(OFFSET($A$1,ROW()-1,9)),OFFSET($A$1,ROW()-1,9),IF(ISNUMBER(OFFSET($A$1,ROW()-1,8)),OFFSET($A$1,ROW()-1,8),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",IFERROR(MATCH("Riesgo Normativo|"&amp;MID($C214,12,500),rDname_ADM,0),0),"")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IF(N($W215)=0,"",IF(AND($S215=MesCiclo,1&gt;SemanaActual),"",MIN(1,SUMIFS(OFFSET($A$1,ROW(),29,1000-ROW(),1),OFFSET($A$1,ROW(),20,1000-ROW(),1),ROW(),OFFSET($A$1,ROW(),21,1000-ROW(),1),"Sub"))))</f>
        <v/>
      </c>
      <c r="J215" s="60">
        <f>IF(N($W215)=0,"",IF(AND($S215=MesCiclo,2&gt;SemanaActual),"",MIN(1,SUMIFS(OFFSET($A$1,ROW(),30,1000-ROW(),1),OFFSET($A$1,ROW(),20,1000-ROW(),1),ROW(),OFFSET($A$1,ROW(),21,1000-ROW(),1),"Sub"))))</f>
        <v/>
      </c>
      <c r="K215" s="60">
        <f>IF(N($W215)=0,"",IF(AND($S215=MesCiclo,3&gt;SemanaActual),"",MIN(1,SUMIFS(OFFSET($A$1,ROW(),31,1000-ROW(),1),OFFSET($A$1,ROW(),20,1000-ROW(),1),ROW(),OFFSET($A$1,ROW(),21,1000-ROW(),1),"Sub"))))</f>
        <v/>
      </c>
      <c r="L215" s="60">
        <f>IF(N($W215)=0,"",IF(AND($S215=MesCiclo,4&gt;SemanaActual),"",MIN(1,SUMIFS(OFFSET($A$1,ROW(),32,1000-ROW(),1),OFFSET($A$1,ROW(),20,1000-ROW(),1),ROW(),OFFSET($A$1,ROW(),21,1000-ROW(),1),"Sub"))))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IF($V215&lt;&gt;"Sub","",N($X215)*IF(AND(ISNUMBER($G215),$G215&lt;=IF($S215=MesCiclo,InicioCiclo,$S215+MOD(2-WEEKDAY($S215),7))+6),1,MIN(1,MAX(0,IF(ISNUMBER(OFFSET($A$1,ROW()-1,8)),OFFSET($A$1,ROW()-1,8),0)))))</f>
        <v/>
      </c>
      <c r="AE215" s="62">
        <f>IF($V215&lt;&gt;"Sub","",N($X215)*IF(AND(ISNUMBER($G215),$G215&lt;=IF($S215=MesCiclo,InicioCiclo,$S215+MOD(2-WEEKDAY($S215),7))+13),1,MIN(1,MAX(0,IF(ISNUMBER(OFFSET($A$1,ROW()-1,9)),OFFSET($A$1,ROW()-1,9),IF(ISNUMBER(OFFSET($A$1,ROW()-1,8)),OFFSET($A$1,ROW()-1,8),0))))))</f>
        <v/>
      </c>
      <c r="AF215" s="62">
        <f>IF($V215&lt;&gt;"Sub","",N($X215)*IF(AND(ISNUMBER($G215),$G215&lt;=IF($S215=MesCiclo,InicioCiclo,$S215+MOD(2-WEEKDAY($S215),7))+20),1,MIN(1,MAX(0,IF(ISNUMBER(OFFSET($A$1,ROW()-1,10)),OFFSET($A$1,ROW()-1,10),IF(ISNUMBER(OFFSET($A$1,ROW()-1,9)),OFFSET($A$1,ROW()-1,9),IF(ISNUMBER(OFFSET($A$1,ROW()-1,8)),OFFSET($A$1,ROW()-1,8),0)))))))</f>
        <v/>
      </c>
      <c r="AG215" s="62">
        <f>IF($V215&lt;&gt;"Sub","",N($X215)*IF(AND(ISNUMBER($G215),$G215&lt;=IF($S215=MesCiclo,InicioCiclo,$S215+MOD(2-WEEKDAY($S215),7))+27),1,MIN(1,MAX(0,IF(ISNUMBER(OFFSET($A$1,ROW()-1,11)),OFFSET($A$1,ROW()-1,11),IF(ISNUMBER(OFFSET($A$1,ROW()-1,10)),OFFSET($A$1,ROW()-1,10),IF(ISNUMBER(OFFSET($A$1,ROW()-1,9)),OFFSET($A$1,ROW()-1,9),IF(ISNUMBER(OFFSET($A$1,ROW()-1,8)),OFFSET($A$1,ROW()-1,8),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",IFERROR(MATCH("Riesgo Normativo|"&amp;MID($C215,12,500),rDname_ADM,0),0),"")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IF(N($W216)=0,"",IF(AND($S216=MesCiclo,1&gt;SemanaActual),"",MIN(1,SUMIFS(OFFSET($A$1,ROW(),29,1000-ROW(),1),OFFSET($A$1,ROW(),20,1000-ROW(),1),ROW(),OFFSET($A$1,ROW(),21,1000-ROW(),1),"Sub"))))</f>
        <v/>
      </c>
      <c r="J216" s="60">
        <f>IF(N($W216)=0,"",IF(AND($S216=MesCiclo,2&gt;SemanaActual),"",MIN(1,SUMIFS(OFFSET($A$1,ROW(),30,1000-ROW(),1),OFFSET($A$1,ROW(),20,1000-ROW(),1),ROW(),OFFSET($A$1,ROW(),21,1000-ROW(),1),"Sub"))))</f>
        <v/>
      </c>
      <c r="K216" s="60">
        <f>IF(N($W216)=0,"",IF(AND($S216=MesCiclo,3&gt;SemanaActual),"",MIN(1,SUMIFS(OFFSET($A$1,ROW(),31,1000-ROW(),1),OFFSET($A$1,ROW(),20,1000-ROW(),1),ROW(),OFFSET($A$1,ROW(),21,1000-ROW(),1),"Sub"))))</f>
        <v/>
      </c>
      <c r="L216" s="60">
        <f>IF(N($W216)=0,"",IF(AND($S216=MesCiclo,4&gt;SemanaActual),"",MIN(1,SUMIFS(OFFSET($A$1,ROW(),32,1000-ROW(),1),OFFSET($A$1,ROW(),20,1000-ROW(),1),ROW(),OFFSET($A$1,ROW(),21,1000-ROW(),1),"Sub"))))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IF($V216&lt;&gt;"Sub","",N($X216)*IF(AND(ISNUMBER($G216),$G216&lt;=IF($S216=MesCiclo,InicioCiclo,$S216+MOD(2-WEEKDAY($S216),7))+6),1,MIN(1,MAX(0,IF(ISNUMBER(OFFSET($A$1,ROW()-1,8)),OFFSET($A$1,ROW()-1,8),0)))))</f>
        <v/>
      </c>
      <c r="AE216" s="62">
        <f>IF($V216&lt;&gt;"Sub","",N($X216)*IF(AND(ISNUMBER($G216),$G216&lt;=IF($S216=MesCiclo,InicioCiclo,$S216+MOD(2-WEEKDAY($S216),7))+13),1,MIN(1,MAX(0,IF(ISNUMBER(OFFSET($A$1,ROW()-1,9)),OFFSET($A$1,ROW()-1,9),IF(ISNUMBER(OFFSET($A$1,ROW()-1,8)),OFFSET($A$1,ROW()-1,8),0))))))</f>
        <v/>
      </c>
      <c r="AF216" s="62">
        <f>IF($V216&lt;&gt;"Sub","",N($X216)*IF(AND(ISNUMBER($G216),$G216&lt;=IF($S216=MesCiclo,InicioCiclo,$S216+MOD(2-WEEKDAY($S216),7))+20),1,MIN(1,MAX(0,IF(ISNUMBER(OFFSET($A$1,ROW()-1,10)),OFFSET($A$1,ROW()-1,10),IF(ISNUMBER(OFFSET($A$1,ROW()-1,9)),OFFSET($A$1,ROW()-1,9),IF(ISNUMBER(OFFSET($A$1,ROW()-1,8)),OFFSET($A$1,ROW()-1,8),0)))))))</f>
        <v/>
      </c>
      <c r="AG216" s="62">
        <f>IF($V216&lt;&gt;"Sub","",N($X216)*IF(AND(ISNUMBER($G216),$G216&lt;=IF($S216=MesCiclo,InicioCiclo,$S216+MOD(2-WEEKDAY($S216),7))+27),1,MIN(1,MAX(0,IF(ISNUMBER(OFFSET($A$1,ROW()-1,11)),OFFSET($A$1,ROW()-1,11),IF(ISNUMBER(OFFSET($A$1,ROW()-1,10)),OFFSET($A$1,ROW()-1,10),IF(ISNUMBER(OFFSET($A$1,ROW()-1,9)),OFFSET($A$1,ROW()-1,9),IF(ISNUMBER(OFFSET($A$1,ROW()-1,8)),OFFSET($A$1,ROW()-1,8),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",IFERROR(MATCH("Riesgo Normativo|"&amp;MID($C216,12,500),rDname_ADM,0),0),"")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IF(N($W217)=0,"",IF(AND($S217=MesCiclo,1&gt;SemanaActual),"",MIN(1,SUMIFS(OFFSET($A$1,ROW(),29,1000-ROW(),1),OFFSET($A$1,ROW(),20,1000-ROW(),1),ROW(),OFFSET($A$1,ROW(),21,1000-ROW(),1),"Sub"))))</f>
        <v/>
      </c>
      <c r="J217" s="60">
        <f>IF(N($W217)=0,"",IF(AND($S217=MesCiclo,2&gt;SemanaActual),"",MIN(1,SUMIFS(OFFSET($A$1,ROW(),30,1000-ROW(),1),OFFSET($A$1,ROW(),20,1000-ROW(),1),ROW(),OFFSET($A$1,ROW(),21,1000-ROW(),1),"Sub"))))</f>
        <v/>
      </c>
      <c r="K217" s="60">
        <f>IF(N($W217)=0,"",IF(AND($S217=MesCiclo,3&gt;SemanaActual),"",MIN(1,SUMIFS(OFFSET($A$1,ROW(),31,1000-ROW(),1),OFFSET($A$1,ROW(),20,1000-ROW(),1),ROW(),OFFSET($A$1,ROW(),21,1000-ROW(),1),"Sub"))))</f>
        <v/>
      </c>
      <c r="L217" s="60">
        <f>IF(N($W217)=0,"",IF(AND($S217=MesCiclo,4&gt;SemanaActual),"",MIN(1,SUMIFS(OFFSET($A$1,ROW(),32,1000-ROW(),1),OFFSET($A$1,ROW(),20,1000-ROW(),1),ROW(),OFFSET($A$1,ROW(),21,1000-ROW(),1),"Sub"))))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IF($V217&lt;&gt;"Sub","",N($X217)*IF(AND(ISNUMBER($G217),$G217&lt;=IF($S217=MesCiclo,InicioCiclo,$S217+MOD(2-WEEKDAY($S217),7))+6),1,MIN(1,MAX(0,IF(ISNUMBER(OFFSET($A$1,ROW()-1,8)),OFFSET($A$1,ROW()-1,8),0)))))</f>
        <v/>
      </c>
      <c r="AE217" s="62">
        <f>IF($V217&lt;&gt;"Sub","",N($X217)*IF(AND(ISNUMBER($G217),$G217&lt;=IF($S217=MesCiclo,InicioCiclo,$S217+MOD(2-WEEKDAY($S217),7))+13),1,MIN(1,MAX(0,IF(ISNUMBER(OFFSET($A$1,ROW()-1,9)),OFFSET($A$1,ROW()-1,9),IF(ISNUMBER(OFFSET($A$1,ROW()-1,8)),OFFSET($A$1,ROW()-1,8),0))))))</f>
        <v/>
      </c>
      <c r="AF217" s="62">
        <f>IF($V217&lt;&gt;"Sub","",N($X217)*IF(AND(ISNUMBER($G217),$G217&lt;=IF($S217=MesCiclo,InicioCiclo,$S217+MOD(2-WEEKDAY($S217),7))+20),1,MIN(1,MAX(0,IF(ISNUMBER(OFFSET($A$1,ROW()-1,10)),OFFSET($A$1,ROW()-1,10),IF(ISNUMBER(OFFSET($A$1,ROW()-1,9)),OFFSET($A$1,ROW()-1,9),IF(ISNUMBER(OFFSET($A$1,ROW()-1,8)),OFFSET($A$1,ROW()-1,8),0)))))))</f>
        <v/>
      </c>
      <c r="AG217" s="62">
        <f>IF($V217&lt;&gt;"Sub","",N($X217)*IF(AND(ISNUMBER($G217),$G217&lt;=IF($S217=MesCiclo,InicioCiclo,$S217+MOD(2-WEEKDAY($S217),7))+27),1,MIN(1,MAX(0,IF(ISNUMBER(OFFSET($A$1,ROW()-1,11)),OFFSET($A$1,ROW()-1,11),IF(ISNUMBER(OFFSET($A$1,ROW()-1,10)),OFFSET($A$1,ROW()-1,10),IF(ISNUMBER(OFFSET($A$1,ROW()-1,9)),OFFSET($A$1,ROW()-1,9),IF(ISNUMBER(OFFSET($A$1,ROW()-1,8)),OFFSET($A$1,ROW()-1,8),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",IFERROR(MATCH("Riesgo Normativo|"&amp;MID($C217,12,500),rDname_ADM,0),0),"")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IF(N($W218)=0,"",IF(AND($S218=MesCiclo,1&gt;SemanaActual),"",MIN(1,SUMIFS(OFFSET($A$1,ROW(),29,1000-ROW(),1),OFFSET($A$1,ROW(),20,1000-ROW(),1),ROW(),OFFSET($A$1,ROW(),21,1000-ROW(),1),"Sub"))))</f>
        <v/>
      </c>
      <c r="J218" s="60">
        <f>IF(N($W218)=0,"",IF(AND($S218=MesCiclo,2&gt;SemanaActual),"",MIN(1,SUMIFS(OFFSET($A$1,ROW(),30,1000-ROW(),1),OFFSET($A$1,ROW(),20,1000-ROW(),1),ROW(),OFFSET($A$1,ROW(),21,1000-ROW(),1),"Sub"))))</f>
        <v/>
      </c>
      <c r="K218" s="60">
        <f>IF(N($W218)=0,"",IF(AND($S218=MesCiclo,3&gt;SemanaActual),"",MIN(1,SUMIFS(OFFSET($A$1,ROW(),31,1000-ROW(),1),OFFSET($A$1,ROW(),20,1000-ROW(),1),ROW(),OFFSET($A$1,ROW(),21,1000-ROW(),1),"Sub"))))</f>
        <v/>
      </c>
      <c r="L218" s="60">
        <f>IF(N($W218)=0,"",IF(AND($S218=MesCiclo,4&gt;SemanaActual),"",MIN(1,SUMIFS(OFFSET($A$1,ROW(),32,1000-ROW(),1),OFFSET($A$1,ROW(),20,1000-ROW(),1),ROW(),OFFSET($A$1,ROW(),21,1000-ROW(),1),"Sub"))))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IF($V218&lt;&gt;"Sub","",N($X218)*IF(AND(ISNUMBER($G218),$G218&lt;=IF($S218=MesCiclo,InicioCiclo,$S218+MOD(2-WEEKDAY($S218),7))+6),1,MIN(1,MAX(0,IF(ISNUMBER(OFFSET($A$1,ROW()-1,8)),OFFSET($A$1,ROW()-1,8),0)))))</f>
        <v/>
      </c>
      <c r="AE218" s="62">
        <f>IF($V218&lt;&gt;"Sub","",N($X218)*IF(AND(ISNUMBER($G218),$G218&lt;=IF($S218=MesCiclo,InicioCiclo,$S218+MOD(2-WEEKDAY($S218),7))+13),1,MIN(1,MAX(0,IF(ISNUMBER(OFFSET($A$1,ROW()-1,9)),OFFSET($A$1,ROW()-1,9),IF(ISNUMBER(OFFSET($A$1,ROW()-1,8)),OFFSET($A$1,ROW()-1,8),0))))))</f>
        <v/>
      </c>
      <c r="AF218" s="62">
        <f>IF($V218&lt;&gt;"Sub","",N($X218)*IF(AND(ISNUMBER($G218),$G218&lt;=IF($S218=MesCiclo,InicioCiclo,$S218+MOD(2-WEEKDAY($S218),7))+20),1,MIN(1,MAX(0,IF(ISNUMBER(OFFSET($A$1,ROW()-1,10)),OFFSET($A$1,ROW()-1,10),IF(ISNUMBER(OFFSET($A$1,ROW()-1,9)),OFFSET($A$1,ROW()-1,9),IF(ISNUMBER(OFFSET($A$1,ROW()-1,8)),OFFSET($A$1,ROW()-1,8),0)))))))</f>
        <v/>
      </c>
      <c r="AG218" s="62">
        <f>IF($V218&lt;&gt;"Sub","",N($X218)*IF(AND(ISNUMBER($G218),$G218&lt;=IF($S218=MesCiclo,InicioCiclo,$S218+MOD(2-WEEKDAY($S218),7))+27),1,MIN(1,MAX(0,IF(ISNUMBER(OFFSET($A$1,ROW()-1,11)),OFFSET($A$1,ROW()-1,11),IF(ISNUMBER(OFFSET($A$1,ROW()-1,10)),OFFSET($A$1,ROW()-1,10),IF(ISNUMBER(OFFSET($A$1,ROW()-1,9)),OFFSET($A$1,ROW()-1,9),IF(ISNUMBER(OFFSET($A$1,ROW()-1,8)),OFFSET($A$1,ROW()-1,8),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",IFERROR(MATCH("Riesgo Normativo|"&amp;MID($C218,12,500),rDname_ADM,0),0),"")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IF(N($W219)=0,"",IF(AND($S219=MesCiclo,1&gt;SemanaActual),"",MIN(1,SUMIFS(OFFSET($A$1,ROW(),29,1000-ROW(),1),OFFSET($A$1,ROW(),20,1000-ROW(),1),ROW(),OFFSET($A$1,ROW(),21,1000-ROW(),1),"Sub"))))</f>
        <v/>
      </c>
      <c r="J219" s="60">
        <f>IF(N($W219)=0,"",IF(AND($S219=MesCiclo,2&gt;SemanaActual),"",MIN(1,SUMIFS(OFFSET($A$1,ROW(),30,1000-ROW(),1),OFFSET($A$1,ROW(),20,1000-ROW(),1),ROW(),OFFSET($A$1,ROW(),21,1000-ROW(),1),"Sub"))))</f>
        <v/>
      </c>
      <c r="K219" s="60">
        <f>IF(N($W219)=0,"",IF(AND($S219=MesCiclo,3&gt;SemanaActual),"",MIN(1,SUMIFS(OFFSET($A$1,ROW(),31,1000-ROW(),1),OFFSET($A$1,ROW(),20,1000-ROW(),1),ROW(),OFFSET($A$1,ROW(),21,1000-ROW(),1),"Sub"))))</f>
        <v/>
      </c>
      <c r="L219" s="60">
        <f>IF(N($W219)=0,"",IF(AND($S219=MesCiclo,4&gt;SemanaActual),"",MIN(1,SUMIFS(OFFSET($A$1,ROW(),32,1000-ROW(),1),OFFSET($A$1,ROW(),20,1000-ROW(),1),ROW(),OFFSET($A$1,ROW(),21,1000-ROW(),1),"Sub"))))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IF($V219&lt;&gt;"Sub","",N($X219)*IF(AND(ISNUMBER($G219),$G219&lt;=IF($S219=MesCiclo,InicioCiclo,$S219+MOD(2-WEEKDAY($S219),7))+6),1,MIN(1,MAX(0,IF(ISNUMBER(OFFSET($A$1,ROW()-1,8)),OFFSET($A$1,ROW()-1,8),0)))))</f>
        <v/>
      </c>
      <c r="AE219" s="62">
        <f>IF($V219&lt;&gt;"Sub","",N($X219)*IF(AND(ISNUMBER($G219),$G219&lt;=IF($S219=MesCiclo,InicioCiclo,$S219+MOD(2-WEEKDAY($S219),7))+13),1,MIN(1,MAX(0,IF(ISNUMBER(OFFSET($A$1,ROW()-1,9)),OFFSET($A$1,ROW()-1,9),IF(ISNUMBER(OFFSET($A$1,ROW()-1,8)),OFFSET($A$1,ROW()-1,8),0))))))</f>
        <v/>
      </c>
      <c r="AF219" s="62">
        <f>IF($V219&lt;&gt;"Sub","",N($X219)*IF(AND(ISNUMBER($G219),$G219&lt;=IF($S219=MesCiclo,InicioCiclo,$S219+MOD(2-WEEKDAY($S219),7))+20),1,MIN(1,MAX(0,IF(ISNUMBER(OFFSET($A$1,ROW()-1,10)),OFFSET($A$1,ROW()-1,10),IF(ISNUMBER(OFFSET($A$1,ROW()-1,9)),OFFSET($A$1,ROW()-1,9),IF(ISNUMBER(OFFSET($A$1,ROW()-1,8)),OFFSET($A$1,ROW()-1,8),0)))))))</f>
        <v/>
      </c>
      <c r="AG219" s="62">
        <f>IF($V219&lt;&gt;"Sub","",N($X219)*IF(AND(ISNUMBER($G219),$G219&lt;=IF($S219=MesCiclo,InicioCiclo,$S219+MOD(2-WEEKDAY($S219),7))+27),1,MIN(1,MAX(0,IF(ISNUMBER(OFFSET($A$1,ROW()-1,11)),OFFSET($A$1,ROW()-1,11),IF(ISNUMBER(OFFSET($A$1,ROW()-1,10)),OFFSET($A$1,ROW()-1,10),IF(ISNUMBER(OFFSET($A$1,ROW()-1,9)),OFFSET($A$1,ROW()-1,9),IF(ISNUMBER(OFFSET($A$1,ROW()-1,8)),OFFSET($A$1,ROW()-1,8),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",IFERROR(MATCH("Riesgo Normativo|"&amp;MID($C219,12,500),rDname_ADM,0),0),"")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IF(N($W220)=0,"",IF(AND($S220=MesCiclo,1&gt;SemanaActual),"",MIN(1,SUMIFS(OFFSET($A$1,ROW(),29,1000-ROW(),1),OFFSET($A$1,ROW(),20,1000-ROW(),1),ROW(),OFFSET($A$1,ROW(),21,1000-ROW(),1),"Sub"))))</f>
        <v/>
      </c>
      <c r="J220" s="60">
        <f>IF(N($W220)=0,"",IF(AND($S220=MesCiclo,2&gt;SemanaActual),"",MIN(1,SUMIFS(OFFSET($A$1,ROW(),30,1000-ROW(),1),OFFSET($A$1,ROW(),20,1000-ROW(),1),ROW(),OFFSET($A$1,ROW(),21,1000-ROW(),1),"Sub"))))</f>
        <v/>
      </c>
      <c r="K220" s="60">
        <f>IF(N($W220)=0,"",IF(AND($S220=MesCiclo,3&gt;SemanaActual),"",MIN(1,SUMIFS(OFFSET($A$1,ROW(),31,1000-ROW(),1),OFFSET($A$1,ROW(),20,1000-ROW(),1),ROW(),OFFSET($A$1,ROW(),21,1000-ROW(),1),"Sub"))))</f>
        <v/>
      </c>
      <c r="L220" s="60">
        <f>IF(N($W220)=0,"",IF(AND($S220=MesCiclo,4&gt;SemanaActual),"",MIN(1,SUMIFS(OFFSET($A$1,ROW(),32,1000-ROW(),1),OFFSET($A$1,ROW(),20,1000-ROW(),1),ROW(),OFFSET($A$1,ROW(),21,1000-ROW(),1),"Sub"))))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IF($V220&lt;&gt;"Sub","",N($X220)*IF(AND(ISNUMBER($G220),$G220&lt;=IF($S220=MesCiclo,InicioCiclo,$S220+MOD(2-WEEKDAY($S220),7))+6),1,MIN(1,MAX(0,IF(ISNUMBER(OFFSET($A$1,ROW()-1,8)),OFFSET($A$1,ROW()-1,8),0)))))</f>
        <v/>
      </c>
      <c r="AE220" s="62">
        <f>IF($V220&lt;&gt;"Sub","",N($X220)*IF(AND(ISNUMBER($G220),$G220&lt;=IF($S220=MesCiclo,InicioCiclo,$S220+MOD(2-WEEKDAY($S220),7))+13),1,MIN(1,MAX(0,IF(ISNUMBER(OFFSET($A$1,ROW()-1,9)),OFFSET($A$1,ROW()-1,9),IF(ISNUMBER(OFFSET($A$1,ROW()-1,8)),OFFSET($A$1,ROW()-1,8),0))))))</f>
        <v/>
      </c>
      <c r="AF220" s="62">
        <f>IF($V220&lt;&gt;"Sub","",N($X220)*IF(AND(ISNUMBER($G220),$G220&lt;=IF($S220=MesCiclo,InicioCiclo,$S220+MOD(2-WEEKDAY($S220),7))+20),1,MIN(1,MAX(0,IF(ISNUMBER(OFFSET($A$1,ROW()-1,10)),OFFSET($A$1,ROW()-1,10),IF(ISNUMBER(OFFSET($A$1,ROW()-1,9)),OFFSET($A$1,ROW()-1,9),IF(ISNUMBER(OFFSET($A$1,ROW()-1,8)),OFFSET($A$1,ROW()-1,8),0)))))))</f>
        <v/>
      </c>
      <c r="AG220" s="62">
        <f>IF($V220&lt;&gt;"Sub","",N($X220)*IF(AND(ISNUMBER($G220),$G220&lt;=IF($S220=MesCiclo,InicioCiclo,$S220+MOD(2-WEEKDAY($S220),7))+27),1,MIN(1,MAX(0,IF(ISNUMBER(OFFSET($A$1,ROW()-1,11)),OFFSET($A$1,ROW()-1,11),IF(ISNUMBER(OFFSET($A$1,ROW()-1,10)),OFFSET($A$1,ROW()-1,10),IF(ISNUMBER(OFFSET($A$1,ROW()-1,9)),OFFSET($A$1,ROW()-1,9),IF(ISNUMBER(OFFSET($A$1,ROW()-1,8)),OFFSET($A$1,ROW()-1,8),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",IFERROR(MATCH("Riesgo Normativo|"&amp;MID($C220,12,500),rDname_ADM,0),0),"")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IF(N($W221)=0,"",IF(AND($S221=MesCiclo,1&gt;SemanaActual),"",MIN(1,SUMIFS(OFFSET($A$1,ROW(),29,1000-ROW(),1),OFFSET($A$1,ROW(),20,1000-ROW(),1),ROW(),OFFSET($A$1,ROW(),21,1000-ROW(),1),"Sub"))))</f>
        <v/>
      </c>
      <c r="J221" s="60">
        <f>IF(N($W221)=0,"",IF(AND($S221=MesCiclo,2&gt;SemanaActual),"",MIN(1,SUMIFS(OFFSET($A$1,ROW(),30,1000-ROW(),1),OFFSET($A$1,ROW(),20,1000-ROW(),1),ROW(),OFFSET($A$1,ROW(),21,1000-ROW(),1),"Sub"))))</f>
        <v/>
      </c>
      <c r="K221" s="60">
        <f>IF(N($W221)=0,"",IF(AND($S221=MesCiclo,3&gt;SemanaActual),"",MIN(1,SUMIFS(OFFSET($A$1,ROW(),31,1000-ROW(),1),OFFSET($A$1,ROW(),20,1000-ROW(),1),ROW(),OFFSET($A$1,ROW(),21,1000-ROW(),1),"Sub"))))</f>
        <v/>
      </c>
      <c r="L221" s="60">
        <f>IF(N($W221)=0,"",IF(AND($S221=MesCiclo,4&gt;SemanaActual),"",MIN(1,SUMIFS(OFFSET($A$1,ROW(),32,1000-ROW(),1),OFFSET($A$1,ROW(),20,1000-ROW(),1),ROW(),OFFSET($A$1,ROW(),21,1000-ROW(),1),"Sub"))))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IF($V221&lt;&gt;"Sub","",N($X221)*IF(AND(ISNUMBER($G221),$G221&lt;=IF($S221=MesCiclo,InicioCiclo,$S221+MOD(2-WEEKDAY($S221),7))+6),1,MIN(1,MAX(0,IF(ISNUMBER(OFFSET($A$1,ROW()-1,8)),OFFSET($A$1,ROW()-1,8),0)))))</f>
        <v/>
      </c>
      <c r="AE221" s="62">
        <f>IF($V221&lt;&gt;"Sub","",N($X221)*IF(AND(ISNUMBER($G221),$G221&lt;=IF($S221=MesCiclo,InicioCiclo,$S221+MOD(2-WEEKDAY($S221),7))+13),1,MIN(1,MAX(0,IF(ISNUMBER(OFFSET($A$1,ROW()-1,9)),OFFSET($A$1,ROW()-1,9),IF(ISNUMBER(OFFSET($A$1,ROW()-1,8)),OFFSET($A$1,ROW()-1,8),0))))))</f>
        <v/>
      </c>
      <c r="AF221" s="62">
        <f>IF($V221&lt;&gt;"Sub","",N($X221)*IF(AND(ISNUMBER($G221),$G221&lt;=IF($S221=MesCiclo,InicioCiclo,$S221+MOD(2-WEEKDAY($S221),7))+20),1,MIN(1,MAX(0,IF(ISNUMBER(OFFSET($A$1,ROW()-1,10)),OFFSET($A$1,ROW()-1,10),IF(ISNUMBER(OFFSET($A$1,ROW()-1,9)),OFFSET($A$1,ROW()-1,9),IF(ISNUMBER(OFFSET($A$1,ROW()-1,8)),OFFSET($A$1,ROW()-1,8),0)))))))</f>
        <v/>
      </c>
      <c r="AG221" s="62">
        <f>IF($V221&lt;&gt;"Sub","",N($X221)*IF(AND(ISNUMBER($G221),$G221&lt;=IF($S221=MesCiclo,InicioCiclo,$S221+MOD(2-WEEKDAY($S221),7))+27),1,MIN(1,MAX(0,IF(ISNUMBER(OFFSET($A$1,ROW()-1,11)),OFFSET($A$1,ROW()-1,11),IF(ISNUMBER(OFFSET($A$1,ROW()-1,10)),OFFSET($A$1,ROW()-1,10),IF(ISNUMBER(OFFSET($A$1,ROW()-1,9)),OFFSET($A$1,ROW()-1,9),IF(ISNUMBER(OFFSET($A$1,ROW()-1,8)),OFFSET($A$1,ROW()-1,8),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",IFERROR(MATCH("Riesgo Normativo|"&amp;MID($C221,12,500),rDname_ADM,0),0),"")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IF(N($W222)=0,"",IF(AND($S222=MesCiclo,1&gt;SemanaActual),"",MIN(1,SUMIFS(OFFSET($A$1,ROW(),29,1000-ROW(),1),OFFSET($A$1,ROW(),20,1000-ROW(),1),ROW(),OFFSET($A$1,ROW(),21,1000-ROW(),1),"Sub"))))</f>
        <v/>
      </c>
      <c r="J222" s="60">
        <f>IF(N($W222)=0,"",IF(AND($S222=MesCiclo,2&gt;SemanaActual),"",MIN(1,SUMIFS(OFFSET($A$1,ROW(),30,1000-ROW(),1),OFFSET($A$1,ROW(),20,1000-ROW(),1),ROW(),OFFSET($A$1,ROW(),21,1000-ROW(),1),"Sub"))))</f>
        <v/>
      </c>
      <c r="K222" s="60">
        <f>IF(N($W222)=0,"",IF(AND($S222=MesCiclo,3&gt;SemanaActual),"",MIN(1,SUMIFS(OFFSET($A$1,ROW(),31,1000-ROW(),1),OFFSET($A$1,ROW(),20,1000-ROW(),1),ROW(),OFFSET($A$1,ROW(),21,1000-ROW(),1),"Sub"))))</f>
        <v/>
      </c>
      <c r="L222" s="60">
        <f>IF(N($W222)=0,"",IF(AND($S222=MesCiclo,4&gt;SemanaActual),"",MIN(1,SUMIFS(OFFSET($A$1,ROW(),32,1000-ROW(),1),OFFSET($A$1,ROW(),20,1000-ROW(),1),ROW(),OFFSET($A$1,ROW(),21,1000-ROW(),1),"Sub"))))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IF($V222&lt;&gt;"Sub","",N($X222)*IF(AND(ISNUMBER($G222),$G222&lt;=IF($S222=MesCiclo,InicioCiclo,$S222+MOD(2-WEEKDAY($S222),7))+6),1,MIN(1,MAX(0,IF(ISNUMBER(OFFSET($A$1,ROW()-1,8)),OFFSET($A$1,ROW()-1,8),0)))))</f>
        <v/>
      </c>
      <c r="AE222" s="62">
        <f>IF($V222&lt;&gt;"Sub","",N($X222)*IF(AND(ISNUMBER($G222),$G222&lt;=IF($S222=MesCiclo,InicioCiclo,$S222+MOD(2-WEEKDAY($S222),7))+13),1,MIN(1,MAX(0,IF(ISNUMBER(OFFSET($A$1,ROW()-1,9)),OFFSET($A$1,ROW()-1,9),IF(ISNUMBER(OFFSET($A$1,ROW()-1,8)),OFFSET($A$1,ROW()-1,8),0))))))</f>
        <v/>
      </c>
      <c r="AF222" s="62">
        <f>IF($V222&lt;&gt;"Sub","",N($X222)*IF(AND(ISNUMBER($G222),$G222&lt;=IF($S222=MesCiclo,InicioCiclo,$S222+MOD(2-WEEKDAY($S222),7))+20),1,MIN(1,MAX(0,IF(ISNUMBER(OFFSET($A$1,ROW()-1,10)),OFFSET($A$1,ROW()-1,10),IF(ISNUMBER(OFFSET($A$1,ROW()-1,9)),OFFSET($A$1,ROW()-1,9),IF(ISNUMBER(OFFSET($A$1,ROW()-1,8)),OFFSET($A$1,ROW()-1,8),0)))))))</f>
        <v/>
      </c>
      <c r="AG222" s="62">
        <f>IF($V222&lt;&gt;"Sub","",N($X222)*IF(AND(ISNUMBER($G222),$G222&lt;=IF($S222=MesCiclo,InicioCiclo,$S222+MOD(2-WEEKDAY($S222),7))+27),1,MIN(1,MAX(0,IF(ISNUMBER(OFFSET($A$1,ROW()-1,11)),OFFSET($A$1,ROW()-1,11),IF(ISNUMBER(OFFSET($A$1,ROW()-1,10)),OFFSET($A$1,ROW()-1,10),IF(ISNUMBER(OFFSET($A$1,ROW()-1,9)),OFFSET($A$1,ROW()-1,9),IF(ISNUMBER(OFFSET($A$1,ROW()-1,8)),OFFSET($A$1,ROW()-1,8),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",IFERROR(MATCH("Riesgo Normativo|"&amp;MID($C222,12,500),rDname_ADM,0),0),"")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IF(N($W223)=0,"",IF(AND($S223=MesCiclo,1&gt;SemanaActual),"",MIN(1,SUMIFS(OFFSET($A$1,ROW(),29,1000-ROW(),1),OFFSET($A$1,ROW(),20,1000-ROW(),1),ROW(),OFFSET($A$1,ROW(),21,1000-ROW(),1),"Sub"))))</f>
        <v/>
      </c>
      <c r="J223" s="60">
        <f>IF(N($W223)=0,"",IF(AND($S223=MesCiclo,2&gt;SemanaActual),"",MIN(1,SUMIFS(OFFSET($A$1,ROW(),30,1000-ROW(),1),OFFSET($A$1,ROW(),20,1000-ROW(),1),ROW(),OFFSET($A$1,ROW(),21,1000-ROW(),1),"Sub"))))</f>
        <v/>
      </c>
      <c r="K223" s="60">
        <f>IF(N($W223)=0,"",IF(AND($S223=MesCiclo,3&gt;SemanaActual),"",MIN(1,SUMIFS(OFFSET($A$1,ROW(),31,1000-ROW(),1),OFFSET($A$1,ROW(),20,1000-ROW(),1),ROW(),OFFSET($A$1,ROW(),21,1000-ROW(),1),"Sub"))))</f>
        <v/>
      </c>
      <c r="L223" s="60">
        <f>IF(N($W223)=0,"",IF(AND($S223=MesCiclo,4&gt;SemanaActual),"",MIN(1,SUMIFS(OFFSET($A$1,ROW(),32,1000-ROW(),1),OFFSET($A$1,ROW(),20,1000-ROW(),1),ROW(),OFFSET($A$1,ROW(),21,1000-ROW(),1),"Sub"))))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IF($V223&lt;&gt;"Sub","",N($X223)*IF(AND(ISNUMBER($G223),$G223&lt;=IF($S223=MesCiclo,InicioCiclo,$S223+MOD(2-WEEKDAY($S223),7))+6),1,MIN(1,MAX(0,IF(ISNUMBER(OFFSET($A$1,ROW()-1,8)),OFFSET($A$1,ROW()-1,8),0)))))</f>
        <v/>
      </c>
      <c r="AE223" s="62">
        <f>IF($V223&lt;&gt;"Sub","",N($X223)*IF(AND(ISNUMBER($G223),$G223&lt;=IF($S223=MesCiclo,InicioCiclo,$S223+MOD(2-WEEKDAY($S223),7))+13),1,MIN(1,MAX(0,IF(ISNUMBER(OFFSET($A$1,ROW()-1,9)),OFFSET($A$1,ROW()-1,9),IF(ISNUMBER(OFFSET($A$1,ROW()-1,8)),OFFSET($A$1,ROW()-1,8),0))))))</f>
        <v/>
      </c>
      <c r="AF223" s="62">
        <f>IF($V223&lt;&gt;"Sub","",N($X223)*IF(AND(ISNUMBER($G223),$G223&lt;=IF($S223=MesCiclo,InicioCiclo,$S223+MOD(2-WEEKDAY($S223),7))+20),1,MIN(1,MAX(0,IF(ISNUMBER(OFFSET($A$1,ROW()-1,10)),OFFSET($A$1,ROW()-1,10),IF(ISNUMBER(OFFSET($A$1,ROW()-1,9)),OFFSET($A$1,ROW()-1,9),IF(ISNUMBER(OFFSET($A$1,ROW()-1,8)),OFFSET($A$1,ROW()-1,8),0)))))))</f>
        <v/>
      </c>
      <c r="AG223" s="62">
        <f>IF($V223&lt;&gt;"Sub","",N($X223)*IF(AND(ISNUMBER($G223),$G223&lt;=IF($S223=MesCiclo,InicioCiclo,$S223+MOD(2-WEEKDAY($S223),7))+27),1,MIN(1,MAX(0,IF(ISNUMBER(OFFSET($A$1,ROW()-1,11)),OFFSET($A$1,ROW()-1,11),IF(ISNUMBER(OFFSET($A$1,ROW()-1,10)),OFFSET($A$1,ROW()-1,10),IF(ISNUMBER(OFFSET($A$1,ROW()-1,9)),OFFSET($A$1,ROW()-1,9),IF(ISNUMBER(OFFSET($A$1,ROW()-1,8)),OFFSET($A$1,ROW()-1,8),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",IFERROR(MATCH("Riesgo Normativo|"&amp;MID($C223,12,500),rDname_ADM,0),0),"")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IF(N($W224)=0,"",IF(AND($S224=MesCiclo,1&gt;SemanaActual),"",MIN(1,SUMIFS(OFFSET($A$1,ROW(),29,1000-ROW(),1),OFFSET($A$1,ROW(),20,1000-ROW(),1),ROW(),OFFSET($A$1,ROW(),21,1000-ROW(),1),"Sub"))))</f>
        <v/>
      </c>
      <c r="J224" s="60">
        <f>IF(N($W224)=0,"",IF(AND($S224=MesCiclo,2&gt;SemanaActual),"",MIN(1,SUMIFS(OFFSET($A$1,ROW(),30,1000-ROW(),1),OFFSET($A$1,ROW(),20,1000-ROW(),1),ROW(),OFFSET($A$1,ROW(),21,1000-ROW(),1),"Sub"))))</f>
        <v/>
      </c>
      <c r="K224" s="60">
        <f>IF(N($W224)=0,"",IF(AND($S224=MesCiclo,3&gt;SemanaActual),"",MIN(1,SUMIFS(OFFSET($A$1,ROW(),31,1000-ROW(),1),OFFSET($A$1,ROW(),20,1000-ROW(),1),ROW(),OFFSET($A$1,ROW(),21,1000-ROW(),1),"Sub"))))</f>
        <v/>
      </c>
      <c r="L224" s="60">
        <f>IF(N($W224)=0,"",IF(AND($S224=MesCiclo,4&gt;SemanaActual),"",MIN(1,SUMIFS(OFFSET($A$1,ROW(),32,1000-ROW(),1),OFFSET($A$1,ROW(),20,1000-ROW(),1),ROW(),OFFSET($A$1,ROW(),21,1000-ROW(),1),"Sub"))))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IF($V224&lt;&gt;"Sub","",N($X224)*IF(AND(ISNUMBER($G224),$G224&lt;=IF($S224=MesCiclo,InicioCiclo,$S224+MOD(2-WEEKDAY($S224),7))+6),1,MIN(1,MAX(0,IF(ISNUMBER(OFFSET($A$1,ROW()-1,8)),OFFSET($A$1,ROW()-1,8),0)))))</f>
        <v/>
      </c>
      <c r="AE224" s="62">
        <f>IF($V224&lt;&gt;"Sub","",N($X224)*IF(AND(ISNUMBER($G224),$G224&lt;=IF($S224=MesCiclo,InicioCiclo,$S224+MOD(2-WEEKDAY($S224),7))+13),1,MIN(1,MAX(0,IF(ISNUMBER(OFFSET($A$1,ROW()-1,9)),OFFSET($A$1,ROW()-1,9),IF(ISNUMBER(OFFSET($A$1,ROW()-1,8)),OFFSET($A$1,ROW()-1,8),0))))))</f>
        <v/>
      </c>
      <c r="AF224" s="62">
        <f>IF($V224&lt;&gt;"Sub","",N($X224)*IF(AND(ISNUMBER($G224),$G224&lt;=IF($S224=MesCiclo,InicioCiclo,$S224+MOD(2-WEEKDAY($S224),7))+20),1,MIN(1,MAX(0,IF(ISNUMBER(OFFSET($A$1,ROW()-1,10)),OFFSET($A$1,ROW()-1,10),IF(ISNUMBER(OFFSET($A$1,ROW()-1,9)),OFFSET($A$1,ROW()-1,9),IF(ISNUMBER(OFFSET($A$1,ROW()-1,8)),OFFSET($A$1,ROW()-1,8),0)))))))</f>
        <v/>
      </c>
      <c r="AG224" s="62">
        <f>IF($V224&lt;&gt;"Sub","",N($X224)*IF(AND(ISNUMBER($G224),$G224&lt;=IF($S224=MesCiclo,InicioCiclo,$S224+MOD(2-WEEKDAY($S224),7))+27),1,MIN(1,MAX(0,IF(ISNUMBER(OFFSET($A$1,ROW()-1,11)),OFFSET($A$1,ROW()-1,11),IF(ISNUMBER(OFFSET($A$1,ROW()-1,10)),OFFSET($A$1,ROW()-1,10),IF(ISNUMBER(OFFSET($A$1,ROW()-1,9)),OFFSET($A$1,ROW()-1,9),IF(ISNUMBER(OFFSET($A$1,ROW()-1,8)),OFFSET($A$1,ROW()-1,8),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",IFERROR(MATCH("Riesgo Normativo|"&amp;MID($C224,12,500),rDname_ADM,0),0),"")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IF(N($W225)=0,"",IF(AND($S225=MesCiclo,1&gt;SemanaActual),"",MIN(1,SUMIFS(OFFSET($A$1,ROW(),29,1000-ROW(),1),OFFSET($A$1,ROW(),20,1000-ROW(),1),ROW(),OFFSET($A$1,ROW(),21,1000-ROW(),1),"Sub"))))</f>
        <v/>
      </c>
      <c r="J225" s="60">
        <f>IF(N($W225)=0,"",IF(AND($S225=MesCiclo,2&gt;SemanaActual),"",MIN(1,SUMIFS(OFFSET($A$1,ROW(),30,1000-ROW(),1),OFFSET($A$1,ROW(),20,1000-ROW(),1),ROW(),OFFSET($A$1,ROW(),21,1000-ROW(),1),"Sub"))))</f>
        <v/>
      </c>
      <c r="K225" s="60">
        <f>IF(N($W225)=0,"",IF(AND($S225=MesCiclo,3&gt;SemanaActual),"",MIN(1,SUMIFS(OFFSET($A$1,ROW(),31,1000-ROW(),1),OFFSET($A$1,ROW(),20,1000-ROW(),1),ROW(),OFFSET($A$1,ROW(),21,1000-ROW(),1),"Sub"))))</f>
        <v/>
      </c>
      <c r="L225" s="60">
        <f>IF(N($W225)=0,"",IF(AND($S225=MesCiclo,4&gt;SemanaActual),"",MIN(1,SUMIFS(OFFSET($A$1,ROW(),32,1000-ROW(),1),OFFSET($A$1,ROW(),20,1000-ROW(),1),ROW(),OFFSET($A$1,ROW(),21,1000-ROW(),1),"Sub"))))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IF($V225&lt;&gt;"Sub","",N($X225)*IF(AND(ISNUMBER($G225),$G225&lt;=IF($S225=MesCiclo,InicioCiclo,$S225+MOD(2-WEEKDAY($S225),7))+6),1,MIN(1,MAX(0,IF(ISNUMBER(OFFSET($A$1,ROW()-1,8)),OFFSET($A$1,ROW()-1,8),0)))))</f>
        <v/>
      </c>
      <c r="AE225" s="62">
        <f>IF($V225&lt;&gt;"Sub","",N($X225)*IF(AND(ISNUMBER($G225),$G225&lt;=IF($S225=MesCiclo,InicioCiclo,$S225+MOD(2-WEEKDAY($S225),7))+13),1,MIN(1,MAX(0,IF(ISNUMBER(OFFSET($A$1,ROW()-1,9)),OFFSET($A$1,ROW()-1,9),IF(ISNUMBER(OFFSET($A$1,ROW()-1,8)),OFFSET($A$1,ROW()-1,8),0))))))</f>
        <v/>
      </c>
      <c r="AF225" s="62">
        <f>IF($V225&lt;&gt;"Sub","",N($X225)*IF(AND(ISNUMBER($G225),$G225&lt;=IF($S225=MesCiclo,InicioCiclo,$S225+MOD(2-WEEKDAY($S225),7))+20),1,MIN(1,MAX(0,IF(ISNUMBER(OFFSET($A$1,ROW()-1,10)),OFFSET($A$1,ROW()-1,10),IF(ISNUMBER(OFFSET($A$1,ROW()-1,9)),OFFSET($A$1,ROW()-1,9),IF(ISNUMBER(OFFSET($A$1,ROW()-1,8)),OFFSET($A$1,ROW()-1,8),0)))))))</f>
        <v/>
      </c>
      <c r="AG225" s="62">
        <f>IF($V225&lt;&gt;"Sub","",N($X225)*IF(AND(ISNUMBER($G225),$G225&lt;=IF($S225=MesCiclo,InicioCiclo,$S225+MOD(2-WEEKDAY($S225),7))+27),1,MIN(1,MAX(0,IF(ISNUMBER(OFFSET($A$1,ROW()-1,11)),OFFSET($A$1,ROW()-1,11),IF(ISNUMBER(OFFSET($A$1,ROW()-1,10)),OFFSET($A$1,ROW()-1,10),IF(ISNUMBER(OFFSET($A$1,ROW()-1,9)),OFFSET($A$1,ROW()-1,9),IF(ISNUMBER(OFFSET($A$1,ROW()-1,8)),OFFSET($A$1,ROW()-1,8),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",IFERROR(MATCH("Riesgo Normativo|"&amp;MID($C225,12,500),rDname_ADM,0),0),"")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IF(N($W226)=0,"",IF(AND($S226=MesCiclo,1&gt;SemanaActual),"",MIN(1,SUMIFS(OFFSET($A$1,ROW(),29,1000-ROW(),1),OFFSET($A$1,ROW(),20,1000-ROW(),1),ROW(),OFFSET($A$1,ROW(),21,1000-ROW(),1),"Sub"))))</f>
        <v/>
      </c>
      <c r="J226" s="60">
        <f>IF(N($W226)=0,"",IF(AND($S226=MesCiclo,2&gt;SemanaActual),"",MIN(1,SUMIFS(OFFSET($A$1,ROW(),30,1000-ROW(),1),OFFSET($A$1,ROW(),20,1000-ROW(),1),ROW(),OFFSET($A$1,ROW(),21,1000-ROW(),1),"Sub"))))</f>
        <v/>
      </c>
      <c r="K226" s="60">
        <f>IF(N($W226)=0,"",IF(AND($S226=MesCiclo,3&gt;SemanaActual),"",MIN(1,SUMIFS(OFFSET($A$1,ROW(),31,1000-ROW(),1),OFFSET($A$1,ROW(),20,1000-ROW(),1),ROW(),OFFSET($A$1,ROW(),21,1000-ROW(),1),"Sub"))))</f>
        <v/>
      </c>
      <c r="L226" s="60">
        <f>IF(N($W226)=0,"",IF(AND($S226=MesCiclo,4&gt;SemanaActual),"",MIN(1,SUMIFS(OFFSET($A$1,ROW(),32,1000-ROW(),1),OFFSET($A$1,ROW(),20,1000-ROW(),1),ROW(),OFFSET($A$1,ROW(),21,1000-ROW(),1),"Sub"))))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IF($V226&lt;&gt;"Sub","",N($X226)*IF(AND(ISNUMBER($G226),$G226&lt;=IF($S226=MesCiclo,InicioCiclo,$S226+MOD(2-WEEKDAY($S226),7))+6),1,MIN(1,MAX(0,IF(ISNUMBER(OFFSET($A$1,ROW()-1,8)),OFFSET($A$1,ROW()-1,8),0)))))</f>
        <v/>
      </c>
      <c r="AE226" s="62">
        <f>IF($V226&lt;&gt;"Sub","",N($X226)*IF(AND(ISNUMBER($G226),$G226&lt;=IF($S226=MesCiclo,InicioCiclo,$S226+MOD(2-WEEKDAY($S226),7))+13),1,MIN(1,MAX(0,IF(ISNUMBER(OFFSET($A$1,ROW()-1,9)),OFFSET($A$1,ROW()-1,9),IF(ISNUMBER(OFFSET($A$1,ROW()-1,8)),OFFSET($A$1,ROW()-1,8),0))))))</f>
        <v/>
      </c>
      <c r="AF226" s="62">
        <f>IF($V226&lt;&gt;"Sub","",N($X226)*IF(AND(ISNUMBER($G226),$G226&lt;=IF($S226=MesCiclo,InicioCiclo,$S226+MOD(2-WEEKDAY($S226),7))+20),1,MIN(1,MAX(0,IF(ISNUMBER(OFFSET($A$1,ROW()-1,10)),OFFSET($A$1,ROW()-1,10),IF(ISNUMBER(OFFSET($A$1,ROW()-1,9)),OFFSET($A$1,ROW()-1,9),IF(ISNUMBER(OFFSET($A$1,ROW()-1,8)),OFFSET($A$1,ROW()-1,8),0)))))))</f>
        <v/>
      </c>
      <c r="AG226" s="62">
        <f>IF($V226&lt;&gt;"Sub","",N($X226)*IF(AND(ISNUMBER($G226),$G226&lt;=IF($S226=MesCiclo,InicioCiclo,$S226+MOD(2-WEEKDAY($S226),7))+27),1,MIN(1,MAX(0,IF(ISNUMBER(OFFSET($A$1,ROW()-1,11)),OFFSET($A$1,ROW()-1,11),IF(ISNUMBER(OFFSET($A$1,ROW()-1,10)),OFFSET($A$1,ROW()-1,10),IF(ISNUMBER(OFFSET($A$1,ROW()-1,9)),OFFSET($A$1,ROW()-1,9),IF(ISNUMBER(OFFSET($A$1,ROW()-1,8)),OFFSET($A$1,ROW()-1,8),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",IFERROR(MATCH("Riesgo Normativo|"&amp;MID($C226,12,500),rDname_ADM,0),0),"")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IF(N($W227)=0,"",IF(AND($S227=MesCiclo,1&gt;SemanaActual),"",MIN(1,SUMIFS(OFFSET($A$1,ROW(),29,1000-ROW(),1),OFFSET($A$1,ROW(),20,1000-ROW(),1),ROW(),OFFSET($A$1,ROW(),21,1000-ROW(),1),"Sub"))))</f>
        <v/>
      </c>
      <c r="J227" s="60">
        <f>IF(N($W227)=0,"",IF(AND($S227=MesCiclo,2&gt;SemanaActual),"",MIN(1,SUMIFS(OFFSET($A$1,ROW(),30,1000-ROW(),1),OFFSET($A$1,ROW(),20,1000-ROW(),1),ROW(),OFFSET($A$1,ROW(),21,1000-ROW(),1),"Sub"))))</f>
        <v/>
      </c>
      <c r="K227" s="60">
        <f>IF(N($W227)=0,"",IF(AND($S227=MesCiclo,3&gt;SemanaActual),"",MIN(1,SUMIFS(OFFSET($A$1,ROW(),31,1000-ROW(),1),OFFSET($A$1,ROW(),20,1000-ROW(),1),ROW(),OFFSET($A$1,ROW(),21,1000-ROW(),1),"Sub"))))</f>
        <v/>
      </c>
      <c r="L227" s="60">
        <f>IF(N($W227)=0,"",IF(AND($S227=MesCiclo,4&gt;SemanaActual),"",MIN(1,SUMIFS(OFFSET($A$1,ROW(),32,1000-ROW(),1),OFFSET($A$1,ROW(),20,1000-ROW(),1),ROW(),OFFSET($A$1,ROW(),21,1000-ROW(),1),"Sub"))))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IF($V227&lt;&gt;"Sub","",N($X227)*IF(AND(ISNUMBER($G227),$G227&lt;=IF($S227=MesCiclo,InicioCiclo,$S227+MOD(2-WEEKDAY($S227),7))+6),1,MIN(1,MAX(0,IF(ISNUMBER(OFFSET($A$1,ROW()-1,8)),OFFSET($A$1,ROW()-1,8),0)))))</f>
        <v/>
      </c>
      <c r="AE227" s="62">
        <f>IF($V227&lt;&gt;"Sub","",N($X227)*IF(AND(ISNUMBER($G227),$G227&lt;=IF($S227=MesCiclo,InicioCiclo,$S227+MOD(2-WEEKDAY($S227),7))+13),1,MIN(1,MAX(0,IF(ISNUMBER(OFFSET($A$1,ROW()-1,9)),OFFSET($A$1,ROW()-1,9),IF(ISNUMBER(OFFSET($A$1,ROW()-1,8)),OFFSET($A$1,ROW()-1,8),0))))))</f>
        <v/>
      </c>
      <c r="AF227" s="62">
        <f>IF($V227&lt;&gt;"Sub","",N($X227)*IF(AND(ISNUMBER($G227),$G227&lt;=IF($S227=MesCiclo,InicioCiclo,$S227+MOD(2-WEEKDAY($S227),7))+20),1,MIN(1,MAX(0,IF(ISNUMBER(OFFSET($A$1,ROW()-1,10)),OFFSET($A$1,ROW()-1,10),IF(ISNUMBER(OFFSET($A$1,ROW()-1,9)),OFFSET($A$1,ROW()-1,9),IF(ISNUMBER(OFFSET($A$1,ROW()-1,8)),OFFSET($A$1,ROW()-1,8),0)))))))</f>
        <v/>
      </c>
      <c r="AG227" s="62">
        <f>IF($V227&lt;&gt;"Sub","",N($X227)*IF(AND(ISNUMBER($G227),$G227&lt;=IF($S227=MesCiclo,InicioCiclo,$S227+MOD(2-WEEKDAY($S227),7))+27),1,MIN(1,MAX(0,IF(ISNUMBER(OFFSET($A$1,ROW()-1,11)),OFFSET($A$1,ROW()-1,11),IF(ISNUMBER(OFFSET($A$1,ROW()-1,10)),OFFSET($A$1,ROW()-1,10),IF(ISNUMBER(OFFSET($A$1,ROW()-1,9)),OFFSET($A$1,ROW()-1,9),IF(ISNUMBER(OFFSET($A$1,ROW()-1,8)),OFFSET($A$1,ROW()-1,8),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",IFERROR(MATCH("Riesgo Normativo|"&amp;MID($C227,12,500),rDname_ADM,0),0),"")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IF(N($W228)=0,"",IF(AND($S228=MesCiclo,1&gt;SemanaActual),"",MIN(1,SUMIFS(OFFSET($A$1,ROW(),29,1000-ROW(),1),OFFSET($A$1,ROW(),20,1000-ROW(),1),ROW(),OFFSET($A$1,ROW(),21,1000-ROW(),1),"Sub"))))</f>
        <v/>
      </c>
      <c r="J228" s="60">
        <f>IF(N($W228)=0,"",IF(AND($S228=MesCiclo,2&gt;SemanaActual),"",MIN(1,SUMIFS(OFFSET($A$1,ROW(),30,1000-ROW(),1),OFFSET($A$1,ROW(),20,1000-ROW(),1),ROW(),OFFSET($A$1,ROW(),21,1000-ROW(),1),"Sub"))))</f>
        <v/>
      </c>
      <c r="K228" s="60">
        <f>IF(N($W228)=0,"",IF(AND($S228=MesCiclo,3&gt;SemanaActual),"",MIN(1,SUMIFS(OFFSET($A$1,ROW(),31,1000-ROW(),1),OFFSET($A$1,ROW(),20,1000-ROW(),1),ROW(),OFFSET($A$1,ROW(),21,1000-ROW(),1),"Sub"))))</f>
        <v/>
      </c>
      <c r="L228" s="60">
        <f>IF(N($W228)=0,"",IF(AND($S228=MesCiclo,4&gt;SemanaActual),"",MIN(1,SUMIFS(OFFSET($A$1,ROW(),32,1000-ROW(),1),OFFSET($A$1,ROW(),20,1000-ROW(),1),ROW(),OFFSET($A$1,ROW(),21,1000-ROW(),1),"Sub"))))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IF($V228&lt;&gt;"Sub","",N($X228)*IF(AND(ISNUMBER($G228),$G228&lt;=IF($S228=MesCiclo,InicioCiclo,$S228+MOD(2-WEEKDAY($S228),7))+6),1,MIN(1,MAX(0,IF(ISNUMBER(OFFSET($A$1,ROW()-1,8)),OFFSET($A$1,ROW()-1,8),0)))))</f>
        <v/>
      </c>
      <c r="AE228" s="62">
        <f>IF($V228&lt;&gt;"Sub","",N($X228)*IF(AND(ISNUMBER($G228),$G228&lt;=IF($S228=MesCiclo,InicioCiclo,$S228+MOD(2-WEEKDAY($S228),7))+13),1,MIN(1,MAX(0,IF(ISNUMBER(OFFSET($A$1,ROW()-1,9)),OFFSET($A$1,ROW()-1,9),IF(ISNUMBER(OFFSET($A$1,ROW()-1,8)),OFFSET($A$1,ROW()-1,8),0))))))</f>
        <v/>
      </c>
      <c r="AF228" s="62">
        <f>IF($V228&lt;&gt;"Sub","",N($X228)*IF(AND(ISNUMBER($G228),$G228&lt;=IF($S228=MesCiclo,InicioCiclo,$S228+MOD(2-WEEKDAY($S228),7))+20),1,MIN(1,MAX(0,IF(ISNUMBER(OFFSET($A$1,ROW()-1,10)),OFFSET($A$1,ROW()-1,10),IF(ISNUMBER(OFFSET($A$1,ROW()-1,9)),OFFSET($A$1,ROW()-1,9),IF(ISNUMBER(OFFSET($A$1,ROW()-1,8)),OFFSET($A$1,ROW()-1,8),0)))))))</f>
        <v/>
      </c>
      <c r="AG228" s="62">
        <f>IF($V228&lt;&gt;"Sub","",N($X228)*IF(AND(ISNUMBER($G228),$G228&lt;=IF($S228=MesCiclo,InicioCiclo,$S228+MOD(2-WEEKDAY($S228),7))+27),1,MIN(1,MAX(0,IF(ISNUMBER(OFFSET($A$1,ROW()-1,11)),OFFSET($A$1,ROW()-1,11),IF(ISNUMBER(OFFSET($A$1,ROW()-1,10)),OFFSET($A$1,ROW()-1,10),IF(ISNUMBER(OFFSET($A$1,ROW()-1,9)),OFFSET($A$1,ROW()-1,9),IF(ISNUMBER(OFFSET($A$1,ROW()-1,8)),OFFSET($A$1,ROW()-1,8),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",IFERROR(MATCH("Riesgo Normativo|"&amp;MID($C228,12,500),rDname_ADM,0),0),"")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IF(N($W229)=0,"",IF(AND($S229=MesCiclo,1&gt;SemanaActual),"",MIN(1,SUMIFS(OFFSET($A$1,ROW(),29,1000-ROW(),1),OFFSET($A$1,ROW(),20,1000-ROW(),1),ROW(),OFFSET($A$1,ROW(),21,1000-ROW(),1),"Sub"))))</f>
        <v/>
      </c>
      <c r="J229" s="60">
        <f>IF(N($W229)=0,"",IF(AND($S229=MesCiclo,2&gt;SemanaActual),"",MIN(1,SUMIFS(OFFSET($A$1,ROW(),30,1000-ROW(),1),OFFSET($A$1,ROW(),20,1000-ROW(),1),ROW(),OFFSET($A$1,ROW(),21,1000-ROW(),1),"Sub"))))</f>
        <v/>
      </c>
      <c r="K229" s="60">
        <f>IF(N($W229)=0,"",IF(AND($S229=MesCiclo,3&gt;SemanaActual),"",MIN(1,SUMIFS(OFFSET($A$1,ROW(),31,1000-ROW(),1),OFFSET($A$1,ROW(),20,1000-ROW(),1),ROW(),OFFSET($A$1,ROW(),21,1000-ROW(),1),"Sub"))))</f>
        <v/>
      </c>
      <c r="L229" s="60">
        <f>IF(N($W229)=0,"",IF(AND($S229=MesCiclo,4&gt;SemanaActual),"",MIN(1,SUMIFS(OFFSET($A$1,ROW(),32,1000-ROW(),1),OFFSET($A$1,ROW(),20,1000-ROW(),1),ROW(),OFFSET($A$1,ROW(),21,1000-ROW(),1),"Sub"))))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IF($V229&lt;&gt;"Sub","",N($X229)*IF(AND(ISNUMBER($G229),$G229&lt;=IF($S229=MesCiclo,InicioCiclo,$S229+MOD(2-WEEKDAY($S229),7))+6),1,MIN(1,MAX(0,IF(ISNUMBER(OFFSET($A$1,ROW()-1,8)),OFFSET($A$1,ROW()-1,8),0)))))</f>
        <v/>
      </c>
      <c r="AE229" s="62">
        <f>IF($V229&lt;&gt;"Sub","",N($X229)*IF(AND(ISNUMBER($G229),$G229&lt;=IF($S229=MesCiclo,InicioCiclo,$S229+MOD(2-WEEKDAY($S229),7))+13),1,MIN(1,MAX(0,IF(ISNUMBER(OFFSET($A$1,ROW()-1,9)),OFFSET($A$1,ROW()-1,9),IF(ISNUMBER(OFFSET($A$1,ROW()-1,8)),OFFSET($A$1,ROW()-1,8),0))))))</f>
        <v/>
      </c>
      <c r="AF229" s="62">
        <f>IF($V229&lt;&gt;"Sub","",N($X229)*IF(AND(ISNUMBER($G229),$G229&lt;=IF($S229=MesCiclo,InicioCiclo,$S229+MOD(2-WEEKDAY($S229),7))+20),1,MIN(1,MAX(0,IF(ISNUMBER(OFFSET($A$1,ROW()-1,10)),OFFSET($A$1,ROW()-1,10),IF(ISNUMBER(OFFSET($A$1,ROW()-1,9)),OFFSET($A$1,ROW()-1,9),IF(ISNUMBER(OFFSET($A$1,ROW()-1,8)),OFFSET($A$1,ROW()-1,8),0)))))))</f>
        <v/>
      </c>
      <c r="AG229" s="62">
        <f>IF($V229&lt;&gt;"Sub","",N($X229)*IF(AND(ISNUMBER($G229),$G229&lt;=IF($S229=MesCiclo,InicioCiclo,$S229+MOD(2-WEEKDAY($S229),7))+27),1,MIN(1,MAX(0,IF(ISNUMBER(OFFSET($A$1,ROW()-1,11)),OFFSET($A$1,ROW()-1,11),IF(ISNUMBER(OFFSET($A$1,ROW()-1,10)),OFFSET($A$1,ROW()-1,10),IF(ISNUMBER(OFFSET($A$1,ROW()-1,9)),OFFSET($A$1,ROW()-1,9),IF(ISNUMBER(OFFSET($A$1,ROW()-1,8)),OFFSET($A$1,ROW()-1,8),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",IFERROR(MATCH("Riesgo Normativo|"&amp;MID($C229,12,500),rDname_ADM,0),0),"")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IF(N($W230)=0,"",IF(AND($S230=MesCiclo,1&gt;SemanaActual),"",MIN(1,SUMIFS(OFFSET($A$1,ROW(),29,1000-ROW(),1),OFFSET($A$1,ROW(),20,1000-ROW(),1),ROW(),OFFSET($A$1,ROW(),21,1000-ROW(),1),"Sub"))))</f>
        <v/>
      </c>
      <c r="J230" s="60">
        <f>IF(N($W230)=0,"",IF(AND($S230=MesCiclo,2&gt;SemanaActual),"",MIN(1,SUMIFS(OFFSET($A$1,ROW(),30,1000-ROW(),1),OFFSET($A$1,ROW(),20,1000-ROW(),1),ROW(),OFFSET($A$1,ROW(),21,1000-ROW(),1),"Sub"))))</f>
        <v/>
      </c>
      <c r="K230" s="60">
        <f>IF(N($W230)=0,"",IF(AND($S230=MesCiclo,3&gt;SemanaActual),"",MIN(1,SUMIFS(OFFSET($A$1,ROW(),31,1000-ROW(),1),OFFSET($A$1,ROW(),20,1000-ROW(),1),ROW(),OFFSET($A$1,ROW(),21,1000-ROW(),1),"Sub"))))</f>
        <v/>
      </c>
      <c r="L230" s="60">
        <f>IF(N($W230)=0,"",IF(AND($S230=MesCiclo,4&gt;SemanaActual),"",MIN(1,SUMIFS(OFFSET($A$1,ROW(),32,1000-ROW(),1),OFFSET($A$1,ROW(),20,1000-ROW(),1),ROW(),OFFSET($A$1,ROW(),21,1000-ROW(),1),"Sub"))))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IF($V230&lt;&gt;"Sub","",N($X230)*IF(AND(ISNUMBER($G230),$G230&lt;=IF($S230=MesCiclo,InicioCiclo,$S230+MOD(2-WEEKDAY($S230),7))+6),1,MIN(1,MAX(0,IF(ISNUMBER(OFFSET($A$1,ROW()-1,8)),OFFSET($A$1,ROW()-1,8),0)))))</f>
        <v/>
      </c>
      <c r="AE230" s="62">
        <f>IF($V230&lt;&gt;"Sub","",N($X230)*IF(AND(ISNUMBER($G230),$G230&lt;=IF($S230=MesCiclo,InicioCiclo,$S230+MOD(2-WEEKDAY($S230),7))+13),1,MIN(1,MAX(0,IF(ISNUMBER(OFFSET($A$1,ROW()-1,9)),OFFSET($A$1,ROW()-1,9),IF(ISNUMBER(OFFSET($A$1,ROW()-1,8)),OFFSET($A$1,ROW()-1,8),0))))))</f>
        <v/>
      </c>
      <c r="AF230" s="62">
        <f>IF($V230&lt;&gt;"Sub","",N($X230)*IF(AND(ISNUMBER($G230),$G230&lt;=IF($S230=MesCiclo,InicioCiclo,$S230+MOD(2-WEEKDAY($S230),7))+20),1,MIN(1,MAX(0,IF(ISNUMBER(OFFSET($A$1,ROW()-1,10)),OFFSET($A$1,ROW()-1,10),IF(ISNUMBER(OFFSET($A$1,ROW()-1,9)),OFFSET($A$1,ROW()-1,9),IF(ISNUMBER(OFFSET($A$1,ROW()-1,8)),OFFSET($A$1,ROW()-1,8),0)))))))</f>
        <v/>
      </c>
      <c r="AG230" s="62">
        <f>IF($V230&lt;&gt;"Sub","",N($X230)*IF(AND(ISNUMBER($G230),$G230&lt;=IF($S230=MesCiclo,InicioCiclo,$S230+MOD(2-WEEKDAY($S230),7))+27),1,MIN(1,MAX(0,IF(ISNUMBER(OFFSET($A$1,ROW()-1,11)),OFFSET($A$1,ROW()-1,11),IF(ISNUMBER(OFFSET($A$1,ROW()-1,10)),OFFSET($A$1,ROW()-1,10),IF(ISNUMBER(OFFSET($A$1,ROW()-1,9)),OFFSET($A$1,ROW()-1,9),IF(ISNUMBER(OFFSET($A$1,ROW()-1,8)),OFFSET($A$1,ROW()-1,8),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",IFERROR(MATCH("Riesgo Normativo|"&amp;MID($C230,12,500),rDname_ADM,0),0),"")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IF(N($W231)=0,"",IF(AND($S231=MesCiclo,1&gt;SemanaActual),"",MIN(1,SUMIFS(OFFSET($A$1,ROW(),29,1000-ROW(),1),OFFSET($A$1,ROW(),20,1000-ROW(),1),ROW(),OFFSET($A$1,ROW(),21,1000-ROW(),1),"Sub"))))</f>
        <v/>
      </c>
      <c r="J231" s="60">
        <f>IF(N($W231)=0,"",IF(AND($S231=MesCiclo,2&gt;SemanaActual),"",MIN(1,SUMIFS(OFFSET($A$1,ROW(),30,1000-ROW(),1),OFFSET($A$1,ROW(),20,1000-ROW(),1),ROW(),OFFSET($A$1,ROW(),21,1000-ROW(),1),"Sub"))))</f>
        <v/>
      </c>
      <c r="K231" s="60">
        <f>IF(N($W231)=0,"",IF(AND($S231=MesCiclo,3&gt;SemanaActual),"",MIN(1,SUMIFS(OFFSET($A$1,ROW(),31,1000-ROW(),1),OFFSET($A$1,ROW(),20,1000-ROW(),1),ROW(),OFFSET($A$1,ROW(),21,1000-ROW(),1),"Sub"))))</f>
        <v/>
      </c>
      <c r="L231" s="60">
        <f>IF(N($W231)=0,"",IF(AND($S231=MesCiclo,4&gt;SemanaActual),"",MIN(1,SUMIFS(OFFSET($A$1,ROW(),32,1000-ROW(),1),OFFSET($A$1,ROW(),20,1000-ROW(),1),ROW(),OFFSET($A$1,ROW(),21,1000-ROW(),1),"Sub"))))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IF($V231&lt;&gt;"Sub","",N($X231)*IF(AND(ISNUMBER($G231),$G231&lt;=IF($S231=MesCiclo,InicioCiclo,$S231+MOD(2-WEEKDAY($S231),7))+6),1,MIN(1,MAX(0,IF(ISNUMBER(OFFSET($A$1,ROW()-1,8)),OFFSET($A$1,ROW()-1,8),0)))))</f>
        <v/>
      </c>
      <c r="AE231" s="62">
        <f>IF($V231&lt;&gt;"Sub","",N($X231)*IF(AND(ISNUMBER($G231),$G231&lt;=IF($S231=MesCiclo,InicioCiclo,$S231+MOD(2-WEEKDAY($S231),7))+13),1,MIN(1,MAX(0,IF(ISNUMBER(OFFSET($A$1,ROW()-1,9)),OFFSET($A$1,ROW()-1,9),IF(ISNUMBER(OFFSET($A$1,ROW()-1,8)),OFFSET($A$1,ROW()-1,8),0))))))</f>
        <v/>
      </c>
      <c r="AF231" s="62">
        <f>IF($V231&lt;&gt;"Sub","",N($X231)*IF(AND(ISNUMBER($G231),$G231&lt;=IF($S231=MesCiclo,InicioCiclo,$S231+MOD(2-WEEKDAY($S231),7))+20),1,MIN(1,MAX(0,IF(ISNUMBER(OFFSET($A$1,ROW()-1,10)),OFFSET($A$1,ROW()-1,10),IF(ISNUMBER(OFFSET($A$1,ROW()-1,9)),OFFSET($A$1,ROW()-1,9),IF(ISNUMBER(OFFSET($A$1,ROW()-1,8)),OFFSET($A$1,ROW()-1,8),0)))))))</f>
        <v/>
      </c>
      <c r="AG231" s="62">
        <f>IF($V231&lt;&gt;"Sub","",N($X231)*IF(AND(ISNUMBER($G231),$G231&lt;=IF($S231=MesCiclo,InicioCiclo,$S231+MOD(2-WEEKDAY($S231),7))+27),1,MIN(1,MAX(0,IF(ISNUMBER(OFFSET($A$1,ROW()-1,11)),OFFSET($A$1,ROW()-1,11),IF(ISNUMBER(OFFSET($A$1,ROW()-1,10)),OFFSET($A$1,ROW()-1,10),IF(ISNUMBER(OFFSET($A$1,ROW()-1,9)),OFFSET($A$1,ROW()-1,9),IF(ISNUMBER(OFFSET($A$1,ROW()-1,8)),OFFSET($A$1,ROW()-1,8),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",IFERROR(MATCH("Riesgo Normativo|"&amp;MID($C231,12,500),rDname_ADM,0),0),"")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IF(N($W232)=0,"",IF(AND($S232=MesCiclo,1&gt;SemanaActual),"",MIN(1,SUMIFS(OFFSET($A$1,ROW(),29,1000-ROW(),1),OFFSET($A$1,ROW(),20,1000-ROW(),1),ROW(),OFFSET($A$1,ROW(),21,1000-ROW(),1),"Sub"))))</f>
        <v/>
      </c>
      <c r="J232" s="60">
        <f>IF(N($W232)=0,"",IF(AND($S232=MesCiclo,2&gt;SemanaActual),"",MIN(1,SUMIFS(OFFSET($A$1,ROW(),30,1000-ROW(),1),OFFSET($A$1,ROW(),20,1000-ROW(),1),ROW(),OFFSET($A$1,ROW(),21,1000-ROW(),1),"Sub"))))</f>
        <v/>
      </c>
      <c r="K232" s="60">
        <f>IF(N($W232)=0,"",IF(AND($S232=MesCiclo,3&gt;SemanaActual),"",MIN(1,SUMIFS(OFFSET($A$1,ROW(),31,1000-ROW(),1),OFFSET($A$1,ROW(),20,1000-ROW(),1),ROW(),OFFSET($A$1,ROW(),21,1000-ROW(),1),"Sub"))))</f>
        <v/>
      </c>
      <c r="L232" s="60">
        <f>IF(N($W232)=0,"",IF(AND($S232=MesCiclo,4&gt;SemanaActual),"",MIN(1,SUMIFS(OFFSET($A$1,ROW(),32,1000-ROW(),1),OFFSET($A$1,ROW(),20,1000-ROW(),1),ROW(),OFFSET($A$1,ROW(),21,1000-ROW(),1),"Sub"))))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IF($V232&lt;&gt;"Sub","",N($X232)*IF(AND(ISNUMBER($G232),$G232&lt;=IF($S232=MesCiclo,InicioCiclo,$S232+MOD(2-WEEKDAY($S232),7))+6),1,MIN(1,MAX(0,IF(ISNUMBER(OFFSET($A$1,ROW()-1,8)),OFFSET($A$1,ROW()-1,8),0)))))</f>
        <v/>
      </c>
      <c r="AE232" s="62">
        <f>IF($V232&lt;&gt;"Sub","",N($X232)*IF(AND(ISNUMBER($G232),$G232&lt;=IF($S232=MesCiclo,InicioCiclo,$S232+MOD(2-WEEKDAY($S232),7))+13),1,MIN(1,MAX(0,IF(ISNUMBER(OFFSET($A$1,ROW()-1,9)),OFFSET($A$1,ROW()-1,9),IF(ISNUMBER(OFFSET($A$1,ROW()-1,8)),OFFSET($A$1,ROW()-1,8),0))))))</f>
        <v/>
      </c>
      <c r="AF232" s="62">
        <f>IF($V232&lt;&gt;"Sub","",N($X232)*IF(AND(ISNUMBER($G232),$G232&lt;=IF($S232=MesCiclo,InicioCiclo,$S232+MOD(2-WEEKDAY($S232),7))+20),1,MIN(1,MAX(0,IF(ISNUMBER(OFFSET($A$1,ROW()-1,10)),OFFSET($A$1,ROW()-1,10),IF(ISNUMBER(OFFSET($A$1,ROW()-1,9)),OFFSET($A$1,ROW()-1,9),IF(ISNUMBER(OFFSET($A$1,ROW()-1,8)),OFFSET($A$1,ROW()-1,8),0)))))))</f>
        <v/>
      </c>
      <c r="AG232" s="62">
        <f>IF($V232&lt;&gt;"Sub","",N($X232)*IF(AND(ISNUMBER($G232),$G232&lt;=IF($S232=MesCiclo,InicioCiclo,$S232+MOD(2-WEEKDAY($S232),7))+27),1,MIN(1,MAX(0,IF(ISNUMBER(OFFSET($A$1,ROW()-1,11)),OFFSET($A$1,ROW()-1,11),IF(ISNUMBER(OFFSET($A$1,ROW()-1,10)),OFFSET($A$1,ROW()-1,10),IF(ISNUMBER(OFFSET($A$1,ROW()-1,9)),OFFSET($A$1,ROW()-1,9),IF(ISNUMBER(OFFSET($A$1,ROW()-1,8)),OFFSET($A$1,ROW()-1,8),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",IFERROR(MATCH("Riesgo Normativo|"&amp;MID($C232,12,500),rDname_ADM,0),0),"")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IF(N($W233)=0,"",IF(AND($S233=MesCiclo,1&gt;SemanaActual),"",MIN(1,SUMIFS(OFFSET($A$1,ROW(),29,1000-ROW(),1),OFFSET($A$1,ROW(),20,1000-ROW(),1),ROW(),OFFSET($A$1,ROW(),21,1000-ROW(),1),"Sub"))))</f>
        <v/>
      </c>
      <c r="J233" s="60">
        <f>IF(N($W233)=0,"",IF(AND($S233=MesCiclo,2&gt;SemanaActual),"",MIN(1,SUMIFS(OFFSET($A$1,ROW(),30,1000-ROW(),1),OFFSET($A$1,ROW(),20,1000-ROW(),1),ROW(),OFFSET($A$1,ROW(),21,1000-ROW(),1),"Sub"))))</f>
        <v/>
      </c>
      <c r="K233" s="60">
        <f>IF(N($W233)=0,"",IF(AND($S233=MesCiclo,3&gt;SemanaActual),"",MIN(1,SUMIFS(OFFSET($A$1,ROW(),31,1000-ROW(),1),OFFSET($A$1,ROW(),20,1000-ROW(),1),ROW(),OFFSET($A$1,ROW(),21,1000-ROW(),1),"Sub"))))</f>
        <v/>
      </c>
      <c r="L233" s="60">
        <f>IF(N($W233)=0,"",IF(AND($S233=MesCiclo,4&gt;SemanaActual),"",MIN(1,SUMIFS(OFFSET($A$1,ROW(),32,1000-ROW(),1),OFFSET($A$1,ROW(),20,1000-ROW(),1),ROW(),OFFSET($A$1,ROW(),21,1000-ROW(),1),"Sub"))))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IF($V233&lt;&gt;"Sub","",N($X233)*IF(AND(ISNUMBER($G233),$G233&lt;=IF($S233=MesCiclo,InicioCiclo,$S233+MOD(2-WEEKDAY($S233),7))+6),1,MIN(1,MAX(0,IF(ISNUMBER(OFFSET($A$1,ROW()-1,8)),OFFSET($A$1,ROW()-1,8),0)))))</f>
        <v/>
      </c>
      <c r="AE233" s="62">
        <f>IF($V233&lt;&gt;"Sub","",N($X233)*IF(AND(ISNUMBER($G233),$G233&lt;=IF($S233=MesCiclo,InicioCiclo,$S233+MOD(2-WEEKDAY($S233),7))+13),1,MIN(1,MAX(0,IF(ISNUMBER(OFFSET($A$1,ROW()-1,9)),OFFSET($A$1,ROW()-1,9),IF(ISNUMBER(OFFSET($A$1,ROW()-1,8)),OFFSET($A$1,ROW()-1,8),0))))))</f>
        <v/>
      </c>
      <c r="AF233" s="62">
        <f>IF($V233&lt;&gt;"Sub","",N($X233)*IF(AND(ISNUMBER($G233),$G233&lt;=IF($S233=MesCiclo,InicioCiclo,$S233+MOD(2-WEEKDAY($S233),7))+20),1,MIN(1,MAX(0,IF(ISNUMBER(OFFSET($A$1,ROW()-1,10)),OFFSET($A$1,ROW()-1,10),IF(ISNUMBER(OFFSET($A$1,ROW()-1,9)),OFFSET($A$1,ROW()-1,9),IF(ISNUMBER(OFFSET($A$1,ROW()-1,8)),OFFSET($A$1,ROW()-1,8),0)))))))</f>
        <v/>
      </c>
      <c r="AG233" s="62">
        <f>IF($V233&lt;&gt;"Sub","",N($X233)*IF(AND(ISNUMBER($G233),$G233&lt;=IF($S233=MesCiclo,InicioCiclo,$S233+MOD(2-WEEKDAY($S233),7))+27),1,MIN(1,MAX(0,IF(ISNUMBER(OFFSET($A$1,ROW()-1,11)),OFFSET($A$1,ROW()-1,11),IF(ISNUMBER(OFFSET($A$1,ROW()-1,10)),OFFSET($A$1,ROW()-1,10),IF(ISNUMBER(OFFSET($A$1,ROW()-1,9)),OFFSET($A$1,ROW()-1,9),IF(ISNUMBER(OFFSET($A$1,ROW()-1,8)),OFFSET($A$1,ROW()-1,8),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",IFERROR(MATCH("Riesgo Normativo|"&amp;MID($C233,12,500),rDname_ADM,0),0),"")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IF(N($W234)=0,"",IF(AND($S234=MesCiclo,1&gt;SemanaActual),"",MIN(1,SUMIFS(OFFSET($A$1,ROW(),29,1000-ROW(),1),OFFSET($A$1,ROW(),20,1000-ROW(),1),ROW(),OFFSET($A$1,ROW(),21,1000-ROW(),1),"Sub"))))</f>
        <v/>
      </c>
      <c r="J234" s="60">
        <f>IF(N($W234)=0,"",IF(AND($S234=MesCiclo,2&gt;SemanaActual),"",MIN(1,SUMIFS(OFFSET($A$1,ROW(),30,1000-ROW(),1),OFFSET($A$1,ROW(),20,1000-ROW(),1),ROW(),OFFSET($A$1,ROW(),21,1000-ROW(),1),"Sub"))))</f>
        <v/>
      </c>
      <c r="K234" s="60">
        <f>IF(N($W234)=0,"",IF(AND($S234=MesCiclo,3&gt;SemanaActual),"",MIN(1,SUMIFS(OFFSET($A$1,ROW(),31,1000-ROW(),1),OFFSET($A$1,ROW(),20,1000-ROW(),1),ROW(),OFFSET($A$1,ROW(),21,1000-ROW(),1),"Sub"))))</f>
        <v/>
      </c>
      <c r="L234" s="60">
        <f>IF(N($W234)=0,"",IF(AND($S234=MesCiclo,4&gt;SemanaActual),"",MIN(1,SUMIFS(OFFSET($A$1,ROW(),32,1000-ROW(),1),OFFSET($A$1,ROW(),20,1000-ROW(),1),ROW(),OFFSET($A$1,ROW(),21,1000-ROW(),1),"Sub"))))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IF($V234&lt;&gt;"Sub","",N($X234)*IF(AND(ISNUMBER($G234),$G234&lt;=IF($S234=MesCiclo,InicioCiclo,$S234+MOD(2-WEEKDAY($S234),7))+6),1,MIN(1,MAX(0,IF(ISNUMBER(OFFSET($A$1,ROW()-1,8)),OFFSET($A$1,ROW()-1,8),0)))))</f>
        <v/>
      </c>
      <c r="AE234" s="62">
        <f>IF($V234&lt;&gt;"Sub","",N($X234)*IF(AND(ISNUMBER($G234),$G234&lt;=IF($S234=MesCiclo,InicioCiclo,$S234+MOD(2-WEEKDAY($S234),7))+13),1,MIN(1,MAX(0,IF(ISNUMBER(OFFSET($A$1,ROW()-1,9)),OFFSET($A$1,ROW()-1,9),IF(ISNUMBER(OFFSET($A$1,ROW()-1,8)),OFFSET($A$1,ROW()-1,8),0))))))</f>
        <v/>
      </c>
      <c r="AF234" s="62">
        <f>IF($V234&lt;&gt;"Sub","",N($X234)*IF(AND(ISNUMBER($G234),$G234&lt;=IF($S234=MesCiclo,InicioCiclo,$S234+MOD(2-WEEKDAY($S234),7))+20),1,MIN(1,MAX(0,IF(ISNUMBER(OFFSET($A$1,ROW()-1,10)),OFFSET($A$1,ROW()-1,10),IF(ISNUMBER(OFFSET($A$1,ROW()-1,9)),OFFSET($A$1,ROW()-1,9),IF(ISNUMBER(OFFSET($A$1,ROW()-1,8)),OFFSET($A$1,ROW()-1,8),0)))))))</f>
        <v/>
      </c>
      <c r="AG234" s="62">
        <f>IF($V234&lt;&gt;"Sub","",N($X234)*IF(AND(ISNUMBER($G234),$G234&lt;=IF($S234=MesCiclo,InicioCiclo,$S234+MOD(2-WEEKDAY($S234),7))+27),1,MIN(1,MAX(0,IF(ISNUMBER(OFFSET($A$1,ROW()-1,11)),OFFSET($A$1,ROW()-1,11),IF(ISNUMBER(OFFSET($A$1,ROW()-1,10)),OFFSET($A$1,ROW()-1,10),IF(ISNUMBER(OFFSET($A$1,ROW()-1,9)),OFFSET($A$1,ROW()-1,9),IF(ISNUMBER(OFFSET($A$1,ROW()-1,8)),OFFSET($A$1,ROW()-1,8),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",IFERROR(MATCH("Riesgo Normativo|"&amp;MID($C234,12,500),rDname_ADM,0),0),"")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IF(N($W235)=0,"",IF(AND($S235=MesCiclo,1&gt;SemanaActual),"",MIN(1,SUMIFS(OFFSET($A$1,ROW(),29,1000-ROW(),1),OFFSET($A$1,ROW(),20,1000-ROW(),1),ROW(),OFFSET($A$1,ROW(),21,1000-ROW(),1),"Sub"))))</f>
        <v/>
      </c>
      <c r="J235" s="60">
        <f>IF(N($W235)=0,"",IF(AND($S235=MesCiclo,2&gt;SemanaActual),"",MIN(1,SUMIFS(OFFSET($A$1,ROW(),30,1000-ROW(),1),OFFSET($A$1,ROW(),20,1000-ROW(),1),ROW(),OFFSET($A$1,ROW(),21,1000-ROW(),1),"Sub"))))</f>
        <v/>
      </c>
      <c r="K235" s="60">
        <f>IF(N($W235)=0,"",IF(AND($S235=MesCiclo,3&gt;SemanaActual),"",MIN(1,SUMIFS(OFFSET($A$1,ROW(),31,1000-ROW(),1),OFFSET($A$1,ROW(),20,1000-ROW(),1),ROW(),OFFSET($A$1,ROW(),21,1000-ROW(),1),"Sub"))))</f>
        <v/>
      </c>
      <c r="L235" s="60">
        <f>IF(N($W235)=0,"",IF(AND($S235=MesCiclo,4&gt;SemanaActual),"",MIN(1,SUMIFS(OFFSET($A$1,ROW(),32,1000-ROW(),1),OFFSET($A$1,ROW(),20,1000-ROW(),1),ROW(),OFFSET($A$1,ROW(),21,1000-ROW(),1),"Sub"))))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IF($V235&lt;&gt;"Sub","",N($X235)*IF(AND(ISNUMBER($G235),$G235&lt;=IF($S235=MesCiclo,InicioCiclo,$S235+MOD(2-WEEKDAY($S235),7))+6),1,MIN(1,MAX(0,IF(ISNUMBER(OFFSET($A$1,ROW()-1,8)),OFFSET($A$1,ROW()-1,8),0)))))</f>
        <v/>
      </c>
      <c r="AE235" s="62">
        <f>IF($V235&lt;&gt;"Sub","",N($X235)*IF(AND(ISNUMBER($G235),$G235&lt;=IF($S235=MesCiclo,InicioCiclo,$S235+MOD(2-WEEKDAY($S235),7))+13),1,MIN(1,MAX(0,IF(ISNUMBER(OFFSET($A$1,ROW()-1,9)),OFFSET($A$1,ROW()-1,9),IF(ISNUMBER(OFFSET($A$1,ROW()-1,8)),OFFSET($A$1,ROW()-1,8),0))))))</f>
        <v/>
      </c>
      <c r="AF235" s="62">
        <f>IF($V235&lt;&gt;"Sub","",N($X235)*IF(AND(ISNUMBER($G235),$G235&lt;=IF($S235=MesCiclo,InicioCiclo,$S235+MOD(2-WEEKDAY($S235),7))+20),1,MIN(1,MAX(0,IF(ISNUMBER(OFFSET($A$1,ROW()-1,10)),OFFSET($A$1,ROW()-1,10),IF(ISNUMBER(OFFSET($A$1,ROW()-1,9)),OFFSET($A$1,ROW()-1,9),IF(ISNUMBER(OFFSET($A$1,ROW()-1,8)),OFFSET($A$1,ROW()-1,8),0)))))))</f>
        <v/>
      </c>
      <c r="AG235" s="62">
        <f>IF($V235&lt;&gt;"Sub","",N($X235)*IF(AND(ISNUMBER($G235),$G235&lt;=IF($S235=MesCiclo,InicioCiclo,$S235+MOD(2-WEEKDAY($S235),7))+27),1,MIN(1,MAX(0,IF(ISNUMBER(OFFSET($A$1,ROW()-1,11)),OFFSET($A$1,ROW()-1,11),IF(ISNUMBER(OFFSET($A$1,ROW()-1,10)),OFFSET($A$1,ROW()-1,10),IF(ISNUMBER(OFFSET($A$1,ROW()-1,9)),OFFSET($A$1,ROW()-1,9),IF(ISNUMBER(OFFSET($A$1,ROW()-1,8)),OFFSET($A$1,ROW()-1,8),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",IFERROR(MATCH("Riesgo Normativo|"&amp;MID($C235,12,500),rDname_ADM,0),0),"")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IF(N($W236)=0,"",IF(AND($S236=MesCiclo,1&gt;SemanaActual),"",MIN(1,SUMIFS(OFFSET($A$1,ROW(),29,1000-ROW(),1),OFFSET($A$1,ROW(),20,1000-ROW(),1),ROW(),OFFSET($A$1,ROW(),21,1000-ROW(),1),"Sub"))))</f>
        <v/>
      </c>
      <c r="J236" s="60">
        <f>IF(N($W236)=0,"",IF(AND($S236=MesCiclo,2&gt;SemanaActual),"",MIN(1,SUMIFS(OFFSET($A$1,ROW(),30,1000-ROW(),1),OFFSET($A$1,ROW(),20,1000-ROW(),1),ROW(),OFFSET($A$1,ROW(),21,1000-ROW(),1),"Sub"))))</f>
        <v/>
      </c>
      <c r="K236" s="60">
        <f>IF(N($W236)=0,"",IF(AND($S236=MesCiclo,3&gt;SemanaActual),"",MIN(1,SUMIFS(OFFSET($A$1,ROW(),31,1000-ROW(),1),OFFSET($A$1,ROW(),20,1000-ROW(),1),ROW(),OFFSET($A$1,ROW(),21,1000-ROW(),1),"Sub"))))</f>
        <v/>
      </c>
      <c r="L236" s="60">
        <f>IF(N($W236)=0,"",IF(AND($S236=MesCiclo,4&gt;SemanaActual),"",MIN(1,SUMIFS(OFFSET($A$1,ROW(),32,1000-ROW(),1),OFFSET($A$1,ROW(),20,1000-ROW(),1),ROW(),OFFSET($A$1,ROW(),21,1000-ROW(),1),"Sub"))))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IF($V236&lt;&gt;"Sub","",N($X236)*IF(AND(ISNUMBER($G236),$G236&lt;=IF($S236=MesCiclo,InicioCiclo,$S236+MOD(2-WEEKDAY($S236),7))+6),1,MIN(1,MAX(0,IF(ISNUMBER(OFFSET($A$1,ROW()-1,8)),OFFSET($A$1,ROW()-1,8),0)))))</f>
        <v/>
      </c>
      <c r="AE236" s="62">
        <f>IF($V236&lt;&gt;"Sub","",N($X236)*IF(AND(ISNUMBER($G236),$G236&lt;=IF($S236=MesCiclo,InicioCiclo,$S236+MOD(2-WEEKDAY($S236),7))+13),1,MIN(1,MAX(0,IF(ISNUMBER(OFFSET($A$1,ROW()-1,9)),OFFSET($A$1,ROW()-1,9),IF(ISNUMBER(OFFSET($A$1,ROW()-1,8)),OFFSET($A$1,ROW()-1,8),0))))))</f>
        <v/>
      </c>
      <c r="AF236" s="62">
        <f>IF($V236&lt;&gt;"Sub","",N($X236)*IF(AND(ISNUMBER($G236),$G236&lt;=IF($S236=MesCiclo,InicioCiclo,$S236+MOD(2-WEEKDAY($S236),7))+20),1,MIN(1,MAX(0,IF(ISNUMBER(OFFSET($A$1,ROW()-1,10)),OFFSET($A$1,ROW()-1,10),IF(ISNUMBER(OFFSET($A$1,ROW()-1,9)),OFFSET($A$1,ROW()-1,9),IF(ISNUMBER(OFFSET($A$1,ROW()-1,8)),OFFSET($A$1,ROW()-1,8),0)))))))</f>
        <v/>
      </c>
      <c r="AG236" s="62">
        <f>IF($V236&lt;&gt;"Sub","",N($X236)*IF(AND(ISNUMBER($G236),$G236&lt;=IF($S236=MesCiclo,InicioCiclo,$S236+MOD(2-WEEKDAY($S236),7))+27),1,MIN(1,MAX(0,IF(ISNUMBER(OFFSET($A$1,ROW()-1,11)),OFFSET($A$1,ROW()-1,11),IF(ISNUMBER(OFFSET($A$1,ROW()-1,10)),OFFSET($A$1,ROW()-1,10),IF(ISNUMBER(OFFSET($A$1,ROW()-1,9)),OFFSET($A$1,ROW()-1,9),IF(ISNUMBER(OFFSET($A$1,ROW()-1,8)),OFFSET($A$1,ROW()-1,8),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",IFERROR(MATCH("Riesgo Normativo|"&amp;MID($C236,12,500),rDname_ADM,0),0),"")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IF(N($W237)=0,"",IF(AND($S237=MesCiclo,1&gt;SemanaActual),"",MIN(1,SUMIFS(OFFSET($A$1,ROW(),29,1000-ROW(),1),OFFSET($A$1,ROW(),20,1000-ROW(),1),ROW(),OFFSET($A$1,ROW(),21,1000-ROW(),1),"Sub"))))</f>
        <v/>
      </c>
      <c r="J237" s="60">
        <f>IF(N($W237)=0,"",IF(AND($S237=MesCiclo,2&gt;SemanaActual),"",MIN(1,SUMIFS(OFFSET($A$1,ROW(),30,1000-ROW(),1),OFFSET($A$1,ROW(),20,1000-ROW(),1),ROW(),OFFSET($A$1,ROW(),21,1000-ROW(),1),"Sub"))))</f>
        <v/>
      </c>
      <c r="K237" s="60">
        <f>IF(N($W237)=0,"",IF(AND($S237=MesCiclo,3&gt;SemanaActual),"",MIN(1,SUMIFS(OFFSET($A$1,ROW(),31,1000-ROW(),1),OFFSET($A$1,ROW(),20,1000-ROW(),1),ROW(),OFFSET($A$1,ROW(),21,1000-ROW(),1),"Sub"))))</f>
        <v/>
      </c>
      <c r="L237" s="60">
        <f>IF(N($W237)=0,"",IF(AND($S237=MesCiclo,4&gt;SemanaActual),"",MIN(1,SUMIFS(OFFSET($A$1,ROW(),32,1000-ROW(),1),OFFSET($A$1,ROW(),20,1000-ROW(),1),ROW(),OFFSET($A$1,ROW(),21,1000-ROW(),1),"Sub"))))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IF($V237&lt;&gt;"Sub","",N($X237)*IF(AND(ISNUMBER($G237),$G237&lt;=IF($S237=MesCiclo,InicioCiclo,$S237+MOD(2-WEEKDAY($S237),7))+6),1,MIN(1,MAX(0,IF(ISNUMBER(OFFSET($A$1,ROW()-1,8)),OFFSET($A$1,ROW()-1,8),0)))))</f>
        <v/>
      </c>
      <c r="AE237" s="62">
        <f>IF($V237&lt;&gt;"Sub","",N($X237)*IF(AND(ISNUMBER($G237),$G237&lt;=IF($S237=MesCiclo,InicioCiclo,$S237+MOD(2-WEEKDAY($S237),7))+13),1,MIN(1,MAX(0,IF(ISNUMBER(OFFSET($A$1,ROW()-1,9)),OFFSET($A$1,ROW()-1,9),IF(ISNUMBER(OFFSET($A$1,ROW()-1,8)),OFFSET($A$1,ROW()-1,8),0))))))</f>
        <v/>
      </c>
      <c r="AF237" s="62">
        <f>IF($V237&lt;&gt;"Sub","",N($X237)*IF(AND(ISNUMBER($G237),$G237&lt;=IF($S237=MesCiclo,InicioCiclo,$S237+MOD(2-WEEKDAY($S237),7))+20),1,MIN(1,MAX(0,IF(ISNUMBER(OFFSET($A$1,ROW()-1,10)),OFFSET($A$1,ROW()-1,10),IF(ISNUMBER(OFFSET($A$1,ROW()-1,9)),OFFSET($A$1,ROW()-1,9),IF(ISNUMBER(OFFSET($A$1,ROW()-1,8)),OFFSET($A$1,ROW()-1,8),0)))))))</f>
        <v/>
      </c>
      <c r="AG237" s="62">
        <f>IF($V237&lt;&gt;"Sub","",N($X237)*IF(AND(ISNUMBER($G237),$G237&lt;=IF($S237=MesCiclo,InicioCiclo,$S237+MOD(2-WEEKDAY($S237),7))+27),1,MIN(1,MAX(0,IF(ISNUMBER(OFFSET($A$1,ROW()-1,11)),OFFSET($A$1,ROW()-1,11),IF(ISNUMBER(OFFSET($A$1,ROW()-1,10)),OFFSET($A$1,ROW()-1,10),IF(ISNUMBER(OFFSET($A$1,ROW()-1,9)),OFFSET($A$1,ROW()-1,9),IF(ISNUMBER(OFFSET($A$1,ROW()-1,8)),OFFSET($A$1,ROW()-1,8),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",IFERROR(MATCH("Riesgo Normativo|"&amp;MID($C237,12,500),rDname_ADM,0),0),"")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IF(N($W238)=0,"",IF(AND($S238=MesCiclo,1&gt;SemanaActual),"",MIN(1,SUMIFS(OFFSET($A$1,ROW(),29,1000-ROW(),1),OFFSET($A$1,ROW(),20,1000-ROW(),1),ROW(),OFFSET($A$1,ROW(),21,1000-ROW(),1),"Sub"))))</f>
        <v/>
      </c>
      <c r="J238" s="60">
        <f>IF(N($W238)=0,"",IF(AND($S238=MesCiclo,2&gt;SemanaActual),"",MIN(1,SUMIFS(OFFSET($A$1,ROW(),30,1000-ROW(),1),OFFSET($A$1,ROW(),20,1000-ROW(),1),ROW(),OFFSET($A$1,ROW(),21,1000-ROW(),1),"Sub"))))</f>
        <v/>
      </c>
      <c r="K238" s="60">
        <f>IF(N($W238)=0,"",IF(AND($S238=MesCiclo,3&gt;SemanaActual),"",MIN(1,SUMIFS(OFFSET($A$1,ROW(),31,1000-ROW(),1),OFFSET($A$1,ROW(),20,1000-ROW(),1),ROW(),OFFSET($A$1,ROW(),21,1000-ROW(),1),"Sub"))))</f>
        <v/>
      </c>
      <c r="L238" s="60">
        <f>IF(N($W238)=0,"",IF(AND($S238=MesCiclo,4&gt;SemanaActual),"",MIN(1,SUMIFS(OFFSET($A$1,ROW(),32,1000-ROW(),1),OFFSET($A$1,ROW(),20,1000-ROW(),1),ROW(),OFFSET($A$1,ROW(),21,1000-ROW(),1),"Sub"))))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IF($V238&lt;&gt;"Sub","",N($X238)*IF(AND(ISNUMBER($G238),$G238&lt;=IF($S238=MesCiclo,InicioCiclo,$S238+MOD(2-WEEKDAY($S238),7))+6),1,MIN(1,MAX(0,IF(ISNUMBER(OFFSET($A$1,ROW()-1,8)),OFFSET($A$1,ROW()-1,8),0)))))</f>
        <v/>
      </c>
      <c r="AE238" s="62">
        <f>IF($V238&lt;&gt;"Sub","",N($X238)*IF(AND(ISNUMBER($G238),$G238&lt;=IF($S238=MesCiclo,InicioCiclo,$S238+MOD(2-WEEKDAY($S238),7))+13),1,MIN(1,MAX(0,IF(ISNUMBER(OFFSET($A$1,ROW()-1,9)),OFFSET($A$1,ROW()-1,9),IF(ISNUMBER(OFFSET($A$1,ROW()-1,8)),OFFSET($A$1,ROW()-1,8),0))))))</f>
        <v/>
      </c>
      <c r="AF238" s="62">
        <f>IF($V238&lt;&gt;"Sub","",N($X238)*IF(AND(ISNUMBER($G238),$G238&lt;=IF($S238=MesCiclo,InicioCiclo,$S238+MOD(2-WEEKDAY($S238),7))+20),1,MIN(1,MAX(0,IF(ISNUMBER(OFFSET($A$1,ROW()-1,10)),OFFSET($A$1,ROW()-1,10),IF(ISNUMBER(OFFSET($A$1,ROW()-1,9)),OFFSET($A$1,ROW()-1,9),IF(ISNUMBER(OFFSET($A$1,ROW()-1,8)),OFFSET($A$1,ROW()-1,8),0)))))))</f>
        <v/>
      </c>
      <c r="AG238" s="62">
        <f>IF($V238&lt;&gt;"Sub","",N($X238)*IF(AND(ISNUMBER($G238),$G238&lt;=IF($S238=MesCiclo,InicioCiclo,$S238+MOD(2-WEEKDAY($S238),7))+27),1,MIN(1,MAX(0,IF(ISNUMBER(OFFSET($A$1,ROW()-1,11)),OFFSET($A$1,ROW()-1,11),IF(ISNUMBER(OFFSET($A$1,ROW()-1,10)),OFFSET($A$1,ROW()-1,10),IF(ISNUMBER(OFFSET($A$1,ROW()-1,9)),OFFSET($A$1,ROW()-1,9),IF(ISNUMBER(OFFSET($A$1,ROW()-1,8)),OFFSET($A$1,ROW()-1,8),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",IFERROR(MATCH("Riesgo Normativo|"&amp;MID($C238,12,500),rDname_ADM,0),0),"")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IF(N($W239)=0,"",IF(AND($S239=MesCiclo,1&gt;SemanaActual),"",MIN(1,SUMIFS(OFFSET($A$1,ROW(),29,1000-ROW(),1),OFFSET($A$1,ROW(),20,1000-ROW(),1),ROW(),OFFSET($A$1,ROW(),21,1000-ROW(),1),"Sub"))))</f>
        <v/>
      </c>
      <c r="J239" s="60">
        <f>IF(N($W239)=0,"",IF(AND($S239=MesCiclo,2&gt;SemanaActual),"",MIN(1,SUMIFS(OFFSET($A$1,ROW(),30,1000-ROW(),1),OFFSET($A$1,ROW(),20,1000-ROW(),1),ROW(),OFFSET($A$1,ROW(),21,1000-ROW(),1),"Sub"))))</f>
        <v/>
      </c>
      <c r="K239" s="60">
        <f>IF(N($W239)=0,"",IF(AND($S239=MesCiclo,3&gt;SemanaActual),"",MIN(1,SUMIFS(OFFSET($A$1,ROW(),31,1000-ROW(),1),OFFSET($A$1,ROW(),20,1000-ROW(),1),ROW(),OFFSET($A$1,ROW(),21,1000-ROW(),1),"Sub"))))</f>
        <v/>
      </c>
      <c r="L239" s="60">
        <f>IF(N($W239)=0,"",IF(AND($S239=MesCiclo,4&gt;SemanaActual),"",MIN(1,SUMIFS(OFFSET($A$1,ROW(),32,1000-ROW(),1),OFFSET($A$1,ROW(),20,1000-ROW(),1),ROW(),OFFSET($A$1,ROW(),21,1000-ROW(),1),"Sub"))))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IF($V239&lt;&gt;"Sub","",N($X239)*IF(AND(ISNUMBER($G239),$G239&lt;=IF($S239=MesCiclo,InicioCiclo,$S239+MOD(2-WEEKDAY($S239),7))+6),1,MIN(1,MAX(0,IF(ISNUMBER(OFFSET($A$1,ROW()-1,8)),OFFSET($A$1,ROW()-1,8),0)))))</f>
        <v/>
      </c>
      <c r="AE239" s="62">
        <f>IF($V239&lt;&gt;"Sub","",N($X239)*IF(AND(ISNUMBER($G239),$G239&lt;=IF($S239=MesCiclo,InicioCiclo,$S239+MOD(2-WEEKDAY($S239),7))+13),1,MIN(1,MAX(0,IF(ISNUMBER(OFFSET($A$1,ROW()-1,9)),OFFSET($A$1,ROW()-1,9),IF(ISNUMBER(OFFSET($A$1,ROW()-1,8)),OFFSET($A$1,ROW()-1,8),0))))))</f>
        <v/>
      </c>
      <c r="AF239" s="62">
        <f>IF($V239&lt;&gt;"Sub","",N($X239)*IF(AND(ISNUMBER($G239),$G239&lt;=IF($S239=MesCiclo,InicioCiclo,$S239+MOD(2-WEEKDAY($S239),7))+20),1,MIN(1,MAX(0,IF(ISNUMBER(OFFSET($A$1,ROW()-1,10)),OFFSET($A$1,ROW()-1,10),IF(ISNUMBER(OFFSET($A$1,ROW()-1,9)),OFFSET($A$1,ROW()-1,9),IF(ISNUMBER(OFFSET($A$1,ROW()-1,8)),OFFSET($A$1,ROW()-1,8),0)))))))</f>
        <v/>
      </c>
      <c r="AG239" s="62">
        <f>IF($V239&lt;&gt;"Sub","",N($X239)*IF(AND(ISNUMBER($G239),$G239&lt;=IF($S239=MesCiclo,InicioCiclo,$S239+MOD(2-WEEKDAY($S239),7))+27),1,MIN(1,MAX(0,IF(ISNUMBER(OFFSET($A$1,ROW()-1,11)),OFFSET($A$1,ROW()-1,11),IF(ISNUMBER(OFFSET($A$1,ROW()-1,10)),OFFSET($A$1,ROW()-1,10),IF(ISNUMBER(OFFSET($A$1,ROW()-1,9)),OFFSET($A$1,ROW()-1,9),IF(ISNUMBER(OFFSET($A$1,ROW()-1,8)),OFFSET($A$1,ROW()-1,8),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",IFERROR(MATCH("Riesgo Normativo|"&amp;MID($C239,12,500),rDname_ADM,0),0),"")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IF(N($W240)=0,"",IF(AND($S240=MesCiclo,1&gt;SemanaActual),"",MIN(1,SUMIFS(OFFSET($A$1,ROW(),29,1000-ROW(),1),OFFSET($A$1,ROW(),20,1000-ROW(),1),ROW(),OFFSET($A$1,ROW(),21,1000-ROW(),1),"Sub"))))</f>
        <v/>
      </c>
      <c r="J240" s="60">
        <f>IF(N($W240)=0,"",IF(AND($S240=MesCiclo,2&gt;SemanaActual),"",MIN(1,SUMIFS(OFFSET($A$1,ROW(),30,1000-ROW(),1),OFFSET($A$1,ROW(),20,1000-ROW(),1),ROW(),OFFSET($A$1,ROW(),21,1000-ROW(),1),"Sub"))))</f>
        <v/>
      </c>
      <c r="K240" s="60">
        <f>IF(N($W240)=0,"",IF(AND($S240=MesCiclo,3&gt;SemanaActual),"",MIN(1,SUMIFS(OFFSET($A$1,ROW(),31,1000-ROW(),1),OFFSET($A$1,ROW(),20,1000-ROW(),1),ROW(),OFFSET($A$1,ROW(),21,1000-ROW(),1),"Sub"))))</f>
        <v/>
      </c>
      <c r="L240" s="60">
        <f>IF(N($W240)=0,"",IF(AND($S240=MesCiclo,4&gt;SemanaActual),"",MIN(1,SUMIFS(OFFSET($A$1,ROW(),32,1000-ROW(),1),OFFSET($A$1,ROW(),20,1000-ROW(),1),ROW(),OFFSET($A$1,ROW(),21,1000-ROW(),1),"Sub"))))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IF($V240&lt;&gt;"Sub","",N($X240)*IF(AND(ISNUMBER($G240),$G240&lt;=IF($S240=MesCiclo,InicioCiclo,$S240+MOD(2-WEEKDAY($S240),7))+6),1,MIN(1,MAX(0,IF(ISNUMBER(OFFSET($A$1,ROW()-1,8)),OFFSET($A$1,ROW()-1,8),0)))))</f>
        <v/>
      </c>
      <c r="AE240" s="62">
        <f>IF($V240&lt;&gt;"Sub","",N($X240)*IF(AND(ISNUMBER($G240),$G240&lt;=IF($S240=MesCiclo,InicioCiclo,$S240+MOD(2-WEEKDAY($S240),7))+13),1,MIN(1,MAX(0,IF(ISNUMBER(OFFSET($A$1,ROW()-1,9)),OFFSET($A$1,ROW()-1,9),IF(ISNUMBER(OFFSET($A$1,ROW()-1,8)),OFFSET($A$1,ROW()-1,8),0))))))</f>
        <v/>
      </c>
      <c r="AF240" s="62">
        <f>IF($V240&lt;&gt;"Sub","",N($X240)*IF(AND(ISNUMBER($G240),$G240&lt;=IF($S240=MesCiclo,InicioCiclo,$S240+MOD(2-WEEKDAY($S240),7))+20),1,MIN(1,MAX(0,IF(ISNUMBER(OFFSET($A$1,ROW()-1,10)),OFFSET($A$1,ROW()-1,10),IF(ISNUMBER(OFFSET($A$1,ROW()-1,9)),OFFSET($A$1,ROW()-1,9),IF(ISNUMBER(OFFSET($A$1,ROW()-1,8)),OFFSET($A$1,ROW()-1,8),0)))))))</f>
        <v/>
      </c>
      <c r="AG240" s="62">
        <f>IF($V240&lt;&gt;"Sub","",N($X240)*IF(AND(ISNUMBER($G240),$G240&lt;=IF($S240=MesCiclo,InicioCiclo,$S240+MOD(2-WEEKDAY($S240),7))+27),1,MIN(1,MAX(0,IF(ISNUMBER(OFFSET($A$1,ROW()-1,11)),OFFSET($A$1,ROW()-1,11),IF(ISNUMBER(OFFSET($A$1,ROW()-1,10)),OFFSET($A$1,ROW()-1,10),IF(ISNUMBER(OFFSET($A$1,ROW()-1,9)),OFFSET($A$1,ROW()-1,9),IF(ISNUMBER(OFFSET($A$1,ROW()-1,8)),OFFSET($A$1,ROW()-1,8),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",IFERROR(MATCH("Riesgo Normativo|"&amp;MID($C240,12,500),rDname_ADM,0),0),"")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IF(N($W241)=0,"",IF(AND($S241=MesCiclo,1&gt;SemanaActual),"",MIN(1,SUMIFS(OFFSET($A$1,ROW(),29,1000-ROW(),1),OFFSET($A$1,ROW(),20,1000-ROW(),1),ROW(),OFFSET($A$1,ROW(),21,1000-ROW(),1),"Sub"))))</f>
        <v/>
      </c>
      <c r="J241" s="60">
        <f>IF(N($W241)=0,"",IF(AND($S241=MesCiclo,2&gt;SemanaActual),"",MIN(1,SUMIFS(OFFSET($A$1,ROW(),30,1000-ROW(),1),OFFSET($A$1,ROW(),20,1000-ROW(),1),ROW(),OFFSET($A$1,ROW(),21,1000-ROW(),1),"Sub"))))</f>
        <v/>
      </c>
      <c r="K241" s="60">
        <f>IF(N($W241)=0,"",IF(AND($S241=MesCiclo,3&gt;SemanaActual),"",MIN(1,SUMIFS(OFFSET($A$1,ROW(),31,1000-ROW(),1),OFFSET($A$1,ROW(),20,1000-ROW(),1),ROW(),OFFSET($A$1,ROW(),21,1000-ROW(),1),"Sub"))))</f>
        <v/>
      </c>
      <c r="L241" s="60">
        <f>IF(N($W241)=0,"",IF(AND($S241=MesCiclo,4&gt;SemanaActual),"",MIN(1,SUMIFS(OFFSET($A$1,ROW(),32,1000-ROW(),1),OFFSET($A$1,ROW(),20,1000-ROW(),1),ROW(),OFFSET($A$1,ROW(),21,1000-ROW(),1),"Sub"))))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IF($V241&lt;&gt;"Sub","",N($X241)*IF(AND(ISNUMBER($G241),$G241&lt;=IF($S241=MesCiclo,InicioCiclo,$S241+MOD(2-WEEKDAY($S241),7))+6),1,MIN(1,MAX(0,IF(ISNUMBER(OFFSET($A$1,ROW()-1,8)),OFFSET($A$1,ROW()-1,8),0)))))</f>
        <v/>
      </c>
      <c r="AE241" s="62">
        <f>IF($V241&lt;&gt;"Sub","",N($X241)*IF(AND(ISNUMBER($G241),$G241&lt;=IF($S241=MesCiclo,InicioCiclo,$S241+MOD(2-WEEKDAY($S241),7))+13),1,MIN(1,MAX(0,IF(ISNUMBER(OFFSET($A$1,ROW()-1,9)),OFFSET($A$1,ROW()-1,9),IF(ISNUMBER(OFFSET($A$1,ROW()-1,8)),OFFSET($A$1,ROW()-1,8),0))))))</f>
        <v/>
      </c>
      <c r="AF241" s="62">
        <f>IF($V241&lt;&gt;"Sub","",N($X241)*IF(AND(ISNUMBER($G241),$G241&lt;=IF($S241=MesCiclo,InicioCiclo,$S241+MOD(2-WEEKDAY($S241),7))+20),1,MIN(1,MAX(0,IF(ISNUMBER(OFFSET($A$1,ROW()-1,10)),OFFSET($A$1,ROW()-1,10),IF(ISNUMBER(OFFSET($A$1,ROW()-1,9)),OFFSET($A$1,ROW()-1,9),IF(ISNUMBER(OFFSET($A$1,ROW()-1,8)),OFFSET($A$1,ROW()-1,8),0)))))))</f>
        <v/>
      </c>
      <c r="AG241" s="62">
        <f>IF($V241&lt;&gt;"Sub","",N($X241)*IF(AND(ISNUMBER($G241),$G241&lt;=IF($S241=MesCiclo,InicioCiclo,$S241+MOD(2-WEEKDAY($S241),7))+27),1,MIN(1,MAX(0,IF(ISNUMBER(OFFSET($A$1,ROW()-1,11)),OFFSET($A$1,ROW()-1,11),IF(ISNUMBER(OFFSET($A$1,ROW()-1,10)),OFFSET($A$1,ROW()-1,10),IF(ISNUMBER(OFFSET($A$1,ROW()-1,9)),OFFSET($A$1,ROW()-1,9),IF(ISNUMBER(OFFSET($A$1,ROW()-1,8)),OFFSET($A$1,ROW()-1,8),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",IFERROR(MATCH("Riesgo Normativo|"&amp;MID($C241,12,500),rDname_ADM,0),0),"")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IF(N($W242)=0,"",IF(AND($S242=MesCiclo,1&gt;SemanaActual),"",MIN(1,SUMIFS(OFFSET($A$1,ROW(),29,1000-ROW(),1),OFFSET($A$1,ROW(),20,1000-ROW(),1),ROW(),OFFSET($A$1,ROW(),21,1000-ROW(),1),"Sub"))))</f>
        <v/>
      </c>
      <c r="J242" s="60">
        <f>IF(N($W242)=0,"",IF(AND($S242=MesCiclo,2&gt;SemanaActual),"",MIN(1,SUMIFS(OFFSET($A$1,ROW(),30,1000-ROW(),1),OFFSET($A$1,ROW(),20,1000-ROW(),1),ROW(),OFFSET($A$1,ROW(),21,1000-ROW(),1),"Sub"))))</f>
        <v/>
      </c>
      <c r="K242" s="60">
        <f>IF(N($W242)=0,"",IF(AND($S242=MesCiclo,3&gt;SemanaActual),"",MIN(1,SUMIFS(OFFSET($A$1,ROW(),31,1000-ROW(),1),OFFSET($A$1,ROW(),20,1000-ROW(),1),ROW(),OFFSET($A$1,ROW(),21,1000-ROW(),1),"Sub"))))</f>
        <v/>
      </c>
      <c r="L242" s="60">
        <f>IF(N($W242)=0,"",IF(AND($S242=MesCiclo,4&gt;SemanaActual),"",MIN(1,SUMIFS(OFFSET($A$1,ROW(),32,1000-ROW(),1),OFFSET($A$1,ROW(),20,1000-ROW(),1),ROW(),OFFSET($A$1,ROW(),21,1000-ROW(),1),"Sub"))))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IF($V242&lt;&gt;"Sub","",N($X242)*IF(AND(ISNUMBER($G242),$G242&lt;=IF($S242=MesCiclo,InicioCiclo,$S242+MOD(2-WEEKDAY($S242),7))+6),1,MIN(1,MAX(0,IF(ISNUMBER(OFFSET($A$1,ROW()-1,8)),OFFSET($A$1,ROW()-1,8),0)))))</f>
        <v/>
      </c>
      <c r="AE242" s="62">
        <f>IF($V242&lt;&gt;"Sub","",N($X242)*IF(AND(ISNUMBER($G242),$G242&lt;=IF($S242=MesCiclo,InicioCiclo,$S242+MOD(2-WEEKDAY($S242),7))+13),1,MIN(1,MAX(0,IF(ISNUMBER(OFFSET($A$1,ROW()-1,9)),OFFSET($A$1,ROW()-1,9),IF(ISNUMBER(OFFSET($A$1,ROW()-1,8)),OFFSET($A$1,ROW()-1,8),0))))))</f>
        <v/>
      </c>
      <c r="AF242" s="62">
        <f>IF($V242&lt;&gt;"Sub","",N($X242)*IF(AND(ISNUMBER($G242),$G242&lt;=IF($S242=MesCiclo,InicioCiclo,$S242+MOD(2-WEEKDAY($S242),7))+20),1,MIN(1,MAX(0,IF(ISNUMBER(OFFSET($A$1,ROW()-1,10)),OFFSET($A$1,ROW()-1,10),IF(ISNUMBER(OFFSET($A$1,ROW()-1,9)),OFFSET($A$1,ROW()-1,9),IF(ISNUMBER(OFFSET($A$1,ROW()-1,8)),OFFSET($A$1,ROW()-1,8),0)))))))</f>
        <v/>
      </c>
      <c r="AG242" s="62">
        <f>IF($V242&lt;&gt;"Sub","",N($X242)*IF(AND(ISNUMBER($G242),$G242&lt;=IF($S242=MesCiclo,InicioCiclo,$S242+MOD(2-WEEKDAY($S242),7))+27),1,MIN(1,MAX(0,IF(ISNUMBER(OFFSET($A$1,ROW()-1,11)),OFFSET($A$1,ROW()-1,11),IF(ISNUMBER(OFFSET($A$1,ROW()-1,10)),OFFSET($A$1,ROW()-1,10),IF(ISNUMBER(OFFSET($A$1,ROW()-1,9)),OFFSET($A$1,ROW()-1,9),IF(ISNUMBER(OFFSET($A$1,ROW()-1,8)),OFFSET($A$1,ROW()-1,8),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",IFERROR(MATCH("Riesgo Normativo|"&amp;MID($C242,12,500),rDname_ADM,0),0),"")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IF(N($W243)=0,"",IF(AND($S243=MesCiclo,1&gt;SemanaActual),"",MIN(1,SUMIFS(OFFSET($A$1,ROW(),29,1000-ROW(),1),OFFSET($A$1,ROW(),20,1000-ROW(),1),ROW(),OFFSET($A$1,ROW(),21,1000-ROW(),1),"Sub"))))</f>
        <v/>
      </c>
      <c r="J243" s="60">
        <f>IF(N($W243)=0,"",IF(AND($S243=MesCiclo,2&gt;SemanaActual),"",MIN(1,SUMIFS(OFFSET($A$1,ROW(),30,1000-ROW(),1),OFFSET($A$1,ROW(),20,1000-ROW(),1),ROW(),OFFSET($A$1,ROW(),21,1000-ROW(),1),"Sub"))))</f>
        <v/>
      </c>
      <c r="K243" s="60">
        <f>IF(N($W243)=0,"",IF(AND($S243=MesCiclo,3&gt;SemanaActual),"",MIN(1,SUMIFS(OFFSET($A$1,ROW(),31,1000-ROW(),1),OFFSET($A$1,ROW(),20,1000-ROW(),1),ROW(),OFFSET($A$1,ROW(),21,1000-ROW(),1),"Sub"))))</f>
        <v/>
      </c>
      <c r="L243" s="60">
        <f>IF(N($W243)=0,"",IF(AND($S243=MesCiclo,4&gt;SemanaActual),"",MIN(1,SUMIFS(OFFSET($A$1,ROW(),32,1000-ROW(),1),OFFSET($A$1,ROW(),20,1000-ROW(),1),ROW(),OFFSET($A$1,ROW(),21,1000-ROW(),1),"Sub"))))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IF($V243&lt;&gt;"Sub","",N($X243)*IF(AND(ISNUMBER($G243),$G243&lt;=IF($S243=MesCiclo,InicioCiclo,$S243+MOD(2-WEEKDAY($S243),7))+6),1,MIN(1,MAX(0,IF(ISNUMBER(OFFSET($A$1,ROW()-1,8)),OFFSET($A$1,ROW()-1,8),0)))))</f>
        <v/>
      </c>
      <c r="AE243" s="62">
        <f>IF($V243&lt;&gt;"Sub","",N($X243)*IF(AND(ISNUMBER($G243),$G243&lt;=IF($S243=MesCiclo,InicioCiclo,$S243+MOD(2-WEEKDAY($S243),7))+13),1,MIN(1,MAX(0,IF(ISNUMBER(OFFSET($A$1,ROW()-1,9)),OFFSET($A$1,ROW()-1,9),IF(ISNUMBER(OFFSET($A$1,ROW()-1,8)),OFFSET($A$1,ROW()-1,8),0))))))</f>
        <v/>
      </c>
      <c r="AF243" s="62">
        <f>IF($V243&lt;&gt;"Sub","",N($X243)*IF(AND(ISNUMBER($G243),$G243&lt;=IF($S243=MesCiclo,InicioCiclo,$S243+MOD(2-WEEKDAY($S243),7))+20),1,MIN(1,MAX(0,IF(ISNUMBER(OFFSET($A$1,ROW()-1,10)),OFFSET($A$1,ROW()-1,10),IF(ISNUMBER(OFFSET($A$1,ROW()-1,9)),OFFSET($A$1,ROW()-1,9),IF(ISNUMBER(OFFSET($A$1,ROW()-1,8)),OFFSET($A$1,ROW()-1,8),0)))))))</f>
        <v/>
      </c>
      <c r="AG243" s="62">
        <f>IF($V243&lt;&gt;"Sub","",N($X243)*IF(AND(ISNUMBER($G243),$G243&lt;=IF($S243=MesCiclo,InicioCiclo,$S243+MOD(2-WEEKDAY($S243),7))+27),1,MIN(1,MAX(0,IF(ISNUMBER(OFFSET($A$1,ROW()-1,11)),OFFSET($A$1,ROW()-1,11),IF(ISNUMBER(OFFSET($A$1,ROW()-1,10)),OFFSET($A$1,ROW()-1,10),IF(ISNUMBER(OFFSET($A$1,ROW()-1,9)),OFFSET($A$1,ROW()-1,9),IF(ISNUMBER(OFFSET($A$1,ROW()-1,8)),OFFSET($A$1,ROW()-1,8),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",IFERROR(MATCH("Riesgo Normativo|"&amp;MID($C243,12,500),rDname_ADM,0),0),"")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IF(N($W244)=0,"",IF(AND($S244=MesCiclo,1&gt;SemanaActual),"",MIN(1,SUMIFS(OFFSET($A$1,ROW(),29,1000-ROW(),1),OFFSET($A$1,ROW(),20,1000-ROW(),1),ROW(),OFFSET($A$1,ROW(),21,1000-ROW(),1),"Sub"))))</f>
        <v/>
      </c>
      <c r="J244" s="60">
        <f>IF(N($W244)=0,"",IF(AND($S244=MesCiclo,2&gt;SemanaActual),"",MIN(1,SUMIFS(OFFSET($A$1,ROW(),30,1000-ROW(),1),OFFSET($A$1,ROW(),20,1000-ROW(),1),ROW(),OFFSET($A$1,ROW(),21,1000-ROW(),1),"Sub"))))</f>
        <v/>
      </c>
      <c r="K244" s="60">
        <f>IF(N($W244)=0,"",IF(AND($S244=MesCiclo,3&gt;SemanaActual),"",MIN(1,SUMIFS(OFFSET($A$1,ROW(),31,1000-ROW(),1),OFFSET($A$1,ROW(),20,1000-ROW(),1),ROW(),OFFSET($A$1,ROW(),21,1000-ROW(),1),"Sub"))))</f>
        <v/>
      </c>
      <c r="L244" s="60">
        <f>IF(N($W244)=0,"",IF(AND($S244=MesCiclo,4&gt;SemanaActual),"",MIN(1,SUMIFS(OFFSET($A$1,ROW(),32,1000-ROW(),1),OFFSET($A$1,ROW(),20,1000-ROW(),1),ROW(),OFFSET($A$1,ROW(),21,1000-ROW(),1),"Sub"))))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IF($V244&lt;&gt;"Sub","",N($X244)*IF(AND(ISNUMBER($G244),$G244&lt;=IF($S244=MesCiclo,InicioCiclo,$S244+MOD(2-WEEKDAY($S244),7))+6),1,MIN(1,MAX(0,IF(ISNUMBER(OFFSET($A$1,ROW()-1,8)),OFFSET($A$1,ROW()-1,8),0)))))</f>
        <v/>
      </c>
      <c r="AE244" s="62">
        <f>IF($V244&lt;&gt;"Sub","",N($X244)*IF(AND(ISNUMBER($G244),$G244&lt;=IF($S244=MesCiclo,InicioCiclo,$S244+MOD(2-WEEKDAY($S244),7))+13),1,MIN(1,MAX(0,IF(ISNUMBER(OFFSET($A$1,ROW()-1,9)),OFFSET($A$1,ROW()-1,9),IF(ISNUMBER(OFFSET($A$1,ROW()-1,8)),OFFSET($A$1,ROW()-1,8),0))))))</f>
        <v/>
      </c>
      <c r="AF244" s="62">
        <f>IF($V244&lt;&gt;"Sub","",N($X244)*IF(AND(ISNUMBER($G244),$G244&lt;=IF($S244=MesCiclo,InicioCiclo,$S244+MOD(2-WEEKDAY($S244),7))+20),1,MIN(1,MAX(0,IF(ISNUMBER(OFFSET($A$1,ROW()-1,10)),OFFSET($A$1,ROW()-1,10),IF(ISNUMBER(OFFSET($A$1,ROW()-1,9)),OFFSET($A$1,ROW()-1,9),IF(ISNUMBER(OFFSET($A$1,ROW()-1,8)),OFFSET($A$1,ROW()-1,8),0)))))))</f>
        <v/>
      </c>
      <c r="AG244" s="62">
        <f>IF($V244&lt;&gt;"Sub","",N($X244)*IF(AND(ISNUMBER($G244),$G244&lt;=IF($S244=MesCiclo,InicioCiclo,$S244+MOD(2-WEEKDAY($S244),7))+27),1,MIN(1,MAX(0,IF(ISNUMBER(OFFSET($A$1,ROW()-1,11)),OFFSET($A$1,ROW()-1,11),IF(ISNUMBER(OFFSET($A$1,ROW()-1,10)),OFFSET($A$1,ROW()-1,10),IF(ISNUMBER(OFFSET($A$1,ROW()-1,9)),OFFSET($A$1,ROW()-1,9),IF(ISNUMBER(OFFSET($A$1,ROW()-1,8)),OFFSET($A$1,ROW()-1,8),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",IFERROR(MATCH("Riesgo Normativo|"&amp;MID($C244,12,500),rDname_ADM,0),0),"")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IF(N($W245)=0,"",IF(AND($S245=MesCiclo,1&gt;SemanaActual),"",MIN(1,SUMIFS(OFFSET($A$1,ROW(),29,1000-ROW(),1),OFFSET($A$1,ROW(),20,1000-ROW(),1),ROW(),OFFSET($A$1,ROW(),21,1000-ROW(),1),"Sub"))))</f>
        <v/>
      </c>
      <c r="J245" s="60">
        <f>IF(N($W245)=0,"",IF(AND($S245=MesCiclo,2&gt;SemanaActual),"",MIN(1,SUMIFS(OFFSET($A$1,ROW(),30,1000-ROW(),1),OFFSET($A$1,ROW(),20,1000-ROW(),1),ROW(),OFFSET($A$1,ROW(),21,1000-ROW(),1),"Sub"))))</f>
        <v/>
      </c>
      <c r="K245" s="60">
        <f>IF(N($W245)=0,"",IF(AND($S245=MesCiclo,3&gt;SemanaActual),"",MIN(1,SUMIFS(OFFSET($A$1,ROW(),31,1000-ROW(),1),OFFSET($A$1,ROW(),20,1000-ROW(),1),ROW(),OFFSET($A$1,ROW(),21,1000-ROW(),1),"Sub"))))</f>
        <v/>
      </c>
      <c r="L245" s="60">
        <f>IF(N($W245)=0,"",IF(AND($S245=MesCiclo,4&gt;SemanaActual),"",MIN(1,SUMIFS(OFFSET($A$1,ROW(),32,1000-ROW(),1),OFFSET($A$1,ROW(),20,1000-ROW(),1),ROW(),OFFSET($A$1,ROW(),21,1000-ROW(),1),"Sub"))))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IF($V245&lt;&gt;"Sub","",N($X245)*IF(AND(ISNUMBER($G245),$G245&lt;=IF($S245=MesCiclo,InicioCiclo,$S245+MOD(2-WEEKDAY($S245),7))+6),1,MIN(1,MAX(0,IF(ISNUMBER(OFFSET($A$1,ROW()-1,8)),OFFSET($A$1,ROW()-1,8),0)))))</f>
        <v/>
      </c>
      <c r="AE245" s="62">
        <f>IF($V245&lt;&gt;"Sub","",N($X245)*IF(AND(ISNUMBER($G245),$G245&lt;=IF($S245=MesCiclo,InicioCiclo,$S245+MOD(2-WEEKDAY($S245),7))+13),1,MIN(1,MAX(0,IF(ISNUMBER(OFFSET($A$1,ROW()-1,9)),OFFSET($A$1,ROW()-1,9),IF(ISNUMBER(OFFSET($A$1,ROW()-1,8)),OFFSET($A$1,ROW()-1,8),0))))))</f>
        <v/>
      </c>
      <c r="AF245" s="62">
        <f>IF($V245&lt;&gt;"Sub","",N($X245)*IF(AND(ISNUMBER($G245),$G245&lt;=IF($S245=MesCiclo,InicioCiclo,$S245+MOD(2-WEEKDAY($S245),7))+20),1,MIN(1,MAX(0,IF(ISNUMBER(OFFSET($A$1,ROW()-1,10)),OFFSET($A$1,ROW()-1,10),IF(ISNUMBER(OFFSET($A$1,ROW()-1,9)),OFFSET($A$1,ROW()-1,9),IF(ISNUMBER(OFFSET($A$1,ROW()-1,8)),OFFSET($A$1,ROW()-1,8),0)))))))</f>
        <v/>
      </c>
      <c r="AG245" s="62">
        <f>IF($V245&lt;&gt;"Sub","",N($X245)*IF(AND(ISNUMBER($G245),$G245&lt;=IF($S245=MesCiclo,InicioCiclo,$S245+MOD(2-WEEKDAY($S245),7))+27),1,MIN(1,MAX(0,IF(ISNUMBER(OFFSET($A$1,ROW()-1,11)),OFFSET($A$1,ROW()-1,11),IF(ISNUMBER(OFFSET($A$1,ROW()-1,10)),OFFSET($A$1,ROW()-1,10),IF(ISNUMBER(OFFSET($A$1,ROW()-1,9)),OFFSET($A$1,ROW()-1,9),IF(ISNUMBER(OFFSET($A$1,ROW()-1,8)),OFFSET($A$1,ROW()-1,8),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",IFERROR(MATCH("Riesgo Normativo|"&amp;MID($C245,12,500),rDname_ADM,0),0),"")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IF(N($W246)=0,"",IF(AND($S246=MesCiclo,1&gt;SemanaActual),"",MIN(1,SUMIFS(OFFSET($A$1,ROW(),29,1000-ROW(),1),OFFSET($A$1,ROW(),20,1000-ROW(),1),ROW(),OFFSET($A$1,ROW(),21,1000-ROW(),1),"Sub"))))</f>
        <v/>
      </c>
      <c r="J246" s="60">
        <f>IF(N($W246)=0,"",IF(AND($S246=MesCiclo,2&gt;SemanaActual),"",MIN(1,SUMIFS(OFFSET($A$1,ROW(),30,1000-ROW(),1),OFFSET($A$1,ROW(),20,1000-ROW(),1),ROW(),OFFSET($A$1,ROW(),21,1000-ROW(),1),"Sub"))))</f>
        <v/>
      </c>
      <c r="K246" s="60">
        <f>IF(N($W246)=0,"",IF(AND($S246=MesCiclo,3&gt;SemanaActual),"",MIN(1,SUMIFS(OFFSET($A$1,ROW(),31,1000-ROW(),1),OFFSET($A$1,ROW(),20,1000-ROW(),1),ROW(),OFFSET($A$1,ROW(),21,1000-ROW(),1),"Sub"))))</f>
        <v/>
      </c>
      <c r="L246" s="60">
        <f>IF(N($W246)=0,"",IF(AND($S246=MesCiclo,4&gt;SemanaActual),"",MIN(1,SUMIFS(OFFSET($A$1,ROW(),32,1000-ROW(),1),OFFSET($A$1,ROW(),20,1000-ROW(),1),ROW(),OFFSET($A$1,ROW(),21,1000-ROW(),1),"Sub"))))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IF($V246&lt;&gt;"Sub","",N($X246)*IF(AND(ISNUMBER($G246),$G246&lt;=IF($S246=MesCiclo,InicioCiclo,$S246+MOD(2-WEEKDAY($S246),7))+6),1,MIN(1,MAX(0,IF(ISNUMBER(OFFSET($A$1,ROW()-1,8)),OFFSET($A$1,ROW()-1,8),0)))))</f>
        <v/>
      </c>
      <c r="AE246" s="62">
        <f>IF($V246&lt;&gt;"Sub","",N($X246)*IF(AND(ISNUMBER($G246),$G246&lt;=IF($S246=MesCiclo,InicioCiclo,$S246+MOD(2-WEEKDAY($S246),7))+13),1,MIN(1,MAX(0,IF(ISNUMBER(OFFSET($A$1,ROW()-1,9)),OFFSET($A$1,ROW()-1,9),IF(ISNUMBER(OFFSET($A$1,ROW()-1,8)),OFFSET($A$1,ROW()-1,8),0))))))</f>
        <v/>
      </c>
      <c r="AF246" s="62">
        <f>IF($V246&lt;&gt;"Sub","",N($X246)*IF(AND(ISNUMBER($G246),$G246&lt;=IF($S246=MesCiclo,InicioCiclo,$S246+MOD(2-WEEKDAY($S246),7))+20),1,MIN(1,MAX(0,IF(ISNUMBER(OFFSET($A$1,ROW()-1,10)),OFFSET($A$1,ROW()-1,10),IF(ISNUMBER(OFFSET($A$1,ROW()-1,9)),OFFSET($A$1,ROW()-1,9),IF(ISNUMBER(OFFSET($A$1,ROW()-1,8)),OFFSET($A$1,ROW()-1,8),0)))))))</f>
        <v/>
      </c>
      <c r="AG246" s="62">
        <f>IF($V246&lt;&gt;"Sub","",N($X246)*IF(AND(ISNUMBER($G246),$G246&lt;=IF($S246=MesCiclo,InicioCiclo,$S246+MOD(2-WEEKDAY($S246),7))+27),1,MIN(1,MAX(0,IF(ISNUMBER(OFFSET($A$1,ROW()-1,11)),OFFSET($A$1,ROW()-1,11),IF(ISNUMBER(OFFSET($A$1,ROW()-1,10)),OFFSET($A$1,ROW()-1,10),IF(ISNUMBER(OFFSET($A$1,ROW()-1,9)),OFFSET($A$1,ROW()-1,9),IF(ISNUMBER(OFFSET($A$1,ROW()-1,8)),OFFSET($A$1,ROW()-1,8),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",IFERROR(MATCH("Riesgo Normativo|"&amp;MID($C246,12,500),rDname_ADM,0),0),"")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IF(N($W247)=0,"",IF(AND($S247=MesCiclo,1&gt;SemanaActual),"",MIN(1,SUMIFS(OFFSET($A$1,ROW(),29,1000-ROW(),1),OFFSET($A$1,ROW(),20,1000-ROW(),1),ROW(),OFFSET($A$1,ROW(),21,1000-ROW(),1),"Sub"))))</f>
        <v/>
      </c>
      <c r="J247" s="60">
        <f>IF(N($W247)=0,"",IF(AND($S247=MesCiclo,2&gt;SemanaActual),"",MIN(1,SUMIFS(OFFSET($A$1,ROW(),30,1000-ROW(),1),OFFSET($A$1,ROW(),20,1000-ROW(),1),ROW(),OFFSET($A$1,ROW(),21,1000-ROW(),1),"Sub"))))</f>
        <v/>
      </c>
      <c r="K247" s="60">
        <f>IF(N($W247)=0,"",IF(AND($S247=MesCiclo,3&gt;SemanaActual),"",MIN(1,SUMIFS(OFFSET($A$1,ROW(),31,1000-ROW(),1),OFFSET($A$1,ROW(),20,1000-ROW(),1),ROW(),OFFSET($A$1,ROW(),21,1000-ROW(),1),"Sub"))))</f>
        <v/>
      </c>
      <c r="L247" s="60">
        <f>IF(N($W247)=0,"",IF(AND($S247=MesCiclo,4&gt;SemanaActual),"",MIN(1,SUMIFS(OFFSET($A$1,ROW(),32,1000-ROW(),1),OFFSET($A$1,ROW(),20,1000-ROW(),1),ROW(),OFFSET($A$1,ROW(),21,1000-ROW(),1),"Sub"))))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IF($V247&lt;&gt;"Sub","",N($X247)*IF(AND(ISNUMBER($G247),$G247&lt;=IF($S247=MesCiclo,InicioCiclo,$S247+MOD(2-WEEKDAY($S247),7))+6),1,MIN(1,MAX(0,IF(ISNUMBER(OFFSET($A$1,ROW()-1,8)),OFFSET($A$1,ROW()-1,8),0)))))</f>
        <v/>
      </c>
      <c r="AE247" s="62">
        <f>IF($V247&lt;&gt;"Sub","",N($X247)*IF(AND(ISNUMBER($G247),$G247&lt;=IF($S247=MesCiclo,InicioCiclo,$S247+MOD(2-WEEKDAY($S247),7))+13),1,MIN(1,MAX(0,IF(ISNUMBER(OFFSET($A$1,ROW()-1,9)),OFFSET($A$1,ROW()-1,9),IF(ISNUMBER(OFFSET($A$1,ROW()-1,8)),OFFSET($A$1,ROW()-1,8),0))))))</f>
        <v/>
      </c>
      <c r="AF247" s="62">
        <f>IF($V247&lt;&gt;"Sub","",N($X247)*IF(AND(ISNUMBER($G247),$G247&lt;=IF($S247=MesCiclo,InicioCiclo,$S247+MOD(2-WEEKDAY($S247),7))+20),1,MIN(1,MAX(0,IF(ISNUMBER(OFFSET($A$1,ROW()-1,10)),OFFSET($A$1,ROW()-1,10),IF(ISNUMBER(OFFSET($A$1,ROW()-1,9)),OFFSET($A$1,ROW()-1,9),IF(ISNUMBER(OFFSET($A$1,ROW()-1,8)),OFFSET($A$1,ROW()-1,8),0)))))))</f>
        <v/>
      </c>
      <c r="AG247" s="62">
        <f>IF($V247&lt;&gt;"Sub","",N($X247)*IF(AND(ISNUMBER($G247),$G247&lt;=IF($S247=MesCiclo,InicioCiclo,$S247+MOD(2-WEEKDAY($S247),7))+27),1,MIN(1,MAX(0,IF(ISNUMBER(OFFSET($A$1,ROW()-1,11)),OFFSET($A$1,ROW()-1,11),IF(ISNUMBER(OFFSET($A$1,ROW()-1,10)),OFFSET($A$1,ROW()-1,10),IF(ISNUMBER(OFFSET($A$1,ROW()-1,9)),OFFSET($A$1,ROW()-1,9),IF(ISNUMBER(OFFSET($A$1,ROW()-1,8)),OFFSET($A$1,ROW()-1,8),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",IFERROR(MATCH("Riesgo Normativo|"&amp;MID($C247,12,500),rDname_ADM,0),0),"")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IF(N($W248)=0,"",IF(AND($S248=MesCiclo,1&gt;SemanaActual),"",MIN(1,SUMIFS(OFFSET($A$1,ROW(),29,1000-ROW(),1),OFFSET($A$1,ROW(),20,1000-ROW(),1),ROW(),OFFSET($A$1,ROW(),21,1000-ROW(),1),"Sub"))))</f>
        <v/>
      </c>
      <c r="J248" s="60">
        <f>IF(N($W248)=0,"",IF(AND($S248=MesCiclo,2&gt;SemanaActual),"",MIN(1,SUMIFS(OFFSET($A$1,ROW(),30,1000-ROW(),1),OFFSET($A$1,ROW(),20,1000-ROW(),1),ROW(),OFFSET($A$1,ROW(),21,1000-ROW(),1),"Sub"))))</f>
        <v/>
      </c>
      <c r="K248" s="60">
        <f>IF(N($W248)=0,"",IF(AND($S248=MesCiclo,3&gt;SemanaActual),"",MIN(1,SUMIFS(OFFSET($A$1,ROW(),31,1000-ROW(),1),OFFSET($A$1,ROW(),20,1000-ROW(),1),ROW(),OFFSET($A$1,ROW(),21,1000-ROW(),1),"Sub"))))</f>
        <v/>
      </c>
      <c r="L248" s="60">
        <f>IF(N($W248)=0,"",IF(AND($S248=MesCiclo,4&gt;SemanaActual),"",MIN(1,SUMIFS(OFFSET($A$1,ROW(),32,1000-ROW(),1),OFFSET($A$1,ROW(),20,1000-ROW(),1),ROW(),OFFSET($A$1,ROW(),21,1000-ROW(),1),"Sub"))))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IF($V248&lt;&gt;"Sub","",N($X248)*IF(AND(ISNUMBER($G248),$G248&lt;=IF($S248=MesCiclo,InicioCiclo,$S248+MOD(2-WEEKDAY($S248),7))+6),1,MIN(1,MAX(0,IF(ISNUMBER(OFFSET($A$1,ROW()-1,8)),OFFSET($A$1,ROW()-1,8),0)))))</f>
        <v/>
      </c>
      <c r="AE248" s="62">
        <f>IF($V248&lt;&gt;"Sub","",N($X248)*IF(AND(ISNUMBER($G248),$G248&lt;=IF($S248=MesCiclo,InicioCiclo,$S248+MOD(2-WEEKDAY($S248),7))+13),1,MIN(1,MAX(0,IF(ISNUMBER(OFFSET($A$1,ROW()-1,9)),OFFSET($A$1,ROW()-1,9),IF(ISNUMBER(OFFSET($A$1,ROW()-1,8)),OFFSET($A$1,ROW()-1,8),0))))))</f>
        <v/>
      </c>
      <c r="AF248" s="62">
        <f>IF($V248&lt;&gt;"Sub","",N($X248)*IF(AND(ISNUMBER($G248),$G248&lt;=IF($S248=MesCiclo,InicioCiclo,$S248+MOD(2-WEEKDAY($S248),7))+20),1,MIN(1,MAX(0,IF(ISNUMBER(OFFSET($A$1,ROW()-1,10)),OFFSET($A$1,ROW()-1,10),IF(ISNUMBER(OFFSET($A$1,ROW()-1,9)),OFFSET($A$1,ROW()-1,9),IF(ISNUMBER(OFFSET($A$1,ROW()-1,8)),OFFSET($A$1,ROW()-1,8),0)))))))</f>
        <v/>
      </c>
      <c r="AG248" s="62">
        <f>IF($V248&lt;&gt;"Sub","",N($X248)*IF(AND(ISNUMBER($G248),$G248&lt;=IF($S248=MesCiclo,InicioCiclo,$S248+MOD(2-WEEKDAY($S248),7))+27),1,MIN(1,MAX(0,IF(ISNUMBER(OFFSET($A$1,ROW()-1,11)),OFFSET($A$1,ROW()-1,11),IF(ISNUMBER(OFFSET($A$1,ROW()-1,10)),OFFSET($A$1,ROW()-1,10),IF(ISNUMBER(OFFSET($A$1,ROW()-1,9)),OFFSET($A$1,ROW()-1,9),IF(ISNUMBER(OFFSET($A$1,ROW()-1,8)),OFFSET($A$1,ROW()-1,8),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",IFERROR(MATCH("Riesgo Normativo|"&amp;MID($C248,12,500),rDname_ADM,0),0),"")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IF(N($W249)=0,"",IF(AND($S249=MesCiclo,1&gt;SemanaActual),"",MIN(1,SUMIFS(OFFSET($A$1,ROW(),29,1000-ROW(),1),OFFSET($A$1,ROW(),20,1000-ROW(),1),ROW(),OFFSET($A$1,ROW(),21,1000-ROW(),1),"Sub"))))</f>
        <v/>
      </c>
      <c r="J249" s="60">
        <f>IF(N($W249)=0,"",IF(AND($S249=MesCiclo,2&gt;SemanaActual),"",MIN(1,SUMIFS(OFFSET($A$1,ROW(),30,1000-ROW(),1),OFFSET($A$1,ROW(),20,1000-ROW(),1),ROW(),OFFSET($A$1,ROW(),21,1000-ROW(),1),"Sub"))))</f>
        <v/>
      </c>
      <c r="K249" s="60">
        <f>IF(N($W249)=0,"",IF(AND($S249=MesCiclo,3&gt;SemanaActual),"",MIN(1,SUMIFS(OFFSET($A$1,ROW(),31,1000-ROW(),1),OFFSET($A$1,ROW(),20,1000-ROW(),1),ROW(),OFFSET($A$1,ROW(),21,1000-ROW(),1),"Sub"))))</f>
        <v/>
      </c>
      <c r="L249" s="60">
        <f>IF(N($W249)=0,"",IF(AND($S249=MesCiclo,4&gt;SemanaActual),"",MIN(1,SUMIFS(OFFSET($A$1,ROW(),32,1000-ROW(),1),OFFSET($A$1,ROW(),20,1000-ROW(),1),ROW(),OFFSET($A$1,ROW(),21,1000-ROW(),1),"Sub"))))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IF($V249&lt;&gt;"Sub","",N($X249)*IF(AND(ISNUMBER($G249),$G249&lt;=IF($S249=MesCiclo,InicioCiclo,$S249+MOD(2-WEEKDAY($S249),7))+6),1,MIN(1,MAX(0,IF(ISNUMBER(OFFSET($A$1,ROW()-1,8)),OFFSET($A$1,ROW()-1,8),0)))))</f>
        <v/>
      </c>
      <c r="AE249" s="62">
        <f>IF($V249&lt;&gt;"Sub","",N($X249)*IF(AND(ISNUMBER($G249),$G249&lt;=IF($S249=MesCiclo,InicioCiclo,$S249+MOD(2-WEEKDAY($S249),7))+13),1,MIN(1,MAX(0,IF(ISNUMBER(OFFSET($A$1,ROW()-1,9)),OFFSET($A$1,ROW()-1,9),IF(ISNUMBER(OFFSET($A$1,ROW()-1,8)),OFFSET($A$1,ROW()-1,8),0))))))</f>
        <v/>
      </c>
      <c r="AF249" s="62">
        <f>IF($V249&lt;&gt;"Sub","",N($X249)*IF(AND(ISNUMBER($G249),$G249&lt;=IF($S249=MesCiclo,InicioCiclo,$S249+MOD(2-WEEKDAY($S249),7))+20),1,MIN(1,MAX(0,IF(ISNUMBER(OFFSET($A$1,ROW()-1,10)),OFFSET($A$1,ROW()-1,10),IF(ISNUMBER(OFFSET($A$1,ROW()-1,9)),OFFSET($A$1,ROW()-1,9),IF(ISNUMBER(OFFSET($A$1,ROW()-1,8)),OFFSET($A$1,ROW()-1,8),0)))))))</f>
        <v/>
      </c>
      <c r="AG249" s="62">
        <f>IF($V249&lt;&gt;"Sub","",N($X249)*IF(AND(ISNUMBER($G249),$G249&lt;=IF($S249=MesCiclo,InicioCiclo,$S249+MOD(2-WEEKDAY($S249),7))+27),1,MIN(1,MAX(0,IF(ISNUMBER(OFFSET($A$1,ROW()-1,11)),OFFSET($A$1,ROW()-1,11),IF(ISNUMBER(OFFSET($A$1,ROW()-1,10)),OFFSET($A$1,ROW()-1,10),IF(ISNUMBER(OFFSET($A$1,ROW()-1,9)),OFFSET($A$1,ROW()-1,9),IF(ISNUMBER(OFFSET($A$1,ROW()-1,8)),OFFSET($A$1,ROW()-1,8),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",IFERROR(MATCH("Riesgo Normativo|"&amp;MID($C249,12,500),rDname_ADM,0),0),"")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IF(N($W250)=0,"",IF(AND($S250=MesCiclo,1&gt;SemanaActual),"",MIN(1,SUMIFS(OFFSET($A$1,ROW(),29,1000-ROW(),1),OFFSET($A$1,ROW(),20,1000-ROW(),1),ROW(),OFFSET($A$1,ROW(),21,1000-ROW(),1),"Sub"))))</f>
        <v/>
      </c>
      <c r="J250" s="60">
        <f>IF(N($W250)=0,"",IF(AND($S250=MesCiclo,2&gt;SemanaActual),"",MIN(1,SUMIFS(OFFSET($A$1,ROW(),30,1000-ROW(),1),OFFSET($A$1,ROW(),20,1000-ROW(),1),ROW(),OFFSET($A$1,ROW(),21,1000-ROW(),1),"Sub"))))</f>
        <v/>
      </c>
      <c r="K250" s="60">
        <f>IF(N($W250)=0,"",IF(AND($S250=MesCiclo,3&gt;SemanaActual),"",MIN(1,SUMIFS(OFFSET($A$1,ROW(),31,1000-ROW(),1),OFFSET($A$1,ROW(),20,1000-ROW(),1),ROW(),OFFSET($A$1,ROW(),21,1000-ROW(),1),"Sub"))))</f>
        <v/>
      </c>
      <c r="L250" s="60">
        <f>IF(N($W250)=0,"",IF(AND($S250=MesCiclo,4&gt;SemanaActual),"",MIN(1,SUMIFS(OFFSET($A$1,ROW(),32,1000-ROW(),1),OFFSET($A$1,ROW(),20,1000-ROW(),1),ROW(),OFFSET($A$1,ROW(),21,1000-ROW(),1),"Sub"))))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IF($V250&lt;&gt;"Sub","",N($X250)*IF(AND(ISNUMBER($G250),$G250&lt;=IF($S250=MesCiclo,InicioCiclo,$S250+MOD(2-WEEKDAY($S250),7))+6),1,MIN(1,MAX(0,IF(ISNUMBER(OFFSET($A$1,ROW()-1,8)),OFFSET($A$1,ROW()-1,8),0)))))</f>
        <v/>
      </c>
      <c r="AE250" s="62">
        <f>IF($V250&lt;&gt;"Sub","",N($X250)*IF(AND(ISNUMBER($G250),$G250&lt;=IF($S250=MesCiclo,InicioCiclo,$S250+MOD(2-WEEKDAY($S250),7))+13),1,MIN(1,MAX(0,IF(ISNUMBER(OFFSET($A$1,ROW()-1,9)),OFFSET($A$1,ROW()-1,9),IF(ISNUMBER(OFFSET($A$1,ROW()-1,8)),OFFSET($A$1,ROW()-1,8),0))))))</f>
        <v/>
      </c>
      <c r="AF250" s="62">
        <f>IF($V250&lt;&gt;"Sub","",N($X250)*IF(AND(ISNUMBER($G250),$G250&lt;=IF($S250=MesCiclo,InicioCiclo,$S250+MOD(2-WEEKDAY($S250),7))+20),1,MIN(1,MAX(0,IF(ISNUMBER(OFFSET($A$1,ROW()-1,10)),OFFSET($A$1,ROW()-1,10),IF(ISNUMBER(OFFSET($A$1,ROW()-1,9)),OFFSET($A$1,ROW()-1,9),IF(ISNUMBER(OFFSET($A$1,ROW()-1,8)),OFFSET($A$1,ROW()-1,8),0)))))))</f>
        <v/>
      </c>
      <c r="AG250" s="62">
        <f>IF($V250&lt;&gt;"Sub","",N($X250)*IF(AND(ISNUMBER($G250),$G250&lt;=IF($S250=MesCiclo,InicioCiclo,$S250+MOD(2-WEEKDAY($S250),7))+27),1,MIN(1,MAX(0,IF(ISNUMBER(OFFSET($A$1,ROW()-1,11)),OFFSET($A$1,ROW()-1,11),IF(ISNUMBER(OFFSET($A$1,ROW()-1,10)),OFFSET($A$1,ROW()-1,10),IF(ISNUMBER(OFFSET($A$1,ROW()-1,9)),OFFSET($A$1,ROW()-1,9),IF(ISNUMBER(OFFSET($A$1,ROW()-1,8)),OFFSET($A$1,ROW()-1,8),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",IFERROR(MATCH("Riesgo Normativo|"&amp;MID($C250,12,500),rDname_ADM,0),0),"")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IF(N($W251)=0,"",IF(AND($S251=MesCiclo,1&gt;SemanaActual),"",MIN(1,SUMIFS(OFFSET($A$1,ROW(),29,1000-ROW(),1),OFFSET($A$1,ROW(),20,1000-ROW(),1),ROW(),OFFSET($A$1,ROW(),21,1000-ROW(),1),"Sub"))))</f>
        <v/>
      </c>
      <c r="J251" s="60">
        <f>IF(N($W251)=0,"",IF(AND($S251=MesCiclo,2&gt;SemanaActual),"",MIN(1,SUMIFS(OFFSET($A$1,ROW(),30,1000-ROW(),1),OFFSET($A$1,ROW(),20,1000-ROW(),1),ROW(),OFFSET($A$1,ROW(),21,1000-ROW(),1),"Sub"))))</f>
        <v/>
      </c>
      <c r="K251" s="60">
        <f>IF(N($W251)=0,"",IF(AND($S251=MesCiclo,3&gt;SemanaActual),"",MIN(1,SUMIFS(OFFSET($A$1,ROW(),31,1000-ROW(),1),OFFSET($A$1,ROW(),20,1000-ROW(),1),ROW(),OFFSET($A$1,ROW(),21,1000-ROW(),1),"Sub"))))</f>
        <v/>
      </c>
      <c r="L251" s="60">
        <f>IF(N($W251)=0,"",IF(AND($S251=MesCiclo,4&gt;SemanaActual),"",MIN(1,SUMIFS(OFFSET($A$1,ROW(),32,1000-ROW(),1),OFFSET($A$1,ROW(),20,1000-ROW(),1),ROW(),OFFSET($A$1,ROW(),21,1000-ROW(),1),"Sub"))))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IF($V251&lt;&gt;"Sub","",N($X251)*IF(AND(ISNUMBER($G251),$G251&lt;=IF($S251=MesCiclo,InicioCiclo,$S251+MOD(2-WEEKDAY($S251),7))+6),1,MIN(1,MAX(0,IF(ISNUMBER(OFFSET($A$1,ROW()-1,8)),OFFSET($A$1,ROW()-1,8),0)))))</f>
        <v/>
      </c>
      <c r="AE251" s="62">
        <f>IF($V251&lt;&gt;"Sub","",N($X251)*IF(AND(ISNUMBER($G251),$G251&lt;=IF($S251=MesCiclo,InicioCiclo,$S251+MOD(2-WEEKDAY($S251),7))+13),1,MIN(1,MAX(0,IF(ISNUMBER(OFFSET($A$1,ROW()-1,9)),OFFSET($A$1,ROW()-1,9),IF(ISNUMBER(OFFSET($A$1,ROW()-1,8)),OFFSET($A$1,ROW()-1,8),0))))))</f>
        <v/>
      </c>
      <c r="AF251" s="62">
        <f>IF($V251&lt;&gt;"Sub","",N($X251)*IF(AND(ISNUMBER($G251),$G251&lt;=IF($S251=MesCiclo,InicioCiclo,$S251+MOD(2-WEEKDAY($S251),7))+20),1,MIN(1,MAX(0,IF(ISNUMBER(OFFSET($A$1,ROW()-1,10)),OFFSET($A$1,ROW()-1,10),IF(ISNUMBER(OFFSET($A$1,ROW()-1,9)),OFFSET($A$1,ROW()-1,9),IF(ISNUMBER(OFFSET($A$1,ROW()-1,8)),OFFSET($A$1,ROW()-1,8),0)))))))</f>
        <v/>
      </c>
      <c r="AG251" s="62">
        <f>IF($V251&lt;&gt;"Sub","",N($X251)*IF(AND(ISNUMBER($G251),$G251&lt;=IF($S251=MesCiclo,InicioCiclo,$S251+MOD(2-WEEKDAY($S251),7))+27),1,MIN(1,MAX(0,IF(ISNUMBER(OFFSET($A$1,ROW()-1,11)),OFFSET($A$1,ROW()-1,11),IF(ISNUMBER(OFFSET($A$1,ROW()-1,10)),OFFSET($A$1,ROW()-1,10),IF(ISNUMBER(OFFSET($A$1,ROW()-1,9)),OFFSET($A$1,ROW()-1,9),IF(ISNUMBER(OFFSET($A$1,ROW()-1,8)),OFFSET($A$1,ROW()-1,8),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",IFERROR(MATCH("Riesgo Normativo|"&amp;MID($C251,12,500),rDname_ADM,0),0),"")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IF(N($W252)=0,"",IF(AND($S252=MesCiclo,1&gt;SemanaActual),"",MIN(1,SUMIFS(OFFSET($A$1,ROW(),29,1000-ROW(),1),OFFSET($A$1,ROW(),20,1000-ROW(),1),ROW(),OFFSET($A$1,ROW(),21,1000-ROW(),1),"Sub"))))</f>
        <v/>
      </c>
      <c r="J252" s="60">
        <f>IF(N($W252)=0,"",IF(AND($S252=MesCiclo,2&gt;SemanaActual),"",MIN(1,SUMIFS(OFFSET($A$1,ROW(),30,1000-ROW(),1),OFFSET($A$1,ROW(),20,1000-ROW(),1),ROW(),OFFSET($A$1,ROW(),21,1000-ROW(),1),"Sub"))))</f>
        <v/>
      </c>
      <c r="K252" s="60">
        <f>IF(N($W252)=0,"",IF(AND($S252=MesCiclo,3&gt;SemanaActual),"",MIN(1,SUMIFS(OFFSET($A$1,ROW(),31,1000-ROW(),1),OFFSET($A$1,ROW(),20,1000-ROW(),1),ROW(),OFFSET($A$1,ROW(),21,1000-ROW(),1),"Sub"))))</f>
        <v/>
      </c>
      <c r="L252" s="60">
        <f>IF(N($W252)=0,"",IF(AND($S252=MesCiclo,4&gt;SemanaActual),"",MIN(1,SUMIFS(OFFSET($A$1,ROW(),32,1000-ROW(),1),OFFSET($A$1,ROW(),20,1000-ROW(),1),ROW(),OFFSET($A$1,ROW(),21,1000-ROW(),1),"Sub"))))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IF($V252&lt;&gt;"Sub","",N($X252)*IF(AND(ISNUMBER($G252),$G252&lt;=IF($S252=MesCiclo,InicioCiclo,$S252+MOD(2-WEEKDAY($S252),7))+6),1,MIN(1,MAX(0,IF(ISNUMBER(OFFSET($A$1,ROW()-1,8)),OFFSET($A$1,ROW()-1,8),0)))))</f>
        <v/>
      </c>
      <c r="AE252" s="62">
        <f>IF($V252&lt;&gt;"Sub","",N($X252)*IF(AND(ISNUMBER($G252),$G252&lt;=IF($S252=MesCiclo,InicioCiclo,$S252+MOD(2-WEEKDAY($S252),7))+13),1,MIN(1,MAX(0,IF(ISNUMBER(OFFSET($A$1,ROW()-1,9)),OFFSET($A$1,ROW()-1,9),IF(ISNUMBER(OFFSET($A$1,ROW()-1,8)),OFFSET($A$1,ROW()-1,8),0))))))</f>
        <v/>
      </c>
      <c r="AF252" s="62">
        <f>IF($V252&lt;&gt;"Sub","",N($X252)*IF(AND(ISNUMBER($G252),$G252&lt;=IF($S252=MesCiclo,InicioCiclo,$S252+MOD(2-WEEKDAY($S252),7))+20),1,MIN(1,MAX(0,IF(ISNUMBER(OFFSET($A$1,ROW()-1,10)),OFFSET($A$1,ROW()-1,10),IF(ISNUMBER(OFFSET($A$1,ROW()-1,9)),OFFSET($A$1,ROW()-1,9),IF(ISNUMBER(OFFSET($A$1,ROW()-1,8)),OFFSET($A$1,ROW()-1,8),0)))))))</f>
        <v/>
      </c>
      <c r="AG252" s="62">
        <f>IF($V252&lt;&gt;"Sub","",N($X252)*IF(AND(ISNUMBER($G252),$G252&lt;=IF($S252=MesCiclo,InicioCiclo,$S252+MOD(2-WEEKDAY($S252),7))+27),1,MIN(1,MAX(0,IF(ISNUMBER(OFFSET($A$1,ROW()-1,11)),OFFSET($A$1,ROW()-1,11),IF(ISNUMBER(OFFSET($A$1,ROW()-1,10)),OFFSET($A$1,ROW()-1,10),IF(ISNUMBER(OFFSET($A$1,ROW()-1,9)),OFFSET($A$1,ROW()-1,9),IF(ISNUMBER(OFFSET($A$1,ROW()-1,8)),OFFSET($A$1,ROW()-1,8),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",IFERROR(MATCH("Riesgo Normativo|"&amp;MID($C252,12,500),rDname_ADM,0),0),"")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IF(N($W253)=0,"",IF(AND($S253=MesCiclo,1&gt;SemanaActual),"",MIN(1,SUMIFS(OFFSET($A$1,ROW(),29,1000-ROW(),1),OFFSET($A$1,ROW(),20,1000-ROW(),1),ROW(),OFFSET($A$1,ROW(),21,1000-ROW(),1),"Sub"))))</f>
        <v/>
      </c>
      <c r="J253" s="60">
        <f>IF(N($W253)=0,"",IF(AND($S253=MesCiclo,2&gt;SemanaActual),"",MIN(1,SUMIFS(OFFSET($A$1,ROW(),30,1000-ROW(),1),OFFSET($A$1,ROW(),20,1000-ROW(),1),ROW(),OFFSET($A$1,ROW(),21,1000-ROW(),1),"Sub"))))</f>
        <v/>
      </c>
      <c r="K253" s="60">
        <f>IF(N($W253)=0,"",IF(AND($S253=MesCiclo,3&gt;SemanaActual),"",MIN(1,SUMIFS(OFFSET($A$1,ROW(),31,1000-ROW(),1),OFFSET($A$1,ROW(),20,1000-ROW(),1),ROW(),OFFSET($A$1,ROW(),21,1000-ROW(),1),"Sub"))))</f>
        <v/>
      </c>
      <c r="L253" s="60">
        <f>IF(N($W253)=0,"",IF(AND($S253=MesCiclo,4&gt;SemanaActual),"",MIN(1,SUMIFS(OFFSET($A$1,ROW(),32,1000-ROW(),1),OFFSET($A$1,ROW(),20,1000-ROW(),1),ROW(),OFFSET($A$1,ROW(),21,1000-ROW(),1),"Sub"))))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IF($V253&lt;&gt;"Sub","",N($X253)*IF(AND(ISNUMBER($G253),$G253&lt;=IF($S253=MesCiclo,InicioCiclo,$S253+MOD(2-WEEKDAY($S253),7))+6),1,MIN(1,MAX(0,IF(ISNUMBER(OFFSET($A$1,ROW()-1,8)),OFFSET($A$1,ROW()-1,8),0)))))</f>
        <v/>
      </c>
      <c r="AE253" s="62">
        <f>IF($V253&lt;&gt;"Sub","",N($X253)*IF(AND(ISNUMBER($G253),$G253&lt;=IF($S253=MesCiclo,InicioCiclo,$S253+MOD(2-WEEKDAY($S253),7))+13),1,MIN(1,MAX(0,IF(ISNUMBER(OFFSET($A$1,ROW()-1,9)),OFFSET($A$1,ROW()-1,9),IF(ISNUMBER(OFFSET($A$1,ROW()-1,8)),OFFSET($A$1,ROW()-1,8),0))))))</f>
        <v/>
      </c>
      <c r="AF253" s="62">
        <f>IF($V253&lt;&gt;"Sub","",N($X253)*IF(AND(ISNUMBER($G253),$G253&lt;=IF($S253=MesCiclo,InicioCiclo,$S253+MOD(2-WEEKDAY($S253),7))+20),1,MIN(1,MAX(0,IF(ISNUMBER(OFFSET($A$1,ROW()-1,10)),OFFSET($A$1,ROW()-1,10),IF(ISNUMBER(OFFSET($A$1,ROW()-1,9)),OFFSET($A$1,ROW()-1,9),IF(ISNUMBER(OFFSET($A$1,ROW()-1,8)),OFFSET($A$1,ROW()-1,8),0)))))))</f>
        <v/>
      </c>
      <c r="AG253" s="62">
        <f>IF($V253&lt;&gt;"Sub","",N($X253)*IF(AND(ISNUMBER($G253),$G253&lt;=IF($S253=MesCiclo,InicioCiclo,$S253+MOD(2-WEEKDAY($S253),7))+27),1,MIN(1,MAX(0,IF(ISNUMBER(OFFSET($A$1,ROW()-1,11)),OFFSET($A$1,ROW()-1,11),IF(ISNUMBER(OFFSET($A$1,ROW()-1,10)),OFFSET($A$1,ROW()-1,10),IF(ISNUMBER(OFFSET($A$1,ROW()-1,9)),OFFSET($A$1,ROW()-1,9),IF(ISNUMBER(OFFSET($A$1,ROW()-1,8)),OFFSET($A$1,ROW()-1,8),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",IFERROR(MATCH("Riesgo Normativo|"&amp;MID($C253,12,500),rDname_ADM,0),0),"")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IF(N($W254)=0,"",IF(AND($S254=MesCiclo,1&gt;SemanaActual),"",MIN(1,SUMIFS(OFFSET($A$1,ROW(),29,1000-ROW(),1),OFFSET($A$1,ROW(),20,1000-ROW(),1),ROW(),OFFSET($A$1,ROW(),21,1000-ROW(),1),"Sub"))))</f>
        <v/>
      </c>
      <c r="J254" s="60">
        <f>IF(N($W254)=0,"",IF(AND($S254=MesCiclo,2&gt;SemanaActual),"",MIN(1,SUMIFS(OFFSET($A$1,ROW(),30,1000-ROW(),1),OFFSET($A$1,ROW(),20,1000-ROW(),1),ROW(),OFFSET($A$1,ROW(),21,1000-ROW(),1),"Sub"))))</f>
        <v/>
      </c>
      <c r="K254" s="60">
        <f>IF(N($W254)=0,"",IF(AND($S254=MesCiclo,3&gt;SemanaActual),"",MIN(1,SUMIFS(OFFSET($A$1,ROW(),31,1000-ROW(),1),OFFSET($A$1,ROW(),20,1000-ROW(),1),ROW(),OFFSET($A$1,ROW(),21,1000-ROW(),1),"Sub"))))</f>
        <v/>
      </c>
      <c r="L254" s="60">
        <f>IF(N($W254)=0,"",IF(AND($S254=MesCiclo,4&gt;SemanaActual),"",MIN(1,SUMIFS(OFFSET($A$1,ROW(),32,1000-ROW(),1),OFFSET($A$1,ROW(),20,1000-ROW(),1),ROW(),OFFSET($A$1,ROW(),21,1000-ROW(),1),"Sub"))))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IF($V254&lt;&gt;"Sub","",N($X254)*IF(AND(ISNUMBER($G254),$G254&lt;=IF($S254=MesCiclo,InicioCiclo,$S254+MOD(2-WEEKDAY($S254),7))+6),1,MIN(1,MAX(0,IF(ISNUMBER(OFFSET($A$1,ROW()-1,8)),OFFSET($A$1,ROW()-1,8),0)))))</f>
        <v/>
      </c>
      <c r="AE254" s="62">
        <f>IF($V254&lt;&gt;"Sub","",N($X254)*IF(AND(ISNUMBER($G254),$G254&lt;=IF($S254=MesCiclo,InicioCiclo,$S254+MOD(2-WEEKDAY($S254),7))+13),1,MIN(1,MAX(0,IF(ISNUMBER(OFFSET($A$1,ROW()-1,9)),OFFSET($A$1,ROW()-1,9),IF(ISNUMBER(OFFSET($A$1,ROW()-1,8)),OFFSET($A$1,ROW()-1,8),0))))))</f>
        <v/>
      </c>
      <c r="AF254" s="62">
        <f>IF($V254&lt;&gt;"Sub","",N($X254)*IF(AND(ISNUMBER($G254),$G254&lt;=IF($S254=MesCiclo,InicioCiclo,$S254+MOD(2-WEEKDAY($S254),7))+20),1,MIN(1,MAX(0,IF(ISNUMBER(OFFSET($A$1,ROW()-1,10)),OFFSET($A$1,ROW()-1,10),IF(ISNUMBER(OFFSET($A$1,ROW()-1,9)),OFFSET($A$1,ROW()-1,9),IF(ISNUMBER(OFFSET($A$1,ROW()-1,8)),OFFSET($A$1,ROW()-1,8),0)))))))</f>
        <v/>
      </c>
      <c r="AG254" s="62">
        <f>IF($V254&lt;&gt;"Sub","",N($X254)*IF(AND(ISNUMBER($G254),$G254&lt;=IF($S254=MesCiclo,InicioCiclo,$S254+MOD(2-WEEKDAY($S254),7))+27),1,MIN(1,MAX(0,IF(ISNUMBER(OFFSET($A$1,ROW()-1,11)),OFFSET($A$1,ROW()-1,11),IF(ISNUMBER(OFFSET($A$1,ROW()-1,10)),OFFSET($A$1,ROW()-1,10),IF(ISNUMBER(OFFSET($A$1,ROW()-1,9)),OFFSET($A$1,ROW()-1,9),IF(ISNUMBER(OFFSET($A$1,ROW()-1,8)),OFFSET($A$1,ROW()-1,8),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",IFERROR(MATCH("Riesgo Normativo|"&amp;MID($C254,12,500),rDname_ADM,0),0),"")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IF(N($W255)=0,"",IF(AND($S255=MesCiclo,1&gt;SemanaActual),"",MIN(1,SUMIFS(OFFSET($A$1,ROW(),29,1000-ROW(),1),OFFSET($A$1,ROW(),20,1000-ROW(),1),ROW(),OFFSET($A$1,ROW(),21,1000-ROW(),1),"Sub"))))</f>
        <v/>
      </c>
      <c r="J255" s="60">
        <f>IF(N($W255)=0,"",IF(AND($S255=MesCiclo,2&gt;SemanaActual),"",MIN(1,SUMIFS(OFFSET($A$1,ROW(),30,1000-ROW(),1),OFFSET($A$1,ROW(),20,1000-ROW(),1),ROW(),OFFSET($A$1,ROW(),21,1000-ROW(),1),"Sub"))))</f>
        <v/>
      </c>
      <c r="K255" s="60">
        <f>IF(N($W255)=0,"",IF(AND($S255=MesCiclo,3&gt;SemanaActual),"",MIN(1,SUMIFS(OFFSET($A$1,ROW(),31,1000-ROW(),1),OFFSET($A$1,ROW(),20,1000-ROW(),1),ROW(),OFFSET($A$1,ROW(),21,1000-ROW(),1),"Sub"))))</f>
        <v/>
      </c>
      <c r="L255" s="60">
        <f>IF(N($W255)=0,"",IF(AND($S255=MesCiclo,4&gt;SemanaActual),"",MIN(1,SUMIFS(OFFSET($A$1,ROW(),32,1000-ROW(),1),OFFSET($A$1,ROW(),20,1000-ROW(),1),ROW(),OFFSET($A$1,ROW(),21,1000-ROW(),1),"Sub"))))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IF($V255&lt;&gt;"Sub","",N($X255)*IF(AND(ISNUMBER($G255),$G255&lt;=IF($S255=MesCiclo,InicioCiclo,$S255+MOD(2-WEEKDAY($S255),7))+6),1,MIN(1,MAX(0,IF(ISNUMBER(OFFSET($A$1,ROW()-1,8)),OFFSET($A$1,ROW()-1,8),0)))))</f>
        <v/>
      </c>
      <c r="AE255" s="62">
        <f>IF($V255&lt;&gt;"Sub","",N($X255)*IF(AND(ISNUMBER($G255),$G255&lt;=IF($S255=MesCiclo,InicioCiclo,$S255+MOD(2-WEEKDAY($S255),7))+13),1,MIN(1,MAX(0,IF(ISNUMBER(OFFSET($A$1,ROW()-1,9)),OFFSET($A$1,ROW()-1,9),IF(ISNUMBER(OFFSET($A$1,ROW()-1,8)),OFFSET($A$1,ROW()-1,8),0))))))</f>
        <v/>
      </c>
      <c r="AF255" s="62">
        <f>IF($V255&lt;&gt;"Sub","",N($X255)*IF(AND(ISNUMBER($G255),$G255&lt;=IF($S255=MesCiclo,InicioCiclo,$S255+MOD(2-WEEKDAY($S255),7))+20),1,MIN(1,MAX(0,IF(ISNUMBER(OFFSET($A$1,ROW()-1,10)),OFFSET($A$1,ROW()-1,10),IF(ISNUMBER(OFFSET($A$1,ROW()-1,9)),OFFSET($A$1,ROW()-1,9),IF(ISNUMBER(OFFSET($A$1,ROW()-1,8)),OFFSET($A$1,ROW()-1,8),0)))))))</f>
        <v/>
      </c>
      <c r="AG255" s="62">
        <f>IF($V255&lt;&gt;"Sub","",N($X255)*IF(AND(ISNUMBER($G255),$G255&lt;=IF($S255=MesCiclo,InicioCiclo,$S255+MOD(2-WEEKDAY($S255),7))+27),1,MIN(1,MAX(0,IF(ISNUMBER(OFFSET($A$1,ROW()-1,11)),OFFSET($A$1,ROW()-1,11),IF(ISNUMBER(OFFSET($A$1,ROW()-1,10)),OFFSET($A$1,ROW()-1,10),IF(ISNUMBER(OFFSET($A$1,ROW()-1,9)),OFFSET($A$1,ROW()-1,9),IF(ISNUMBER(OFFSET($A$1,ROW()-1,8)),OFFSET($A$1,ROW()-1,8),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",IFERROR(MATCH("Riesgo Normativo|"&amp;MID($C255,12,500),rDname_ADM,0),0),"")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IF(N($W256)=0,"",IF(AND($S256=MesCiclo,1&gt;SemanaActual),"",MIN(1,SUMIFS(OFFSET($A$1,ROW(),29,1000-ROW(),1),OFFSET($A$1,ROW(),20,1000-ROW(),1),ROW(),OFFSET($A$1,ROW(),21,1000-ROW(),1),"Sub"))))</f>
        <v/>
      </c>
      <c r="J256" s="60">
        <f>IF(N($W256)=0,"",IF(AND($S256=MesCiclo,2&gt;SemanaActual),"",MIN(1,SUMIFS(OFFSET($A$1,ROW(),30,1000-ROW(),1),OFFSET($A$1,ROW(),20,1000-ROW(),1),ROW(),OFFSET($A$1,ROW(),21,1000-ROW(),1),"Sub"))))</f>
        <v/>
      </c>
      <c r="K256" s="60">
        <f>IF(N($W256)=0,"",IF(AND($S256=MesCiclo,3&gt;SemanaActual),"",MIN(1,SUMIFS(OFFSET($A$1,ROW(),31,1000-ROW(),1),OFFSET($A$1,ROW(),20,1000-ROW(),1),ROW(),OFFSET($A$1,ROW(),21,1000-ROW(),1),"Sub"))))</f>
        <v/>
      </c>
      <c r="L256" s="60">
        <f>IF(N($W256)=0,"",IF(AND($S256=MesCiclo,4&gt;SemanaActual),"",MIN(1,SUMIFS(OFFSET($A$1,ROW(),32,1000-ROW(),1),OFFSET($A$1,ROW(),20,1000-ROW(),1),ROW(),OFFSET($A$1,ROW(),21,1000-ROW(),1),"Sub"))))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IF($V256&lt;&gt;"Sub","",N($X256)*IF(AND(ISNUMBER($G256),$G256&lt;=IF($S256=MesCiclo,InicioCiclo,$S256+MOD(2-WEEKDAY($S256),7))+6),1,MIN(1,MAX(0,IF(ISNUMBER(OFFSET($A$1,ROW()-1,8)),OFFSET($A$1,ROW()-1,8),0)))))</f>
        <v/>
      </c>
      <c r="AE256" s="62">
        <f>IF($V256&lt;&gt;"Sub","",N($X256)*IF(AND(ISNUMBER($G256),$G256&lt;=IF($S256=MesCiclo,InicioCiclo,$S256+MOD(2-WEEKDAY($S256),7))+13),1,MIN(1,MAX(0,IF(ISNUMBER(OFFSET($A$1,ROW()-1,9)),OFFSET($A$1,ROW()-1,9),IF(ISNUMBER(OFFSET($A$1,ROW()-1,8)),OFFSET($A$1,ROW()-1,8),0))))))</f>
        <v/>
      </c>
      <c r="AF256" s="62">
        <f>IF($V256&lt;&gt;"Sub","",N($X256)*IF(AND(ISNUMBER($G256),$G256&lt;=IF($S256=MesCiclo,InicioCiclo,$S256+MOD(2-WEEKDAY($S256),7))+20),1,MIN(1,MAX(0,IF(ISNUMBER(OFFSET($A$1,ROW()-1,10)),OFFSET($A$1,ROW()-1,10),IF(ISNUMBER(OFFSET($A$1,ROW()-1,9)),OFFSET($A$1,ROW()-1,9),IF(ISNUMBER(OFFSET($A$1,ROW()-1,8)),OFFSET($A$1,ROW()-1,8),0)))))))</f>
        <v/>
      </c>
      <c r="AG256" s="62">
        <f>IF($V256&lt;&gt;"Sub","",N($X256)*IF(AND(ISNUMBER($G256),$G256&lt;=IF($S256=MesCiclo,InicioCiclo,$S256+MOD(2-WEEKDAY($S256),7))+27),1,MIN(1,MAX(0,IF(ISNUMBER(OFFSET($A$1,ROW()-1,11)),OFFSET($A$1,ROW()-1,11),IF(ISNUMBER(OFFSET($A$1,ROW()-1,10)),OFFSET($A$1,ROW()-1,10),IF(ISNUMBER(OFFSET($A$1,ROW()-1,9)),OFFSET($A$1,ROW()-1,9),IF(ISNUMBER(OFFSET($A$1,ROW()-1,8)),OFFSET($A$1,ROW()-1,8),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",IFERROR(MATCH("Riesgo Normativo|"&amp;MID($C256,12,500),rDname_ADM,0),0),"")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IF(N($W257)=0,"",IF(AND($S257=MesCiclo,1&gt;SemanaActual),"",MIN(1,SUMIFS(OFFSET($A$1,ROW(),29,1000-ROW(),1),OFFSET($A$1,ROW(),20,1000-ROW(),1),ROW(),OFFSET($A$1,ROW(),21,1000-ROW(),1),"Sub"))))</f>
        <v/>
      </c>
      <c r="J257" s="60">
        <f>IF(N($W257)=0,"",IF(AND($S257=MesCiclo,2&gt;SemanaActual),"",MIN(1,SUMIFS(OFFSET($A$1,ROW(),30,1000-ROW(),1),OFFSET($A$1,ROW(),20,1000-ROW(),1),ROW(),OFFSET($A$1,ROW(),21,1000-ROW(),1),"Sub"))))</f>
        <v/>
      </c>
      <c r="K257" s="60">
        <f>IF(N($W257)=0,"",IF(AND($S257=MesCiclo,3&gt;SemanaActual),"",MIN(1,SUMIFS(OFFSET($A$1,ROW(),31,1000-ROW(),1),OFFSET($A$1,ROW(),20,1000-ROW(),1),ROW(),OFFSET($A$1,ROW(),21,1000-ROW(),1),"Sub"))))</f>
        <v/>
      </c>
      <c r="L257" s="60">
        <f>IF(N($W257)=0,"",IF(AND($S257=MesCiclo,4&gt;SemanaActual),"",MIN(1,SUMIFS(OFFSET($A$1,ROW(),32,1000-ROW(),1),OFFSET($A$1,ROW(),20,1000-ROW(),1),ROW(),OFFSET($A$1,ROW(),21,1000-ROW(),1),"Sub"))))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IF($V257&lt;&gt;"Sub","",N($X257)*IF(AND(ISNUMBER($G257),$G257&lt;=IF($S257=MesCiclo,InicioCiclo,$S257+MOD(2-WEEKDAY($S257),7))+6),1,MIN(1,MAX(0,IF(ISNUMBER(OFFSET($A$1,ROW()-1,8)),OFFSET($A$1,ROW()-1,8),0)))))</f>
        <v/>
      </c>
      <c r="AE257" s="62">
        <f>IF($V257&lt;&gt;"Sub","",N($X257)*IF(AND(ISNUMBER($G257),$G257&lt;=IF($S257=MesCiclo,InicioCiclo,$S257+MOD(2-WEEKDAY($S257),7))+13),1,MIN(1,MAX(0,IF(ISNUMBER(OFFSET($A$1,ROW()-1,9)),OFFSET($A$1,ROW()-1,9),IF(ISNUMBER(OFFSET($A$1,ROW()-1,8)),OFFSET($A$1,ROW()-1,8),0))))))</f>
        <v/>
      </c>
      <c r="AF257" s="62">
        <f>IF($V257&lt;&gt;"Sub","",N($X257)*IF(AND(ISNUMBER($G257),$G257&lt;=IF($S257=MesCiclo,InicioCiclo,$S257+MOD(2-WEEKDAY($S257),7))+20),1,MIN(1,MAX(0,IF(ISNUMBER(OFFSET($A$1,ROW()-1,10)),OFFSET($A$1,ROW()-1,10),IF(ISNUMBER(OFFSET($A$1,ROW()-1,9)),OFFSET($A$1,ROW()-1,9),IF(ISNUMBER(OFFSET($A$1,ROW()-1,8)),OFFSET($A$1,ROW()-1,8),0)))))))</f>
        <v/>
      </c>
      <c r="AG257" s="62">
        <f>IF($V257&lt;&gt;"Sub","",N($X257)*IF(AND(ISNUMBER($G257),$G257&lt;=IF($S257=MesCiclo,InicioCiclo,$S257+MOD(2-WEEKDAY($S257),7))+27),1,MIN(1,MAX(0,IF(ISNUMBER(OFFSET($A$1,ROW()-1,11)),OFFSET($A$1,ROW()-1,11),IF(ISNUMBER(OFFSET($A$1,ROW()-1,10)),OFFSET($A$1,ROW()-1,10),IF(ISNUMBER(OFFSET($A$1,ROW()-1,9)),OFFSET($A$1,ROW()-1,9),IF(ISNUMBER(OFFSET($A$1,ROW()-1,8)),OFFSET($A$1,ROW()-1,8),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",IFERROR(MATCH("Riesgo Normativo|"&amp;MID($C257,12,500),rDname_ADM,0),0),"")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IF(N($W258)=0,"",IF(AND($S258=MesCiclo,1&gt;SemanaActual),"",MIN(1,SUMIFS(OFFSET($A$1,ROW(),29,1000-ROW(),1),OFFSET($A$1,ROW(),20,1000-ROW(),1),ROW(),OFFSET($A$1,ROW(),21,1000-ROW(),1),"Sub"))))</f>
        <v/>
      </c>
      <c r="J258" s="60">
        <f>IF(N($W258)=0,"",IF(AND($S258=MesCiclo,2&gt;SemanaActual),"",MIN(1,SUMIFS(OFFSET($A$1,ROW(),30,1000-ROW(),1),OFFSET($A$1,ROW(),20,1000-ROW(),1),ROW(),OFFSET($A$1,ROW(),21,1000-ROW(),1),"Sub"))))</f>
        <v/>
      </c>
      <c r="K258" s="60">
        <f>IF(N($W258)=0,"",IF(AND($S258=MesCiclo,3&gt;SemanaActual),"",MIN(1,SUMIFS(OFFSET($A$1,ROW(),31,1000-ROW(),1),OFFSET($A$1,ROW(),20,1000-ROW(),1),ROW(),OFFSET($A$1,ROW(),21,1000-ROW(),1),"Sub"))))</f>
        <v/>
      </c>
      <c r="L258" s="60">
        <f>IF(N($W258)=0,"",IF(AND($S258=MesCiclo,4&gt;SemanaActual),"",MIN(1,SUMIFS(OFFSET($A$1,ROW(),32,1000-ROW(),1),OFFSET($A$1,ROW(),20,1000-ROW(),1),ROW(),OFFSET($A$1,ROW(),21,1000-ROW(),1),"Sub"))))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IF($V258&lt;&gt;"Sub","",N($X258)*IF(AND(ISNUMBER($G258),$G258&lt;=IF($S258=MesCiclo,InicioCiclo,$S258+MOD(2-WEEKDAY($S258),7))+6),1,MIN(1,MAX(0,IF(ISNUMBER(OFFSET($A$1,ROW()-1,8)),OFFSET($A$1,ROW()-1,8),0)))))</f>
        <v/>
      </c>
      <c r="AE258" s="62">
        <f>IF($V258&lt;&gt;"Sub","",N($X258)*IF(AND(ISNUMBER($G258),$G258&lt;=IF($S258=MesCiclo,InicioCiclo,$S258+MOD(2-WEEKDAY($S258),7))+13),1,MIN(1,MAX(0,IF(ISNUMBER(OFFSET($A$1,ROW()-1,9)),OFFSET($A$1,ROW()-1,9),IF(ISNUMBER(OFFSET($A$1,ROW()-1,8)),OFFSET($A$1,ROW()-1,8),0))))))</f>
        <v/>
      </c>
      <c r="AF258" s="62">
        <f>IF($V258&lt;&gt;"Sub","",N($X258)*IF(AND(ISNUMBER($G258),$G258&lt;=IF($S258=MesCiclo,InicioCiclo,$S258+MOD(2-WEEKDAY($S258),7))+20),1,MIN(1,MAX(0,IF(ISNUMBER(OFFSET($A$1,ROW()-1,10)),OFFSET($A$1,ROW()-1,10),IF(ISNUMBER(OFFSET($A$1,ROW()-1,9)),OFFSET($A$1,ROW()-1,9),IF(ISNUMBER(OFFSET($A$1,ROW()-1,8)),OFFSET($A$1,ROW()-1,8),0)))))))</f>
        <v/>
      </c>
      <c r="AG258" s="62">
        <f>IF($V258&lt;&gt;"Sub","",N($X258)*IF(AND(ISNUMBER($G258),$G258&lt;=IF($S258=MesCiclo,InicioCiclo,$S258+MOD(2-WEEKDAY($S258),7))+27),1,MIN(1,MAX(0,IF(ISNUMBER(OFFSET($A$1,ROW()-1,11)),OFFSET($A$1,ROW()-1,11),IF(ISNUMBER(OFFSET($A$1,ROW()-1,10)),OFFSET($A$1,ROW()-1,10),IF(ISNUMBER(OFFSET($A$1,ROW()-1,9)),OFFSET($A$1,ROW()-1,9),IF(ISNUMBER(OFFSET($A$1,ROW()-1,8)),OFFSET($A$1,ROW()-1,8),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",IFERROR(MATCH("Riesgo Normativo|"&amp;MID($C258,12,500),rDname_ADM,0),0),"")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IF(N($W259)=0,"",IF(AND($S259=MesCiclo,1&gt;SemanaActual),"",MIN(1,SUMIFS(OFFSET($A$1,ROW(),29,1000-ROW(),1),OFFSET($A$1,ROW(),20,1000-ROW(),1),ROW(),OFFSET($A$1,ROW(),21,1000-ROW(),1),"Sub"))))</f>
        <v/>
      </c>
      <c r="J259" s="60">
        <f>IF(N($W259)=0,"",IF(AND($S259=MesCiclo,2&gt;SemanaActual),"",MIN(1,SUMIFS(OFFSET($A$1,ROW(),30,1000-ROW(),1),OFFSET($A$1,ROW(),20,1000-ROW(),1),ROW(),OFFSET($A$1,ROW(),21,1000-ROW(),1),"Sub"))))</f>
        <v/>
      </c>
      <c r="K259" s="60">
        <f>IF(N($W259)=0,"",IF(AND($S259=MesCiclo,3&gt;SemanaActual),"",MIN(1,SUMIFS(OFFSET($A$1,ROW(),31,1000-ROW(),1),OFFSET($A$1,ROW(),20,1000-ROW(),1),ROW(),OFFSET($A$1,ROW(),21,1000-ROW(),1),"Sub"))))</f>
        <v/>
      </c>
      <c r="L259" s="60">
        <f>IF(N($W259)=0,"",IF(AND($S259=MesCiclo,4&gt;SemanaActual),"",MIN(1,SUMIFS(OFFSET($A$1,ROW(),32,1000-ROW(),1),OFFSET($A$1,ROW(),20,1000-ROW(),1),ROW(),OFFSET($A$1,ROW(),21,1000-ROW(),1),"Sub"))))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IF($V259&lt;&gt;"Sub","",N($X259)*IF(AND(ISNUMBER($G259),$G259&lt;=IF($S259=MesCiclo,InicioCiclo,$S259+MOD(2-WEEKDAY($S259),7))+6),1,MIN(1,MAX(0,IF(ISNUMBER(OFFSET($A$1,ROW()-1,8)),OFFSET($A$1,ROW()-1,8),0)))))</f>
        <v/>
      </c>
      <c r="AE259" s="62">
        <f>IF($V259&lt;&gt;"Sub","",N($X259)*IF(AND(ISNUMBER($G259),$G259&lt;=IF($S259=MesCiclo,InicioCiclo,$S259+MOD(2-WEEKDAY($S259),7))+13),1,MIN(1,MAX(0,IF(ISNUMBER(OFFSET($A$1,ROW()-1,9)),OFFSET($A$1,ROW()-1,9),IF(ISNUMBER(OFFSET($A$1,ROW()-1,8)),OFFSET($A$1,ROW()-1,8),0))))))</f>
        <v/>
      </c>
      <c r="AF259" s="62">
        <f>IF($V259&lt;&gt;"Sub","",N($X259)*IF(AND(ISNUMBER($G259),$G259&lt;=IF($S259=MesCiclo,InicioCiclo,$S259+MOD(2-WEEKDAY($S259),7))+20),1,MIN(1,MAX(0,IF(ISNUMBER(OFFSET($A$1,ROW()-1,10)),OFFSET($A$1,ROW()-1,10),IF(ISNUMBER(OFFSET($A$1,ROW()-1,9)),OFFSET($A$1,ROW()-1,9),IF(ISNUMBER(OFFSET($A$1,ROW()-1,8)),OFFSET($A$1,ROW()-1,8),0)))))))</f>
        <v/>
      </c>
      <c r="AG259" s="62">
        <f>IF($V259&lt;&gt;"Sub","",N($X259)*IF(AND(ISNUMBER($G259),$G259&lt;=IF($S259=MesCiclo,InicioCiclo,$S259+MOD(2-WEEKDAY($S259),7))+27),1,MIN(1,MAX(0,IF(ISNUMBER(OFFSET($A$1,ROW()-1,11)),OFFSET($A$1,ROW()-1,11),IF(ISNUMBER(OFFSET($A$1,ROW()-1,10)),OFFSET($A$1,ROW()-1,10),IF(ISNUMBER(OFFSET($A$1,ROW()-1,9)),OFFSET($A$1,ROW()-1,9),IF(ISNUMBER(OFFSET($A$1,ROW()-1,8)),OFFSET($A$1,ROW()-1,8),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",IFERROR(MATCH("Riesgo Normativo|"&amp;MID($C259,12,500),rDname_ADM,0),0),"")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IF(N($W260)=0,"",IF(AND($S260=MesCiclo,1&gt;SemanaActual),"",MIN(1,SUMIFS(OFFSET($A$1,ROW(),29,1000-ROW(),1),OFFSET($A$1,ROW(),20,1000-ROW(),1),ROW(),OFFSET($A$1,ROW(),21,1000-ROW(),1),"Sub"))))</f>
        <v/>
      </c>
      <c r="J260" s="60">
        <f>IF(N($W260)=0,"",IF(AND($S260=MesCiclo,2&gt;SemanaActual),"",MIN(1,SUMIFS(OFFSET($A$1,ROW(),30,1000-ROW(),1),OFFSET($A$1,ROW(),20,1000-ROW(),1),ROW(),OFFSET($A$1,ROW(),21,1000-ROW(),1),"Sub"))))</f>
        <v/>
      </c>
      <c r="K260" s="60">
        <f>IF(N($W260)=0,"",IF(AND($S260=MesCiclo,3&gt;SemanaActual),"",MIN(1,SUMIFS(OFFSET($A$1,ROW(),31,1000-ROW(),1),OFFSET($A$1,ROW(),20,1000-ROW(),1),ROW(),OFFSET($A$1,ROW(),21,1000-ROW(),1),"Sub"))))</f>
        <v/>
      </c>
      <c r="L260" s="60">
        <f>IF(N($W260)=0,"",IF(AND($S260=MesCiclo,4&gt;SemanaActual),"",MIN(1,SUMIFS(OFFSET($A$1,ROW(),32,1000-ROW(),1),OFFSET($A$1,ROW(),20,1000-ROW(),1),ROW(),OFFSET($A$1,ROW(),21,1000-ROW(),1),"Sub"))))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IF($V260&lt;&gt;"Sub","",N($X260)*IF(AND(ISNUMBER($G260),$G260&lt;=IF($S260=MesCiclo,InicioCiclo,$S260+MOD(2-WEEKDAY($S260),7))+6),1,MIN(1,MAX(0,IF(ISNUMBER(OFFSET($A$1,ROW()-1,8)),OFFSET($A$1,ROW()-1,8),0)))))</f>
        <v/>
      </c>
      <c r="AE260" s="62">
        <f>IF($V260&lt;&gt;"Sub","",N($X260)*IF(AND(ISNUMBER($G260),$G260&lt;=IF($S260=MesCiclo,InicioCiclo,$S260+MOD(2-WEEKDAY($S260),7))+13),1,MIN(1,MAX(0,IF(ISNUMBER(OFFSET($A$1,ROW()-1,9)),OFFSET($A$1,ROW()-1,9),IF(ISNUMBER(OFFSET($A$1,ROW()-1,8)),OFFSET($A$1,ROW()-1,8),0))))))</f>
        <v/>
      </c>
      <c r="AF260" s="62">
        <f>IF($V260&lt;&gt;"Sub","",N($X260)*IF(AND(ISNUMBER($G260),$G260&lt;=IF($S260=MesCiclo,InicioCiclo,$S260+MOD(2-WEEKDAY($S260),7))+20),1,MIN(1,MAX(0,IF(ISNUMBER(OFFSET($A$1,ROW()-1,10)),OFFSET($A$1,ROW()-1,10),IF(ISNUMBER(OFFSET($A$1,ROW()-1,9)),OFFSET($A$1,ROW()-1,9),IF(ISNUMBER(OFFSET($A$1,ROW()-1,8)),OFFSET($A$1,ROW()-1,8),0)))))))</f>
        <v/>
      </c>
      <c r="AG260" s="62">
        <f>IF($V260&lt;&gt;"Sub","",N($X260)*IF(AND(ISNUMBER($G260),$G260&lt;=IF($S260=MesCiclo,InicioCiclo,$S260+MOD(2-WEEKDAY($S260),7))+27),1,MIN(1,MAX(0,IF(ISNUMBER(OFFSET($A$1,ROW()-1,11)),OFFSET($A$1,ROW()-1,11),IF(ISNUMBER(OFFSET($A$1,ROW()-1,10)),OFFSET($A$1,ROW()-1,10),IF(ISNUMBER(OFFSET($A$1,ROW()-1,9)),OFFSET($A$1,ROW()-1,9),IF(ISNUMBER(OFFSET($A$1,ROW()-1,8)),OFFSET($A$1,ROW()-1,8),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",IFERROR(MATCH("Riesgo Normativo|"&amp;MID($C260,12,500),rDname_ADM,0),0),"")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IF(N($W261)=0,"",IF(AND($S261=MesCiclo,1&gt;SemanaActual),"",MIN(1,SUMIFS(OFFSET($A$1,ROW(),29,1000-ROW(),1),OFFSET($A$1,ROW(),20,1000-ROW(),1),ROW(),OFFSET($A$1,ROW(),21,1000-ROW(),1),"Sub"))))</f>
        <v/>
      </c>
      <c r="J261" s="60">
        <f>IF(N($W261)=0,"",IF(AND($S261=MesCiclo,2&gt;SemanaActual),"",MIN(1,SUMIFS(OFFSET($A$1,ROW(),30,1000-ROW(),1),OFFSET($A$1,ROW(),20,1000-ROW(),1),ROW(),OFFSET($A$1,ROW(),21,1000-ROW(),1),"Sub"))))</f>
        <v/>
      </c>
      <c r="K261" s="60">
        <f>IF(N($W261)=0,"",IF(AND($S261=MesCiclo,3&gt;SemanaActual),"",MIN(1,SUMIFS(OFFSET($A$1,ROW(),31,1000-ROW(),1),OFFSET($A$1,ROW(),20,1000-ROW(),1),ROW(),OFFSET($A$1,ROW(),21,1000-ROW(),1),"Sub"))))</f>
        <v/>
      </c>
      <c r="L261" s="60">
        <f>IF(N($W261)=0,"",IF(AND($S261=MesCiclo,4&gt;SemanaActual),"",MIN(1,SUMIFS(OFFSET($A$1,ROW(),32,1000-ROW(),1),OFFSET($A$1,ROW(),20,1000-ROW(),1),ROW(),OFFSET($A$1,ROW(),21,1000-ROW(),1),"Sub"))))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IF($V261&lt;&gt;"Sub","",N($X261)*IF(AND(ISNUMBER($G261),$G261&lt;=IF($S261=MesCiclo,InicioCiclo,$S261+MOD(2-WEEKDAY($S261),7))+6),1,MIN(1,MAX(0,IF(ISNUMBER(OFFSET($A$1,ROW()-1,8)),OFFSET($A$1,ROW()-1,8),0)))))</f>
        <v/>
      </c>
      <c r="AE261" s="62">
        <f>IF($V261&lt;&gt;"Sub","",N($X261)*IF(AND(ISNUMBER($G261),$G261&lt;=IF($S261=MesCiclo,InicioCiclo,$S261+MOD(2-WEEKDAY($S261),7))+13),1,MIN(1,MAX(0,IF(ISNUMBER(OFFSET($A$1,ROW()-1,9)),OFFSET($A$1,ROW()-1,9),IF(ISNUMBER(OFFSET($A$1,ROW()-1,8)),OFFSET($A$1,ROW()-1,8),0))))))</f>
        <v/>
      </c>
      <c r="AF261" s="62">
        <f>IF($V261&lt;&gt;"Sub","",N($X261)*IF(AND(ISNUMBER($G261),$G261&lt;=IF($S261=MesCiclo,InicioCiclo,$S261+MOD(2-WEEKDAY($S261),7))+20),1,MIN(1,MAX(0,IF(ISNUMBER(OFFSET($A$1,ROW()-1,10)),OFFSET($A$1,ROW()-1,10),IF(ISNUMBER(OFFSET($A$1,ROW()-1,9)),OFFSET($A$1,ROW()-1,9),IF(ISNUMBER(OFFSET($A$1,ROW()-1,8)),OFFSET($A$1,ROW()-1,8),0)))))))</f>
        <v/>
      </c>
      <c r="AG261" s="62">
        <f>IF($V261&lt;&gt;"Sub","",N($X261)*IF(AND(ISNUMBER($G261),$G261&lt;=IF($S261=MesCiclo,InicioCiclo,$S261+MOD(2-WEEKDAY($S261),7))+27),1,MIN(1,MAX(0,IF(ISNUMBER(OFFSET($A$1,ROW()-1,11)),OFFSET($A$1,ROW()-1,11),IF(ISNUMBER(OFFSET($A$1,ROW()-1,10)),OFFSET($A$1,ROW()-1,10),IF(ISNUMBER(OFFSET($A$1,ROW()-1,9)),OFFSET($A$1,ROW()-1,9),IF(ISNUMBER(OFFSET($A$1,ROW()-1,8)),OFFSET($A$1,ROW()-1,8),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",IFERROR(MATCH("Riesgo Normativo|"&amp;MID($C261,12,500),rDname_ADM,0),0),"")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IF(N($W262)=0,"",IF(AND($S262=MesCiclo,1&gt;SemanaActual),"",MIN(1,SUMIFS(OFFSET($A$1,ROW(),29,1000-ROW(),1),OFFSET($A$1,ROW(),20,1000-ROW(),1),ROW(),OFFSET($A$1,ROW(),21,1000-ROW(),1),"Sub"))))</f>
        <v/>
      </c>
      <c r="J262" s="60">
        <f>IF(N($W262)=0,"",IF(AND($S262=MesCiclo,2&gt;SemanaActual),"",MIN(1,SUMIFS(OFFSET($A$1,ROW(),30,1000-ROW(),1),OFFSET($A$1,ROW(),20,1000-ROW(),1),ROW(),OFFSET($A$1,ROW(),21,1000-ROW(),1),"Sub"))))</f>
        <v/>
      </c>
      <c r="K262" s="60">
        <f>IF(N($W262)=0,"",IF(AND($S262=MesCiclo,3&gt;SemanaActual),"",MIN(1,SUMIFS(OFFSET($A$1,ROW(),31,1000-ROW(),1),OFFSET($A$1,ROW(),20,1000-ROW(),1),ROW(),OFFSET($A$1,ROW(),21,1000-ROW(),1),"Sub"))))</f>
        <v/>
      </c>
      <c r="L262" s="60">
        <f>IF(N($W262)=0,"",IF(AND($S262=MesCiclo,4&gt;SemanaActual),"",MIN(1,SUMIFS(OFFSET($A$1,ROW(),32,1000-ROW(),1),OFFSET($A$1,ROW(),20,1000-ROW(),1),ROW(),OFFSET($A$1,ROW(),21,1000-ROW(),1),"Sub"))))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IF($V262&lt;&gt;"Sub","",N($X262)*IF(AND(ISNUMBER($G262),$G262&lt;=IF($S262=MesCiclo,InicioCiclo,$S262+MOD(2-WEEKDAY($S262),7))+6),1,MIN(1,MAX(0,IF(ISNUMBER(OFFSET($A$1,ROW()-1,8)),OFFSET($A$1,ROW()-1,8),0)))))</f>
        <v/>
      </c>
      <c r="AE262" s="62">
        <f>IF($V262&lt;&gt;"Sub","",N($X262)*IF(AND(ISNUMBER($G262),$G262&lt;=IF($S262=MesCiclo,InicioCiclo,$S262+MOD(2-WEEKDAY($S262),7))+13),1,MIN(1,MAX(0,IF(ISNUMBER(OFFSET($A$1,ROW()-1,9)),OFFSET($A$1,ROW()-1,9),IF(ISNUMBER(OFFSET($A$1,ROW()-1,8)),OFFSET($A$1,ROW()-1,8),0))))))</f>
        <v/>
      </c>
      <c r="AF262" s="62">
        <f>IF($V262&lt;&gt;"Sub","",N($X262)*IF(AND(ISNUMBER($G262),$G262&lt;=IF($S262=MesCiclo,InicioCiclo,$S262+MOD(2-WEEKDAY($S262),7))+20),1,MIN(1,MAX(0,IF(ISNUMBER(OFFSET($A$1,ROW()-1,10)),OFFSET($A$1,ROW()-1,10),IF(ISNUMBER(OFFSET($A$1,ROW()-1,9)),OFFSET($A$1,ROW()-1,9),IF(ISNUMBER(OFFSET($A$1,ROW()-1,8)),OFFSET($A$1,ROW()-1,8),0)))))))</f>
        <v/>
      </c>
      <c r="AG262" s="62">
        <f>IF($V262&lt;&gt;"Sub","",N($X262)*IF(AND(ISNUMBER($G262),$G262&lt;=IF($S262=MesCiclo,InicioCiclo,$S262+MOD(2-WEEKDAY($S262),7))+27),1,MIN(1,MAX(0,IF(ISNUMBER(OFFSET($A$1,ROW()-1,11)),OFFSET($A$1,ROW()-1,11),IF(ISNUMBER(OFFSET($A$1,ROW()-1,10)),OFFSET($A$1,ROW()-1,10),IF(ISNUMBER(OFFSET($A$1,ROW()-1,9)),OFFSET($A$1,ROW()-1,9),IF(ISNUMBER(OFFSET($A$1,ROW()-1,8)),OFFSET($A$1,ROW()-1,8),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",IFERROR(MATCH("Riesgo Normativo|"&amp;MID($C262,12,500),rDname_ADM,0),0),"")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IF(N($W263)=0,"",IF(AND($S263=MesCiclo,1&gt;SemanaActual),"",MIN(1,SUMIFS(OFFSET($A$1,ROW(),29,1000-ROW(),1),OFFSET($A$1,ROW(),20,1000-ROW(),1),ROW(),OFFSET($A$1,ROW(),21,1000-ROW(),1),"Sub"))))</f>
        <v/>
      </c>
      <c r="J263" s="60">
        <f>IF(N($W263)=0,"",IF(AND($S263=MesCiclo,2&gt;SemanaActual),"",MIN(1,SUMIFS(OFFSET($A$1,ROW(),30,1000-ROW(),1),OFFSET($A$1,ROW(),20,1000-ROW(),1),ROW(),OFFSET($A$1,ROW(),21,1000-ROW(),1),"Sub"))))</f>
        <v/>
      </c>
      <c r="K263" s="60">
        <f>IF(N($W263)=0,"",IF(AND($S263=MesCiclo,3&gt;SemanaActual),"",MIN(1,SUMIFS(OFFSET($A$1,ROW(),31,1000-ROW(),1),OFFSET($A$1,ROW(),20,1000-ROW(),1),ROW(),OFFSET($A$1,ROW(),21,1000-ROW(),1),"Sub"))))</f>
        <v/>
      </c>
      <c r="L263" s="60">
        <f>IF(N($W263)=0,"",IF(AND($S263=MesCiclo,4&gt;SemanaActual),"",MIN(1,SUMIFS(OFFSET($A$1,ROW(),32,1000-ROW(),1),OFFSET($A$1,ROW(),20,1000-ROW(),1),ROW(),OFFSET($A$1,ROW(),21,1000-ROW(),1),"Sub"))))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IF($V263&lt;&gt;"Sub","",N($X263)*IF(AND(ISNUMBER($G263),$G263&lt;=IF($S263=MesCiclo,InicioCiclo,$S263+MOD(2-WEEKDAY($S263),7))+6),1,MIN(1,MAX(0,IF(ISNUMBER(OFFSET($A$1,ROW()-1,8)),OFFSET($A$1,ROW()-1,8),0)))))</f>
        <v/>
      </c>
      <c r="AE263" s="62">
        <f>IF($V263&lt;&gt;"Sub","",N($X263)*IF(AND(ISNUMBER($G263),$G263&lt;=IF($S263=MesCiclo,InicioCiclo,$S263+MOD(2-WEEKDAY($S263),7))+13),1,MIN(1,MAX(0,IF(ISNUMBER(OFFSET($A$1,ROW()-1,9)),OFFSET($A$1,ROW()-1,9),IF(ISNUMBER(OFFSET($A$1,ROW()-1,8)),OFFSET($A$1,ROW()-1,8),0))))))</f>
        <v/>
      </c>
      <c r="AF263" s="62">
        <f>IF($V263&lt;&gt;"Sub","",N($X263)*IF(AND(ISNUMBER($G263),$G263&lt;=IF($S263=MesCiclo,InicioCiclo,$S263+MOD(2-WEEKDAY($S263),7))+20),1,MIN(1,MAX(0,IF(ISNUMBER(OFFSET($A$1,ROW()-1,10)),OFFSET($A$1,ROW()-1,10),IF(ISNUMBER(OFFSET($A$1,ROW()-1,9)),OFFSET($A$1,ROW()-1,9),IF(ISNUMBER(OFFSET($A$1,ROW()-1,8)),OFFSET($A$1,ROW()-1,8),0)))))))</f>
        <v/>
      </c>
      <c r="AG263" s="62">
        <f>IF($V263&lt;&gt;"Sub","",N($X263)*IF(AND(ISNUMBER($G263),$G263&lt;=IF($S263=MesCiclo,InicioCiclo,$S263+MOD(2-WEEKDAY($S263),7))+27),1,MIN(1,MAX(0,IF(ISNUMBER(OFFSET($A$1,ROW()-1,11)),OFFSET($A$1,ROW()-1,11),IF(ISNUMBER(OFFSET($A$1,ROW()-1,10)),OFFSET($A$1,ROW()-1,10),IF(ISNUMBER(OFFSET($A$1,ROW()-1,9)),OFFSET($A$1,ROW()-1,9),IF(ISNUMBER(OFFSET($A$1,ROW()-1,8)),OFFSET($A$1,ROW()-1,8),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",IFERROR(MATCH("Riesgo Normativo|"&amp;MID($C263,12,500),rDname_ADM,0),0),"")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IF(N($W264)=0,"",IF(AND($S264=MesCiclo,1&gt;SemanaActual),"",MIN(1,SUMIFS(OFFSET($A$1,ROW(),29,1000-ROW(),1),OFFSET($A$1,ROW(),20,1000-ROW(),1),ROW(),OFFSET($A$1,ROW(),21,1000-ROW(),1),"Sub"))))</f>
        <v/>
      </c>
      <c r="J264" s="60">
        <f>IF(N($W264)=0,"",IF(AND($S264=MesCiclo,2&gt;SemanaActual),"",MIN(1,SUMIFS(OFFSET($A$1,ROW(),30,1000-ROW(),1),OFFSET($A$1,ROW(),20,1000-ROW(),1),ROW(),OFFSET($A$1,ROW(),21,1000-ROW(),1),"Sub"))))</f>
        <v/>
      </c>
      <c r="K264" s="60">
        <f>IF(N($W264)=0,"",IF(AND($S264=MesCiclo,3&gt;SemanaActual),"",MIN(1,SUMIFS(OFFSET($A$1,ROW(),31,1000-ROW(),1),OFFSET($A$1,ROW(),20,1000-ROW(),1),ROW(),OFFSET($A$1,ROW(),21,1000-ROW(),1),"Sub"))))</f>
        <v/>
      </c>
      <c r="L264" s="60">
        <f>IF(N($W264)=0,"",IF(AND($S264=MesCiclo,4&gt;SemanaActual),"",MIN(1,SUMIFS(OFFSET($A$1,ROW(),32,1000-ROW(),1),OFFSET($A$1,ROW(),20,1000-ROW(),1),ROW(),OFFSET($A$1,ROW(),21,1000-ROW(),1),"Sub"))))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IF($V264&lt;&gt;"Sub","",N($X264)*IF(AND(ISNUMBER($G264),$G264&lt;=IF($S264=MesCiclo,InicioCiclo,$S264+MOD(2-WEEKDAY($S264),7))+6),1,MIN(1,MAX(0,IF(ISNUMBER(OFFSET($A$1,ROW()-1,8)),OFFSET($A$1,ROW()-1,8),0)))))</f>
        <v/>
      </c>
      <c r="AE264" s="62">
        <f>IF($V264&lt;&gt;"Sub","",N($X264)*IF(AND(ISNUMBER($G264),$G264&lt;=IF($S264=MesCiclo,InicioCiclo,$S264+MOD(2-WEEKDAY($S264),7))+13),1,MIN(1,MAX(0,IF(ISNUMBER(OFFSET($A$1,ROW()-1,9)),OFFSET($A$1,ROW()-1,9),IF(ISNUMBER(OFFSET($A$1,ROW()-1,8)),OFFSET($A$1,ROW()-1,8),0))))))</f>
        <v/>
      </c>
      <c r="AF264" s="62">
        <f>IF($V264&lt;&gt;"Sub","",N($X264)*IF(AND(ISNUMBER($G264),$G264&lt;=IF($S264=MesCiclo,InicioCiclo,$S264+MOD(2-WEEKDAY($S264),7))+20),1,MIN(1,MAX(0,IF(ISNUMBER(OFFSET($A$1,ROW()-1,10)),OFFSET($A$1,ROW()-1,10),IF(ISNUMBER(OFFSET($A$1,ROW()-1,9)),OFFSET($A$1,ROW()-1,9),IF(ISNUMBER(OFFSET($A$1,ROW()-1,8)),OFFSET($A$1,ROW()-1,8),0)))))))</f>
        <v/>
      </c>
      <c r="AG264" s="62">
        <f>IF($V264&lt;&gt;"Sub","",N($X264)*IF(AND(ISNUMBER($G264),$G264&lt;=IF($S264=MesCiclo,InicioCiclo,$S264+MOD(2-WEEKDAY($S264),7))+27),1,MIN(1,MAX(0,IF(ISNUMBER(OFFSET($A$1,ROW()-1,11)),OFFSET($A$1,ROW()-1,11),IF(ISNUMBER(OFFSET($A$1,ROW()-1,10)),OFFSET($A$1,ROW()-1,10),IF(ISNUMBER(OFFSET($A$1,ROW()-1,9)),OFFSET($A$1,ROW()-1,9),IF(ISNUMBER(OFFSET($A$1,ROW()-1,8)),OFFSET($A$1,ROW()-1,8),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",IFERROR(MATCH("Riesgo Normativo|"&amp;MID($C264,12,500),rDname_ADM,0),0),"")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IF(N($W265)=0,"",IF(AND($S265=MesCiclo,1&gt;SemanaActual),"",MIN(1,SUMIFS(OFFSET($A$1,ROW(),29,1000-ROW(),1),OFFSET($A$1,ROW(),20,1000-ROW(),1),ROW(),OFFSET($A$1,ROW(),21,1000-ROW(),1),"Sub"))))</f>
        <v/>
      </c>
      <c r="J265" s="60">
        <f>IF(N($W265)=0,"",IF(AND($S265=MesCiclo,2&gt;SemanaActual),"",MIN(1,SUMIFS(OFFSET($A$1,ROW(),30,1000-ROW(),1),OFFSET($A$1,ROW(),20,1000-ROW(),1),ROW(),OFFSET($A$1,ROW(),21,1000-ROW(),1),"Sub"))))</f>
        <v/>
      </c>
      <c r="K265" s="60">
        <f>IF(N($W265)=0,"",IF(AND($S265=MesCiclo,3&gt;SemanaActual),"",MIN(1,SUMIFS(OFFSET($A$1,ROW(),31,1000-ROW(),1),OFFSET($A$1,ROW(),20,1000-ROW(),1),ROW(),OFFSET($A$1,ROW(),21,1000-ROW(),1),"Sub"))))</f>
        <v/>
      </c>
      <c r="L265" s="60">
        <f>IF(N($W265)=0,"",IF(AND($S265=MesCiclo,4&gt;SemanaActual),"",MIN(1,SUMIFS(OFFSET($A$1,ROW(),32,1000-ROW(),1),OFFSET($A$1,ROW(),20,1000-ROW(),1),ROW(),OFFSET($A$1,ROW(),21,1000-ROW(),1),"Sub"))))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IF($V265&lt;&gt;"Sub","",N($X265)*IF(AND(ISNUMBER($G265),$G265&lt;=IF($S265=MesCiclo,InicioCiclo,$S265+MOD(2-WEEKDAY($S265),7))+6),1,MIN(1,MAX(0,IF(ISNUMBER(OFFSET($A$1,ROW()-1,8)),OFFSET($A$1,ROW()-1,8),0)))))</f>
        <v/>
      </c>
      <c r="AE265" s="62">
        <f>IF($V265&lt;&gt;"Sub","",N($X265)*IF(AND(ISNUMBER($G265),$G265&lt;=IF($S265=MesCiclo,InicioCiclo,$S265+MOD(2-WEEKDAY($S265),7))+13),1,MIN(1,MAX(0,IF(ISNUMBER(OFFSET($A$1,ROW()-1,9)),OFFSET($A$1,ROW()-1,9),IF(ISNUMBER(OFFSET($A$1,ROW()-1,8)),OFFSET($A$1,ROW()-1,8),0))))))</f>
        <v/>
      </c>
      <c r="AF265" s="62">
        <f>IF($V265&lt;&gt;"Sub","",N($X265)*IF(AND(ISNUMBER($G265),$G265&lt;=IF($S265=MesCiclo,InicioCiclo,$S265+MOD(2-WEEKDAY($S265),7))+20),1,MIN(1,MAX(0,IF(ISNUMBER(OFFSET($A$1,ROW()-1,10)),OFFSET($A$1,ROW()-1,10),IF(ISNUMBER(OFFSET($A$1,ROW()-1,9)),OFFSET($A$1,ROW()-1,9),IF(ISNUMBER(OFFSET($A$1,ROW()-1,8)),OFFSET($A$1,ROW()-1,8),0)))))))</f>
        <v/>
      </c>
      <c r="AG265" s="62">
        <f>IF($V265&lt;&gt;"Sub","",N($X265)*IF(AND(ISNUMBER($G265),$G265&lt;=IF($S265=MesCiclo,InicioCiclo,$S265+MOD(2-WEEKDAY($S265),7))+27),1,MIN(1,MAX(0,IF(ISNUMBER(OFFSET($A$1,ROW()-1,11)),OFFSET($A$1,ROW()-1,11),IF(ISNUMBER(OFFSET($A$1,ROW()-1,10)),OFFSET($A$1,ROW()-1,10),IF(ISNUMBER(OFFSET($A$1,ROW()-1,9)),OFFSET($A$1,ROW()-1,9),IF(ISNUMBER(OFFSET($A$1,ROW()-1,8)),OFFSET($A$1,ROW()-1,8),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",IFERROR(MATCH("Riesgo Normativo|"&amp;MID($C265,12,500),rDname_ADM,0),0),"")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IF(N($W266)=0,"",IF(AND($S266=MesCiclo,1&gt;SemanaActual),"",MIN(1,SUMIFS(OFFSET($A$1,ROW(),29,1000-ROW(),1),OFFSET($A$1,ROW(),20,1000-ROW(),1),ROW(),OFFSET($A$1,ROW(),21,1000-ROW(),1),"Sub"))))</f>
        <v/>
      </c>
      <c r="J266" s="60">
        <f>IF(N($W266)=0,"",IF(AND($S266=MesCiclo,2&gt;SemanaActual),"",MIN(1,SUMIFS(OFFSET($A$1,ROW(),30,1000-ROW(),1),OFFSET($A$1,ROW(),20,1000-ROW(),1),ROW(),OFFSET($A$1,ROW(),21,1000-ROW(),1),"Sub"))))</f>
        <v/>
      </c>
      <c r="K266" s="60">
        <f>IF(N($W266)=0,"",IF(AND($S266=MesCiclo,3&gt;SemanaActual),"",MIN(1,SUMIFS(OFFSET($A$1,ROW(),31,1000-ROW(),1),OFFSET($A$1,ROW(),20,1000-ROW(),1),ROW(),OFFSET($A$1,ROW(),21,1000-ROW(),1),"Sub"))))</f>
        <v/>
      </c>
      <c r="L266" s="60">
        <f>IF(N($W266)=0,"",IF(AND($S266=MesCiclo,4&gt;SemanaActual),"",MIN(1,SUMIFS(OFFSET($A$1,ROW(),32,1000-ROW(),1),OFFSET($A$1,ROW(),20,1000-ROW(),1),ROW(),OFFSET($A$1,ROW(),21,1000-ROW(),1),"Sub"))))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IF($V266&lt;&gt;"Sub","",N($X266)*IF(AND(ISNUMBER($G266),$G266&lt;=IF($S266=MesCiclo,InicioCiclo,$S266+MOD(2-WEEKDAY($S266),7))+6),1,MIN(1,MAX(0,IF(ISNUMBER(OFFSET($A$1,ROW()-1,8)),OFFSET($A$1,ROW()-1,8),0)))))</f>
        <v/>
      </c>
      <c r="AE266" s="62">
        <f>IF($V266&lt;&gt;"Sub","",N($X266)*IF(AND(ISNUMBER($G266),$G266&lt;=IF($S266=MesCiclo,InicioCiclo,$S266+MOD(2-WEEKDAY($S266),7))+13),1,MIN(1,MAX(0,IF(ISNUMBER(OFFSET($A$1,ROW()-1,9)),OFFSET($A$1,ROW()-1,9),IF(ISNUMBER(OFFSET($A$1,ROW()-1,8)),OFFSET($A$1,ROW()-1,8),0))))))</f>
        <v/>
      </c>
      <c r="AF266" s="62">
        <f>IF($V266&lt;&gt;"Sub","",N($X266)*IF(AND(ISNUMBER($G266),$G266&lt;=IF($S266=MesCiclo,InicioCiclo,$S266+MOD(2-WEEKDAY($S266),7))+20),1,MIN(1,MAX(0,IF(ISNUMBER(OFFSET($A$1,ROW()-1,10)),OFFSET($A$1,ROW()-1,10),IF(ISNUMBER(OFFSET($A$1,ROW()-1,9)),OFFSET($A$1,ROW()-1,9),IF(ISNUMBER(OFFSET($A$1,ROW()-1,8)),OFFSET($A$1,ROW()-1,8),0)))))))</f>
        <v/>
      </c>
      <c r="AG266" s="62">
        <f>IF($V266&lt;&gt;"Sub","",N($X266)*IF(AND(ISNUMBER($G266),$G266&lt;=IF($S266=MesCiclo,InicioCiclo,$S266+MOD(2-WEEKDAY($S266),7))+27),1,MIN(1,MAX(0,IF(ISNUMBER(OFFSET($A$1,ROW()-1,11)),OFFSET($A$1,ROW()-1,11),IF(ISNUMBER(OFFSET($A$1,ROW()-1,10)),OFFSET($A$1,ROW()-1,10),IF(ISNUMBER(OFFSET($A$1,ROW()-1,9)),OFFSET($A$1,ROW()-1,9),IF(ISNUMBER(OFFSET($A$1,ROW()-1,8)),OFFSET($A$1,ROW()-1,8),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",IFERROR(MATCH("Riesgo Normativo|"&amp;MID($C266,12,500),rDname_ADM,0),0),"")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IF(N($W267)=0,"",IF(AND($S267=MesCiclo,1&gt;SemanaActual),"",MIN(1,SUMIFS(OFFSET($A$1,ROW(),29,1000-ROW(),1),OFFSET($A$1,ROW(),20,1000-ROW(),1),ROW(),OFFSET($A$1,ROW(),21,1000-ROW(),1),"Sub"))))</f>
        <v/>
      </c>
      <c r="J267" s="60">
        <f>IF(N($W267)=0,"",IF(AND($S267=MesCiclo,2&gt;SemanaActual),"",MIN(1,SUMIFS(OFFSET($A$1,ROW(),30,1000-ROW(),1),OFFSET($A$1,ROW(),20,1000-ROW(),1),ROW(),OFFSET($A$1,ROW(),21,1000-ROW(),1),"Sub"))))</f>
        <v/>
      </c>
      <c r="K267" s="60">
        <f>IF(N($W267)=0,"",IF(AND($S267=MesCiclo,3&gt;SemanaActual),"",MIN(1,SUMIFS(OFFSET($A$1,ROW(),31,1000-ROW(),1),OFFSET($A$1,ROW(),20,1000-ROW(),1),ROW(),OFFSET($A$1,ROW(),21,1000-ROW(),1),"Sub"))))</f>
        <v/>
      </c>
      <c r="L267" s="60">
        <f>IF(N($W267)=0,"",IF(AND($S267=MesCiclo,4&gt;SemanaActual),"",MIN(1,SUMIFS(OFFSET($A$1,ROW(),32,1000-ROW(),1),OFFSET($A$1,ROW(),20,1000-ROW(),1),ROW(),OFFSET($A$1,ROW(),21,1000-ROW(),1),"Sub"))))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IF($V267&lt;&gt;"Sub","",N($X267)*IF(AND(ISNUMBER($G267),$G267&lt;=IF($S267=MesCiclo,InicioCiclo,$S267+MOD(2-WEEKDAY($S267),7))+6),1,MIN(1,MAX(0,IF(ISNUMBER(OFFSET($A$1,ROW()-1,8)),OFFSET($A$1,ROW()-1,8),0)))))</f>
        <v/>
      </c>
      <c r="AE267" s="62">
        <f>IF($V267&lt;&gt;"Sub","",N($X267)*IF(AND(ISNUMBER($G267),$G267&lt;=IF($S267=MesCiclo,InicioCiclo,$S267+MOD(2-WEEKDAY($S267),7))+13),1,MIN(1,MAX(0,IF(ISNUMBER(OFFSET($A$1,ROW()-1,9)),OFFSET($A$1,ROW()-1,9),IF(ISNUMBER(OFFSET($A$1,ROW()-1,8)),OFFSET($A$1,ROW()-1,8),0))))))</f>
        <v/>
      </c>
      <c r="AF267" s="62">
        <f>IF($V267&lt;&gt;"Sub","",N($X267)*IF(AND(ISNUMBER($G267),$G267&lt;=IF($S267=MesCiclo,InicioCiclo,$S267+MOD(2-WEEKDAY($S267),7))+20),1,MIN(1,MAX(0,IF(ISNUMBER(OFFSET($A$1,ROW()-1,10)),OFFSET($A$1,ROW()-1,10),IF(ISNUMBER(OFFSET($A$1,ROW()-1,9)),OFFSET($A$1,ROW()-1,9),IF(ISNUMBER(OFFSET($A$1,ROW()-1,8)),OFFSET($A$1,ROW()-1,8),0)))))))</f>
        <v/>
      </c>
      <c r="AG267" s="62">
        <f>IF($V267&lt;&gt;"Sub","",N($X267)*IF(AND(ISNUMBER($G267),$G267&lt;=IF($S267=MesCiclo,InicioCiclo,$S267+MOD(2-WEEKDAY($S267),7))+27),1,MIN(1,MAX(0,IF(ISNUMBER(OFFSET($A$1,ROW()-1,11)),OFFSET($A$1,ROW()-1,11),IF(ISNUMBER(OFFSET($A$1,ROW()-1,10)),OFFSET($A$1,ROW()-1,10),IF(ISNUMBER(OFFSET($A$1,ROW()-1,9)),OFFSET($A$1,ROW()-1,9),IF(ISNUMBER(OFFSET($A$1,ROW()-1,8)),OFFSET($A$1,ROW()-1,8),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",IFERROR(MATCH("Riesgo Normativo|"&amp;MID($C267,12,500),rDname_ADM,0),0),"")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IF(N($W268)=0,"",IF(AND($S268=MesCiclo,1&gt;SemanaActual),"",MIN(1,SUMIFS(OFFSET($A$1,ROW(),29,1000-ROW(),1),OFFSET($A$1,ROW(),20,1000-ROW(),1),ROW(),OFFSET($A$1,ROW(),21,1000-ROW(),1),"Sub"))))</f>
        <v/>
      </c>
      <c r="J268" s="60">
        <f>IF(N($W268)=0,"",IF(AND($S268=MesCiclo,2&gt;SemanaActual),"",MIN(1,SUMIFS(OFFSET($A$1,ROW(),30,1000-ROW(),1),OFFSET($A$1,ROW(),20,1000-ROW(),1),ROW(),OFFSET($A$1,ROW(),21,1000-ROW(),1),"Sub"))))</f>
        <v/>
      </c>
      <c r="K268" s="60">
        <f>IF(N($W268)=0,"",IF(AND($S268=MesCiclo,3&gt;SemanaActual),"",MIN(1,SUMIFS(OFFSET($A$1,ROW(),31,1000-ROW(),1),OFFSET($A$1,ROW(),20,1000-ROW(),1),ROW(),OFFSET($A$1,ROW(),21,1000-ROW(),1),"Sub"))))</f>
        <v/>
      </c>
      <c r="L268" s="60">
        <f>IF(N($W268)=0,"",IF(AND($S268=MesCiclo,4&gt;SemanaActual),"",MIN(1,SUMIFS(OFFSET($A$1,ROW(),32,1000-ROW(),1),OFFSET($A$1,ROW(),20,1000-ROW(),1),ROW(),OFFSET($A$1,ROW(),21,1000-ROW(),1),"Sub"))))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IF($V268&lt;&gt;"Sub","",N($X268)*IF(AND(ISNUMBER($G268),$G268&lt;=IF($S268=MesCiclo,InicioCiclo,$S268+MOD(2-WEEKDAY($S268),7))+6),1,MIN(1,MAX(0,IF(ISNUMBER(OFFSET($A$1,ROW()-1,8)),OFFSET($A$1,ROW()-1,8),0)))))</f>
        <v/>
      </c>
      <c r="AE268" s="62">
        <f>IF($V268&lt;&gt;"Sub","",N($X268)*IF(AND(ISNUMBER($G268),$G268&lt;=IF($S268=MesCiclo,InicioCiclo,$S268+MOD(2-WEEKDAY($S268),7))+13),1,MIN(1,MAX(0,IF(ISNUMBER(OFFSET($A$1,ROW()-1,9)),OFFSET($A$1,ROW()-1,9),IF(ISNUMBER(OFFSET($A$1,ROW()-1,8)),OFFSET($A$1,ROW()-1,8),0))))))</f>
        <v/>
      </c>
      <c r="AF268" s="62">
        <f>IF($V268&lt;&gt;"Sub","",N($X268)*IF(AND(ISNUMBER($G268),$G268&lt;=IF($S268=MesCiclo,InicioCiclo,$S268+MOD(2-WEEKDAY($S268),7))+20),1,MIN(1,MAX(0,IF(ISNUMBER(OFFSET($A$1,ROW()-1,10)),OFFSET($A$1,ROW()-1,10),IF(ISNUMBER(OFFSET($A$1,ROW()-1,9)),OFFSET($A$1,ROW()-1,9),IF(ISNUMBER(OFFSET($A$1,ROW()-1,8)),OFFSET($A$1,ROW()-1,8),0)))))))</f>
        <v/>
      </c>
      <c r="AG268" s="62">
        <f>IF($V268&lt;&gt;"Sub","",N($X268)*IF(AND(ISNUMBER($G268),$G268&lt;=IF($S268=MesCiclo,InicioCiclo,$S268+MOD(2-WEEKDAY($S268),7))+27),1,MIN(1,MAX(0,IF(ISNUMBER(OFFSET($A$1,ROW()-1,11)),OFFSET($A$1,ROW()-1,11),IF(ISNUMBER(OFFSET($A$1,ROW()-1,10)),OFFSET($A$1,ROW()-1,10),IF(ISNUMBER(OFFSET($A$1,ROW()-1,9)),OFFSET($A$1,ROW()-1,9),IF(ISNUMBER(OFFSET($A$1,ROW()-1,8)),OFFSET($A$1,ROW()-1,8),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",IFERROR(MATCH("Riesgo Normativo|"&amp;MID($C268,12,500),rDname_ADM,0),0),"")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IF(N($W269)=0,"",IF(AND($S269=MesCiclo,1&gt;SemanaActual),"",MIN(1,SUMIFS(OFFSET($A$1,ROW(),29,1000-ROW(),1),OFFSET($A$1,ROW(),20,1000-ROW(),1),ROW(),OFFSET($A$1,ROW(),21,1000-ROW(),1),"Sub"))))</f>
        <v/>
      </c>
      <c r="J269" s="60">
        <f>IF(N($W269)=0,"",IF(AND($S269=MesCiclo,2&gt;SemanaActual),"",MIN(1,SUMIFS(OFFSET($A$1,ROW(),30,1000-ROW(),1),OFFSET($A$1,ROW(),20,1000-ROW(),1),ROW(),OFFSET($A$1,ROW(),21,1000-ROW(),1),"Sub"))))</f>
        <v/>
      </c>
      <c r="K269" s="60">
        <f>IF(N($W269)=0,"",IF(AND($S269=MesCiclo,3&gt;SemanaActual),"",MIN(1,SUMIFS(OFFSET($A$1,ROW(),31,1000-ROW(),1),OFFSET($A$1,ROW(),20,1000-ROW(),1),ROW(),OFFSET($A$1,ROW(),21,1000-ROW(),1),"Sub"))))</f>
        <v/>
      </c>
      <c r="L269" s="60">
        <f>IF(N($W269)=0,"",IF(AND($S269=MesCiclo,4&gt;SemanaActual),"",MIN(1,SUMIFS(OFFSET($A$1,ROW(),32,1000-ROW(),1),OFFSET($A$1,ROW(),20,1000-ROW(),1),ROW(),OFFSET($A$1,ROW(),21,1000-ROW(),1),"Sub"))))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IF($V269&lt;&gt;"Sub","",N($X269)*IF(AND(ISNUMBER($G269),$G269&lt;=IF($S269=MesCiclo,InicioCiclo,$S269+MOD(2-WEEKDAY($S269),7))+6),1,MIN(1,MAX(0,IF(ISNUMBER(OFFSET($A$1,ROW()-1,8)),OFFSET($A$1,ROW()-1,8),0)))))</f>
        <v/>
      </c>
      <c r="AE269" s="62">
        <f>IF($V269&lt;&gt;"Sub","",N($X269)*IF(AND(ISNUMBER($G269),$G269&lt;=IF($S269=MesCiclo,InicioCiclo,$S269+MOD(2-WEEKDAY($S269),7))+13),1,MIN(1,MAX(0,IF(ISNUMBER(OFFSET($A$1,ROW()-1,9)),OFFSET($A$1,ROW()-1,9),IF(ISNUMBER(OFFSET($A$1,ROW()-1,8)),OFFSET($A$1,ROW()-1,8),0))))))</f>
        <v/>
      </c>
      <c r="AF269" s="62">
        <f>IF($V269&lt;&gt;"Sub","",N($X269)*IF(AND(ISNUMBER($G269),$G269&lt;=IF($S269=MesCiclo,InicioCiclo,$S269+MOD(2-WEEKDAY($S269),7))+20),1,MIN(1,MAX(0,IF(ISNUMBER(OFFSET($A$1,ROW()-1,10)),OFFSET($A$1,ROW()-1,10),IF(ISNUMBER(OFFSET($A$1,ROW()-1,9)),OFFSET($A$1,ROW()-1,9),IF(ISNUMBER(OFFSET($A$1,ROW()-1,8)),OFFSET($A$1,ROW()-1,8),0)))))))</f>
        <v/>
      </c>
      <c r="AG269" s="62">
        <f>IF($V269&lt;&gt;"Sub","",N($X269)*IF(AND(ISNUMBER($G269),$G269&lt;=IF($S269=MesCiclo,InicioCiclo,$S269+MOD(2-WEEKDAY($S269),7))+27),1,MIN(1,MAX(0,IF(ISNUMBER(OFFSET($A$1,ROW()-1,11)),OFFSET($A$1,ROW()-1,11),IF(ISNUMBER(OFFSET($A$1,ROW()-1,10)),OFFSET($A$1,ROW()-1,10),IF(ISNUMBER(OFFSET($A$1,ROW()-1,9)),OFFSET($A$1,ROW()-1,9),IF(ISNUMBER(OFFSET($A$1,ROW()-1,8)),OFFSET($A$1,ROW()-1,8),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",IFERROR(MATCH("Riesgo Normativo|"&amp;MID($C269,12,500),rDname_ADM,0),0),"")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IF(N($W270)=0,"",IF(AND($S270=MesCiclo,1&gt;SemanaActual),"",MIN(1,SUMIFS(OFFSET($A$1,ROW(),29,1000-ROW(),1),OFFSET($A$1,ROW(),20,1000-ROW(),1),ROW(),OFFSET($A$1,ROW(),21,1000-ROW(),1),"Sub"))))</f>
        <v/>
      </c>
      <c r="J270" s="60">
        <f>IF(N($W270)=0,"",IF(AND($S270=MesCiclo,2&gt;SemanaActual),"",MIN(1,SUMIFS(OFFSET($A$1,ROW(),30,1000-ROW(),1),OFFSET($A$1,ROW(),20,1000-ROW(),1),ROW(),OFFSET($A$1,ROW(),21,1000-ROW(),1),"Sub"))))</f>
        <v/>
      </c>
      <c r="K270" s="60">
        <f>IF(N($W270)=0,"",IF(AND($S270=MesCiclo,3&gt;SemanaActual),"",MIN(1,SUMIFS(OFFSET($A$1,ROW(),31,1000-ROW(),1),OFFSET($A$1,ROW(),20,1000-ROW(),1),ROW(),OFFSET($A$1,ROW(),21,1000-ROW(),1),"Sub"))))</f>
        <v/>
      </c>
      <c r="L270" s="60">
        <f>IF(N($W270)=0,"",IF(AND($S270=MesCiclo,4&gt;SemanaActual),"",MIN(1,SUMIFS(OFFSET($A$1,ROW(),32,1000-ROW(),1),OFFSET($A$1,ROW(),20,1000-ROW(),1),ROW(),OFFSET($A$1,ROW(),21,1000-ROW(),1),"Sub"))))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IF($V270&lt;&gt;"Sub","",N($X270)*IF(AND(ISNUMBER($G270),$G270&lt;=IF($S270=MesCiclo,InicioCiclo,$S270+MOD(2-WEEKDAY($S270),7))+6),1,MIN(1,MAX(0,IF(ISNUMBER(OFFSET($A$1,ROW()-1,8)),OFFSET($A$1,ROW()-1,8),0)))))</f>
        <v/>
      </c>
      <c r="AE270" s="62">
        <f>IF($V270&lt;&gt;"Sub","",N($X270)*IF(AND(ISNUMBER($G270),$G270&lt;=IF($S270=MesCiclo,InicioCiclo,$S270+MOD(2-WEEKDAY($S270),7))+13),1,MIN(1,MAX(0,IF(ISNUMBER(OFFSET($A$1,ROW()-1,9)),OFFSET($A$1,ROW()-1,9),IF(ISNUMBER(OFFSET($A$1,ROW()-1,8)),OFFSET($A$1,ROW()-1,8),0))))))</f>
        <v/>
      </c>
      <c r="AF270" s="62">
        <f>IF($V270&lt;&gt;"Sub","",N($X270)*IF(AND(ISNUMBER($G270),$G270&lt;=IF($S270=MesCiclo,InicioCiclo,$S270+MOD(2-WEEKDAY($S270),7))+20),1,MIN(1,MAX(0,IF(ISNUMBER(OFFSET($A$1,ROW()-1,10)),OFFSET($A$1,ROW()-1,10),IF(ISNUMBER(OFFSET($A$1,ROW()-1,9)),OFFSET($A$1,ROW()-1,9),IF(ISNUMBER(OFFSET($A$1,ROW()-1,8)),OFFSET($A$1,ROW()-1,8),0)))))))</f>
        <v/>
      </c>
      <c r="AG270" s="62">
        <f>IF($V270&lt;&gt;"Sub","",N($X270)*IF(AND(ISNUMBER($G270),$G270&lt;=IF($S270=MesCiclo,InicioCiclo,$S270+MOD(2-WEEKDAY($S270),7))+27),1,MIN(1,MAX(0,IF(ISNUMBER(OFFSET($A$1,ROW()-1,11)),OFFSET($A$1,ROW()-1,11),IF(ISNUMBER(OFFSET($A$1,ROW()-1,10)),OFFSET($A$1,ROW()-1,10),IF(ISNUMBER(OFFSET($A$1,ROW()-1,9)),OFFSET($A$1,ROW()-1,9),IF(ISNUMBER(OFFSET($A$1,ROW()-1,8)),OFFSET($A$1,ROW()-1,8),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",IFERROR(MATCH("Riesgo Normativo|"&amp;MID($C270,12,500),rDname_ADM,0),0),"")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IF(N($W271)=0,"",IF(AND($S271=MesCiclo,1&gt;SemanaActual),"",MIN(1,SUMIFS(OFFSET($A$1,ROW(),29,1000-ROW(),1),OFFSET($A$1,ROW(),20,1000-ROW(),1),ROW(),OFFSET($A$1,ROW(),21,1000-ROW(),1),"Sub"))))</f>
        <v/>
      </c>
      <c r="J271" s="60">
        <f>IF(N($W271)=0,"",IF(AND($S271=MesCiclo,2&gt;SemanaActual),"",MIN(1,SUMIFS(OFFSET($A$1,ROW(),30,1000-ROW(),1),OFFSET($A$1,ROW(),20,1000-ROW(),1),ROW(),OFFSET($A$1,ROW(),21,1000-ROW(),1),"Sub"))))</f>
        <v/>
      </c>
      <c r="K271" s="60">
        <f>IF(N($W271)=0,"",IF(AND($S271=MesCiclo,3&gt;SemanaActual),"",MIN(1,SUMIFS(OFFSET($A$1,ROW(),31,1000-ROW(),1),OFFSET($A$1,ROW(),20,1000-ROW(),1),ROW(),OFFSET($A$1,ROW(),21,1000-ROW(),1),"Sub"))))</f>
        <v/>
      </c>
      <c r="L271" s="60">
        <f>IF(N($W271)=0,"",IF(AND($S271=MesCiclo,4&gt;SemanaActual),"",MIN(1,SUMIFS(OFFSET($A$1,ROW(),32,1000-ROW(),1),OFFSET($A$1,ROW(),20,1000-ROW(),1),ROW(),OFFSET($A$1,ROW(),21,1000-ROW(),1),"Sub"))))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IF($V271&lt;&gt;"Sub","",N($X271)*IF(AND(ISNUMBER($G271),$G271&lt;=IF($S271=MesCiclo,InicioCiclo,$S271+MOD(2-WEEKDAY($S271),7))+6),1,MIN(1,MAX(0,IF(ISNUMBER(OFFSET($A$1,ROW()-1,8)),OFFSET($A$1,ROW()-1,8),0)))))</f>
        <v/>
      </c>
      <c r="AE271" s="62">
        <f>IF($V271&lt;&gt;"Sub","",N($X271)*IF(AND(ISNUMBER($G271),$G271&lt;=IF($S271=MesCiclo,InicioCiclo,$S271+MOD(2-WEEKDAY($S271),7))+13),1,MIN(1,MAX(0,IF(ISNUMBER(OFFSET($A$1,ROW()-1,9)),OFFSET($A$1,ROW()-1,9),IF(ISNUMBER(OFFSET($A$1,ROW()-1,8)),OFFSET($A$1,ROW()-1,8),0))))))</f>
        <v/>
      </c>
      <c r="AF271" s="62">
        <f>IF($V271&lt;&gt;"Sub","",N($X271)*IF(AND(ISNUMBER($G271),$G271&lt;=IF($S271=MesCiclo,InicioCiclo,$S271+MOD(2-WEEKDAY($S271),7))+20),1,MIN(1,MAX(0,IF(ISNUMBER(OFFSET($A$1,ROW()-1,10)),OFFSET($A$1,ROW()-1,10),IF(ISNUMBER(OFFSET($A$1,ROW()-1,9)),OFFSET($A$1,ROW()-1,9),IF(ISNUMBER(OFFSET($A$1,ROW()-1,8)),OFFSET($A$1,ROW()-1,8),0)))))))</f>
        <v/>
      </c>
      <c r="AG271" s="62">
        <f>IF($V271&lt;&gt;"Sub","",N($X271)*IF(AND(ISNUMBER($G271),$G271&lt;=IF($S271=MesCiclo,InicioCiclo,$S271+MOD(2-WEEKDAY($S271),7))+27),1,MIN(1,MAX(0,IF(ISNUMBER(OFFSET($A$1,ROW()-1,11)),OFFSET($A$1,ROW()-1,11),IF(ISNUMBER(OFFSET($A$1,ROW()-1,10)),OFFSET($A$1,ROW()-1,10),IF(ISNUMBER(OFFSET($A$1,ROW()-1,9)),OFFSET($A$1,ROW()-1,9),IF(ISNUMBER(OFFSET($A$1,ROW()-1,8)),OFFSET($A$1,ROW()-1,8),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",IFERROR(MATCH("Riesgo Normativo|"&amp;MID($C271,12,500),rDname_ADM,0),0),"")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IF(N($W272)=0,"",IF(AND($S272=MesCiclo,1&gt;SemanaActual),"",MIN(1,SUMIFS(OFFSET($A$1,ROW(),29,1000-ROW(),1),OFFSET($A$1,ROW(),20,1000-ROW(),1),ROW(),OFFSET($A$1,ROW(),21,1000-ROW(),1),"Sub"))))</f>
        <v/>
      </c>
      <c r="J272" s="60">
        <f>IF(N($W272)=0,"",IF(AND($S272=MesCiclo,2&gt;SemanaActual),"",MIN(1,SUMIFS(OFFSET($A$1,ROW(),30,1000-ROW(),1),OFFSET($A$1,ROW(),20,1000-ROW(),1),ROW(),OFFSET($A$1,ROW(),21,1000-ROW(),1),"Sub"))))</f>
        <v/>
      </c>
      <c r="K272" s="60">
        <f>IF(N($W272)=0,"",IF(AND($S272=MesCiclo,3&gt;SemanaActual),"",MIN(1,SUMIFS(OFFSET($A$1,ROW(),31,1000-ROW(),1),OFFSET($A$1,ROW(),20,1000-ROW(),1),ROW(),OFFSET($A$1,ROW(),21,1000-ROW(),1),"Sub"))))</f>
        <v/>
      </c>
      <c r="L272" s="60">
        <f>IF(N($W272)=0,"",IF(AND($S272=MesCiclo,4&gt;SemanaActual),"",MIN(1,SUMIFS(OFFSET($A$1,ROW(),32,1000-ROW(),1),OFFSET($A$1,ROW(),20,1000-ROW(),1),ROW(),OFFSET($A$1,ROW(),21,1000-ROW(),1),"Sub"))))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IF($V272&lt;&gt;"Sub","",N($X272)*IF(AND(ISNUMBER($G272),$G272&lt;=IF($S272=MesCiclo,InicioCiclo,$S272+MOD(2-WEEKDAY($S272),7))+6),1,MIN(1,MAX(0,IF(ISNUMBER(OFFSET($A$1,ROW()-1,8)),OFFSET($A$1,ROW()-1,8),0)))))</f>
        <v/>
      </c>
      <c r="AE272" s="62">
        <f>IF($V272&lt;&gt;"Sub","",N($X272)*IF(AND(ISNUMBER($G272),$G272&lt;=IF($S272=MesCiclo,InicioCiclo,$S272+MOD(2-WEEKDAY($S272),7))+13),1,MIN(1,MAX(0,IF(ISNUMBER(OFFSET($A$1,ROW()-1,9)),OFFSET($A$1,ROW()-1,9),IF(ISNUMBER(OFFSET($A$1,ROW()-1,8)),OFFSET($A$1,ROW()-1,8),0))))))</f>
        <v/>
      </c>
      <c r="AF272" s="62">
        <f>IF($V272&lt;&gt;"Sub","",N($X272)*IF(AND(ISNUMBER($G272),$G272&lt;=IF($S272=MesCiclo,InicioCiclo,$S272+MOD(2-WEEKDAY($S272),7))+20),1,MIN(1,MAX(0,IF(ISNUMBER(OFFSET($A$1,ROW()-1,10)),OFFSET($A$1,ROW()-1,10),IF(ISNUMBER(OFFSET($A$1,ROW()-1,9)),OFFSET($A$1,ROW()-1,9),IF(ISNUMBER(OFFSET($A$1,ROW()-1,8)),OFFSET($A$1,ROW()-1,8),0)))))))</f>
        <v/>
      </c>
      <c r="AG272" s="62">
        <f>IF($V272&lt;&gt;"Sub","",N($X272)*IF(AND(ISNUMBER($G272),$G272&lt;=IF($S272=MesCiclo,InicioCiclo,$S272+MOD(2-WEEKDAY($S272),7))+27),1,MIN(1,MAX(0,IF(ISNUMBER(OFFSET($A$1,ROW()-1,11)),OFFSET($A$1,ROW()-1,11),IF(ISNUMBER(OFFSET($A$1,ROW()-1,10)),OFFSET($A$1,ROW()-1,10),IF(ISNUMBER(OFFSET($A$1,ROW()-1,9)),OFFSET($A$1,ROW()-1,9),IF(ISNUMBER(OFFSET($A$1,ROW()-1,8)),OFFSET($A$1,ROW()-1,8),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",IFERROR(MATCH("Riesgo Normativo|"&amp;MID($C272,12,500),rDname_ADM,0),0),"")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IF(N($W273)=0,"",IF(AND($S273=MesCiclo,1&gt;SemanaActual),"",MIN(1,SUMIFS(OFFSET($A$1,ROW(),29,1000-ROW(),1),OFFSET($A$1,ROW(),20,1000-ROW(),1),ROW(),OFFSET($A$1,ROW(),21,1000-ROW(),1),"Sub"))))</f>
        <v/>
      </c>
      <c r="J273" s="60">
        <f>IF(N($W273)=0,"",IF(AND($S273=MesCiclo,2&gt;SemanaActual),"",MIN(1,SUMIFS(OFFSET($A$1,ROW(),30,1000-ROW(),1),OFFSET($A$1,ROW(),20,1000-ROW(),1),ROW(),OFFSET($A$1,ROW(),21,1000-ROW(),1),"Sub"))))</f>
        <v/>
      </c>
      <c r="K273" s="60">
        <f>IF(N($W273)=0,"",IF(AND($S273=MesCiclo,3&gt;SemanaActual),"",MIN(1,SUMIFS(OFFSET($A$1,ROW(),31,1000-ROW(),1),OFFSET($A$1,ROW(),20,1000-ROW(),1),ROW(),OFFSET($A$1,ROW(),21,1000-ROW(),1),"Sub"))))</f>
        <v/>
      </c>
      <c r="L273" s="60">
        <f>IF(N($W273)=0,"",IF(AND($S273=MesCiclo,4&gt;SemanaActual),"",MIN(1,SUMIFS(OFFSET($A$1,ROW(),32,1000-ROW(),1),OFFSET($A$1,ROW(),20,1000-ROW(),1),ROW(),OFFSET($A$1,ROW(),21,1000-ROW(),1),"Sub"))))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IF($V273&lt;&gt;"Sub","",N($X273)*IF(AND(ISNUMBER($G273),$G273&lt;=IF($S273=MesCiclo,InicioCiclo,$S273+MOD(2-WEEKDAY($S273),7))+6),1,MIN(1,MAX(0,IF(ISNUMBER(OFFSET($A$1,ROW()-1,8)),OFFSET($A$1,ROW()-1,8),0)))))</f>
        <v/>
      </c>
      <c r="AE273" s="62">
        <f>IF($V273&lt;&gt;"Sub","",N($X273)*IF(AND(ISNUMBER($G273),$G273&lt;=IF($S273=MesCiclo,InicioCiclo,$S273+MOD(2-WEEKDAY($S273),7))+13),1,MIN(1,MAX(0,IF(ISNUMBER(OFFSET($A$1,ROW()-1,9)),OFFSET($A$1,ROW()-1,9),IF(ISNUMBER(OFFSET($A$1,ROW()-1,8)),OFFSET($A$1,ROW()-1,8),0))))))</f>
        <v/>
      </c>
      <c r="AF273" s="62">
        <f>IF($V273&lt;&gt;"Sub","",N($X273)*IF(AND(ISNUMBER($G273),$G273&lt;=IF($S273=MesCiclo,InicioCiclo,$S273+MOD(2-WEEKDAY($S273),7))+20),1,MIN(1,MAX(0,IF(ISNUMBER(OFFSET($A$1,ROW()-1,10)),OFFSET($A$1,ROW()-1,10),IF(ISNUMBER(OFFSET($A$1,ROW()-1,9)),OFFSET($A$1,ROW()-1,9),IF(ISNUMBER(OFFSET($A$1,ROW()-1,8)),OFFSET($A$1,ROW()-1,8),0)))))))</f>
        <v/>
      </c>
      <c r="AG273" s="62">
        <f>IF($V273&lt;&gt;"Sub","",N($X273)*IF(AND(ISNUMBER($G273),$G273&lt;=IF($S273=MesCiclo,InicioCiclo,$S273+MOD(2-WEEKDAY($S273),7))+27),1,MIN(1,MAX(0,IF(ISNUMBER(OFFSET($A$1,ROW()-1,11)),OFFSET($A$1,ROW()-1,11),IF(ISNUMBER(OFFSET($A$1,ROW()-1,10)),OFFSET($A$1,ROW()-1,10),IF(ISNUMBER(OFFSET($A$1,ROW()-1,9)),OFFSET($A$1,ROW()-1,9),IF(ISNUMBER(OFFSET($A$1,ROW()-1,8)),OFFSET($A$1,ROW()-1,8),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",IFERROR(MATCH("Riesgo Normativo|"&amp;MID($C273,12,500),rDname_ADM,0),0),"")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IF(N($W274)=0,"",IF(AND($S274=MesCiclo,1&gt;SemanaActual),"",MIN(1,SUMIFS(OFFSET($A$1,ROW(),29,1000-ROW(),1),OFFSET($A$1,ROW(),20,1000-ROW(),1),ROW(),OFFSET($A$1,ROW(),21,1000-ROW(),1),"Sub"))))</f>
        <v/>
      </c>
      <c r="J274" s="60">
        <f>IF(N($W274)=0,"",IF(AND($S274=MesCiclo,2&gt;SemanaActual),"",MIN(1,SUMIFS(OFFSET($A$1,ROW(),30,1000-ROW(),1),OFFSET($A$1,ROW(),20,1000-ROW(),1),ROW(),OFFSET($A$1,ROW(),21,1000-ROW(),1),"Sub"))))</f>
        <v/>
      </c>
      <c r="K274" s="60">
        <f>IF(N($W274)=0,"",IF(AND($S274=MesCiclo,3&gt;SemanaActual),"",MIN(1,SUMIFS(OFFSET($A$1,ROW(),31,1000-ROW(),1),OFFSET($A$1,ROW(),20,1000-ROW(),1),ROW(),OFFSET($A$1,ROW(),21,1000-ROW(),1),"Sub"))))</f>
        <v/>
      </c>
      <c r="L274" s="60">
        <f>IF(N($W274)=0,"",IF(AND($S274=MesCiclo,4&gt;SemanaActual),"",MIN(1,SUMIFS(OFFSET($A$1,ROW(),32,1000-ROW(),1),OFFSET($A$1,ROW(),20,1000-ROW(),1),ROW(),OFFSET($A$1,ROW(),21,1000-ROW(),1),"Sub"))))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IF($V274&lt;&gt;"Sub","",N($X274)*IF(AND(ISNUMBER($G274),$G274&lt;=IF($S274=MesCiclo,InicioCiclo,$S274+MOD(2-WEEKDAY($S274),7))+6),1,MIN(1,MAX(0,IF(ISNUMBER(OFFSET($A$1,ROW()-1,8)),OFFSET($A$1,ROW()-1,8),0)))))</f>
        <v/>
      </c>
      <c r="AE274" s="62">
        <f>IF($V274&lt;&gt;"Sub","",N($X274)*IF(AND(ISNUMBER($G274),$G274&lt;=IF($S274=MesCiclo,InicioCiclo,$S274+MOD(2-WEEKDAY($S274),7))+13),1,MIN(1,MAX(0,IF(ISNUMBER(OFFSET($A$1,ROW()-1,9)),OFFSET($A$1,ROW()-1,9),IF(ISNUMBER(OFFSET($A$1,ROW()-1,8)),OFFSET($A$1,ROW()-1,8),0))))))</f>
        <v/>
      </c>
      <c r="AF274" s="62">
        <f>IF($V274&lt;&gt;"Sub","",N($X274)*IF(AND(ISNUMBER($G274),$G274&lt;=IF($S274=MesCiclo,InicioCiclo,$S274+MOD(2-WEEKDAY($S274),7))+20),1,MIN(1,MAX(0,IF(ISNUMBER(OFFSET($A$1,ROW()-1,10)),OFFSET($A$1,ROW()-1,10),IF(ISNUMBER(OFFSET($A$1,ROW()-1,9)),OFFSET($A$1,ROW()-1,9),IF(ISNUMBER(OFFSET($A$1,ROW()-1,8)),OFFSET($A$1,ROW()-1,8),0)))))))</f>
        <v/>
      </c>
      <c r="AG274" s="62">
        <f>IF($V274&lt;&gt;"Sub","",N($X274)*IF(AND(ISNUMBER($G274),$G274&lt;=IF($S274=MesCiclo,InicioCiclo,$S274+MOD(2-WEEKDAY($S274),7))+27),1,MIN(1,MAX(0,IF(ISNUMBER(OFFSET($A$1,ROW()-1,11)),OFFSET($A$1,ROW()-1,11),IF(ISNUMBER(OFFSET($A$1,ROW()-1,10)),OFFSET($A$1,ROW()-1,10),IF(ISNUMBER(OFFSET($A$1,ROW()-1,9)),OFFSET($A$1,ROW()-1,9),IF(ISNUMBER(OFFSET($A$1,ROW()-1,8)),OFFSET($A$1,ROW()-1,8),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",IFERROR(MATCH("Riesgo Normativo|"&amp;MID($C274,12,500),rDname_ADM,0),0),"")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IF(N($W275)=0,"",IF(AND($S275=MesCiclo,1&gt;SemanaActual),"",MIN(1,SUMIFS(OFFSET($A$1,ROW(),29,1000-ROW(),1),OFFSET($A$1,ROW(),20,1000-ROW(),1),ROW(),OFFSET($A$1,ROW(),21,1000-ROW(),1),"Sub"))))</f>
        <v/>
      </c>
      <c r="J275" s="60">
        <f>IF(N($W275)=0,"",IF(AND($S275=MesCiclo,2&gt;SemanaActual),"",MIN(1,SUMIFS(OFFSET($A$1,ROW(),30,1000-ROW(),1),OFFSET($A$1,ROW(),20,1000-ROW(),1),ROW(),OFFSET($A$1,ROW(),21,1000-ROW(),1),"Sub"))))</f>
        <v/>
      </c>
      <c r="K275" s="60">
        <f>IF(N($W275)=0,"",IF(AND($S275=MesCiclo,3&gt;SemanaActual),"",MIN(1,SUMIFS(OFFSET($A$1,ROW(),31,1000-ROW(),1),OFFSET($A$1,ROW(),20,1000-ROW(),1),ROW(),OFFSET($A$1,ROW(),21,1000-ROW(),1),"Sub"))))</f>
        <v/>
      </c>
      <c r="L275" s="60">
        <f>IF(N($W275)=0,"",IF(AND($S275=MesCiclo,4&gt;SemanaActual),"",MIN(1,SUMIFS(OFFSET($A$1,ROW(),32,1000-ROW(),1),OFFSET($A$1,ROW(),20,1000-ROW(),1),ROW(),OFFSET($A$1,ROW(),21,1000-ROW(),1),"Sub"))))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IF($V275&lt;&gt;"Sub","",N($X275)*IF(AND(ISNUMBER($G275),$G275&lt;=IF($S275=MesCiclo,InicioCiclo,$S275+MOD(2-WEEKDAY($S275),7))+6),1,MIN(1,MAX(0,IF(ISNUMBER(OFFSET($A$1,ROW()-1,8)),OFFSET($A$1,ROW()-1,8),0)))))</f>
        <v/>
      </c>
      <c r="AE275" s="62">
        <f>IF($V275&lt;&gt;"Sub","",N($X275)*IF(AND(ISNUMBER($G275),$G275&lt;=IF($S275=MesCiclo,InicioCiclo,$S275+MOD(2-WEEKDAY($S275),7))+13),1,MIN(1,MAX(0,IF(ISNUMBER(OFFSET($A$1,ROW()-1,9)),OFFSET($A$1,ROW()-1,9),IF(ISNUMBER(OFFSET($A$1,ROW()-1,8)),OFFSET($A$1,ROW()-1,8),0))))))</f>
        <v/>
      </c>
      <c r="AF275" s="62">
        <f>IF($V275&lt;&gt;"Sub","",N($X275)*IF(AND(ISNUMBER($G275),$G275&lt;=IF($S275=MesCiclo,InicioCiclo,$S275+MOD(2-WEEKDAY($S275),7))+20),1,MIN(1,MAX(0,IF(ISNUMBER(OFFSET($A$1,ROW()-1,10)),OFFSET($A$1,ROW()-1,10),IF(ISNUMBER(OFFSET($A$1,ROW()-1,9)),OFFSET($A$1,ROW()-1,9),IF(ISNUMBER(OFFSET($A$1,ROW()-1,8)),OFFSET($A$1,ROW()-1,8),0)))))))</f>
        <v/>
      </c>
      <c r="AG275" s="62">
        <f>IF($V275&lt;&gt;"Sub","",N($X275)*IF(AND(ISNUMBER($G275),$G275&lt;=IF($S275=MesCiclo,InicioCiclo,$S275+MOD(2-WEEKDAY($S275),7))+27),1,MIN(1,MAX(0,IF(ISNUMBER(OFFSET($A$1,ROW()-1,11)),OFFSET($A$1,ROW()-1,11),IF(ISNUMBER(OFFSET($A$1,ROW()-1,10)),OFFSET($A$1,ROW()-1,10),IF(ISNUMBER(OFFSET($A$1,ROW()-1,9)),OFFSET($A$1,ROW()-1,9),IF(ISNUMBER(OFFSET($A$1,ROW()-1,8)),OFFSET($A$1,ROW()-1,8),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",IFERROR(MATCH("Riesgo Normativo|"&amp;MID($C275,12,500),rDname_ADM,0),0),"")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IF(N($W276)=0,"",IF(AND($S276=MesCiclo,1&gt;SemanaActual),"",MIN(1,SUMIFS(OFFSET($A$1,ROW(),29,1000-ROW(),1),OFFSET($A$1,ROW(),20,1000-ROW(),1),ROW(),OFFSET($A$1,ROW(),21,1000-ROW(),1),"Sub"))))</f>
        <v/>
      </c>
      <c r="J276" s="60">
        <f>IF(N($W276)=0,"",IF(AND($S276=MesCiclo,2&gt;SemanaActual),"",MIN(1,SUMIFS(OFFSET($A$1,ROW(),30,1000-ROW(),1),OFFSET($A$1,ROW(),20,1000-ROW(),1),ROW(),OFFSET($A$1,ROW(),21,1000-ROW(),1),"Sub"))))</f>
        <v/>
      </c>
      <c r="K276" s="60">
        <f>IF(N($W276)=0,"",IF(AND($S276=MesCiclo,3&gt;SemanaActual),"",MIN(1,SUMIFS(OFFSET($A$1,ROW(),31,1000-ROW(),1),OFFSET($A$1,ROW(),20,1000-ROW(),1),ROW(),OFFSET($A$1,ROW(),21,1000-ROW(),1),"Sub"))))</f>
        <v/>
      </c>
      <c r="L276" s="60">
        <f>IF(N($W276)=0,"",IF(AND($S276=MesCiclo,4&gt;SemanaActual),"",MIN(1,SUMIFS(OFFSET($A$1,ROW(),32,1000-ROW(),1),OFFSET($A$1,ROW(),20,1000-ROW(),1),ROW(),OFFSET($A$1,ROW(),21,1000-ROW(),1),"Sub"))))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IF($V276&lt;&gt;"Sub","",N($X276)*IF(AND(ISNUMBER($G276),$G276&lt;=IF($S276=MesCiclo,InicioCiclo,$S276+MOD(2-WEEKDAY($S276),7))+6),1,MIN(1,MAX(0,IF(ISNUMBER(OFFSET($A$1,ROW()-1,8)),OFFSET($A$1,ROW()-1,8),0)))))</f>
        <v/>
      </c>
      <c r="AE276" s="62">
        <f>IF($V276&lt;&gt;"Sub","",N($X276)*IF(AND(ISNUMBER($G276),$G276&lt;=IF($S276=MesCiclo,InicioCiclo,$S276+MOD(2-WEEKDAY($S276),7))+13),1,MIN(1,MAX(0,IF(ISNUMBER(OFFSET($A$1,ROW()-1,9)),OFFSET($A$1,ROW()-1,9),IF(ISNUMBER(OFFSET($A$1,ROW()-1,8)),OFFSET($A$1,ROW()-1,8),0))))))</f>
        <v/>
      </c>
      <c r="AF276" s="62">
        <f>IF($V276&lt;&gt;"Sub","",N($X276)*IF(AND(ISNUMBER($G276),$G276&lt;=IF($S276=MesCiclo,InicioCiclo,$S276+MOD(2-WEEKDAY($S276),7))+20),1,MIN(1,MAX(0,IF(ISNUMBER(OFFSET($A$1,ROW()-1,10)),OFFSET($A$1,ROW()-1,10),IF(ISNUMBER(OFFSET($A$1,ROW()-1,9)),OFFSET($A$1,ROW()-1,9),IF(ISNUMBER(OFFSET($A$1,ROW()-1,8)),OFFSET($A$1,ROW()-1,8),0)))))))</f>
        <v/>
      </c>
      <c r="AG276" s="62">
        <f>IF($V276&lt;&gt;"Sub","",N($X276)*IF(AND(ISNUMBER($G276),$G276&lt;=IF($S276=MesCiclo,InicioCiclo,$S276+MOD(2-WEEKDAY($S276),7))+27),1,MIN(1,MAX(0,IF(ISNUMBER(OFFSET($A$1,ROW()-1,11)),OFFSET($A$1,ROW()-1,11),IF(ISNUMBER(OFFSET($A$1,ROW()-1,10)),OFFSET($A$1,ROW()-1,10),IF(ISNUMBER(OFFSET($A$1,ROW()-1,9)),OFFSET($A$1,ROW()-1,9),IF(ISNUMBER(OFFSET($A$1,ROW()-1,8)),OFFSET($A$1,ROW()-1,8),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",IFERROR(MATCH("Riesgo Normativo|"&amp;MID($C276,12,500),rDname_ADM,0),0),"")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IF(N($W277)=0,"",IF(AND($S277=MesCiclo,1&gt;SemanaActual),"",MIN(1,SUMIFS(OFFSET($A$1,ROW(),29,1000-ROW(),1),OFFSET($A$1,ROW(),20,1000-ROW(),1),ROW(),OFFSET($A$1,ROW(),21,1000-ROW(),1),"Sub"))))</f>
        <v/>
      </c>
      <c r="J277" s="60">
        <f>IF(N($W277)=0,"",IF(AND($S277=MesCiclo,2&gt;SemanaActual),"",MIN(1,SUMIFS(OFFSET($A$1,ROW(),30,1000-ROW(),1),OFFSET($A$1,ROW(),20,1000-ROW(),1),ROW(),OFFSET($A$1,ROW(),21,1000-ROW(),1),"Sub"))))</f>
        <v/>
      </c>
      <c r="K277" s="60">
        <f>IF(N($W277)=0,"",IF(AND($S277=MesCiclo,3&gt;SemanaActual),"",MIN(1,SUMIFS(OFFSET($A$1,ROW(),31,1000-ROW(),1),OFFSET($A$1,ROW(),20,1000-ROW(),1),ROW(),OFFSET($A$1,ROW(),21,1000-ROW(),1),"Sub"))))</f>
        <v/>
      </c>
      <c r="L277" s="60">
        <f>IF(N($W277)=0,"",IF(AND($S277=MesCiclo,4&gt;SemanaActual),"",MIN(1,SUMIFS(OFFSET($A$1,ROW(),32,1000-ROW(),1),OFFSET($A$1,ROW(),20,1000-ROW(),1),ROW(),OFFSET($A$1,ROW(),21,1000-ROW(),1),"Sub"))))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IF($V277&lt;&gt;"Sub","",N($X277)*IF(AND(ISNUMBER($G277),$G277&lt;=IF($S277=MesCiclo,InicioCiclo,$S277+MOD(2-WEEKDAY($S277),7))+6),1,MIN(1,MAX(0,IF(ISNUMBER(OFFSET($A$1,ROW()-1,8)),OFFSET($A$1,ROW()-1,8),0)))))</f>
        <v/>
      </c>
      <c r="AE277" s="62">
        <f>IF($V277&lt;&gt;"Sub","",N($X277)*IF(AND(ISNUMBER($G277),$G277&lt;=IF($S277=MesCiclo,InicioCiclo,$S277+MOD(2-WEEKDAY($S277),7))+13),1,MIN(1,MAX(0,IF(ISNUMBER(OFFSET($A$1,ROW()-1,9)),OFFSET($A$1,ROW()-1,9),IF(ISNUMBER(OFFSET($A$1,ROW()-1,8)),OFFSET($A$1,ROW()-1,8),0))))))</f>
        <v/>
      </c>
      <c r="AF277" s="62">
        <f>IF($V277&lt;&gt;"Sub","",N($X277)*IF(AND(ISNUMBER($G277),$G277&lt;=IF($S277=MesCiclo,InicioCiclo,$S277+MOD(2-WEEKDAY($S277),7))+20),1,MIN(1,MAX(0,IF(ISNUMBER(OFFSET($A$1,ROW()-1,10)),OFFSET($A$1,ROW()-1,10),IF(ISNUMBER(OFFSET($A$1,ROW()-1,9)),OFFSET($A$1,ROW()-1,9),IF(ISNUMBER(OFFSET($A$1,ROW()-1,8)),OFFSET($A$1,ROW()-1,8),0)))))))</f>
        <v/>
      </c>
      <c r="AG277" s="62">
        <f>IF($V277&lt;&gt;"Sub","",N($X277)*IF(AND(ISNUMBER($G277),$G277&lt;=IF($S277=MesCiclo,InicioCiclo,$S277+MOD(2-WEEKDAY($S277),7))+27),1,MIN(1,MAX(0,IF(ISNUMBER(OFFSET($A$1,ROW()-1,11)),OFFSET($A$1,ROW()-1,11),IF(ISNUMBER(OFFSET($A$1,ROW()-1,10)),OFFSET($A$1,ROW()-1,10),IF(ISNUMBER(OFFSET($A$1,ROW()-1,9)),OFFSET($A$1,ROW()-1,9),IF(ISNUMBER(OFFSET($A$1,ROW()-1,8)),OFFSET($A$1,ROW()-1,8),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",IFERROR(MATCH("Riesgo Normativo|"&amp;MID($C277,12,500),rDname_ADM,0),0),"")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IF(N($W278)=0,"",IF(AND($S278=MesCiclo,1&gt;SemanaActual),"",MIN(1,SUMIFS(OFFSET($A$1,ROW(),29,1000-ROW(),1),OFFSET($A$1,ROW(),20,1000-ROW(),1),ROW(),OFFSET($A$1,ROW(),21,1000-ROW(),1),"Sub"))))</f>
        <v/>
      </c>
      <c r="J278" s="60">
        <f>IF(N($W278)=0,"",IF(AND($S278=MesCiclo,2&gt;SemanaActual),"",MIN(1,SUMIFS(OFFSET($A$1,ROW(),30,1000-ROW(),1),OFFSET($A$1,ROW(),20,1000-ROW(),1),ROW(),OFFSET($A$1,ROW(),21,1000-ROW(),1),"Sub"))))</f>
        <v/>
      </c>
      <c r="K278" s="60">
        <f>IF(N($W278)=0,"",IF(AND($S278=MesCiclo,3&gt;SemanaActual),"",MIN(1,SUMIFS(OFFSET($A$1,ROW(),31,1000-ROW(),1),OFFSET($A$1,ROW(),20,1000-ROW(),1),ROW(),OFFSET($A$1,ROW(),21,1000-ROW(),1),"Sub"))))</f>
        <v/>
      </c>
      <c r="L278" s="60">
        <f>IF(N($W278)=0,"",IF(AND($S278=MesCiclo,4&gt;SemanaActual),"",MIN(1,SUMIFS(OFFSET($A$1,ROW(),32,1000-ROW(),1),OFFSET($A$1,ROW(),20,1000-ROW(),1),ROW(),OFFSET($A$1,ROW(),21,1000-ROW(),1),"Sub"))))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IF($V278&lt;&gt;"Sub","",N($X278)*IF(AND(ISNUMBER($G278),$G278&lt;=IF($S278=MesCiclo,InicioCiclo,$S278+MOD(2-WEEKDAY($S278),7))+6),1,MIN(1,MAX(0,IF(ISNUMBER(OFFSET($A$1,ROW()-1,8)),OFFSET($A$1,ROW()-1,8),0)))))</f>
        <v/>
      </c>
      <c r="AE278" s="62">
        <f>IF($V278&lt;&gt;"Sub","",N($X278)*IF(AND(ISNUMBER($G278),$G278&lt;=IF($S278=MesCiclo,InicioCiclo,$S278+MOD(2-WEEKDAY($S278),7))+13),1,MIN(1,MAX(0,IF(ISNUMBER(OFFSET($A$1,ROW()-1,9)),OFFSET($A$1,ROW()-1,9),IF(ISNUMBER(OFFSET($A$1,ROW()-1,8)),OFFSET($A$1,ROW()-1,8),0))))))</f>
        <v/>
      </c>
      <c r="AF278" s="62">
        <f>IF($V278&lt;&gt;"Sub","",N($X278)*IF(AND(ISNUMBER($G278),$G278&lt;=IF($S278=MesCiclo,InicioCiclo,$S278+MOD(2-WEEKDAY($S278),7))+20),1,MIN(1,MAX(0,IF(ISNUMBER(OFFSET($A$1,ROW()-1,10)),OFFSET($A$1,ROW()-1,10),IF(ISNUMBER(OFFSET($A$1,ROW()-1,9)),OFFSET($A$1,ROW()-1,9),IF(ISNUMBER(OFFSET($A$1,ROW()-1,8)),OFFSET($A$1,ROW()-1,8),0)))))))</f>
        <v/>
      </c>
      <c r="AG278" s="62">
        <f>IF($V278&lt;&gt;"Sub","",N($X278)*IF(AND(ISNUMBER($G278),$G278&lt;=IF($S278=MesCiclo,InicioCiclo,$S278+MOD(2-WEEKDAY($S278),7))+27),1,MIN(1,MAX(0,IF(ISNUMBER(OFFSET($A$1,ROW()-1,11)),OFFSET($A$1,ROW()-1,11),IF(ISNUMBER(OFFSET($A$1,ROW()-1,10)),OFFSET($A$1,ROW()-1,10),IF(ISNUMBER(OFFSET($A$1,ROW()-1,9)),OFFSET($A$1,ROW()-1,9),IF(ISNUMBER(OFFSET($A$1,ROW()-1,8)),OFFSET($A$1,ROW()-1,8),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",IFERROR(MATCH("Riesgo Normativo|"&amp;MID($C278,12,500),rDname_ADM,0),0),"")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IF(N($W279)=0,"",IF(AND($S279=MesCiclo,1&gt;SemanaActual),"",MIN(1,SUMIFS(OFFSET($A$1,ROW(),29,1000-ROW(),1),OFFSET($A$1,ROW(),20,1000-ROW(),1),ROW(),OFFSET($A$1,ROW(),21,1000-ROW(),1),"Sub"))))</f>
        <v/>
      </c>
      <c r="J279" s="60">
        <f>IF(N($W279)=0,"",IF(AND($S279=MesCiclo,2&gt;SemanaActual),"",MIN(1,SUMIFS(OFFSET($A$1,ROW(),30,1000-ROW(),1),OFFSET($A$1,ROW(),20,1000-ROW(),1),ROW(),OFFSET($A$1,ROW(),21,1000-ROW(),1),"Sub"))))</f>
        <v/>
      </c>
      <c r="K279" s="60">
        <f>IF(N($W279)=0,"",IF(AND($S279=MesCiclo,3&gt;SemanaActual),"",MIN(1,SUMIFS(OFFSET($A$1,ROW(),31,1000-ROW(),1),OFFSET($A$1,ROW(),20,1000-ROW(),1),ROW(),OFFSET($A$1,ROW(),21,1000-ROW(),1),"Sub"))))</f>
        <v/>
      </c>
      <c r="L279" s="60">
        <f>IF(N($W279)=0,"",IF(AND($S279=MesCiclo,4&gt;SemanaActual),"",MIN(1,SUMIFS(OFFSET($A$1,ROW(),32,1000-ROW(),1),OFFSET($A$1,ROW(),20,1000-ROW(),1),ROW(),OFFSET($A$1,ROW(),21,1000-ROW(),1),"Sub"))))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IF($V279&lt;&gt;"Sub","",N($X279)*IF(AND(ISNUMBER($G279),$G279&lt;=IF($S279=MesCiclo,InicioCiclo,$S279+MOD(2-WEEKDAY($S279),7))+6),1,MIN(1,MAX(0,IF(ISNUMBER(OFFSET($A$1,ROW()-1,8)),OFFSET($A$1,ROW()-1,8),0)))))</f>
        <v/>
      </c>
      <c r="AE279" s="62">
        <f>IF($V279&lt;&gt;"Sub","",N($X279)*IF(AND(ISNUMBER($G279),$G279&lt;=IF($S279=MesCiclo,InicioCiclo,$S279+MOD(2-WEEKDAY($S279),7))+13),1,MIN(1,MAX(0,IF(ISNUMBER(OFFSET($A$1,ROW()-1,9)),OFFSET($A$1,ROW()-1,9),IF(ISNUMBER(OFFSET($A$1,ROW()-1,8)),OFFSET($A$1,ROW()-1,8),0))))))</f>
        <v/>
      </c>
      <c r="AF279" s="62">
        <f>IF($V279&lt;&gt;"Sub","",N($X279)*IF(AND(ISNUMBER($G279),$G279&lt;=IF($S279=MesCiclo,InicioCiclo,$S279+MOD(2-WEEKDAY($S279),7))+20),1,MIN(1,MAX(0,IF(ISNUMBER(OFFSET($A$1,ROW()-1,10)),OFFSET($A$1,ROW()-1,10),IF(ISNUMBER(OFFSET($A$1,ROW()-1,9)),OFFSET($A$1,ROW()-1,9),IF(ISNUMBER(OFFSET($A$1,ROW()-1,8)),OFFSET($A$1,ROW()-1,8),0)))))))</f>
        <v/>
      </c>
      <c r="AG279" s="62">
        <f>IF($V279&lt;&gt;"Sub","",N($X279)*IF(AND(ISNUMBER($G279),$G279&lt;=IF($S279=MesCiclo,InicioCiclo,$S279+MOD(2-WEEKDAY($S279),7))+27),1,MIN(1,MAX(0,IF(ISNUMBER(OFFSET($A$1,ROW()-1,11)),OFFSET($A$1,ROW()-1,11),IF(ISNUMBER(OFFSET($A$1,ROW()-1,10)),OFFSET($A$1,ROW()-1,10),IF(ISNUMBER(OFFSET($A$1,ROW()-1,9)),OFFSET($A$1,ROW()-1,9),IF(ISNUMBER(OFFSET($A$1,ROW()-1,8)),OFFSET($A$1,ROW()-1,8),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",IFERROR(MATCH("Riesgo Normativo|"&amp;MID($C279,12,500),rDname_ADM,0),0),"")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IF(N($W280)=0,"",IF(AND($S280=MesCiclo,1&gt;SemanaActual),"",MIN(1,SUMIFS(OFFSET($A$1,ROW(),29,1000-ROW(),1),OFFSET($A$1,ROW(),20,1000-ROW(),1),ROW(),OFFSET($A$1,ROW(),21,1000-ROW(),1),"Sub"))))</f>
        <v/>
      </c>
      <c r="J280" s="60">
        <f>IF(N($W280)=0,"",IF(AND($S280=MesCiclo,2&gt;SemanaActual),"",MIN(1,SUMIFS(OFFSET($A$1,ROW(),30,1000-ROW(),1),OFFSET($A$1,ROW(),20,1000-ROW(),1),ROW(),OFFSET($A$1,ROW(),21,1000-ROW(),1),"Sub"))))</f>
        <v/>
      </c>
      <c r="K280" s="60">
        <f>IF(N($W280)=0,"",IF(AND($S280=MesCiclo,3&gt;SemanaActual),"",MIN(1,SUMIFS(OFFSET($A$1,ROW(),31,1000-ROW(),1),OFFSET($A$1,ROW(),20,1000-ROW(),1),ROW(),OFFSET($A$1,ROW(),21,1000-ROW(),1),"Sub"))))</f>
        <v/>
      </c>
      <c r="L280" s="60">
        <f>IF(N($W280)=0,"",IF(AND($S280=MesCiclo,4&gt;SemanaActual),"",MIN(1,SUMIFS(OFFSET($A$1,ROW(),32,1000-ROW(),1),OFFSET($A$1,ROW(),20,1000-ROW(),1),ROW(),OFFSET($A$1,ROW(),21,1000-ROW(),1),"Sub"))))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IF($V280&lt;&gt;"Sub","",N($X280)*IF(AND(ISNUMBER($G280),$G280&lt;=IF($S280=MesCiclo,InicioCiclo,$S280+MOD(2-WEEKDAY($S280),7))+6),1,MIN(1,MAX(0,IF(ISNUMBER(OFFSET($A$1,ROW()-1,8)),OFFSET($A$1,ROW()-1,8),0)))))</f>
        <v/>
      </c>
      <c r="AE280" s="62">
        <f>IF($V280&lt;&gt;"Sub","",N($X280)*IF(AND(ISNUMBER($G280),$G280&lt;=IF($S280=MesCiclo,InicioCiclo,$S280+MOD(2-WEEKDAY($S280),7))+13),1,MIN(1,MAX(0,IF(ISNUMBER(OFFSET($A$1,ROW()-1,9)),OFFSET($A$1,ROW()-1,9),IF(ISNUMBER(OFFSET($A$1,ROW()-1,8)),OFFSET($A$1,ROW()-1,8),0))))))</f>
        <v/>
      </c>
      <c r="AF280" s="62">
        <f>IF($V280&lt;&gt;"Sub","",N($X280)*IF(AND(ISNUMBER($G280),$G280&lt;=IF($S280=MesCiclo,InicioCiclo,$S280+MOD(2-WEEKDAY($S280),7))+20),1,MIN(1,MAX(0,IF(ISNUMBER(OFFSET($A$1,ROW()-1,10)),OFFSET($A$1,ROW()-1,10),IF(ISNUMBER(OFFSET($A$1,ROW()-1,9)),OFFSET($A$1,ROW()-1,9),IF(ISNUMBER(OFFSET($A$1,ROW()-1,8)),OFFSET($A$1,ROW()-1,8),0)))))))</f>
        <v/>
      </c>
      <c r="AG280" s="62">
        <f>IF($V280&lt;&gt;"Sub","",N($X280)*IF(AND(ISNUMBER($G280),$G280&lt;=IF($S280=MesCiclo,InicioCiclo,$S280+MOD(2-WEEKDAY($S280),7))+27),1,MIN(1,MAX(0,IF(ISNUMBER(OFFSET($A$1,ROW()-1,11)),OFFSET($A$1,ROW()-1,11),IF(ISNUMBER(OFFSET($A$1,ROW()-1,10)),OFFSET($A$1,ROW()-1,10),IF(ISNUMBER(OFFSET($A$1,ROW()-1,9)),OFFSET($A$1,ROW()-1,9),IF(ISNUMBER(OFFSET($A$1,ROW()-1,8)),OFFSET($A$1,ROW()-1,8),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",IFERROR(MATCH("Riesgo Normativo|"&amp;MID($C280,12,500),rDname_ADM,0),0),"")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IF(N($W281)=0,"",IF(AND($S281=MesCiclo,1&gt;SemanaActual),"",MIN(1,SUMIFS(OFFSET($A$1,ROW(),29,1000-ROW(),1),OFFSET($A$1,ROW(),20,1000-ROW(),1),ROW(),OFFSET($A$1,ROW(),21,1000-ROW(),1),"Sub"))))</f>
        <v/>
      </c>
      <c r="J281" s="60">
        <f>IF(N($W281)=0,"",IF(AND($S281=MesCiclo,2&gt;SemanaActual),"",MIN(1,SUMIFS(OFFSET($A$1,ROW(),30,1000-ROW(),1),OFFSET($A$1,ROW(),20,1000-ROW(),1),ROW(),OFFSET($A$1,ROW(),21,1000-ROW(),1),"Sub"))))</f>
        <v/>
      </c>
      <c r="K281" s="60">
        <f>IF(N($W281)=0,"",IF(AND($S281=MesCiclo,3&gt;SemanaActual),"",MIN(1,SUMIFS(OFFSET($A$1,ROW(),31,1000-ROW(),1),OFFSET($A$1,ROW(),20,1000-ROW(),1),ROW(),OFFSET($A$1,ROW(),21,1000-ROW(),1),"Sub"))))</f>
        <v/>
      </c>
      <c r="L281" s="60">
        <f>IF(N($W281)=0,"",IF(AND($S281=MesCiclo,4&gt;SemanaActual),"",MIN(1,SUMIFS(OFFSET($A$1,ROW(),32,1000-ROW(),1),OFFSET($A$1,ROW(),20,1000-ROW(),1),ROW(),OFFSET($A$1,ROW(),21,1000-ROW(),1),"Sub"))))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IF($V281&lt;&gt;"Sub","",N($X281)*IF(AND(ISNUMBER($G281),$G281&lt;=IF($S281=MesCiclo,InicioCiclo,$S281+MOD(2-WEEKDAY($S281),7))+6),1,MIN(1,MAX(0,IF(ISNUMBER(OFFSET($A$1,ROW()-1,8)),OFFSET($A$1,ROW()-1,8),0)))))</f>
        <v/>
      </c>
      <c r="AE281" s="62">
        <f>IF($V281&lt;&gt;"Sub","",N($X281)*IF(AND(ISNUMBER($G281),$G281&lt;=IF($S281=MesCiclo,InicioCiclo,$S281+MOD(2-WEEKDAY($S281),7))+13),1,MIN(1,MAX(0,IF(ISNUMBER(OFFSET($A$1,ROW()-1,9)),OFFSET($A$1,ROW()-1,9),IF(ISNUMBER(OFFSET($A$1,ROW()-1,8)),OFFSET($A$1,ROW()-1,8),0))))))</f>
        <v/>
      </c>
      <c r="AF281" s="62">
        <f>IF($V281&lt;&gt;"Sub","",N($X281)*IF(AND(ISNUMBER($G281),$G281&lt;=IF($S281=MesCiclo,InicioCiclo,$S281+MOD(2-WEEKDAY($S281),7))+20),1,MIN(1,MAX(0,IF(ISNUMBER(OFFSET($A$1,ROW()-1,10)),OFFSET($A$1,ROW()-1,10),IF(ISNUMBER(OFFSET($A$1,ROW()-1,9)),OFFSET($A$1,ROW()-1,9),IF(ISNUMBER(OFFSET($A$1,ROW()-1,8)),OFFSET($A$1,ROW()-1,8),0)))))))</f>
        <v/>
      </c>
      <c r="AG281" s="62">
        <f>IF($V281&lt;&gt;"Sub","",N($X281)*IF(AND(ISNUMBER($G281),$G281&lt;=IF($S281=MesCiclo,InicioCiclo,$S281+MOD(2-WEEKDAY($S281),7))+27),1,MIN(1,MAX(0,IF(ISNUMBER(OFFSET($A$1,ROW()-1,11)),OFFSET($A$1,ROW()-1,11),IF(ISNUMBER(OFFSET($A$1,ROW()-1,10)),OFFSET($A$1,ROW()-1,10),IF(ISNUMBER(OFFSET($A$1,ROW()-1,9)),OFFSET($A$1,ROW()-1,9),IF(ISNUMBER(OFFSET($A$1,ROW()-1,8)),OFFSET($A$1,ROW()-1,8),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",IFERROR(MATCH("Riesgo Normativo|"&amp;MID($C281,12,500),rDname_ADM,0),0),"")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IF(N($W282)=0,"",IF(AND($S282=MesCiclo,1&gt;SemanaActual),"",MIN(1,SUMIFS(OFFSET($A$1,ROW(),29,1000-ROW(),1),OFFSET($A$1,ROW(),20,1000-ROW(),1),ROW(),OFFSET($A$1,ROW(),21,1000-ROW(),1),"Sub"))))</f>
        <v/>
      </c>
      <c r="J282" s="60">
        <f>IF(N($W282)=0,"",IF(AND($S282=MesCiclo,2&gt;SemanaActual),"",MIN(1,SUMIFS(OFFSET($A$1,ROW(),30,1000-ROW(),1),OFFSET($A$1,ROW(),20,1000-ROW(),1),ROW(),OFFSET($A$1,ROW(),21,1000-ROW(),1),"Sub"))))</f>
        <v/>
      </c>
      <c r="K282" s="60">
        <f>IF(N($W282)=0,"",IF(AND($S282=MesCiclo,3&gt;SemanaActual),"",MIN(1,SUMIFS(OFFSET($A$1,ROW(),31,1000-ROW(),1),OFFSET($A$1,ROW(),20,1000-ROW(),1),ROW(),OFFSET($A$1,ROW(),21,1000-ROW(),1),"Sub"))))</f>
        <v/>
      </c>
      <c r="L282" s="60">
        <f>IF(N($W282)=0,"",IF(AND($S282=MesCiclo,4&gt;SemanaActual),"",MIN(1,SUMIFS(OFFSET($A$1,ROW(),32,1000-ROW(),1),OFFSET($A$1,ROW(),20,1000-ROW(),1),ROW(),OFFSET($A$1,ROW(),21,1000-ROW(),1),"Sub"))))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IF($V282&lt;&gt;"Sub","",N($X282)*IF(AND(ISNUMBER($G282),$G282&lt;=IF($S282=MesCiclo,InicioCiclo,$S282+MOD(2-WEEKDAY($S282),7))+6),1,MIN(1,MAX(0,IF(ISNUMBER(OFFSET($A$1,ROW()-1,8)),OFFSET($A$1,ROW()-1,8),0)))))</f>
        <v/>
      </c>
      <c r="AE282" s="62">
        <f>IF($V282&lt;&gt;"Sub","",N($X282)*IF(AND(ISNUMBER($G282),$G282&lt;=IF($S282=MesCiclo,InicioCiclo,$S282+MOD(2-WEEKDAY($S282),7))+13),1,MIN(1,MAX(0,IF(ISNUMBER(OFFSET($A$1,ROW()-1,9)),OFFSET($A$1,ROW()-1,9),IF(ISNUMBER(OFFSET($A$1,ROW()-1,8)),OFFSET($A$1,ROW()-1,8),0))))))</f>
        <v/>
      </c>
      <c r="AF282" s="62">
        <f>IF($V282&lt;&gt;"Sub","",N($X282)*IF(AND(ISNUMBER($G282),$G282&lt;=IF($S282=MesCiclo,InicioCiclo,$S282+MOD(2-WEEKDAY($S282),7))+20),1,MIN(1,MAX(0,IF(ISNUMBER(OFFSET($A$1,ROW()-1,10)),OFFSET($A$1,ROW()-1,10),IF(ISNUMBER(OFFSET($A$1,ROW()-1,9)),OFFSET($A$1,ROW()-1,9),IF(ISNUMBER(OFFSET($A$1,ROW()-1,8)),OFFSET($A$1,ROW()-1,8),0)))))))</f>
        <v/>
      </c>
      <c r="AG282" s="62">
        <f>IF($V282&lt;&gt;"Sub","",N($X282)*IF(AND(ISNUMBER($G282),$G282&lt;=IF($S282=MesCiclo,InicioCiclo,$S282+MOD(2-WEEKDAY($S282),7))+27),1,MIN(1,MAX(0,IF(ISNUMBER(OFFSET($A$1,ROW()-1,11)),OFFSET($A$1,ROW()-1,11),IF(ISNUMBER(OFFSET($A$1,ROW()-1,10)),OFFSET($A$1,ROW()-1,10),IF(ISNUMBER(OFFSET($A$1,ROW()-1,9)),OFFSET($A$1,ROW()-1,9),IF(ISNUMBER(OFFSET($A$1,ROW()-1,8)),OFFSET($A$1,ROW()-1,8),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",IFERROR(MATCH("Riesgo Normativo|"&amp;MID($C282,12,500),rDname_ADM,0),0),"")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IF(N($W283)=0,"",IF(AND($S283=MesCiclo,1&gt;SemanaActual),"",MIN(1,SUMIFS(OFFSET($A$1,ROW(),29,1000-ROW(),1),OFFSET($A$1,ROW(),20,1000-ROW(),1),ROW(),OFFSET($A$1,ROW(),21,1000-ROW(),1),"Sub"))))</f>
        <v/>
      </c>
      <c r="J283" s="60">
        <f>IF(N($W283)=0,"",IF(AND($S283=MesCiclo,2&gt;SemanaActual),"",MIN(1,SUMIFS(OFFSET($A$1,ROW(),30,1000-ROW(),1),OFFSET($A$1,ROW(),20,1000-ROW(),1),ROW(),OFFSET($A$1,ROW(),21,1000-ROW(),1),"Sub"))))</f>
        <v/>
      </c>
      <c r="K283" s="60">
        <f>IF(N($W283)=0,"",IF(AND($S283=MesCiclo,3&gt;SemanaActual),"",MIN(1,SUMIFS(OFFSET($A$1,ROW(),31,1000-ROW(),1),OFFSET($A$1,ROW(),20,1000-ROW(),1),ROW(),OFFSET($A$1,ROW(),21,1000-ROW(),1),"Sub"))))</f>
        <v/>
      </c>
      <c r="L283" s="60">
        <f>IF(N($W283)=0,"",IF(AND($S283=MesCiclo,4&gt;SemanaActual),"",MIN(1,SUMIFS(OFFSET($A$1,ROW(),32,1000-ROW(),1),OFFSET($A$1,ROW(),20,1000-ROW(),1),ROW(),OFFSET($A$1,ROW(),21,1000-ROW(),1),"Sub"))))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IF($V283&lt;&gt;"Sub","",N($X283)*IF(AND(ISNUMBER($G283),$G283&lt;=IF($S283=MesCiclo,InicioCiclo,$S283+MOD(2-WEEKDAY($S283),7))+6),1,MIN(1,MAX(0,IF(ISNUMBER(OFFSET($A$1,ROW()-1,8)),OFFSET($A$1,ROW()-1,8),0)))))</f>
        <v/>
      </c>
      <c r="AE283" s="62">
        <f>IF($V283&lt;&gt;"Sub","",N($X283)*IF(AND(ISNUMBER($G283),$G283&lt;=IF($S283=MesCiclo,InicioCiclo,$S283+MOD(2-WEEKDAY($S283),7))+13),1,MIN(1,MAX(0,IF(ISNUMBER(OFFSET($A$1,ROW()-1,9)),OFFSET($A$1,ROW()-1,9),IF(ISNUMBER(OFFSET($A$1,ROW()-1,8)),OFFSET($A$1,ROW()-1,8),0))))))</f>
        <v/>
      </c>
      <c r="AF283" s="62">
        <f>IF($V283&lt;&gt;"Sub","",N($X283)*IF(AND(ISNUMBER($G283),$G283&lt;=IF($S283=MesCiclo,InicioCiclo,$S283+MOD(2-WEEKDAY($S283),7))+20),1,MIN(1,MAX(0,IF(ISNUMBER(OFFSET($A$1,ROW()-1,10)),OFFSET($A$1,ROW()-1,10),IF(ISNUMBER(OFFSET($A$1,ROW()-1,9)),OFFSET($A$1,ROW()-1,9),IF(ISNUMBER(OFFSET($A$1,ROW()-1,8)),OFFSET($A$1,ROW()-1,8),0)))))))</f>
        <v/>
      </c>
      <c r="AG283" s="62">
        <f>IF($V283&lt;&gt;"Sub","",N($X283)*IF(AND(ISNUMBER($G283),$G283&lt;=IF($S283=MesCiclo,InicioCiclo,$S283+MOD(2-WEEKDAY($S283),7))+27),1,MIN(1,MAX(0,IF(ISNUMBER(OFFSET($A$1,ROW()-1,11)),OFFSET($A$1,ROW()-1,11),IF(ISNUMBER(OFFSET($A$1,ROW()-1,10)),OFFSET($A$1,ROW()-1,10),IF(ISNUMBER(OFFSET($A$1,ROW()-1,9)),OFFSET($A$1,ROW()-1,9),IF(ISNUMBER(OFFSET($A$1,ROW()-1,8)),OFFSET($A$1,ROW()-1,8),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",IFERROR(MATCH("Riesgo Normativo|"&amp;MID($C283,12,500),rDname_ADM,0),0),"")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IF(N($W284)=0,"",IF(AND($S284=MesCiclo,1&gt;SemanaActual),"",MIN(1,SUMIFS(OFFSET($A$1,ROW(),29,1000-ROW(),1),OFFSET($A$1,ROW(),20,1000-ROW(),1),ROW(),OFFSET($A$1,ROW(),21,1000-ROW(),1),"Sub"))))</f>
        <v/>
      </c>
      <c r="J284" s="60">
        <f>IF(N($W284)=0,"",IF(AND($S284=MesCiclo,2&gt;SemanaActual),"",MIN(1,SUMIFS(OFFSET($A$1,ROW(),30,1000-ROW(),1),OFFSET($A$1,ROW(),20,1000-ROW(),1),ROW(),OFFSET($A$1,ROW(),21,1000-ROW(),1),"Sub"))))</f>
        <v/>
      </c>
      <c r="K284" s="60">
        <f>IF(N($W284)=0,"",IF(AND($S284=MesCiclo,3&gt;SemanaActual),"",MIN(1,SUMIFS(OFFSET($A$1,ROW(),31,1000-ROW(),1),OFFSET($A$1,ROW(),20,1000-ROW(),1),ROW(),OFFSET($A$1,ROW(),21,1000-ROW(),1),"Sub"))))</f>
        <v/>
      </c>
      <c r="L284" s="60">
        <f>IF(N($W284)=0,"",IF(AND($S284=MesCiclo,4&gt;SemanaActual),"",MIN(1,SUMIFS(OFFSET($A$1,ROW(),32,1000-ROW(),1),OFFSET($A$1,ROW(),20,1000-ROW(),1),ROW(),OFFSET($A$1,ROW(),21,1000-ROW(),1),"Sub"))))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IF($V284&lt;&gt;"Sub","",N($X284)*IF(AND(ISNUMBER($G284),$G284&lt;=IF($S284=MesCiclo,InicioCiclo,$S284+MOD(2-WEEKDAY($S284),7))+6),1,MIN(1,MAX(0,IF(ISNUMBER(OFFSET($A$1,ROW()-1,8)),OFFSET($A$1,ROW()-1,8),0)))))</f>
        <v/>
      </c>
      <c r="AE284" s="62">
        <f>IF($V284&lt;&gt;"Sub","",N($X284)*IF(AND(ISNUMBER($G284),$G284&lt;=IF($S284=MesCiclo,InicioCiclo,$S284+MOD(2-WEEKDAY($S284),7))+13),1,MIN(1,MAX(0,IF(ISNUMBER(OFFSET($A$1,ROW()-1,9)),OFFSET($A$1,ROW()-1,9),IF(ISNUMBER(OFFSET($A$1,ROW()-1,8)),OFFSET($A$1,ROW()-1,8),0))))))</f>
        <v/>
      </c>
      <c r="AF284" s="62">
        <f>IF($V284&lt;&gt;"Sub","",N($X284)*IF(AND(ISNUMBER($G284),$G284&lt;=IF($S284=MesCiclo,InicioCiclo,$S284+MOD(2-WEEKDAY($S284),7))+20),1,MIN(1,MAX(0,IF(ISNUMBER(OFFSET($A$1,ROW()-1,10)),OFFSET($A$1,ROW()-1,10),IF(ISNUMBER(OFFSET($A$1,ROW()-1,9)),OFFSET($A$1,ROW()-1,9),IF(ISNUMBER(OFFSET($A$1,ROW()-1,8)),OFFSET($A$1,ROW()-1,8),0)))))))</f>
        <v/>
      </c>
      <c r="AG284" s="62">
        <f>IF($V284&lt;&gt;"Sub","",N($X284)*IF(AND(ISNUMBER($G284),$G284&lt;=IF($S284=MesCiclo,InicioCiclo,$S284+MOD(2-WEEKDAY($S284),7))+27),1,MIN(1,MAX(0,IF(ISNUMBER(OFFSET($A$1,ROW()-1,11)),OFFSET($A$1,ROW()-1,11),IF(ISNUMBER(OFFSET($A$1,ROW()-1,10)),OFFSET($A$1,ROW()-1,10),IF(ISNUMBER(OFFSET($A$1,ROW()-1,9)),OFFSET($A$1,ROW()-1,9),IF(ISNUMBER(OFFSET($A$1,ROW()-1,8)),OFFSET($A$1,ROW()-1,8),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",IFERROR(MATCH("Riesgo Normativo|"&amp;MID($C284,12,500),rDname_ADM,0),0),"")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IF(N($W285)=0,"",IF(AND($S285=MesCiclo,1&gt;SemanaActual),"",MIN(1,SUMIFS(OFFSET($A$1,ROW(),29,1000-ROW(),1),OFFSET($A$1,ROW(),20,1000-ROW(),1),ROW(),OFFSET($A$1,ROW(),21,1000-ROW(),1),"Sub"))))</f>
        <v/>
      </c>
      <c r="J285" s="60">
        <f>IF(N($W285)=0,"",IF(AND($S285=MesCiclo,2&gt;SemanaActual),"",MIN(1,SUMIFS(OFFSET($A$1,ROW(),30,1000-ROW(),1),OFFSET($A$1,ROW(),20,1000-ROW(),1),ROW(),OFFSET($A$1,ROW(),21,1000-ROW(),1),"Sub"))))</f>
        <v/>
      </c>
      <c r="K285" s="60">
        <f>IF(N($W285)=0,"",IF(AND($S285=MesCiclo,3&gt;SemanaActual),"",MIN(1,SUMIFS(OFFSET($A$1,ROW(),31,1000-ROW(),1),OFFSET($A$1,ROW(),20,1000-ROW(),1),ROW(),OFFSET($A$1,ROW(),21,1000-ROW(),1),"Sub"))))</f>
        <v/>
      </c>
      <c r="L285" s="60">
        <f>IF(N($W285)=0,"",IF(AND($S285=MesCiclo,4&gt;SemanaActual),"",MIN(1,SUMIFS(OFFSET($A$1,ROW(),32,1000-ROW(),1),OFFSET($A$1,ROW(),20,1000-ROW(),1),ROW(),OFFSET($A$1,ROW(),21,1000-ROW(),1),"Sub"))))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IF($V285&lt;&gt;"Sub","",N($X285)*IF(AND(ISNUMBER($G285),$G285&lt;=IF($S285=MesCiclo,InicioCiclo,$S285+MOD(2-WEEKDAY($S285),7))+6),1,MIN(1,MAX(0,IF(ISNUMBER(OFFSET($A$1,ROW()-1,8)),OFFSET($A$1,ROW()-1,8),0)))))</f>
        <v/>
      </c>
      <c r="AE285" s="62">
        <f>IF($V285&lt;&gt;"Sub","",N($X285)*IF(AND(ISNUMBER($G285),$G285&lt;=IF($S285=MesCiclo,InicioCiclo,$S285+MOD(2-WEEKDAY($S285),7))+13),1,MIN(1,MAX(0,IF(ISNUMBER(OFFSET($A$1,ROW()-1,9)),OFFSET($A$1,ROW()-1,9),IF(ISNUMBER(OFFSET($A$1,ROW()-1,8)),OFFSET($A$1,ROW()-1,8),0))))))</f>
        <v/>
      </c>
      <c r="AF285" s="62">
        <f>IF($V285&lt;&gt;"Sub","",N($X285)*IF(AND(ISNUMBER($G285),$G285&lt;=IF($S285=MesCiclo,InicioCiclo,$S285+MOD(2-WEEKDAY($S285),7))+20),1,MIN(1,MAX(0,IF(ISNUMBER(OFFSET($A$1,ROW()-1,10)),OFFSET($A$1,ROW()-1,10),IF(ISNUMBER(OFFSET($A$1,ROW()-1,9)),OFFSET($A$1,ROW()-1,9),IF(ISNUMBER(OFFSET($A$1,ROW()-1,8)),OFFSET($A$1,ROW()-1,8),0)))))))</f>
        <v/>
      </c>
      <c r="AG285" s="62">
        <f>IF($V285&lt;&gt;"Sub","",N($X285)*IF(AND(ISNUMBER($G285),$G285&lt;=IF($S285=MesCiclo,InicioCiclo,$S285+MOD(2-WEEKDAY($S285),7))+27),1,MIN(1,MAX(0,IF(ISNUMBER(OFFSET($A$1,ROW()-1,11)),OFFSET($A$1,ROW()-1,11),IF(ISNUMBER(OFFSET($A$1,ROW()-1,10)),OFFSET($A$1,ROW()-1,10),IF(ISNUMBER(OFFSET($A$1,ROW()-1,9)),OFFSET($A$1,ROW()-1,9),IF(ISNUMBER(OFFSET($A$1,ROW()-1,8)),OFFSET($A$1,ROW()-1,8),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",IFERROR(MATCH("Riesgo Normativo|"&amp;MID($C285,12,500),rDname_ADM,0),0),"")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IF(N($W286)=0,"",IF(AND($S286=MesCiclo,1&gt;SemanaActual),"",MIN(1,SUMIFS(OFFSET($A$1,ROW(),29,1000-ROW(),1),OFFSET($A$1,ROW(),20,1000-ROW(),1),ROW(),OFFSET($A$1,ROW(),21,1000-ROW(),1),"Sub"))))</f>
        <v/>
      </c>
      <c r="J286" s="60">
        <f>IF(N($W286)=0,"",IF(AND($S286=MesCiclo,2&gt;SemanaActual),"",MIN(1,SUMIFS(OFFSET($A$1,ROW(),30,1000-ROW(),1),OFFSET($A$1,ROW(),20,1000-ROW(),1),ROW(),OFFSET($A$1,ROW(),21,1000-ROW(),1),"Sub"))))</f>
        <v/>
      </c>
      <c r="K286" s="60">
        <f>IF(N($W286)=0,"",IF(AND($S286=MesCiclo,3&gt;SemanaActual),"",MIN(1,SUMIFS(OFFSET($A$1,ROW(),31,1000-ROW(),1),OFFSET($A$1,ROW(),20,1000-ROW(),1),ROW(),OFFSET($A$1,ROW(),21,1000-ROW(),1),"Sub"))))</f>
        <v/>
      </c>
      <c r="L286" s="60">
        <f>IF(N($W286)=0,"",IF(AND($S286=MesCiclo,4&gt;SemanaActual),"",MIN(1,SUMIFS(OFFSET($A$1,ROW(),32,1000-ROW(),1),OFFSET($A$1,ROW(),20,1000-ROW(),1),ROW(),OFFSET($A$1,ROW(),21,1000-ROW(),1),"Sub"))))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IF($V286&lt;&gt;"Sub","",N($X286)*IF(AND(ISNUMBER($G286),$G286&lt;=IF($S286=MesCiclo,InicioCiclo,$S286+MOD(2-WEEKDAY($S286),7))+6),1,MIN(1,MAX(0,IF(ISNUMBER(OFFSET($A$1,ROW()-1,8)),OFFSET($A$1,ROW()-1,8),0)))))</f>
        <v/>
      </c>
      <c r="AE286" s="62">
        <f>IF($V286&lt;&gt;"Sub","",N($X286)*IF(AND(ISNUMBER($G286),$G286&lt;=IF($S286=MesCiclo,InicioCiclo,$S286+MOD(2-WEEKDAY($S286),7))+13),1,MIN(1,MAX(0,IF(ISNUMBER(OFFSET($A$1,ROW()-1,9)),OFFSET($A$1,ROW()-1,9),IF(ISNUMBER(OFFSET($A$1,ROW()-1,8)),OFFSET($A$1,ROW()-1,8),0))))))</f>
        <v/>
      </c>
      <c r="AF286" s="62">
        <f>IF($V286&lt;&gt;"Sub","",N($X286)*IF(AND(ISNUMBER($G286),$G286&lt;=IF($S286=MesCiclo,InicioCiclo,$S286+MOD(2-WEEKDAY($S286),7))+20),1,MIN(1,MAX(0,IF(ISNUMBER(OFFSET($A$1,ROW()-1,10)),OFFSET($A$1,ROW()-1,10),IF(ISNUMBER(OFFSET($A$1,ROW()-1,9)),OFFSET($A$1,ROW()-1,9),IF(ISNUMBER(OFFSET($A$1,ROW()-1,8)),OFFSET($A$1,ROW()-1,8),0)))))))</f>
        <v/>
      </c>
      <c r="AG286" s="62">
        <f>IF($V286&lt;&gt;"Sub","",N($X286)*IF(AND(ISNUMBER($G286),$G286&lt;=IF($S286=MesCiclo,InicioCiclo,$S286+MOD(2-WEEKDAY($S286),7))+27),1,MIN(1,MAX(0,IF(ISNUMBER(OFFSET($A$1,ROW()-1,11)),OFFSET($A$1,ROW()-1,11),IF(ISNUMBER(OFFSET($A$1,ROW()-1,10)),OFFSET($A$1,ROW()-1,10),IF(ISNUMBER(OFFSET($A$1,ROW()-1,9)),OFFSET($A$1,ROW()-1,9),IF(ISNUMBER(OFFSET($A$1,ROW()-1,8)),OFFSET($A$1,ROW()-1,8),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",IFERROR(MATCH("Riesgo Normativo|"&amp;MID($C286,12,500),rDname_ADM,0),0),"")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IF(N($W287)=0,"",IF(AND($S287=MesCiclo,1&gt;SemanaActual),"",MIN(1,SUMIFS(OFFSET($A$1,ROW(),29,1000-ROW(),1),OFFSET($A$1,ROW(),20,1000-ROW(),1),ROW(),OFFSET($A$1,ROW(),21,1000-ROW(),1),"Sub"))))</f>
        <v/>
      </c>
      <c r="J287" s="60">
        <f>IF(N($W287)=0,"",IF(AND($S287=MesCiclo,2&gt;SemanaActual),"",MIN(1,SUMIFS(OFFSET($A$1,ROW(),30,1000-ROW(),1),OFFSET($A$1,ROW(),20,1000-ROW(),1),ROW(),OFFSET($A$1,ROW(),21,1000-ROW(),1),"Sub"))))</f>
        <v/>
      </c>
      <c r="K287" s="60">
        <f>IF(N($W287)=0,"",IF(AND($S287=MesCiclo,3&gt;SemanaActual),"",MIN(1,SUMIFS(OFFSET($A$1,ROW(),31,1000-ROW(),1),OFFSET($A$1,ROW(),20,1000-ROW(),1),ROW(),OFFSET($A$1,ROW(),21,1000-ROW(),1),"Sub"))))</f>
        <v/>
      </c>
      <c r="L287" s="60">
        <f>IF(N($W287)=0,"",IF(AND($S287=MesCiclo,4&gt;SemanaActual),"",MIN(1,SUMIFS(OFFSET($A$1,ROW(),32,1000-ROW(),1),OFFSET($A$1,ROW(),20,1000-ROW(),1),ROW(),OFFSET($A$1,ROW(),21,1000-ROW(),1),"Sub"))))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IF($V287&lt;&gt;"Sub","",N($X287)*IF(AND(ISNUMBER($G287),$G287&lt;=IF($S287=MesCiclo,InicioCiclo,$S287+MOD(2-WEEKDAY($S287),7))+6),1,MIN(1,MAX(0,IF(ISNUMBER(OFFSET($A$1,ROW()-1,8)),OFFSET($A$1,ROW()-1,8),0)))))</f>
        <v/>
      </c>
      <c r="AE287" s="62">
        <f>IF($V287&lt;&gt;"Sub","",N($X287)*IF(AND(ISNUMBER($G287),$G287&lt;=IF($S287=MesCiclo,InicioCiclo,$S287+MOD(2-WEEKDAY($S287),7))+13),1,MIN(1,MAX(0,IF(ISNUMBER(OFFSET($A$1,ROW()-1,9)),OFFSET($A$1,ROW()-1,9),IF(ISNUMBER(OFFSET($A$1,ROW()-1,8)),OFFSET($A$1,ROW()-1,8),0))))))</f>
        <v/>
      </c>
      <c r="AF287" s="62">
        <f>IF($V287&lt;&gt;"Sub","",N($X287)*IF(AND(ISNUMBER($G287),$G287&lt;=IF($S287=MesCiclo,InicioCiclo,$S287+MOD(2-WEEKDAY($S287),7))+20),1,MIN(1,MAX(0,IF(ISNUMBER(OFFSET($A$1,ROW()-1,10)),OFFSET($A$1,ROW()-1,10),IF(ISNUMBER(OFFSET($A$1,ROW()-1,9)),OFFSET($A$1,ROW()-1,9),IF(ISNUMBER(OFFSET($A$1,ROW()-1,8)),OFFSET($A$1,ROW()-1,8),0)))))))</f>
        <v/>
      </c>
      <c r="AG287" s="62">
        <f>IF($V287&lt;&gt;"Sub","",N($X287)*IF(AND(ISNUMBER($G287),$G287&lt;=IF($S287=MesCiclo,InicioCiclo,$S287+MOD(2-WEEKDAY($S287),7))+27),1,MIN(1,MAX(0,IF(ISNUMBER(OFFSET($A$1,ROW()-1,11)),OFFSET($A$1,ROW()-1,11),IF(ISNUMBER(OFFSET($A$1,ROW()-1,10)),OFFSET($A$1,ROW()-1,10),IF(ISNUMBER(OFFSET($A$1,ROW()-1,9)),OFFSET($A$1,ROW()-1,9),IF(ISNUMBER(OFFSET($A$1,ROW()-1,8)),OFFSET($A$1,ROW()-1,8),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",IFERROR(MATCH("Riesgo Normativo|"&amp;MID($C287,12,500),rDname_ADM,0),0),"")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IF(N($W288)=0,"",IF(AND($S288=MesCiclo,1&gt;SemanaActual),"",MIN(1,SUMIFS(OFFSET($A$1,ROW(),29,1000-ROW(),1),OFFSET($A$1,ROW(),20,1000-ROW(),1),ROW(),OFFSET($A$1,ROW(),21,1000-ROW(),1),"Sub"))))</f>
        <v/>
      </c>
      <c r="J288" s="60">
        <f>IF(N($W288)=0,"",IF(AND($S288=MesCiclo,2&gt;SemanaActual),"",MIN(1,SUMIFS(OFFSET($A$1,ROW(),30,1000-ROW(),1),OFFSET($A$1,ROW(),20,1000-ROW(),1),ROW(),OFFSET($A$1,ROW(),21,1000-ROW(),1),"Sub"))))</f>
        <v/>
      </c>
      <c r="K288" s="60">
        <f>IF(N($W288)=0,"",IF(AND($S288=MesCiclo,3&gt;SemanaActual),"",MIN(1,SUMIFS(OFFSET($A$1,ROW(),31,1000-ROW(),1),OFFSET($A$1,ROW(),20,1000-ROW(),1),ROW(),OFFSET($A$1,ROW(),21,1000-ROW(),1),"Sub"))))</f>
        <v/>
      </c>
      <c r="L288" s="60">
        <f>IF(N($W288)=0,"",IF(AND($S288=MesCiclo,4&gt;SemanaActual),"",MIN(1,SUMIFS(OFFSET($A$1,ROW(),32,1000-ROW(),1),OFFSET($A$1,ROW(),20,1000-ROW(),1),ROW(),OFFSET($A$1,ROW(),21,1000-ROW(),1),"Sub"))))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IF($V288&lt;&gt;"Sub","",N($X288)*IF(AND(ISNUMBER($G288),$G288&lt;=IF($S288=MesCiclo,InicioCiclo,$S288+MOD(2-WEEKDAY($S288),7))+6),1,MIN(1,MAX(0,IF(ISNUMBER(OFFSET($A$1,ROW()-1,8)),OFFSET($A$1,ROW()-1,8),0)))))</f>
        <v/>
      </c>
      <c r="AE288" s="62">
        <f>IF($V288&lt;&gt;"Sub","",N($X288)*IF(AND(ISNUMBER($G288),$G288&lt;=IF($S288=MesCiclo,InicioCiclo,$S288+MOD(2-WEEKDAY($S288),7))+13),1,MIN(1,MAX(0,IF(ISNUMBER(OFFSET($A$1,ROW()-1,9)),OFFSET($A$1,ROW()-1,9),IF(ISNUMBER(OFFSET($A$1,ROW()-1,8)),OFFSET($A$1,ROW()-1,8),0))))))</f>
        <v/>
      </c>
      <c r="AF288" s="62">
        <f>IF($V288&lt;&gt;"Sub","",N($X288)*IF(AND(ISNUMBER($G288),$G288&lt;=IF($S288=MesCiclo,InicioCiclo,$S288+MOD(2-WEEKDAY($S288),7))+20),1,MIN(1,MAX(0,IF(ISNUMBER(OFFSET($A$1,ROW()-1,10)),OFFSET($A$1,ROW()-1,10),IF(ISNUMBER(OFFSET($A$1,ROW()-1,9)),OFFSET($A$1,ROW()-1,9),IF(ISNUMBER(OFFSET($A$1,ROW()-1,8)),OFFSET($A$1,ROW()-1,8),0)))))))</f>
        <v/>
      </c>
      <c r="AG288" s="62">
        <f>IF($V288&lt;&gt;"Sub","",N($X288)*IF(AND(ISNUMBER($G288),$G288&lt;=IF($S288=MesCiclo,InicioCiclo,$S288+MOD(2-WEEKDAY($S288),7))+27),1,MIN(1,MAX(0,IF(ISNUMBER(OFFSET($A$1,ROW()-1,11)),OFFSET($A$1,ROW()-1,11),IF(ISNUMBER(OFFSET($A$1,ROW()-1,10)),OFFSET($A$1,ROW()-1,10),IF(ISNUMBER(OFFSET($A$1,ROW()-1,9)),OFFSET($A$1,ROW()-1,9),IF(ISNUMBER(OFFSET($A$1,ROW()-1,8)),OFFSET($A$1,ROW()-1,8),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",IFERROR(MATCH("Riesgo Normativo|"&amp;MID($C288,12,500),rDname_ADM,0),0),"")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IF(N($W289)=0,"",IF(AND($S289=MesCiclo,1&gt;SemanaActual),"",MIN(1,SUMIFS(OFFSET($A$1,ROW(),29,1000-ROW(),1),OFFSET($A$1,ROW(),20,1000-ROW(),1),ROW(),OFFSET($A$1,ROW(),21,1000-ROW(),1),"Sub"))))</f>
        <v/>
      </c>
      <c r="J289" s="60">
        <f>IF(N($W289)=0,"",IF(AND($S289=MesCiclo,2&gt;SemanaActual),"",MIN(1,SUMIFS(OFFSET($A$1,ROW(),30,1000-ROW(),1),OFFSET($A$1,ROW(),20,1000-ROW(),1),ROW(),OFFSET($A$1,ROW(),21,1000-ROW(),1),"Sub"))))</f>
        <v/>
      </c>
      <c r="K289" s="60">
        <f>IF(N($W289)=0,"",IF(AND($S289=MesCiclo,3&gt;SemanaActual),"",MIN(1,SUMIFS(OFFSET($A$1,ROW(),31,1000-ROW(),1),OFFSET($A$1,ROW(),20,1000-ROW(),1),ROW(),OFFSET($A$1,ROW(),21,1000-ROW(),1),"Sub"))))</f>
        <v/>
      </c>
      <c r="L289" s="60">
        <f>IF(N($W289)=0,"",IF(AND($S289=MesCiclo,4&gt;SemanaActual),"",MIN(1,SUMIFS(OFFSET($A$1,ROW(),32,1000-ROW(),1),OFFSET($A$1,ROW(),20,1000-ROW(),1),ROW(),OFFSET($A$1,ROW(),21,1000-ROW(),1),"Sub"))))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IF($V289&lt;&gt;"Sub","",N($X289)*IF(AND(ISNUMBER($G289),$G289&lt;=IF($S289=MesCiclo,InicioCiclo,$S289+MOD(2-WEEKDAY($S289),7))+6),1,MIN(1,MAX(0,IF(ISNUMBER(OFFSET($A$1,ROW()-1,8)),OFFSET($A$1,ROW()-1,8),0)))))</f>
        <v/>
      </c>
      <c r="AE289" s="62">
        <f>IF($V289&lt;&gt;"Sub","",N($X289)*IF(AND(ISNUMBER($G289),$G289&lt;=IF($S289=MesCiclo,InicioCiclo,$S289+MOD(2-WEEKDAY($S289),7))+13),1,MIN(1,MAX(0,IF(ISNUMBER(OFFSET($A$1,ROW()-1,9)),OFFSET($A$1,ROW()-1,9),IF(ISNUMBER(OFFSET($A$1,ROW()-1,8)),OFFSET($A$1,ROW()-1,8),0))))))</f>
        <v/>
      </c>
      <c r="AF289" s="62">
        <f>IF($V289&lt;&gt;"Sub","",N($X289)*IF(AND(ISNUMBER($G289),$G289&lt;=IF($S289=MesCiclo,InicioCiclo,$S289+MOD(2-WEEKDAY($S289),7))+20),1,MIN(1,MAX(0,IF(ISNUMBER(OFFSET($A$1,ROW()-1,10)),OFFSET($A$1,ROW()-1,10),IF(ISNUMBER(OFFSET($A$1,ROW()-1,9)),OFFSET($A$1,ROW()-1,9),IF(ISNUMBER(OFFSET($A$1,ROW()-1,8)),OFFSET($A$1,ROW()-1,8),0)))))))</f>
        <v/>
      </c>
      <c r="AG289" s="62">
        <f>IF($V289&lt;&gt;"Sub","",N($X289)*IF(AND(ISNUMBER($G289),$G289&lt;=IF($S289=MesCiclo,InicioCiclo,$S289+MOD(2-WEEKDAY($S289),7))+27),1,MIN(1,MAX(0,IF(ISNUMBER(OFFSET($A$1,ROW()-1,11)),OFFSET($A$1,ROW()-1,11),IF(ISNUMBER(OFFSET($A$1,ROW()-1,10)),OFFSET($A$1,ROW()-1,10),IF(ISNUMBER(OFFSET($A$1,ROW()-1,9)),OFFSET($A$1,ROW()-1,9),IF(ISNUMBER(OFFSET($A$1,ROW()-1,8)),OFFSET($A$1,ROW()-1,8),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",IFERROR(MATCH("Riesgo Normativo|"&amp;MID($C289,12,500),rDname_ADM,0),0),"")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IF(N($W290)=0,"",IF(AND($S290=MesCiclo,1&gt;SemanaActual),"",MIN(1,SUMIFS(OFFSET($A$1,ROW(),29,1000-ROW(),1),OFFSET($A$1,ROW(),20,1000-ROW(),1),ROW(),OFFSET($A$1,ROW(),21,1000-ROW(),1),"Sub"))))</f>
        <v/>
      </c>
      <c r="J290" s="60">
        <f>IF(N($W290)=0,"",IF(AND($S290=MesCiclo,2&gt;SemanaActual),"",MIN(1,SUMIFS(OFFSET($A$1,ROW(),30,1000-ROW(),1),OFFSET($A$1,ROW(),20,1000-ROW(),1),ROW(),OFFSET($A$1,ROW(),21,1000-ROW(),1),"Sub"))))</f>
        <v/>
      </c>
      <c r="K290" s="60">
        <f>IF(N($W290)=0,"",IF(AND($S290=MesCiclo,3&gt;SemanaActual),"",MIN(1,SUMIFS(OFFSET($A$1,ROW(),31,1000-ROW(),1),OFFSET($A$1,ROW(),20,1000-ROW(),1),ROW(),OFFSET($A$1,ROW(),21,1000-ROW(),1),"Sub"))))</f>
        <v/>
      </c>
      <c r="L290" s="60">
        <f>IF(N($W290)=0,"",IF(AND($S290=MesCiclo,4&gt;SemanaActual),"",MIN(1,SUMIFS(OFFSET($A$1,ROW(),32,1000-ROW(),1),OFFSET($A$1,ROW(),20,1000-ROW(),1),ROW(),OFFSET($A$1,ROW(),21,1000-ROW(),1),"Sub"))))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IF($V290&lt;&gt;"Sub","",N($X290)*IF(AND(ISNUMBER($G290),$G290&lt;=IF($S290=MesCiclo,InicioCiclo,$S290+MOD(2-WEEKDAY($S290),7))+6),1,MIN(1,MAX(0,IF(ISNUMBER(OFFSET($A$1,ROW()-1,8)),OFFSET($A$1,ROW()-1,8),0)))))</f>
        <v/>
      </c>
      <c r="AE290" s="62">
        <f>IF($V290&lt;&gt;"Sub","",N($X290)*IF(AND(ISNUMBER($G290),$G290&lt;=IF($S290=MesCiclo,InicioCiclo,$S290+MOD(2-WEEKDAY($S290),7))+13),1,MIN(1,MAX(0,IF(ISNUMBER(OFFSET($A$1,ROW()-1,9)),OFFSET($A$1,ROW()-1,9),IF(ISNUMBER(OFFSET($A$1,ROW()-1,8)),OFFSET($A$1,ROW()-1,8),0))))))</f>
        <v/>
      </c>
      <c r="AF290" s="62">
        <f>IF($V290&lt;&gt;"Sub","",N($X290)*IF(AND(ISNUMBER($G290),$G290&lt;=IF($S290=MesCiclo,InicioCiclo,$S290+MOD(2-WEEKDAY($S290),7))+20),1,MIN(1,MAX(0,IF(ISNUMBER(OFFSET($A$1,ROW()-1,10)),OFFSET($A$1,ROW()-1,10),IF(ISNUMBER(OFFSET($A$1,ROW()-1,9)),OFFSET($A$1,ROW()-1,9),IF(ISNUMBER(OFFSET($A$1,ROW()-1,8)),OFFSET($A$1,ROW()-1,8),0)))))))</f>
        <v/>
      </c>
      <c r="AG290" s="62">
        <f>IF($V290&lt;&gt;"Sub","",N($X290)*IF(AND(ISNUMBER($G290),$G290&lt;=IF($S290=MesCiclo,InicioCiclo,$S290+MOD(2-WEEKDAY($S290),7))+27),1,MIN(1,MAX(0,IF(ISNUMBER(OFFSET($A$1,ROW()-1,11)),OFFSET($A$1,ROW()-1,11),IF(ISNUMBER(OFFSET($A$1,ROW()-1,10)),OFFSET($A$1,ROW()-1,10),IF(ISNUMBER(OFFSET($A$1,ROW()-1,9)),OFFSET($A$1,ROW()-1,9),IF(ISNUMBER(OFFSET($A$1,ROW()-1,8)),OFFSET($A$1,ROW()-1,8),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",IFERROR(MATCH("Riesgo Normativo|"&amp;MID($C290,12,500),rDname_ADM,0),0),"")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IF(N($W291)=0,"",IF(AND($S291=MesCiclo,1&gt;SemanaActual),"",MIN(1,SUMIFS(OFFSET($A$1,ROW(),29,1000-ROW(),1),OFFSET($A$1,ROW(),20,1000-ROW(),1),ROW(),OFFSET($A$1,ROW(),21,1000-ROW(),1),"Sub"))))</f>
        <v/>
      </c>
      <c r="J291" s="60">
        <f>IF(N($W291)=0,"",IF(AND($S291=MesCiclo,2&gt;SemanaActual),"",MIN(1,SUMIFS(OFFSET($A$1,ROW(),30,1000-ROW(),1),OFFSET($A$1,ROW(),20,1000-ROW(),1),ROW(),OFFSET($A$1,ROW(),21,1000-ROW(),1),"Sub"))))</f>
        <v/>
      </c>
      <c r="K291" s="60">
        <f>IF(N($W291)=0,"",IF(AND($S291=MesCiclo,3&gt;SemanaActual),"",MIN(1,SUMIFS(OFFSET($A$1,ROW(),31,1000-ROW(),1),OFFSET($A$1,ROW(),20,1000-ROW(),1),ROW(),OFFSET($A$1,ROW(),21,1000-ROW(),1),"Sub"))))</f>
        <v/>
      </c>
      <c r="L291" s="60">
        <f>IF(N($W291)=0,"",IF(AND($S291=MesCiclo,4&gt;SemanaActual),"",MIN(1,SUMIFS(OFFSET($A$1,ROW(),32,1000-ROW(),1),OFFSET($A$1,ROW(),20,1000-ROW(),1),ROW(),OFFSET($A$1,ROW(),21,1000-ROW(),1),"Sub"))))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IF($V291&lt;&gt;"Sub","",N($X291)*IF(AND(ISNUMBER($G291),$G291&lt;=IF($S291=MesCiclo,InicioCiclo,$S291+MOD(2-WEEKDAY($S291),7))+6),1,MIN(1,MAX(0,IF(ISNUMBER(OFFSET($A$1,ROW()-1,8)),OFFSET($A$1,ROW()-1,8),0)))))</f>
        <v/>
      </c>
      <c r="AE291" s="62">
        <f>IF($V291&lt;&gt;"Sub","",N($X291)*IF(AND(ISNUMBER($G291),$G291&lt;=IF($S291=MesCiclo,InicioCiclo,$S291+MOD(2-WEEKDAY($S291),7))+13),1,MIN(1,MAX(0,IF(ISNUMBER(OFFSET($A$1,ROW()-1,9)),OFFSET($A$1,ROW()-1,9),IF(ISNUMBER(OFFSET($A$1,ROW()-1,8)),OFFSET($A$1,ROW()-1,8),0))))))</f>
        <v/>
      </c>
      <c r="AF291" s="62">
        <f>IF($V291&lt;&gt;"Sub","",N($X291)*IF(AND(ISNUMBER($G291),$G291&lt;=IF($S291=MesCiclo,InicioCiclo,$S291+MOD(2-WEEKDAY($S291),7))+20),1,MIN(1,MAX(0,IF(ISNUMBER(OFFSET($A$1,ROW()-1,10)),OFFSET($A$1,ROW()-1,10),IF(ISNUMBER(OFFSET($A$1,ROW()-1,9)),OFFSET($A$1,ROW()-1,9),IF(ISNUMBER(OFFSET($A$1,ROW()-1,8)),OFFSET($A$1,ROW()-1,8),0)))))))</f>
        <v/>
      </c>
      <c r="AG291" s="62">
        <f>IF($V291&lt;&gt;"Sub","",N($X291)*IF(AND(ISNUMBER($G291),$G291&lt;=IF($S291=MesCiclo,InicioCiclo,$S291+MOD(2-WEEKDAY($S291),7))+27),1,MIN(1,MAX(0,IF(ISNUMBER(OFFSET($A$1,ROW()-1,11)),OFFSET($A$1,ROW()-1,11),IF(ISNUMBER(OFFSET($A$1,ROW()-1,10)),OFFSET($A$1,ROW()-1,10),IF(ISNUMBER(OFFSET($A$1,ROW()-1,9)),OFFSET($A$1,ROW()-1,9),IF(ISNUMBER(OFFSET($A$1,ROW()-1,8)),OFFSET($A$1,ROW()-1,8),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",IFERROR(MATCH("Riesgo Normativo|"&amp;MID($C291,12,500),rDname_ADM,0),0),"")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IF(N($W292)=0,"",IF(AND($S292=MesCiclo,1&gt;SemanaActual),"",MIN(1,SUMIFS(OFFSET($A$1,ROW(),29,1000-ROW(),1),OFFSET($A$1,ROW(),20,1000-ROW(),1),ROW(),OFFSET($A$1,ROW(),21,1000-ROW(),1),"Sub"))))</f>
        <v/>
      </c>
      <c r="J292" s="60">
        <f>IF(N($W292)=0,"",IF(AND($S292=MesCiclo,2&gt;SemanaActual),"",MIN(1,SUMIFS(OFFSET($A$1,ROW(),30,1000-ROW(),1),OFFSET($A$1,ROW(),20,1000-ROW(),1),ROW(),OFFSET($A$1,ROW(),21,1000-ROW(),1),"Sub"))))</f>
        <v/>
      </c>
      <c r="K292" s="60">
        <f>IF(N($W292)=0,"",IF(AND($S292=MesCiclo,3&gt;SemanaActual),"",MIN(1,SUMIFS(OFFSET($A$1,ROW(),31,1000-ROW(),1),OFFSET($A$1,ROW(),20,1000-ROW(),1),ROW(),OFFSET($A$1,ROW(),21,1000-ROW(),1),"Sub"))))</f>
        <v/>
      </c>
      <c r="L292" s="60">
        <f>IF(N($W292)=0,"",IF(AND($S292=MesCiclo,4&gt;SemanaActual),"",MIN(1,SUMIFS(OFFSET($A$1,ROW(),32,1000-ROW(),1),OFFSET($A$1,ROW(),20,1000-ROW(),1),ROW(),OFFSET($A$1,ROW(),21,1000-ROW(),1),"Sub"))))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IF($V292&lt;&gt;"Sub","",N($X292)*IF(AND(ISNUMBER($G292),$G292&lt;=IF($S292=MesCiclo,InicioCiclo,$S292+MOD(2-WEEKDAY($S292),7))+6),1,MIN(1,MAX(0,IF(ISNUMBER(OFFSET($A$1,ROW()-1,8)),OFFSET($A$1,ROW()-1,8),0)))))</f>
        <v/>
      </c>
      <c r="AE292" s="62">
        <f>IF($V292&lt;&gt;"Sub","",N($X292)*IF(AND(ISNUMBER($G292),$G292&lt;=IF($S292=MesCiclo,InicioCiclo,$S292+MOD(2-WEEKDAY($S292),7))+13),1,MIN(1,MAX(0,IF(ISNUMBER(OFFSET($A$1,ROW()-1,9)),OFFSET($A$1,ROW()-1,9),IF(ISNUMBER(OFFSET($A$1,ROW()-1,8)),OFFSET($A$1,ROW()-1,8),0))))))</f>
        <v/>
      </c>
      <c r="AF292" s="62">
        <f>IF($V292&lt;&gt;"Sub","",N($X292)*IF(AND(ISNUMBER($G292),$G292&lt;=IF($S292=MesCiclo,InicioCiclo,$S292+MOD(2-WEEKDAY($S292),7))+20),1,MIN(1,MAX(0,IF(ISNUMBER(OFFSET($A$1,ROW()-1,10)),OFFSET($A$1,ROW()-1,10),IF(ISNUMBER(OFFSET($A$1,ROW()-1,9)),OFFSET($A$1,ROW()-1,9),IF(ISNUMBER(OFFSET($A$1,ROW()-1,8)),OFFSET($A$1,ROW()-1,8),0)))))))</f>
        <v/>
      </c>
      <c r="AG292" s="62">
        <f>IF($V292&lt;&gt;"Sub","",N($X292)*IF(AND(ISNUMBER($G292),$G292&lt;=IF($S292=MesCiclo,InicioCiclo,$S292+MOD(2-WEEKDAY($S292),7))+27),1,MIN(1,MAX(0,IF(ISNUMBER(OFFSET($A$1,ROW()-1,11)),OFFSET($A$1,ROW()-1,11),IF(ISNUMBER(OFFSET($A$1,ROW()-1,10)),OFFSET($A$1,ROW()-1,10),IF(ISNUMBER(OFFSET($A$1,ROW()-1,9)),OFFSET($A$1,ROW()-1,9),IF(ISNUMBER(OFFSET($A$1,ROW()-1,8)),OFFSET($A$1,ROW()-1,8),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",IFERROR(MATCH("Riesgo Normativo|"&amp;MID($C292,12,500),rDname_ADM,0),0),"")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IF(N($W293)=0,"",IF(AND($S293=MesCiclo,1&gt;SemanaActual),"",MIN(1,SUMIFS(OFFSET($A$1,ROW(),29,1000-ROW(),1),OFFSET($A$1,ROW(),20,1000-ROW(),1),ROW(),OFFSET($A$1,ROW(),21,1000-ROW(),1),"Sub"))))</f>
        <v/>
      </c>
      <c r="J293" s="60">
        <f>IF(N($W293)=0,"",IF(AND($S293=MesCiclo,2&gt;SemanaActual),"",MIN(1,SUMIFS(OFFSET($A$1,ROW(),30,1000-ROW(),1),OFFSET($A$1,ROW(),20,1000-ROW(),1),ROW(),OFFSET($A$1,ROW(),21,1000-ROW(),1),"Sub"))))</f>
        <v/>
      </c>
      <c r="K293" s="60">
        <f>IF(N($W293)=0,"",IF(AND($S293=MesCiclo,3&gt;SemanaActual),"",MIN(1,SUMIFS(OFFSET($A$1,ROW(),31,1000-ROW(),1),OFFSET($A$1,ROW(),20,1000-ROW(),1),ROW(),OFFSET($A$1,ROW(),21,1000-ROW(),1),"Sub"))))</f>
        <v/>
      </c>
      <c r="L293" s="60">
        <f>IF(N($W293)=0,"",IF(AND($S293=MesCiclo,4&gt;SemanaActual),"",MIN(1,SUMIFS(OFFSET($A$1,ROW(),32,1000-ROW(),1),OFFSET($A$1,ROW(),20,1000-ROW(),1),ROW(),OFFSET($A$1,ROW(),21,1000-ROW(),1),"Sub"))))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IF($V293&lt;&gt;"Sub","",N($X293)*IF(AND(ISNUMBER($G293),$G293&lt;=IF($S293=MesCiclo,InicioCiclo,$S293+MOD(2-WEEKDAY($S293),7))+6),1,MIN(1,MAX(0,IF(ISNUMBER(OFFSET($A$1,ROW()-1,8)),OFFSET($A$1,ROW()-1,8),0)))))</f>
        <v/>
      </c>
      <c r="AE293" s="62">
        <f>IF($V293&lt;&gt;"Sub","",N($X293)*IF(AND(ISNUMBER($G293),$G293&lt;=IF($S293=MesCiclo,InicioCiclo,$S293+MOD(2-WEEKDAY($S293),7))+13),1,MIN(1,MAX(0,IF(ISNUMBER(OFFSET($A$1,ROW()-1,9)),OFFSET($A$1,ROW()-1,9),IF(ISNUMBER(OFFSET($A$1,ROW()-1,8)),OFFSET($A$1,ROW()-1,8),0))))))</f>
        <v/>
      </c>
      <c r="AF293" s="62">
        <f>IF($V293&lt;&gt;"Sub","",N($X293)*IF(AND(ISNUMBER($G293),$G293&lt;=IF($S293=MesCiclo,InicioCiclo,$S293+MOD(2-WEEKDAY($S293),7))+20),1,MIN(1,MAX(0,IF(ISNUMBER(OFFSET($A$1,ROW()-1,10)),OFFSET($A$1,ROW()-1,10),IF(ISNUMBER(OFFSET($A$1,ROW()-1,9)),OFFSET($A$1,ROW()-1,9),IF(ISNUMBER(OFFSET($A$1,ROW()-1,8)),OFFSET($A$1,ROW()-1,8),0)))))))</f>
        <v/>
      </c>
      <c r="AG293" s="62">
        <f>IF($V293&lt;&gt;"Sub","",N($X293)*IF(AND(ISNUMBER($G293),$G293&lt;=IF($S293=MesCiclo,InicioCiclo,$S293+MOD(2-WEEKDAY($S293),7))+27),1,MIN(1,MAX(0,IF(ISNUMBER(OFFSET($A$1,ROW()-1,11)),OFFSET($A$1,ROW()-1,11),IF(ISNUMBER(OFFSET($A$1,ROW()-1,10)),OFFSET($A$1,ROW()-1,10),IF(ISNUMBER(OFFSET($A$1,ROW()-1,9)),OFFSET($A$1,ROW()-1,9),IF(ISNUMBER(OFFSET($A$1,ROW()-1,8)),OFFSET($A$1,ROW()-1,8),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",IFERROR(MATCH("Riesgo Normativo|"&amp;MID($C293,12,500),rDname_ADM,0),0),"")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IF(N($W294)=0,"",IF(AND($S294=MesCiclo,1&gt;SemanaActual),"",MIN(1,SUMIFS(OFFSET($A$1,ROW(),29,1000-ROW(),1),OFFSET($A$1,ROW(),20,1000-ROW(),1),ROW(),OFFSET($A$1,ROW(),21,1000-ROW(),1),"Sub"))))</f>
        <v/>
      </c>
      <c r="J294" s="60">
        <f>IF(N($W294)=0,"",IF(AND($S294=MesCiclo,2&gt;SemanaActual),"",MIN(1,SUMIFS(OFFSET($A$1,ROW(),30,1000-ROW(),1),OFFSET($A$1,ROW(),20,1000-ROW(),1),ROW(),OFFSET($A$1,ROW(),21,1000-ROW(),1),"Sub"))))</f>
        <v/>
      </c>
      <c r="K294" s="60">
        <f>IF(N($W294)=0,"",IF(AND($S294=MesCiclo,3&gt;SemanaActual),"",MIN(1,SUMIFS(OFFSET($A$1,ROW(),31,1000-ROW(),1),OFFSET($A$1,ROW(),20,1000-ROW(),1),ROW(),OFFSET($A$1,ROW(),21,1000-ROW(),1),"Sub"))))</f>
        <v/>
      </c>
      <c r="L294" s="60">
        <f>IF(N($W294)=0,"",IF(AND($S294=MesCiclo,4&gt;SemanaActual),"",MIN(1,SUMIFS(OFFSET($A$1,ROW(),32,1000-ROW(),1),OFFSET($A$1,ROW(),20,1000-ROW(),1),ROW(),OFFSET($A$1,ROW(),21,1000-ROW(),1),"Sub"))))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IF($V294&lt;&gt;"Sub","",N($X294)*IF(AND(ISNUMBER($G294),$G294&lt;=IF($S294=MesCiclo,InicioCiclo,$S294+MOD(2-WEEKDAY($S294),7))+6),1,MIN(1,MAX(0,IF(ISNUMBER(OFFSET($A$1,ROW()-1,8)),OFFSET($A$1,ROW()-1,8),0)))))</f>
        <v/>
      </c>
      <c r="AE294" s="62">
        <f>IF($V294&lt;&gt;"Sub","",N($X294)*IF(AND(ISNUMBER($G294),$G294&lt;=IF($S294=MesCiclo,InicioCiclo,$S294+MOD(2-WEEKDAY($S294),7))+13),1,MIN(1,MAX(0,IF(ISNUMBER(OFFSET($A$1,ROW()-1,9)),OFFSET($A$1,ROW()-1,9),IF(ISNUMBER(OFFSET($A$1,ROW()-1,8)),OFFSET($A$1,ROW()-1,8),0))))))</f>
        <v/>
      </c>
      <c r="AF294" s="62">
        <f>IF($V294&lt;&gt;"Sub","",N($X294)*IF(AND(ISNUMBER($G294),$G294&lt;=IF($S294=MesCiclo,InicioCiclo,$S294+MOD(2-WEEKDAY($S294),7))+20),1,MIN(1,MAX(0,IF(ISNUMBER(OFFSET($A$1,ROW()-1,10)),OFFSET($A$1,ROW()-1,10),IF(ISNUMBER(OFFSET($A$1,ROW()-1,9)),OFFSET($A$1,ROW()-1,9),IF(ISNUMBER(OFFSET($A$1,ROW()-1,8)),OFFSET($A$1,ROW()-1,8),0)))))))</f>
        <v/>
      </c>
      <c r="AG294" s="62">
        <f>IF($V294&lt;&gt;"Sub","",N($X294)*IF(AND(ISNUMBER($G294),$G294&lt;=IF($S294=MesCiclo,InicioCiclo,$S294+MOD(2-WEEKDAY($S294),7))+27),1,MIN(1,MAX(0,IF(ISNUMBER(OFFSET($A$1,ROW()-1,11)),OFFSET($A$1,ROW()-1,11),IF(ISNUMBER(OFFSET($A$1,ROW()-1,10)),OFFSET($A$1,ROW()-1,10),IF(ISNUMBER(OFFSET($A$1,ROW()-1,9)),OFFSET($A$1,ROW()-1,9),IF(ISNUMBER(OFFSET($A$1,ROW()-1,8)),OFFSET($A$1,ROW()-1,8),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",IFERROR(MATCH("Riesgo Normativo|"&amp;MID($C294,12,500),rDname_ADM,0),0),"")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IF(N($W295)=0,"",IF(AND($S295=MesCiclo,1&gt;SemanaActual),"",MIN(1,SUMIFS(OFFSET($A$1,ROW(),29,1000-ROW(),1),OFFSET($A$1,ROW(),20,1000-ROW(),1),ROW(),OFFSET($A$1,ROW(),21,1000-ROW(),1),"Sub"))))</f>
        <v/>
      </c>
      <c r="J295" s="60">
        <f>IF(N($W295)=0,"",IF(AND($S295=MesCiclo,2&gt;SemanaActual),"",MIN(1,SUMIFS(OFFSET($A$1,ROW(),30,1000-ROW(),1),OFFSET($A$1,ROW(),20,1000-ROW(),1),ROW(),OFFSET($A$1,ROW(),21,1000-ROW(),1),"Sub"))))</f>
        <v/>
      </c>
      <c r="K295" s="60">
        <f>IF(N($W295)=0,"",IF(AND($S295=MesCiclo,3&gt;SemanaActual),"",MIN(1,SUMIFS(OFFSET($A$1,ROW(),31,1000-ROW(),1),OFFSET($A$1,ROW(),20,1000-ROW(),1),ROW(),OFFSET($A$1,ROW(),21,1000-ROW(),1),"Sub"))))</f>
        <v/>
      </c>
      <c r="L295" s="60">
        <f>IF(N($W295)=0,"",IF(AND($S295=MesCiclo,4&gt;SemanaActual),"",MIN(1,SUMIFS(OFFSET($A$1,ROW(),32,1000-ROW(),1),OFFSET($A$1,ROW(),20,1000-ROW(),1),ROW(),OFFSET($A$1,ROW(),21,1000-ROW(),1),"Sub"))))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IF($V295&lt;&gt;"Sub","",N($X295)*IF(AND(ISNUMBER($G295),$G295&lt;=IF($S295=MesCiclo,InicioCiclo,$S295+MOD(2-WEEKDAY($S295),7))+6),1,MIN(1,MAX(0,IF(ISNUMBER(OFFSET($A$1,ROW()-1,8)),OFFSET($A$1,ROW()-1,8),0)))))</f>
        <v/>
      </c>
      <c r="AE295" s="62">
        <f>IF($V295&lt;&gt;"Sub","",N($X295)*IF(AND(ISNUMBER($G295),$G295&lt;=IF($S295=MesCiclo,InicioCiclo,$S295+MOD(2-WEEKDAY($S295),7))+13),1,MIN(1,MAX(0,IF(ISNUMBER(OFFSET($A$1,ROW()-1,9)),OFFSET($A$1,ROW()-1,9),IF(ISNUMBER(OFFSET($A$1,ROW()-1,8)),OFFSET($A$1,ROW()-1,8),0))))))</f>
        <v/>
      </c>
      <c r="AF295" s="62">
        <f>IF($V295&lt;&gt;"Sub","",N($X295)*IF(AND(ISNUMBER($G295),$G295&lt;=IF($S295=MesCiclo,InicioCiclo,$S295+MOD(2-WEEKDAY($S295),7))+20),1,MIN(1,MAX(0,IF(ISNUMBER(OFFSET($A$1,ROW()-1,10)),OFFSET($A$1,ROW()-1,10),IF(ISNUMBER(OFFSET($A$1,ROW()-1,9)),OFFSET($A$1,ROW()-1,9),IF(ISNUMBER(OFFSET($A$1,ROW()-1,8)),OFFSET($A$1,ROW()-1,8),0)))))))</f>
        <v/>
      </c>
      <c r="AG295" s="62">
        <f>IF($V295&lt;&gt;"Sub","",N($X295)*IF(AND(ISNUMBER($G295),$G295&lt;=IF($S295=MesCiclo,InicioCiclo,$S295+MOD(2-WEEKDAY($S295),7))+27),1,MIN(1,MAX(0,IF(ISNUMBER(OFFSET($A$1,ROW()-1,11)),OFFSET($A$1,ROW()-1,11),IF(ISNUMBER(OFFSET($A$1,ROW()-1,10)),OFFSET($A$1,ROW()-1,10),IF(ISNUMBER(OFFSET($A$1,ROW()-1,9)),OFFSET($A$1,ROW()-1,9),IF(ISNUMBER(OFFSET($A$1,ROW()-1,8)),OFFSET($A$1,ROW()-1,8),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",IFERROR(MATCH("Riesgo Normativo|"&amp;MID($C295,12,500),rDname_ADM,0),0),"")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IF(N($W296)=0,"",IF(AND($S296=MesCiclo,1&gt;SemanaActual),"",MIN(1,SUMIFS(OFFSET($A$1,ROW(),29,1000-ROW(),1),OFFSET($A$1,ROW(),20,1000-ROW(),1),ROW(),OFFSET($A$1,ROW(),21,1000-ROW(),1),"Sub"))))</f>
        <v/>
      </c>
      <c r="J296" s="60">
        <f>IF(N($W296)=0,"",IF(AND($S296=MesCiclo,2&gt;SemanaActual),"",MIN(1,SUMIFS(OFFSET($A$1,ROW(),30,1000-ROW(),1),OFFSET($A$1,ROW(),20,1000-ROW(),1),ROW(),OFFSET($A$1,ROW(),21,1000-ROW(),1),"Sub"))))</f>
        <v/>
      </c>
      <c r="K296" s="60">
        <f>IF(N($W296)=0,"",IF(AND($S296=MesCiclo,3&gt;SemanaActual),"",MIN(1,SUMIFS(OFFSET($A$1,ROW(),31,1000-ROW(),1),OFFSET($A$1,ROW(),20,1000-ROW(),1),ROW(),OFFSET($A$1,ROW(),21,1000-ROW(),1),"Sub"))))</f>
        <v/>
      </c>
      <c r="L296" s="60">
        <f>IF(N($W296)=0,"",IF(AND($S296=MesCiclo,4&gt;SemanaActual),"",MIN(1,SUMIFS(OFFSET($A$1,ROW(),32,1000-ROW(),1),OFFSET($A$1,ROW(),20,1000-ROW(),1),ROW(),OFFSET($A$1,ROW(),21,1000-ROW(),1),"Sub"))))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IF($V296&lt;&gt;"Sub","",N($X296)*IF(AND(ISNUMBER($G296),$G296&lt;=IF($S296=MesCiclo,InicioCiclo,$S296+MOD(2-WEEKDAY($S296),7))+6),1,MIN(1,MAX(0,IF(ISNUMBER(OFFSET($A$1,ROW()-1,8)),OFFSET($A$1,ROW()-1,8),0)))))</f>
        <v/>
      </c>
      <c r="AE296" s="62">
        <f>IF($V296&lt;&gt;"Sub","",N($X296)*IF(AND(ISNUMBER($G296),$G296&lt;=IF($S296=MesCiclo,InicioCiclo,$S296+MOD(2-WEEKDAY($S296),7))+13),1,MIN(1,MAX(0,IF(ISNUMBER(OFFSET($A$1,ROW()-1,9)),OFFSET($A$1,ROW()-1,9),IF(ISNUMBER(OFFSET($A$1,ROW()-1,8)),OFFSET($A$1,ROW()-1,8),0))))))</f>
        <v/>
      </c>
      <c r="AF296" s="62">
        <f>IF($V296&lt;&gt;"Sub","",N($X296)*IF(AND(ISNUMBER($G296),$G296&lt;=IF($S296=MesCiclo,InicioCiclo,$S296+MOD(2-WEEKDAY($S296),7))+20),1,MIN(1,MAX(0,IF(ISNUMBER(OFFSET($A$1,ROW()-1,10)),OFFSET($A$1,ROW()-1,10),IF(ISNUMBER(OFFSET($A$1,ROW()-1,9)),OFFSET($A$1,ROW()-1,9),IF(ISNUMBER(OFFSET($A$1,ROW()-1,8)),OFFSET($A$1,ROW()-1,8),0)))))))</f>
        <v/>
      </c>
      <c r="AG296" s="62">
        <f>IF($V296&lt;&gt;"Sub","",N($X296)*IF(AND(ISNUMBER($G296),$G296&lt;=IF($S296=MesCiclo,InicioCiclo,$S296+MOD(2-WEEKDAY($S296),7))+27),1,MIN(1,MAX(0,IF(ISNUMBER(OFFSET($A$1,ROW()-1,11)),OFFSET($A$1,ROW()-1,11),IF(ISNUMBER(OFFSET($A$1,ROW()-1,10)),OFFSET($A$1,ROW()-1,10),IF(ISNUMBER(OFFSET($A$1,ROW()-1,9)),OFFSET($A$1,ROW()-1,9),IF(ISNUMBER(OFFSET($A$1,ROW()-1,8)),OFFSET($A$1,ROW()-1,8),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",IFERROR(MATCH("Riesgo Normativo|"&amp;MID($C296,12,500),rDname_ADM,0),0),"")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IF(N($W297)=0,"",IF(AND($S297=MesCiclo,1&gt;SemanaActual),"",MIN(1,SUMIFS(OFFSET($A$1,ROW(),29,1000-ROW(),1),OFFSET($A$1,ROW(),20,1000-ROW(),1),ROW(),OFFSET($A$1,ROW(),21,1000-ROW(),1),"Sub"))))</f>
        <v/>
      </c>
      <c r="J297" s="60">
        <f>IF(N($W297)=0,"",IF(AND($S297=MesCiclo,2&gt;SemanaActual),"",MIN(1,SUMIFS(OFFSET($A$1,ROW(),30,1000-ROW(),1),OFFSET($A$1,ROW(),20,1000-ROW(),1),ROW(),OFFSET($A$1,ROW(),21,1000-ROW(),1),"Sub"))))</f>
        <v/>
      </c>
      <c r="K297" s="60">
        <f>IF(N($W297)=0,"",IF(AND($S297=MesCiclo,3&gt;SemanaActual),"",MIN(1,SUMIFS(OFFSET($A$1,ROW(),31,1000-ROW(),1),OFFSET($A$1,ROW(),20,1000-ROW(),1),ROW(),OFFSET($A$1,ROW(),21,1000-ROW(),1),"Sub"))))</f>
        <v/>
      </c>
      <c r="L297" s="60">
        <f>IF(N($W297)=0,"",IF(AND($S297=MesCiclo,4&gt;SemanaActual),"",MIN(1,SUMIFS(OFFSET($A$1,ROW(),32,1000-ROW(),1),OFFSET($A$1,ROW(),20,1000-ROW(),1),ROW(),OFFSET($A$1,ROW(),21,1000-ROW(),1),"Sub"))))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IF($V297&lt;&gt;"Sub","",N($X297)*IF(AND(ISNUMBER($G297),$G297&lt;=IF($S297=MesCiclo,InicioCiclo,$S297+MOD(2-WEEKDAY($S297),7))+6),1,MIN(1,MAX(0,IF(ISNUMBER(OFFSET($A$1,ROW()-1,8)),OFFSET($A$1,ROW()-1,8),0)))))</f>
        <v/>
      </c>
      <c r="AE297" s="62">
        <f>IF($V297&lt;&gt;"Sub","",N($X297)*IF(AND(ISNUMBER($G297),$G297&lt;=IF($S297=MesCiclo,InicioCiclo,$S297+MOD(2-WEEKDAY($S297),7))+13),1,MIN(1,MAX(0,IF(ISNUMBER(OFFSET($A$1,ROW()-1,9)),OFFSET($A$1,ROW()-1,9),IF(ISNUMBER(OFFSET($A$1,ROW()-1,8)),OFFSET($A$1,ROW()-1,8),0))))))</f>
        <v/>
      </c>
      <c r="AF297" s="62">
        <f>IF($V297&lt;&gt;"Sub","",N($X297)*IF(AND(ISNUMBER($G297),$G297&lt;=IF($S297=MesCiclo,InicioCiclo,$S297+MOD(2-WEEKDAY($S297),7))+20),1,MIN(1,MAX(0,IF(ISNUMBER(OFFSET($A$1,ROW()-1,10)),OFFSET($A$1,ROW()-1,10),IF(ISNUMBER(OFFSET($A$1,ROW()-1,9)),OFFSET($A$1,ROW()-1,9),IF(ISNUMBER(OFFSET($A$1,ROW()-1,8)),OFFSET($A$1,ROW()-1,8),0)))))))</f>
        <v/>
      </c>
      <c r="AG297" s="62">
        <f>IF($V297&lt;&gt;"Sub","",N($X297)*IF(AND(ISNUMBER($G297),$G297&lt;=IF($S297=MesCiclo,InicioCiclo,$S297+MOD(2-WEEKDAY($S297),7))+27),1,MIN(1,MAX(0,IF(ISNUMBER(OFFSET($A$1,ROW()-1,11)),OFFSET($A$1,ROW()-1,11),IF(ISNUMBER(OFFSET($A$1,ROW()-1,10)),OFFSET($A$1,ROW()-1,10),IF(ISNUMBER(OFFSET($A$1,ROW()-1,9)),OFFSET($A$1,ROW()-1,9),IF(ISNUMBER(OFFSET($A$1,ROW()-1,8)),OFFSET($A$1,ROW()-1,8),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",IFERROR(MATCH("Riesgo Normativo|"&amp;MID($C297,12,500),rDname_ADM,0),0),"")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IF(N($W298)=0,"",IF(AND($S298=MesCiclo,1&gt;SemanaActual),"",MIN(1,SUMIFS(OFFSET($A$1,ROW(),29,1000-ROW(),1),OFFSET($A$1,ROW(),20,1000-ROW(),1),ROW(),OFFSET($A$1,ROW(),21,1000-ROW(),1),"Sub"))))</f>
        <v/>
      </c>
      <c r="J298" s="60">
        <f>IF(N($W298)=0,"",IF(AND($S298=MesCiclo,2&gt;SemanaActual),"",MIN(1,SUMIFS(OFFSET($A$1,ROW(),30,1000-ROW(),1),OFFSET($A$1,ROW(),20,1000-ROW(),1),ROW(),OFFSET($A$1,ROW(),21,1000-ROW(),1),"Sub"))))</f>
        <v/>
      </c>
      <c r="K298" s="60">
        <f>IF(N($W298)=0,"",IF(AND($S298=MesCiclo,3&gt;SemanaActual),"",MIN(1,SUMIFS(OFFSET($A$1,ROW(),31,1000-ROW(),1),OFFSET($A$1,ROW(),20,1000-ROW(),1),ROW(),OFFSET($A$1,ROW(),21,1000-ROW(),1),"Sub"))))</f>
        <v/>
      </c>
      <c r="L298" s="60">
        <f>IF(N($W298)=0,"",IF(AND($S298=MesCiclo,4&gt;SemanaActual),"",MIN(1,SUMIFS(OFFSET($A$1,ROW(),32,1000-ROW(),1),OFFSET($A$1,ROW(),20,1000-ROW(),1),ROW(),OFFSET($A$1,ROW(),21,1000-ROW(),1),"Sub"))))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IF($V298&lt;&gt;"Sub","",N($X298)*IF(AND(ISNUMBER($G298),$G298&lt;=IF($S298=MesCiclo,InicioCiclo,$S298+MOD(2-WEEKDAY($S298),7))+6),1,MIN(1,MAX(0,IF(ISNUMBER(OFFSET($A$1,ROW()-1,8)),OFFSET($A$1,ROW()-1,8),0)))))</f>
        <v/>
      </c>
      <c r="AE298" s="62">
        <f>IF($V298&lt;&gt;"Sub","",N($X298)*IF(AND(ISNUMBER($G298),$G298&lt;=IF($S298=MesCiclo,InicioCiclo,$S298+MOD(2-WEEKDAY($S298),7))+13),1,MIN(1,MAX(0,IF(ISNUMBER(OFFSET($A$1,ROW()-1,9)),OFFSET($A$1,ROW()-1,9),IF(ISNUMBER(OFFSET($A$1,ROW()-1,8)),OFFSET($A$1,ROW()-1,8),0))))))</f>
        <v/>
      </c>
      <c r="AF298" s="62">
        <f>IF($V298&lt;&gt;"Sub","",N($X298)*IF(AND(ISNUMBER($G298),$G298&lt;=IF($S298=MesCiclo,InicioCiclo,$S298+MOD(2-WEEKDAY($S298),7))+20),1,MIN(1,MAX(0,IF(ISNUMBER(OFFSET($A$1,ROW()-1,10)),OFFSET($A$1,ROW()-1,10),IF(ISNUMBER(OFFSET($A$1,ROW()-1,9)),OFFSET($A$1,ROW()-1,9),IF(ISNUMBER(OFFSET($A$1,ROW()-1,8)),OFFSET($A$1,ROW()-1,8),0)))))))</f>
        <v/>
      </c>
      <c r="AG298" s="62">
        <f>IF($V298&lt;&gt;"Sub","",N($X298)*IF(AND(ISNUMBER($G298),$G298&lt;=IF($S298=MesCiclo,InicioCiclo,$S298+MOD(2-WEEKDAY($S298),7))+27),1,MIN(1,MAX(0,IF(ISNUMBER(OFFSET($A$1,ROW()-1,11)),OFFSET($A$1,ROW()-1,11),IF(ISNUMBER(OFFSET($A$1,ROW()-1,10)),OFFSET($A$1,ROW()-1,10),IF(ISNUMBER(OFFSET($A$1,ROW()-1,9)),OFFSET($A$1,ROW()-1,9),IF(ISNUMBER(OFFSET($A$1,ROW()-1,8)),OFFSET($A$1,ROW()-1,8),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",IFERROR(MATCH("Riesgo Normativo|"&amp;MID($C298,12,500),rDname_ADM,0),0),"")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IF(N($W299)=0,"",IF(AND($S299=MesCiclo,1&gt;SemanaActual),"",MIN(1,SUMIFS(OFFSET($A$1,ROW(),29,1000-ROW(),1),OFFSET($A$1,ROW(),20,1000-ROW(),1),ROW(),OFFSET($A$1,ROW(),21,1000-ROW(),1),"Sub"))))</f>
        <v/>
      </c>
      <c r="J299" s="60">
        <f>IF(N($W299)=0,"",IF(AND($S299=MesCiclo,2&gt;SemanaActual),"",MIN(1,SUMIFS(OFFSET($A$1,ROW(),30,1000-ROW(),1),OFFSET($A$1,ROW(),20,1000-ROW(),1),ROW(),OFFSET($A$1,ROW(),21,1000-ROW(),1),"Sub"))))</f>
        <v/>
      </c>
      <c r="K299" s="60">
        <f>IF(N($W299)=0,"",IF(AND($S299=MesCiclo,3&gt;SemanaActual),"",MIN(1,SUMIFS(OFFSET($A$1,ROW(),31,1000-ROW(),1),OFFSET($A$1,ROW(),20,1000-ROW(),1),ROW(),OFFSET($A$1,ROW(),21,1000-ROW(),1),"Sub"))))</f>
        <v/>
      </c>
      <c r="L299" s="60">
        <f>IF(N($W299)=0,"",IF(AND($S299=MesCiclo,4&gt;SemanaActual),"",MIN(1,SUMIFS(OFFSET($A$1,ROW(),32,1000-ROW(),1),OFFSET($A$1,ROW(),20,1000-ROW(),1),ROW(),OFFSET($A$1,ROW(),21,1000-ROW(),1),"Sub"))))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IF($V299&lt;&gt;"Sub","",N($X299)*IF(AND(ISNUMBER($G299),$G299&lt;=IF($S299=MesCiclo,InicioCiclo,$S299+MOD(2-WEEKDAY($S299),7))+6),1,MIN(1,MAX(0,IF(ISNUMBER(OFFSET($A$1,ROW()-1,8)),OFFSET($A$1,ROW()-1,8),0)))))</f>
        <v/>
      </c>
      <c r="AE299" s="62">
        <f>IF($V299&lt;&gt;"Sub","",N($X299)*IF(AND(ISNUMBER($G299),$G299&lt;=IF($S299=MesCiclo,InicioCiclo,$S299+MOD(2-WEEKDAY($S299),7))+13),1,MIN(1,MAX(0,IF(ISNUMBER(OFFSET($A$1,ROW()-1,9)),OFFSET($A$1,ROW()-1,9),IF(ISNUMBER(OFFSET($A$1,ROW()-1,8)),OFFSET($A$1,ROW()-1,8),0))))))</f>
        <v/>
      </c>
      <c r="AF299" s="62">
        <f>IF($V299&lt;&gt;"Sub","",N($X299)*IF(AND(ISNUMBER($G299),$G299&lt;=IF($S299=MesCiclo,InicioCiclo,$S299+MOD(2-WEEKDAY($S299),7))+20),1,MIN(1,MAX(0,IF(ISNUMBER(OFFSET($A$1,ROW()-1,10)),OFFSET($A$1,ROW()-1,10),IF(ISNUMBER(OFFSET($A$1,ROW()-1,9)),OFFSET($A$1,ROW()-1,9),IF(ISNUMBER(OFFSET($A$1,ROW()-1,8)),OFFSET($A$1,ROW()-1,8),0)))))))</f>
        <v/>
      </c>
      <c r="AG299" s="62">
        <f>IF($V299&lt;&gt;"Sub","",N($X299)*IF(AND(ISNUMBER($G299),$G299&lt;=IF($S299=MesCiclo,InicioCiclo,$S299+MOD(2-WEEKDAY($S299),7))+27),1,MIN(1,MAX(0,IF(ISNUMBER(OFFSET($A$1,ROW()-1,11)),OFFSET($A$1,ROW()-1,11),IF(ISNUMBER(OFFSET($A$1,ROW()-1,10)),OFFSET($A$1,ROW()-1,10),IF(ISNUMBER(OFFSET($A$1,ROW()-1,9)),OFFSET($A$1,ROW()-1,9),IF(ISNUMBER(OFFSET($A$1,ROW()-1,8)),OFFSET($A$1,ROW()-1,8),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",IFERROR(MATCH("Riesgo Normativo|"&amp;MID($C299,12,500),rDname_ADM,0),0),"")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IF(N($W300)=0,"",IF(AND($S300=MesCiclo,1&gt;SemanaActual),"",MIN(1,SUMIFS(OFFSET($A$1,ROW(),29,1000-ROW(),1),OFFSET($A$1,ROW(),20,1000-ROW(),1),ROW(),OFFSET($A$1,ROW(),21,1000-ROW(),1),"Sub"))))</f>
        <v/>
      </c>
      <c r="J300" s="60">
        <f>IF(N($W300)=0,"",IF(AND($S300=MesCiclo,2&gt;SemanaActual),"",MIN(1,SUMIFS(OFFSET($A$1,ROW(),30,1000-ROW(),1),OFFSET($A$1,ROW(),20,1000-ROW(),1),ROW(),OFFSET($A$1,ROW(),21,1000-ROW(),1),"Sub"))))</f>
        <v/>
      </c>
      <c r="K300" s="60">
        <f>IF(N($W300)=0,"",IF(AND($S300=MesCiclo,3&gt;SemanaActual),"",MIN(1,SUMIFS(OFFSET($A$1,ROW(),31,1000-ROW(),1),OFFSET($A$1,ROW(),20,1000-ROW(),1),ROW(),OFFSET($A$1,ROW(),21,1000-ROW(),1),"Sub"))))</f>
        <v/>
      </c>
      <c r="L300" s="60">
        <f>IF(N($W300)=0,"",IF(AND($S300=MesCiclo,4&gt;SemanaActual),"",MIN(1,SUMIFS(OFFSET($A$1,ROW(),32,1000-ROW(),1),OFFSET($A$1,ROW(),20,1000-ROW(),1),ROW(),OFFSET($A$1,ROW(),21,1000-ROW(),1),"Sub"))))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IF($V300&lt;&gt;"Sub","",N($X300)*IF(AND(ISNUMBER($G300),$G300&lt;=IF($S300=MesCiclo,InicioCiclo,$S300+MOD(2-WEEKDAY($S300),7))+6),1,MIN(1,MAX(0,IF(ISNUMBER(OFFSET($A$1,ROW()-1,8)),OFFSET($A$1,ROW()-1,8),0)))))</f>
        <v/>
      </c>
      <c r="AE300" s="62">
        <f>IF($V300&lt;&gt;"Sub","",N($X300)*IF(AND(ISNUMBER($G300),$G300&lt;=IF($S300=MesCiclo,InicioCiclo,$S300+MOD(2-WEEKDAY($S300),7))+13),1,MIN(1,MAX(0,IF(ISNUMBER(OFFSET($A$1,ROW()-1,9)),OFFSET($A$1,ROW()-1,9),IF(ISNUMBER(OFFSET($A$1,ROW()-1,8)),OFFSET($A$1,ROW()-1,8),0))))))</f>
        <v/>
      </c>
      <c r="AF300" s="62">
        <f>IF($V300&lt;&gt;"Sub","",N($X300)*IF(AND(ISNUMBER($G300),$G300&lt;=IF($S300=MesCiclo,InicioCiclo,$S300+MOD(2-WEEKDAY($S300),7))+20),1,MIN(1,MAX(0,IF(ISNUMBER(OFFSET($A$1,ROW()-1,10)),OFFSET($A$1,ROW()-1,10),IF(ISNUMBER(OFFSET($A$1,ROW()-1,9)),OFFSET($A$1,ROW()-1,9),IF(ISNUMBER(OFFSET($A$1,ROW()-1,8)),OFFSET($A$1,ROW()-1,8),0)))))))</f>
        <v/>
      </c>
      <c r="AG300" s="62">
        <f>IF($V300&lt;&gt;"Sub","",N($X300)*IF(AND(ISNUMBER($G300),$G300&lt;=IF($S300=MesCiclo,InicioCiclo,$S300+MOD(2-WEEKDAY($S300),7))+27),1,MIN(1,MAX(0,IF(ISNUMBER(OFFSET($A$1,ROW()-1,11)),OFFSET($A$1,ROW()-1,11),IF(ISNUMBER(OFFSET($A$1,ROW()-1,10)),OFFSET($A$1,ROW()-1,10),IF(ISNUMBER(OFFSET($A$1,ROW()-1,9)),OFFSET($A$1,ROW()-1,9),IF(ISNUMBER(OFFSET($A$1,ROW()-1,8)),OFFSET($A$1,ROW()-1,8),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",IFERROR(MATCH("Riesgo Normativo|"&amp;MID($C300,12,500),rDname_ADM,0),0),"")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IF(N($W301)=0,"",IF(AND($S301=MesCiclo,1&gt;SemanaActual),"",MIN(1,SUMIFS(OFFSET($A$1,ROW(),29,1000-ROW(),1),OFFSET($A$1,ROW(),20,1000-ROW(),1),ROW(),OFFSET($A$1,ROW(),21,1000-ROW(),1),"Sub"))))</f>
        <v/>
      </c>
      <c r="J301" s="60">
        <f>IF(N($W301)=0,"",IF(AND($S301=MesCiclo,2&gt;SemanaActual),"",MIN(1,SUMIFS(OFFSET($A$1,ROW(),30,1000-ROW(),1),OFFSET($A$1,ROW(),20,1000-ROW(),1),ROW(),OFFSET($A$1,ROW(),21,1000-ROW(),1),"Sub"))))</f>
        <v/>
      </c>
      <c r="K301" s="60">
        <f>IF(N($W301)=0,"",IF(AND($S301=MesCiclo,3&gt;SemanaActual),"",MIN(1,SUMIFS(OFFSET($A$1,ROW(),31,1000-ROW(),1),OFFSET($A$1,ROW(),20,1000-ROW(),1),ROW(),OFFSET($A$1,ROW(),21,1000-ROW(),1),"Sub"))))</f>
        <v/>
      </c>
      <c r="L301" s="60">
        <f>IF(N($W301)=0,"",IF(AND($S301=MesCiclo,4&gt;SemanaActual),"",MIN(1,SUMIFS(OFFSET($A$1,ROW(),32,1000-ROW(),1),OFFSET($A$1,ROW(),20,1000-ROW(),1),ROW(),OFFSET($A$1,ROW(),21,1000-ROW(),1),"Sub"))))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IF($V301&lt;&gt;"Sub","",N($X301)*IF(AND(ISNUMBER($G301),$G301&lt;=IF($S301=MesCiclo,InicioCiclo,$S301+MOD(2-WEEKDAY($S301),7))+6),1,MIN(1,MAX(0,IF(ISNUMBER(OFFSET($A$1,ROW()-1,8)),OFFSET($A$1,ROW()-1,8),0)))))</f>
        <v/>
      </c>
      <c r="AE301" s="62">
        <f>IF($V301&lt;&gt;"Sub","",N($X301)*IF(AND(ISNUMBER($G301),$G301&lt;=IF($S301=MesCiclo,InicioCiclo,$S301+MOD(2-WEEKDAY($S301),7))+13),1,MIN(1,MAX(0,IF(ISNUMBER(OFFSET($A$1,ROW()-1,9)),OFFSET($A$1,ROW()-1,9),IF(ISNUMBER(OFFSET($A$1,ROW()-1,8)),OFFSET($A$1,ROW()-1,8),0))))))</f>
        <v/>
      </c>
      <c r="AF301" s="62">
        <f>IF($V301&lt;&gt;"Sub","",N($X301)*IF(AND(ISNUMBER($G301),$G301&lt;=IF($S301=MesCiclo,InicioCiclo,$S301+MOD(2-WEEKDAY($S301),7))+20),1,MIN(1,MAX(0,IF(ISNUMBER(OFFSET($A$1,ROW()-1,10)),OFFSET($A$1,ROW()-1,10),IF(ISNUMBER(OFFSET($A$1,ROW()-1,9)),OFFSET($A$1,ROW()-1,9),IF(ISNUMBER(OFFSET($A$1,ROW()-1,8)),OFFSET($A$1,ROW()-1,8),0)))))))</f>
        <v/>
      </c>
      <c r="AG301" s="62">
        <f>IF($V301&lt;&gt;"Sub","",N($X301)*IF(AND(ISNUMBER($G301),$G301&lt;=IF($S301=MesCiclo,InicioCiclo,$S301+MOD(2-WEEKDAY($S301),7))+27),1,MIN(1,MAX(0,IF(ISNUMBER(OFFSET($A$1,ROW()-1,11)),OFFSET($A$1,ROW()-1,11),IF(ISNUMBER(OFFSET($A$1,ROW()-1,10)),OFFSET($A$1,ROW()-1,10),IF(ISNUMBER(OFFSET($A$1,ROW()-1,9)),OFFSET($A$1,ROW()-1,9),IF(ISNUMBER(OFFSET($A$1,ROW()-1,8)),OFFSET($A$1,ROW()-1,8),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",IFERROR(MATCH("Riesgo Normativo|"&amp;MID($C301,12,500),rDname_ADM,0),0),"")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IF(N($W302)=0,"",IF(AND($S302=MesCiclo,1&gt;SemanaActual),"",MIN(1,SUMIFS(OFFSET($A$1,ROW(),29,1000-ROW(),1),OFFSET($A$1,ROW(),20,1000-ROW(),1),ROW(),OFFSET($A$1,ROW(),21,1000-ROW(),1),"Sub"))))</f>
        <v/>
      </c>
      <c r="J302" s="60">
        <f>IF(N($W302)=0,"",IF(AND($S302=MesCiclo,2&gt;SemanaActual),"",MIN(1,SUMIFS(OFFSET($A$1,ROW(),30,1000-ROW(),1),OFFSET($A$1,ROW(),20,1000-ROW(),1),ROW(),OFFSET($A$1,ROW(),21,1000-ROW(),1),"Sub"))))</f>
        <v/>
      </c>
      <c r="K302" s="60">
        <f>IF(N($W302)=0,"",IF(AND($S302=MesCiclo,3&gt;SemanaActual),"",MIN(1,SUMIFS(OFFSET($A$1,ROW(),31,1000-ROW(),1),OFFSET($A$1,ROW(),20,1000-ROW(),1),ROW(),OFFSET($A$1,ROW(),21,1000-ROW(),1),"Sub"))))</f>
        <v/>
      </c>
      <c r="L302" s="60">
        <f>IF(N($W302)=0,"",IF(AND($S302=MesCiclo,4&gt;SemanaActual),"",MIN(1,SUMIFS(OFFSET($A$1,ROW(),32,1000-ROW(),1),OFFSET($A$1,ROW(),20,1000-ROW(),1),ROW(),OFFSET($A$1,ROW(),21,1000-ROW(),1),"Sub"))))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IF($V302&lt;&gt;"Sub","",N($X302)*IF(AND(ISNUMBER($G302),$G302&lt;=IF($S302=MesCiclo,InicioCiclo,$S302+MOD(2-WEEKDAY($S302),7))+6),1,MIN(1,MAX(0,IF(ISNUMBER(OFFSET($A$1,ROW()-1,8)),OFFSET($A$1,ROW()-1,8),0)))))</f>
        <v/>
      </c>
      <c r="AE302" s="62">
        <f>IF($V302&lt;&gt;"Sub","",N($X302)*IF(AND(ISNUMBER($G302),$G302&lt;=IF($S302=MesCiclo,InicioCiclo,$S302+MOD(2-WEEKDAY($S302),7))+13),1,MIN(1,MAX(0,IF(ISNUMBER(OFFSET($A$1,ROW()-1,9)),OFFSET($A$1,ROW()-1,9),IF(ISNUMBER(OFFSET($A$1,ROW()-1,8)),OFFSET($A$1,ROW()-1,8),0))))))</f>
        <v/>
      </c>
      <c r="AF302" s="62">
        <f>IF($V302&lt;&gt;"Sub","",N($X302)*IF(AND(ISNUMBER($G302),$G302&lt;=IF($S302=MesCiclo,InicioCiclo,$S302+MOD(2-WEEKDAY($S302),7))+20),1,MIN(1,MAX(0,IF(ISNUMBER(OFFSET($A$1,ROW()-1,10)),OFFSET($A$1,ROW()-1,10),IF(ISNUMBER(OFFSET($A$1,ROW()-1,9)),OFFSET($A$1,ROW()-1,9),IF(ISNUMBER(OFFSET($A$1,ROW()-1,8)),OFFSET($A$1,ROW()-1,8),0)))))))</f>
        <v/>
      </c>
      <c r="AG302" s="62">
        <f>IF($V302&lt;&gt;"Sub","",N($X302)*IF(AND(ISNUMBER($G302),$G302&lt;=IF($S302=MesCiclo,InicioCiclo,$S302+MOD(2-WEEKDAY($S302),7))+27),1,MIN(1,MAX(0,IF(ISNUMBER(OFFSET($A$1,ROW()-1,11)),OFFSET($A$1,ROW()-1,11),IF(ISNUMBER(OFFSET($A$1,ROW()-1,10)),OFFSET($A$1,ROW()-1,10),IF(ISNUMBER(OFFSET($A$1,ROW()-1,9)),OFFSET($A$1,ROW()-1,9),IF(ISNUMBER(OFFSET($A$1,ROW()-1,8)),OFFSET($A$1,ROW()-1,8),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",IFERROR(MATCH("Riesgo Normativo|"&amp;MID($C302,12,500),rDname_ADM,0),0),"")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IF(N($W303)=0,"",IF(AND($S303=MesCiclo,1&gt;SemanaActual),"",MIN(1,SUMIFS(OFFSET($A$1,ROW(),29,1000-ROW(),1),OFFSET($A$1,ROW(),20,1000-ROW(),1),ROW(),OFFSET($A$1,ROW(),21,1000-ROW(),1),"Sub"))))</f>
        <v/>
      </c>
      <c r="J303" s="60">
        <f>IF(N($W303)=0,"",IF(AND($S303=MesCiclo,2&gt;SemanaActual),"",MIN(1,SUMIFS(OFFSET($A$1,ROW(),30,1000-ROW(),1),OFFSET($A$1,ROW(),20,1000-ROW(),1),ROW(),OFFSET($A$1,ROW(),21,1000-ROW(),1),"Sub"))))</f>
        <v/>
      </c>
      <c r="K303" s="60">
        <f>IF(N($W303)=0,"",IF(AND($S303=MesCiclo,3&gt;SemanaActual),"",MIN(1,SUMIFS(OFFSET($A$1,ROW(),31,1000-ROW(),1),OFFSET($A$1,ROW(),20,1000-ROW(),1),ROW(),OFFSET($A$1,ROW(),21,1000-ROW(),1),"Sub"))))</f>
        <v/>
      </c>
      <c r="L303" s="60">
        <f>IF(N($W303)=0,"",IF(AND($S303=MesCiclo,4&gt;SemanaActual),"",MIN(1,SUMIFS(OFFSET($A$1,ROW(),32,1000-ROW(),1),OFFSET($A$1,ROW(),20,1000-ROW(),1),ROW(),OFFSET($A$1,ROW(),21,1000-ROW(),1),"Sub"))))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IF($V303&lt;&gt;"Sub","",N($X303)*IF(AND(ISNUMBER($G303),$G303&lt;=IF($S303=MesCiclo,InicioCiclo,$S303+MOD(2-WEEKDAY($S303),7))+6),1,MIN(1,MAX(0,IF(ISNUMBER(OFFSET($A$1,ROW()-1,8)),OFFSET($A$1,ROW()-1,8),0)))))</f>
        <v/>
      </c>
      <c r="AE303" s="62">
        <f>IF($V303&lt;&gt;"Sub","",N($X303)*IF(AND(ISNUMBER($G303),$G303&lt;=IF($S303=MesCiclo,InicioCiclo,$S303+MOD(2-WEEKDAY($S303),7))+13),1,MIN(1,MAX(0,IF(ISNUMBER(OFFSET($A$1,ROW()-1,9)),OFFSET($A$1,ROW()-1,9),IF(ISNUMBER(OFFSET($A$1,ROW()-1,8)),OFFSET($A$1,ROW()-1,8),0))))))</f>
        <v/>
      </c>
      <c r="AF303" s="62">
        <f>IF($V303&lt;&gt;"Sub","",N($X303)*IF(AND(ISNUMBER($G303),$G303&lt;=IF($S303=MesCiclo,InicioCiclo,$S303+MOD(2-WEEKDAY($S303),7))+20),1,MIN(1,MAX(0,IF(ISNUMBER(OFFSET($A$1,ROW()-1,10)),OFFSET($A$1,ROW()-1,10),IF(ISNUMBER(OFFSET($A$1,ROW()-1,9)),OFFSET($A$1,ROW()-1,9),IF(ISNUMBER(OFFSET($A$1,ROW()-1,8)),OFFSET($A$1,ROW()-1,8),0)))))))</f>
        <v/>
      </c>
      <c r="AG303" s="62">
        <f>IF($V303&lt;&gt;"Sub","",N($X303)*IF(AND(ISNUMBER($G303),$G303&lt;=IF($S303=MesCiclo,InicioCiclo,$S303+MOD(2-WEEKDAY($S303),7))+27),1,MIN(1,MAX(0,IF(ISNUMBER(OFFSET($A$1,ROW()-1,11)),OFFSET($A$1,ROW()-1,11),IF(ISNUMBER(OFFSET($A$1,ROW()-1,10)),OFFSET($A$1,ROW()-1,10),IF(ISNUMBER(OFFSET($A$1,ROW()-1,9)),OFFSET($A$1,ROW()-1,9),IF(ISNUMBER(OFFSET($A$1,ROW()-1,8)),OFFSET($A$1,ROW()-1,8),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",IFERROR(MATCH("Riesgo Normativo|"&amp;MID($C303,12,500),rDname_ADM,0),0),"")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IF(N($W304)=0,"",IF(AND($S304=MesCiclo,1&gt;SemanaActual),"",MIN(1,SUMIFS(OFFSET($A$1,ROW(),29,1000-ROW(),1),OFFSET($A$1,ROW(),20,1000-ROW(),1),ROW(),OFFSET($A$1,ROW(),21,1000-ROW(),1),"Sub"))))</f>
        <v/>
      </c>
      <c r="J304" s="60">
        <f>IF(N($W304)=0,"",IF(AND($S304=MesCiclo,2&gt;SemanaActual),"",MIN(1,SUMIFS(OFFSET($A$1,ROW(),30,1000-ROW(),1),OFFSET($A$1,ROW(),20,1000-ROW(),1),ROW(),OFFSET($A$1,ROW(),21,1000-ROW(),1),"Sub"))))</f>
        <v/>
      </c>
      <c r="K304" s="60">
        <f>IF(N($W304)=0,"",IF(AND($S304=MesCiclo,3&gt;SemanaActual),"",MIN(1,SUMIFS(OFFSET($A$1,ROW(),31,1000-ROW(),1),OFFSET($A$1,ROW(),20,1000-ROW(),1),ROW(),OFFSET($A$1,ROW(),21,1000-ROW(),1),"Sub"))))</f>
        <v/>
      </c>
      <c r="L304" s="60">
        <f>IF(N($W304)=0,"",IF(AND($S304=MesCiclo,4&gt;SemanaActual),"",MIN(1,SUMIFS(OFFSET($A$1,ROW(),32,1000-ROW(),1),OFFSET($A$1,ROW(),20,1000-ROW(),1),ROW(),OFFSET($A$1,ROW(),21,1000-ROW(),1),"Sub"))))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IF($V304&lt;&gt;"Sub","",N($X304)*IF(AND(ISNUMBER($G304),$G304&lt;=IF($S304=MesCiclo,InicioCiclo,$S304+MOD(2-WEEKDAY($S304),7))+6),1,MIN(1,MAX(0,IF(ISNUMBER(OFFSET($A$1,ROW()-1,8)),OFFSET($A$1,ROW()-1,8),0)))))</f>
        <v/>
      </c>
      <c r="AE304" s="62">
        <f>IF($V304&lt;&gt;"Sub","",N($X304)*IF(AND(ISNUMBER($G304),$G304&lt;=IF($S304=MesCiclo,InicioCiclo,$S304+MOD(2-WEEKDAY($S304),7))+13),1,MIN(1,MAX(0,IF(ISNUMBER(OFFSET($A$1,ROW()-1,9)),OFFSET($A$1,ROW()-1,9),IF(ISNUMBER(OFFSET($A$1,ROW()-1,8)),OFFSET($A$1,ROW()-1,8),0))))))</f>
        <v/>
      </c>
      <c r="AF304" s="62">
        <f>IF($V304&lt;&gt;"Sub","",N($X304)*IF(AND(ISNUMBER($G304),$G304&lt;=IF($S304=MesCiclo,InicioCiclo,$S304+MOD(2-WEEKDAY($S304),7))+20),1,MIN(1,MAX(0,IF(ISNUMBER(OFFSET($A$1,ROW()-1,10)),OFFSET($A$1,ROW()-1,10),IF(ISNUMBER(OFFSET($A$1,ROW()-1,9)),OFFSET($A$1,ROW()-1,9),IF(ISNUMBER(OFFSET($A$1,ROW()-1,8)),OFFSET($A$1,ROW()-1,8),0)))))))</f>
        <v/>
      </c>
      <c r="AG304" s="62">
        <f>IF($V304&lt;&gt;"Sub","",N($X304)*IF(AND(ISNUMBER($G304),$G304&lt;=IF($S304=MesCiclo,InicioCiclo,$S304+MOD(2-WEEKDAY($S304),7))+27),1,MIN(1,MAX(0,IF(ISNUMBER(OFFSET($A$1,ROW()-1,11)),OFFSET($A$1,ROW()-1,11),IF(ISNUMBER(OFFSET($A$1,ROW()-1,10)),OFFSET($A$1,ROW()-1,10),IF(ISNUMBER(OFFSET($A$1,ROW()-1,9)),OFFSET($A$1,ROW()-1,9),IF(ISNUMBER(OFFSET($A$1,ROW()-1,8)),OFFSET($A$1,ROW()-1,8),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",IFERROR(MATCH("Riesgo Normativo|"&amp;MID($C304,12,500),rDname_ADM,0),0),"")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(COUNTIFS('Administración'!$D$5:$D$1000,"Riesgo Normativo",'Administración'!$S$5:$S$1000,MesCiclo,'Administración'!$V$5:$V$1000,"Macro")-COUNTIFS('Administración'!$D$5:$D$1000,"Riesgo Normativo",'Administración'!$S$5:$S$1000,MesCiclo,'Administración'!$V$5:$V$1000,"Macro",'Administración'!$AM$5:$AM$1000,"&gt;0"))&gt;0</formula>
    </cfRule>
    <cfRule type="expression" priority="5" dxfId="0">
      <formula>COUNTIFS('Administración'!$D$5:$D$1000,"Riesgo Normativo",'Administración'!$S$5:$S$1000,MesCiclo,'Administración'!$V$5:$V$1000,"Macro")&gt;0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stopIfTrue="1">
      <formula>AND($V5="Sub",LEN($C5)&lt;=255)</formula>
    </cfRule>
    <cfRule type="expression" priority="11" dxfId="12">
      <formula>$V5="Sub"</formula>
    </cfRule>
  </conditionalFormatting>
  <conditionalFormatting sqref="A5:C1000">
    <cfRule type="expression" priority="8" dxfId="5" stopIfTrue="1">
      <formula>AND($V5="Macro",$C5="")</formula>
    </cfRule>
    <cfRule type="expression" priority="9" dxfId="22">
      <formula>$V5="Macro"</formula>
    </cfRule>
  </conditionalFormatting>
  <conditionalFormatting sqref="N5:N1000">
    <cfRule type="expression" priority="12" dxfId="0">
      <formula>$N5="Completado"</formula>
    </cfRule>
    <cfRule type="expression" priority="13" dxfId="4">
      <formula>$N5="En curso"</formula>
    </cfRule>
    <cfRule type="expression" priority="14" dxfId="5">
      <formula>$N5="Pendiente"</formula>
    </cfRule>
  </conditionalFormatting>
  <conditionalFormatting sqref="O5:O1000">
    <cfRule type="expression" priority="15" dxfId="8" stopIfTrue="1">
      <formula>LEFT($O5,7)="Vencida"</formula>
    </cfRule>
    <cfRule type="expression" priority="16" dxfId="9" stopIfTrue="1">
      <formula>LEFT($O5,5)="Vence"</formula>
    </cfRule>
    <cfRule type="expression" priority="17" dxfId="0" stopIfTrue="1">
      <formula>LEFT($O5,8)="Cumplida"</formula>
    </cfRule>
    <cfRule type="expression" priority="18" dxfId="14" stopIfTrue="1">
      <formula>$O5="En plazo"</formula>
    </cfRule>
    <cfRule type="expression" priority="19" dxfId="5">
      <formula>$O5="Sin fecha límite"</formula>
    </cfRule>
  </conditionalFormatting>
  <conditionalFormatting sqref="I5:L1000">
    <cfRule type="expression" priority="20" dxfId="15" stopIfTrue="1">
      <formula>AND($V5="Sub",ISNUMBER($G5),MIN(4,MAX(1,INT(($G5-InicioCiclo)/7)+1))=COLUMN(I5)-8)</formula>
    </cfRule>
    <cfRule type="expression" priority="29" dxfId="5" stopIfTrue="1">
      <formula>AND(N($W5)&gt;0,I5&lt;&gt;"")</formula>
    </cfRule>
    <cfRule type="expression" priority="30" dxfId="16" stopIfTrue="1">
      <formula>OR(N($W5)&gt;0,ISNUMBER($G5))</formula>
    </cfRule>
    <cfRule type="expression" priority="31" dxfId="5" stopIfTrue="1">
      <formula>AND(I5&lt;&gt;"",OR(NOT(ISNUMBER(I5)),I5&gt;1,I5&lt;0))</formula>
    </cfRule>
  </conditionalFormatting>
  <conditionalFormatting sqref="M5:M1000">
    <cfRule type="expression" priority="21" dxfId="0">
      <formula>AND(ISNUMBER($M5),$M5&gt;=1)</formula>
    </cfRule>
    <cfRule type="dataBar" priority="22">
      <dataBar showValue="1">
        <cfvo type="num" val="0"/>
        <cfvo type="num" val="1"/>
        <color rgb="005B9BD5"/>
      </dataBar>
    </cfRule>
  </conditionalFormatting>
  <conditionalFormatting sqref="G5:G1000">
    <cfRule type="expression" priority="23" dxfId="0">
      <formula>ISNUMBER($G5)</formula>
    </cfRule>
  </conditionalFormatting>
  <conditionalFormatting sqref="F5:F1000">
    <cfRule type="expression" priority="24" dxfId="6" stopIfTrue="1">
      <formula>AND(ISNUMBER($AS5),$AS5&lt;FechaRef,IF($V5="Sub",1,N($M5))&lt;1)</formula>
    </cfRule>
    <cfRule type="expression" priority="25" dxfId="7">
      <formula>AND(ISNUMBER($AS5),$AS5&gt;=FechaRef,$AS5-FechaRef&lt;=DiasAlerta,IF($V5="Sub",1,N($M5))&lt;1)</formula>
    </cfRule>
  </conditionalFormatting>
  <conditionalFormatting sqref="E5:F1000">
    <cfRule type="expression" priority="26" dxfId="10" stopIfTrue="1">
      <formula>AND(N($AQ5)&gt;0)</formula>
    </cfRule>
    <cfRule type="expression" priority="27" dxfId="5" stopIfTrue="1">
      <formula>AND((COUNTA($B5:$D5)+COUNTA($G5:$H5)+COUNTA($Q5))&gt;0,$AR5="")</formula>
    </cfRule>
    <cfRule type="expression" priority="28" dxfId="6">
      <formula>AND(ISNUMBER($E5),ISNUMBER($F5),$E5&gt;$F5)</formula>
    </cfRule>
  </conditionalFormatting>
  <conditionalFormatting sqref="J5:L1000">
    <cfRule type="expression" priority="32" dxfId="6">
      <formula>AND(J5&lt;&gt;"",J5&lt;MAX($I5:I5))</formula>
    </cfRule>
  </conditionalFormatting>
  <conditionalFormatting sqref="Q5:Q1000">
    <cfRule type="expression" priority="33" dxfId="5">
      <formula>AND(ObsObligatoria="Sí",ISNUMBER($F5),$F5&lt;FechaRef,IF($V5="Sub",1,N($M5))&lt;1,$Q5="")</formula>
    </cfRule>
  </conditionalFormatting>
  <conditionalFormatting sqref="R5:R1000">
    <cfRule type="expression" priority="34" dxfId="5">
      <formula>LEFT($R5,1)="⚠"</formula>
    </cfRule>
    <cfRule type="expression" priority="35" dxfId="17">
      <formula>LEFT($R5,1)="✔"</formula>
    </cfRule>
  </conditionalFormatting>
  <conditionalFormatting sqref="S5:S1000">
    <cfRule type="expression" priority="36"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C5:C1000" showDropDown="0" showInputMessage="1" showErrorMessage="0" allowBlank="1" promptTitle="Actividad" prompt="Escriba el nombre, o elija en la lista una actividad delegada por la jefatura." type="list">
      <formula1>ListaDeleg_RN</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rgb="007030A0"/>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80" t="inlineStr">
        <is>
          <t>Actividades del mes por semana – Riesgo Normativo</t>
        </is>
      </c>
      <c r="B1" s="80" t="n"/>
      <c r="C1" s="80" t="n"/>
      <c r="D1" s="80" t="n"/>
      <c r="E1" s="80" t="n"/>
      <c r="F1" s="80" t="n"/>
      <c r="G1" s="80" t="n"/>
      <c r="H1" s="80" t="n"/>
      <c r="I1" s="80" t="n"/>
      <c r="J1" s="80" t="n"/>
      <c r="K1" s="80" t="n"/>
      <c r="L1" s="80" t="n"/>
      <c r="M1" s="80" t="n"/>
    </row>
    <row r="2" ht="34" customHeight="1">
      <c r="A2" s="74" t="inlineStr">
        <is>
          <t>HOJA AUTOMÁTICA Y BLOQUEADA: muestra solo las actividades del mes indicado abajo, tomadas de «Cronograma R. Normativo».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68" t="inlineStr">
        <is>
          <t>Semana 1</t>
        </is>
      </c>
      <c r="G4" s="68" t="inlineStr">
        <is>
          <t>Semana 2</t>
        </is>
      </c>
      <c r="H4" s="68" t="inlineStr">
        <is>
          <t>Semana 3</t>
        </is>
      </c>
      <c r="I4" s="68"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R. Normativo'!$A$5:$A$1000,$N5))</f>
        <v/>
      </c>
      <c r="B5" s="62">
        <f>IF($N5="","",IF($O5="Sub","      ↳  "&amp;INDEX('Cronograma R. Normativo'!$C$5:$C$1000,$N5),INDEX('Cronograma R. Normativo'!$C$5:$C$1000,$N5)&amp;""))</f>
        <v/>
      </c>
      <c r="C5" s="79">
        <f>IF($N5="","",IF(INDEX('Cronograma R. Normativo'!$AR$5:$AR$1000,$N5)="","",INDEX('Cronograma R. Normativo'!$AR$5:$AR$1000,$N5)))</f>
        <v/>
      </c>
      <c r="D5" s="79">
        <f>IF($N5="","",IF(INDEX('Cronograma R. Normativo'!$AS$5:$AS$1000,$N5)="","",INDEX('Cronograma R. Normativo'!$AS$5:$AS$1000,$N5)))</f>
        <v/>
      </c>
      <c r="E5" s="56">
        <f>IF($N5="","",IF(NOT(ISNUMBER($D5)),"",IF($D5&lt;InicioCiclo,"Antes del ciclo",IF($D5&gt;=InicioCiclo+28,"Después del ciclo","Semana "&amp;(INT(($D5-InicioCiclo)/7)+1)))))</f>
        <v/>
      </c>
      <c r="F5" s="61">
        <f>IF($N5="","",IF($P5&gt;0,IF(1&lt;=SemanaActual,INDEX('Cronograma R. Normativo'!$AH$5:$AH$1000,$N5),""),IF(INDEX('Cronograma R. Normativo'!$I$5:$I$1000,$N5)="","",INDEX('Cronograma R. Normativo'!$I$5:$I$1000,$N5))))</f>
        <v/>
      </c>
      <c r="G5" s="61">
        <f>IF($N5="","",IF($P5&gt;0,IF(2&lt;=SemanaActual,INDEX('Cronograma R. Normativo'!$AI$5:$AI$1000,$N5),""),IF(INDEX('Cronograma R. Normativo'!$J$5:$J$1000,$N5)="","",INDEX('Cronograma R. Normativo'!$J$5:$J$1000,$N5))))</f>
        <v/>
      </c>
      <c r="H5" s="61">
        <f>IF($N5="","",IF($P5&gt;0,IF(3&lt;=SemanaActual,INDEX('Cronograma R. Normativo'!$AJ$5:$AJ$1000,$N5),""),IF(INDEX('Cronograma R. Normativo'!$K$5:$K$1000,$N5)="","",INDEX('Cronograma R. Normativo'!$K$5:$K$1000,$N5))))</f>
        <v/>
      </c>
      <c r="I5" s="61">
        <f>IF($N5="","",IF($P5&gt;0,IF(4&lt;=SemanaActual,INDEX('Cronograma R. Normativo'!$AK$5:$AK$1000,$N5),""),IF(INDEX('Cronograma R. Normativo'!$L$5:$L$1000,$N5)="","",INDEX('Cronograma R. Normativo'!$L$5:$L$1000,$N5))))</f>
        <v/>
      </c>
      <c r="J5" s="61">
        <f>IF($N5="","",INDEX('Cronograma R. Normativo'!$M$5:$M$1000,$N5))</f>
        <v/>
      </c>
      <c r="K5" s="56">
        <f>IF($N5="","",IF(N($J5)&gt;=1,"Completado",IF(AND(ISNUMBER($D5),$D5&lt;FechaRef),"Vencida",IF(N($J5)&gt;0,"En curso","Pendiente"))))</f>
        <v/>
      </c>
      <c r="L5" s="56">
        <f>IF($N5="","",INDEX('Cronograma R. Normativo'!$O$5:$O$1000,$N5)&amp;"")</f>
        <v/>
      </c>
      <c r="M5" s="62">
        <f>IF($N5="","",INDEX('Cronograma R. Normativo'!$Q$5:$Q$1000,$N5)&amp;"")</f>
        <v/>
      </c>
      <c r="N5">
        <f>IFERROR(MATCH(ROW()-4,rOrden_RN,0),"")</f>
        <v/>
      </c>
      <c r="O5">
        <f>IF($N5="","",INDEX('Cronograma R. Normativo'!$V$5:$V$1000,$N5))</f>
        <v/>
      </c>
      <c r="P5">
        <f>IF($N5="","",N(INDEX('Cronograma R. Normativo'!$W$5:$W$1000,$N5)))</f>
        <v/>
      </c>
      <c r="Q5">
        <f>IF(OR(LEFT($L5,7)="Vencida",LEFT($L5,5)="Vence"),SUMPRODUCT(--(LEFT($L$5:$L5,7)="Vencida"))+SUMPRODUCT(--(LEFT($L$5:$L5,5)="Vence")),"")</f>
        <v/>
      </c>
    </row>
    <row r="6">
      <c r="A6" s="56">
        <f>IF($N6="","",INDEX('Cronograma R. Normativo'!$A$5:$A$1000,$N6))</f>
        <v/>
      </c>
      <c r="B6" s="62">
        <f>IF($N6="","",IF($O6="Sub","      ↳  "&amp;INDEX('Cronograma R. Normativo'!$C$5:$C$1000,$N6),INDEX('Cronograma R. Normativo'!$C$5:$C$1000,$N6)&amp;""))</f>
        <v/>
      </c>
      <c r="C6" s="79">
        <f>IF($N6="","",IF(INDEX('Cronograma R. Normativo'!$AR$5:$AR$1000,$N6)="","",INDEX('Cronograma R. Normativo'!$AR$5:$AR$1000,$N6)))</f>
        <v/>
      </c>
      <c r="D6" s="79">
        <f>IF($N6="","",IF(INDEX('Cronograma R. Normativo'!$AS$5:$AS$1000,$N6)="","",INDEX('Cronograma R. Normativo'!$AS$5:$AS$1000,$N6)))</f>
        <v/>
      </c>
      <c r="E6" s="56">
        <f>IF($N6="","",IF(NOT(ISNUMBER($D6)),"",IF($D6&lt;InicioCiclo,"Antes del ciclo",IF($D6&gt;=InicioCiclo+28,"Después del ciclo","Semana "&amp;(INT(($D6-InicioCiclo)/7)+1)))))</f>
        <v/>
      </c>
      <c r="F6" s="61">
        <f>IF($N6="","",IF($P6&gt;0,IF(1&lt;=SemanaActual,INDEX('Cronograma R. Normativo'!$AH$5:$AH$1000,$N6),""),IF(INDEX('Cronograma R. Normativo'!$I$5:$I$1000,$N6)="","",INDEX('Cronograma R. Normativo'!$I$5:$I$1000,$N6))))</f>
        <v/>
      </c>
      <c r="G6" s="61">
        <f>IF($N6="","",IF($P6&gt;0,IF(2&lt;=SemanaActual,INDEX('Cronograma R. Normativo'!$AI$5:$AI$1000,$N6),""),IF(INDEX('Cronograma R. Normativo'!$J$5:$J$1000,$N6)="","",INDEX('Cronograma R. Normativo'!$J$5:$J$1000,$N6))))</f>
        <v/>
      </c>
      <c r="H6" s="61">
        <f>IF($N6="","",IF($P6&gt;0,IF(3&lt;=SemanaActual,INDEX('Cronograma R. Normativo'!$AJ$5:$AJ$1000,$N6),""),IF(INDEX('Cronograma R. Normativo'!$K$5:$K$1000,$N6)="","",INDEX('Cronograma R. Normativo'!$K$5:$K$1000,$N6))))</f>
        <v/>
      </c>
      <c r="I6" s="61">
        <f>IF($N6="","",IF($P6&gt;0,IF(4&lt;=SemanaActual,INDEX('Cronograma R. Normativo'!$AK$5:$AK$1000,$N6),""),IF(INDEX('Cronograma R. Normativo'!$L$5:$L$1000,$N6)="","",INDEX('Cronograma R. Normativo'!$L$5:$L$1000,$N6))))</f>
        <v/>
      </c>
      <c r="J6" s="61">
        <f>IF($N6="","",INDEX('Cronograma R. Normativo'!$M$5:$M$1000,$N6))</f>
        <v/>
      </c>
      <c r="K6" s="56">
        <f>IF($N6="","",IF(N($J6)&gt;=1,"Completado",IF(AND(ISNUMBER($D6),$D6&lt;FechaRef),"Vencida",IF(N($J6)&gt;0,"En curso","Pendiente"))))</f>
        <v/>
      </c>
      <c r="L6" s="56">
        <f>IF($N6="","",INDEX('Cronograma R. Normativo'!$O$5:$O$1000,$N6)&amp;"")</f>
        <v/>
      </c>
      <c r="M6" s="62">
        <f>IF($N6="","",INDEX('Cronograma R. Normativo'!$Q$5:$Q$1000,$N6)&amp;"")</f>
        <v/>
      </c>
      <c r="N6">
        <f>IFERROR(MATCH(ROW()-4,rOrden_RN,0),"")</f>
        <v/>
      </c>
      <c r="O6">
        <f>IF($N6="","",INDEX('Cronograma R. Normativo'!$V$5:$V$1000,$N6))</f>
        <v/>
      </c>
      <c r="P6">
        <f>IF($N6="","",N(INDEX('Cronograma R. Normativo'!$W$5:$W$1000,$N6)))</f>
        <v/>
      </c>
      <c r="Q6">
        <f>IF(OR(LEFT($L6,7)="Vencida",LEFT($L6,5)="Vence"),SUMPRODUCT(--(LEFT($L$5:$L6,7)="Vencida"))+SUMPRODUCT(--(LEFT($L$5:$L6,5)="Vence")),"")</f>
        <v/>
      </c>
    </row>
    <row r="7">
      <c r="A7" s="56">
        <f>IF($N7="","",INDEX('Cronograma R. Normativo'!$A$5:$A$1000,$N7))</f>
        <v/>
      </c>
      <c r="B7" s="62">
        <f>IF($N7="","",IF($O7="Sub","      ↳  "&amp;INDEX('Cronograma R. Normativo'!$C$5:$C$1000,$N7),INDEX('Cronograma R. Normativo'!$C$5:$C$1000,$N7)&amp;""))</f>
        <v/>
      </c>
      <c r="C7" s="79">
        <f>IF($N7="","",IF(INDEX('Cronograma R. Normativo'!$AR$5:$AR$1000,$N7)="","",INDEX('Cronograma R. Normativo'!$AR$5:$AR$1000,$N7)))</f>
        <v/>
      </c>
      <c r="D7" s="79">
        <f>IF($N7="","",IF(INDEX('Cronograma R. Normativo'!$AS$5:$AS$1000,$N7)="","",INDEX('Cronograma R. Normativo'!$AS$5:$AS$1000,$N7)))</f>
        <v/>
      </c>
      <c r="E7" s="56">
        <f>IF($N7="","",IF(NOT(ISNUMBER($D7)),"",IF($D7&lt;InicioCiclo,"Antes del ciclo",IF($D7&gt;=InicioCiclo+28,"Después del ciclo","Semana "&amp;(INT(($D7-InicioCiclo)/7)+1)))))</f>
        <v/>
      </c>
      <c r="F7" s="61">
        <f>IF($N7="","",IF($P7&gt;0,IF(1&lt;=SemanaActual,INDEX('Cronograma R. Normativo'!$AH$5:$AH$1000,$N7),""),IF(INDEX('Cronograma R. Normativo'!$I$5:$I$1000,$N7)="","",INDEX('Cronograma R. Normativo'!$I$5:$I$1000,$N7))))</f>
        <v/>
      </c>
      <c r="G7" s="61">
        <f>IF($N7="","",IF($P7&gt;0,IF(2&lt;=SemanaActual,INDEX('Cronograma R. Normativo'!$AI$5:$AI$1000,$N7),""),IF(INDEX('Cronograma R. Normativo'!$J$5:$J$1000,$N7)="","",INDEX('Cronograma R. Normativo'!$J$5:$J$1000,$N7))))</f>
        <v/>
      </c>
      <c r="H7" s="61">
        <f>IF($N7="","",IF($P7&gt;0,IF(3&lt;=SemanaActual,INDEX('Cronograma R. Normativo'!$AJ$5:$AJ$1000,$N7),""),IF(INDEX('Cronograma R. Normativo'!$K$5:$K$1000,$N7)="","",INDEX('Cronograma R. Normativo'!$K$5:$K$1000,$N7))))</f>
        <v/>
      </c>
      <c r="I7" s="61">
        <f>IF($N7="","",IF($P7&gt;0,IF(4&lt;=SemanaActual,INDEX('Cronograma R. Normativo'!$AK$5:$AK$1000,$N7),""),IF(INDEX('Cronograma R. Normativo'!$L$5:$L$1000,$N7)="","",INDEX('Cronograma R. Normativo'!$L$5:$L$1000,$N7))))</f>
        <v/>
      </c>
      <c r="J7" s="61">
        <f>IF($N7="","",INDEX('Cronograma R. Normativo'!$M$5:$M$1000,$N7))</f>
        <v/>
      </c>
      <c r="K7" s="56">
        <f>IF($N7="","",IF(N($J7)&gt;=1,"Completado",IF(AND(ISNUMBER($D7),$D7&lt;FechaRef),"Vencida",IF(N($J7)&gt;0,"En curso","Pendiente"))))</f>
        <v/>
      </c>
      <c r="L7" s="56">
        <f>IF($N7="","",INDEX('Cronograma R. Normativo'!$O$5:$O$1000,$N7)&amp;"")</f>
        <v/>
      </c>
      <c r="M7" s="62">
        <f>IF($N7="","",INDEX('Cronograma R. Normativo'!$Q$5:$Q$1000,$N7)&amp;"")</f>
        <v/>
      </c>
      <c r="N7">
        <f>IFERROR(MATCH(ROW()-4,rOrden_RN,0),"")</f>
        <v/>
      </c>
      <c r="O7">
        <f>IF($N7="","",INDEX('Cronograma R. Normativo'!$V$5:$V$1000,$N7))</f>
        <v/>
      </c>
      <c r="P7">
        <f>IF($N7="","",N(INDEX('Cronograma R. Normativo'!$W$5:$W$1000,$N7)))</f>
        <v/>
      </c>
      <c r="Q7">
        <f>IF(OR(LEFT($L7,7)="Vencida",LEFT($L7,5)="Vence"),SUMPRODUCT(--(LEFT($L$5:$L7,7)="Vencida"))+SUMPRODUCT(--(LEFT($L$5:$L7,5)="Vence")),"")</f>
        <v/>
      </c>
    </row>
    <row r="8">
      <c r="A8" s="56">
        <f>IF($N8="","",INDEX('Cronograma R. Normativo'!$A$5:$A$1000,$N8))</f>
        <v/>
      </c>
      <c r="B8" s="62">
        <f>IF($N8="","",IF($O8="Sub","      ↳  "&amp;INDEX('Cronograma R. Normativo'!$C$5:$C$1000,$N8),INDEX('Cronograma R. Normativo'!$C$5:$C$1000,$N8)&amp;""))</f>
        <v/>
      </c>
      <c r="C8" s="79">
        <f>IF($N8="","",IF(INDEX('Cronograma R. Normativo'!$AR$5:$AR$1000,$N8)="","",INDEX('Cronograma R. Normativo'!$AR$5:$AR$1000,$N8)))</f>
        <v/>
      </c>
      <c r="D8" s="79">
        <f>IF($N8="","",IF(INDEX('Cronograma R. Normativo'!$AS$5:$AS$1000,$N8)="","",INDEX('Cronograma R. Normativo'!$AS$5:$AS$1000,$N8)))</f>
        <v/>
      </c>
      <c r="E8" s="56">
        <f>IF($N8="","",IF(NOT(ISNUMBER($D8)),"",IF($D8&lt;InicioCiclo,"Antes del ciclo",IF($D8&gt;=InicioCiclo+28,"Después del ciclo","Semana "&amp;(INT(($D8-InicioCiclo)/7)+1)))))</f>
        <v/>
      </c>
      <c r="F8" s="61">
        <f>IF($N8="","",IF($P8&gt;0,IF(1&lt;=SemanaActual,INDEX('Cronograma R. Normativo'!$AH$5:$AH$1000,$N8),""),IF(INDEX('Cronograma R. Normativo'!$I$5:$I$1000,$N8)="","",INDEX('Cronograma R. Normativo'!$I$5:$I$1000,$N8))))</f>
        <v/>
      </c>
      <c r="G8" s="61">
        <f>IF($N8="","",IF($P8&gt;0,IF(2&lt;=SemanaActual,INDEX('Cronograma R. Normativo'!$AI$5:$AI$1000,$N8),""),IF(INDEX('Cronograma R. Normativo'!$J$5:$J$1000,$N8)="","",INDEX('Cronograma R. Normativo'!$J$5:$J$1000,$N8))))</f>
        <v/>
      </c>
      <c r="H8" s="61">
        <f>IF($N8="","",IF($P8&gt;0,IF(3&lt;=SemanaActual,INDEX('Cronograma R. Normativo'!$AJ$5:$AJ$1000,$N8),""),IF(INDEX('Cronograma R. Normativo'!$K$5:$K$1000,$N8)="","",INDEX('Cronograma R. Normativo'!$K$5:$K$1000,$N8))))</f>
        <v/>
      </c>
      <c r="I8" s="61">
        <f>IF($N8="","",IF($P8&gt;0,IF(4&lt;=SemanaActual,INDEX('Cronograma R. Normativo'!$AK$5:$AK$1000,$N8),""),IF(INDEX('Cronograma R. Normativo'!$L$5:$L$1000,$N8)="","",INDEX('Cronograma R. Normativo'!$L$5:$L$1000,$N8))))</f>
        <v/>
      </c>
      <c r="J8" s="61">
        <f>IF($N8="","",INDEX('Cronograma R. Normativo'!$M$5:$M$1000,$N8))</f>
        <v/>
      </c>
      <c r="K8" s="56">
        <f>IF($N8="","",IF(N($J8)&gt;=1,"Completado",IF(AND(ISNUMBER($D8),$D8&lt;FechaRef),"Vencida",IF(N($J8)&gt;0,"En curso","Pendiente"))))</f>
        <v/>
      </c>
      <c r="L8" s="56">
        <f>IF($N8="","",INDEX('Cronograma R. Normativo'!$O$5:$O$1000,$N8)&amp;"")</f>
        <v/>
      </c>
      <c r="M8" s="62">
        <f>IF($N8="","",INDEX('Cronograma R. Normativo'!$Q$5:$Q$1000,$N8)&amp;"")</f>
        <v/>
      </c>
      <c r="N8">
        <f>IFERROR(MATCH(ROW()-4,rOrden_RN,0),"")</f>
        <v/>
      </c>
      <c r="O8">
        <f>IF($N8="","",INDEX('Cronograma R. Normativo'!$V$5:$V$1000,$N8))</f>
        <v/>
      </c>
      <c r="P8">
        <f>IF($N8="","",N(INDEX('Cronograma R. Normativo'!$W$5:$W$1000,$N8)))</f>
        <v/>
      </c>
      <c r="Q8">
        <f>IF(OR(LEFT($L8,7)="Vencida",LEFT($L8,5)="Vence"),SUMPRODUCT(--(LEFT($L$5:$L8,7)="Vencida"))+SUMPRODUCT(--(LEFT($L$5:$L8,5)="Vence")),"")</f>
        <v/>
      </c>
    </row>
    <row r="9">
      <c r="A9" s="56">
        <f>IF($N9="","",INDEX('Cronograma R. Normativo'!$A$5:$A$1000,$N9))</f>
        <v/>
      </c>
      <c r="B9" s="62">
        <f>IF($N9="","",IF($O9="Sub","      ↳  "&amp;INDEX('Cronograma R. Normativo'!$C$5:$C$1000,$N9),INDEX('Cronograma R. Normativo'!$C$5:$C$1000,$N9)&amp;""))</f>
        <v/>
      </c>
      <c r="C9" s="79">
        <f>IF($N9="","",IF(INDEX('Cronograma R. Normativo'!$AR$5:$AR$1000,$N9)="","",INDEX('Cronograma R. Normativo'!$AR$5:$AR$1000,$N9)))</f>
        <v/>
      </c>
      <c r="D9" s="79">
        <f>IF($N9="","",IF(INDEX('Cronograma R. Normativo'!$AS$5:$AS$1000,$N9)="","",INDEX('Cronograma R. Normativo'!$AS$5:$AS$1000,$N9)))</f>
        <v/>
      </c>
      <c r="E9" s="56">
        <f>IF($N9="","",IF(NOT(ISNUMBER($D9)),"",IF($D9&lt;InicioCiclo,"Antes del ciclo",IF($D9&gt;=InicioCiclo+28,"Después del ciclo","Semana "&amp;(INT(($D9-InicioCiclo)/7)+1)))))</f>
        <v/>
      </c>
      <c r="F9" s="61">
        <f>IF($N9="","",IF($P9&gt;0,IF(1&lt;=SemanaActual,INDEX('Cronograma R. Normativo'!$AH$5:$AH$1000,$N9),""),IF(INDEX('Cronograma R. Normativo'!$I$5:$I$1000,$N9)="","",INDEX('Cronograma R. Normativo'!$I$5:$I$1000,$N9))))</f>
        <v/>
      </c>
      <c r="G9" s="61">
        <f>IF($N9="","",IF($P9&gt;0,IF(2&lt;=SemanaActual,INDEX('Cronograma R. Normativo'!$AI$5:$AI$1000,$N9),""),IF(INDEX('Cronograma R. Normativo'!$J$5:$J$1000,$N9)="","",INDEX('Cronograma R. Normativo'!$J$5:$J$1000,$N9))))</f>
        <v/>
      </c>
      <c r="H9" s="61">
        <f>IF($N9="","",IF($P9&gt;0,IF(3&lt;=SemanaActual,INDEX('Cronograma R. Normativo'!$AJ$5:$AJ$1000,$N9),""),IF(INDEX('Cronograma R. Normativo'!$K$5:$K$1000,$N9)="","",INDEX('Cronograma R. Normativo'!$K$5:$K$1000,$N9))))</f>
        <v/>
      </c>
      <c r="I9" s="61">
        <f>IF($N9="","",IF($P9&gt;0,IF(4&lt;=SemanaActual,INDEX('Cronograma R. Normativo'!$AK$5:$AK$1000,$N9),""),IF(INDEX('Cronograma R. Normativo'!$L$5:$L$1000,$N9)="","",INDEX('Cronograma R. Normativo'!$L$5:$L$1000,$N9))))</f>
        <v/>
      </c>
      <c r="J9" s="61">
        <f>IF($N9="","",INDEX('Cronograma R. Normativo'!$M$5:$M$1000,$N9))</f>
        <v/>
      </c>
      <c r="K9" s="56">
        <f>IF($N9="","",IF(N($J9)&gt;=1,"Completado",IF(AND(ISNUMBER($D9),$D9&lt;FechaRef),"Vencida",IF(N($J9)&gt;0,"En curso","Pendiente"))))</f>
        <v/>
      </c>
      <c r="L9" s="56">
        <f>IF($N9="","",INDEX('Cronograma R. Normativo'!$O$5:$O$1000,$N9)&amp;"")</f>
        <v/>
      </c>
      <c r="M9" s="62">
        <f>IF($N9="","",INDEX('Cronograma R. Normativo'!$Q$5:$Q$1000,$N9)&amp;"")</f>
        <v/>
      </c>
      <c r="N9">
        <f>IFERROR(MATCH(ROW()-4,rOrden_RN,0),"")</f>
        <v/>
      </c>
      <c r="O9">
        <f>IF($N9="","",INDEX('Cronograma R. Normativo'!$V$5:$V$1000,$N9))</f>
        <v/>
      </c>
      <c r="P9">
        <f>IF($N9="","",N(INDEX('Cronograma R. Normativo'!$W$5:$W$1000,$N9)))</f>
        <v/>
      </c>
      <c r="Q9">
        <f>IF(OR(LEFT($L9,7)="Vencida",LEFT($L9,5)="Vence"),SUMPRODUCT(--(LEFT($L$5:$L9,7)="Vencida"))+SUMPRODUCT(--(LEFT($L$5:$L9,5)="Vence")),"")</f>
        <v/>
      </c>
    </row>
    <row r="10">
      <c r="A10" s="56">
        <f>IF($N10="","",INDEX('Cronograma R. Normativo'!$A$5:$A$1000,$N10))</f>
        <v/>
      </c>
      <c r="B10" s="62">
        <f>IF($N10="","",IF($O10="Sub","      ↳  "&amp;INDEX('Cronograma R. Normativo'!$C$5:$C$1000,$N10),INDEX('Cronograma R. Normativo'!$C$5:$C$1000,$N10)&amp;""))</f>
        <v/>
      </c>
      <c r="C10" s="79">
        <f>IF($N10="","",IF(INDEX('Cronograma R. Normativo'!$AR$5:$AR$1000,$N10)="","",INDEX('Cronograma R. Normativo'!$AR$5:$AR$1000,$N10)))</f>
        <v/>
      </c>
      <c r="D10" s="79">
        <f>IF($N10="","",IF(INDEX('Cronograma R. Normativo'!$AS$5:$AS$1000,$N10)="","",INDEX('Cronograma R. Normativo'!$AS$5:$AS$1000,$N10)))</f>
        <v/>
      </c>
      <c r="E10" s="56">
        <f>IF($N10="","",IF(NOT(ISNUMBER($D10)),"",IF($D10&lt;InicioCiclo,"Antes del ciclo",IF($D10&gt;=InicioCiclo+28,"Después del ciclo","Semana "&amp;(INT(($D10-InicioCiclo)/7)+1)))))</f>
        <v/>
      </c>
      <c r="F10" s="61">
        <f>IF($N10="","",IF($P10&gt;0,IF(1&lt;=SemanaActual,INDEX('Cronograma R. Normativo'!$AH$5:$AH$1000,$N10),""),IF(INDEX('Cronograma R. Normativo'!$I$5:$I$1000,$N10)="","",INDEX('Cronograma R. Normativo'!$I$5:$I$1000,$N10))))</f>
        <v/>
      </c>
      <c r="G10" s="61">
        <f>IF($N10="","",IF($P10&gt;0,IF(2&lt;=SemanaActual,INDEX('Cronograma R. Normativo'!$AI$5:$AI$1000,$N10),""),IF(INDEX('Cronograma R. Normativo'!$J$5:$J$1000,$N10)="","",INDEX('Cronograma R. Normativo'!$J$5:$J$1000,$N10))))</f>
        <v/>
      </c>
      <c r="H10" s="61">
        <f>IF($N10="","",IF($P10&gt;0,IF(3&lt;=SemanaActual,INDEX('Cronograma R. Normativo'!$AJ$5:$AJ$1000,$N10),""),IF(INDEX('Cronograma R. Normativo'!$K$5:$K$1000,$N10)="","",INDEX('Cronograma R. Normativo'!$K$5:$K$1000,$N10))))</f>
        <v/>
      </c>
      <c r="I10" s="61">
        <f>IF($N10="","",IF($P10&gt;0,IF(4&lt;=SemanaActual,INDEX('Cronograma R. Normativo'!$AK$5:$AK$1000,$N10),""),IF(INDEX('Cronograma R. Normativo'!$L$5:$L$1000,$N10)="","",INDEX('Cronograma R. Normativo'!$L$5:$L$1000,$N10))))</f>
        <v/>
      </c>
      <c r="J10" s="61">
        <f>IF($N10="","",INDEX('Cronograma R. Normativo'!$M$5:$M$1000,$N10))</f>
        <v/>
      </c>
      <c r="K10" s="56">
        <f>IF($N10="","",IF(N($J10)&gt;=1,"Completado",IF(AND(ISNUMBER($D10),$D10&lt;FechaRef),"Vencida",IF(N($J10)&gt;0,"En curso","Pendiente"))))</f>
        <v/>
      </c>
      <c r="L10" s="56">
        <f>IF($N10="","",INDEX('Cronograma R. Normativo'!$O$5:$O$1000,$N10)&amp;"")</f>
        <v/>
      </c>
      <c r="M10" s="62">
        <f>IF($N10="","",INDEX('Cronograma R. Normativo'!$Q$5:$Q$1000,$N10)&amp;"")</f>
        <v/>
      </c>
      <c r="N10">
        <f>IFERROR(MATCH(ROW()-4,rOrden_RN,0),"")</f>
        <v/>
      </c>
      <c r="O10">
        <f>IF($N10="","",INDEX('Cronograma R. Normativo'!$V$5:$V$1000,$N10))</f>
        <v/>
      </c>
      <c r="P10">
        <f>IF($N10="","",N(INDEX('Cronograma R. Normativo'!$W$5:$W$1000,$N10)))</f>
        <v/>
      </c>
      <c r="Q10">
        <f>IF(OR(LEFT($L10,7)="Vencida",LEFT($L10,5)="Vence"),SUMPRODUCT(--(LEFT($L$5:$L10,7)="Vencida"))+SUMPRODUCT(--(LEFT($L$5:$L10,5)="Vence")),"")</f>
        <v/>
      </c>
    </row>
    <row r="11">
      <c r="A11" s="56">
        <f>IF($N11="","",INDEX('Cronograma R. Normativo'!$A$5:$A$1000,$N11))</f>
        <v/>
      </c>
      <c r="B11" s="62">
        <f>IF($N11="","",IF($O11="Sub","      ↳  "&amp;INDEX('Cronograma R. Normativo'!$C$5:$C$1000,$N11),INDEX('Cronograma R. Normativo'!$C$5:$C$1000,$N11)&amp;""))</f>
        <v/>
      </c>
      <c r="C11" s="79">
        <f>IF($N11="","",IF(INDEX('Cronograma R. Normativo'!$AR$5:$AR$1000,$N11)="","",INDEX('Cronograma R. Normativo'!$AR$5:$AR$1000,$N11)))</f>
        <v/>
      </c>
      <c r="D11" s="79">
        <f>IF($N11="","",IF(INDEX('Cronograma R. Normativo'!$AS$5:$AS$1000,$N11)="","",INDEX('Cronograma R. Normativo'!$AS$5:$AS$1000,$N11)))</f>
        <v/>
      </c>
      <c r="E11" s="56">
        <f>IF($N11="","",IF(NOT(ISNUMBER($D11)),"",IF($D11&lt;InicioCiclo,"Antes del ciclo",IF($D11&gt;=InicioCiclo+28,"Después del ciclo","Semana "&amp;(INT(($D11-InicioCiclo)/7)+1)))))</f>
        <v/>
      </c>
      <c r="F11" s="61">
        <f>IF($N11="","",IF($P11&gt;0,IF(1&lt;=SemanaActual,INDEX('Cronograma R. Normativo'!$AH$5:$AH$1000,$N11),""),IF(INDEX('Cronograma R. Normativo'!$I$5:$I$1000,$N11)="","",INDEX('Cronograma R. Normativo'!$I$5:$I$1000,$N11))))</f>
        <v/>
      </c>
      <c r="G11" s="61">
        <f>IF($N11="","",IF($P11&gt;0,IF(2&lt;=SemanaActual,INDEX('Cronograma R. Normativo'!$AI$5:$AI$1000,$N11),""),IF(INDEX('Cronograma R. Normativo'!$J$5:$J$1000,$N11)="","",INDEX('Cronograma R. Normativo'!$J$5:$J$1000,$N11))))</f>
        <v/>
      </c>
      <c r="H11" s="61">
        <f>IF($N11="","",IF($P11&gt;0,IF(3&lt;=SemanaActual,INDEX('Cronograma R. Normativo'!$AJ$5:$AJ$1000,$N11),""),IF(INDEX('Cronograma R. Normativo'!$K$5:$K$1000,$N11)="","",INDEX('Cronograma R. Normativo'!$K$5:$K$1000,$N11))))</f>
        <v/>
      </c>
      <c r="I11" s="61">
        <f>IF($N11="","",IF($P11&gt;0,IF(4&lt;=SemanaActual,INDEX('Cronograma R. Normativo'!$AK$5:$AK$1000,$N11),""),IF(INDEX('Cronograma R. Normativo'!$L$5:$L$1000,$N11)="","",INDEX('Cronograma R. Normativo'!$L$5:$L$1000,$N11))))</f>
        <v/>
      </c>
      <c r="J11" s="61">
        <f>IF($N11="","",INDEX('Cronograma R. Normativo'!$M$5:$M$1000,$N11))</f>
        <v/>
      </c>
      <c r="K11" s="56">
        <f>IF($N11="","",IF(N($J11)&gt;=1,"Completado",IF(AND(ISNUMBER($D11),$D11&lt;FechaRef),"Vencida",IF(N($J11)&gt;0,"En curso","Pendiente"))))</f>
        <v/>
      </c>
      <c r="L11" s="56">
        <f>IF($N11="","",INDEX('Cronograma R. Normativo'!$O$5:$O$1000,$N11)&amp;"")</f>
        <v/>
      </c>
      <c r="M11" s="62">
        <f>IF($N11="","",INDEX('Cronograma R. Normativo'!$Q$5:$Q$1000,$N11)&amp;"")</f>
        <v/>
      </c>
      <c r="N11">
        <f>IFERROR(MATCH(ROW()-4,rOrden_RN,0),"")</f>
        <v/>
      </c>
      <c r="O11">
        <f>IF($N11="","",INDEX('Cronograma R. Normativo'!$V$5:$V$1000,$N11))</f>
        <v/>
      </c>
      <c r="P11">
        <f>IF($N11="","",N(INDEX('Cronograma R. Normativo'!$W$5:$W$1000,$N11)))</f>
        <v/>
      </c>
      <c r="Q11">
        <f>IF(OR(LEFT($L11,7)="Vencida",LEFT($L11,5)="Vence"),SUMPRODUCT(--(LEFT($L$5:$L11,7)="Vencida"))+SUMPRODUCT(--(LEFT($L$5:$L11,5)="Vence")),"")</f>
        <v/>
      </c>
    </row>
    <row r="12">
      <c r="A12" s="56">
        <f>IF($N12="","",INDEX('Cronograma R. Normativo'!$A$5:$A$1000,$N12))</f>
        <v/>
      </c>
      <c r="B12" s="62">
        <f>IF($N12="","",IF($O12="Sub","      ↳  "&amp;INDEX('Cronograma R. Normativo'!$C$5:$C$1000,$N12),INDEX('Cronograma R. Normativo'!$C$5:$C$1000,$N12)&amp;""))</f>
        <v/>
      </c>
      <c r="C12" s="79">
        <f>IF($N12="","",IF(INDEX('Cronograma R. Normativo'!$AR$5:$AR$1000,$N12)="","",INDEX('Cronograma R. Normativo'!$AR$5:$AR$1000,$N12)))</f>
        <v/>
      </c>
      <c r="D12" s="79">
        <f>IF($N12="","",IF(INDEX('Cronograma R. Normativo'!$AS$5:$AS$1000,$N12)="","",INDEX('Cronograma R. Normativo'!$AS$5:$AS$1000,$N12)))</f>
        <v/>
      </c>
      <c r="E12" s="56">
        <f>IF($N12="","",IF(NOT(ISNUMBER($D12)),"",IF($D12&lt;InicioCiclo,"Antes del ciclo",IF($D12&gt;=InicioCiclo+28,"Después del ciclo","Semana "&amp;(INT(($D12-InicioCiclo)/7)+1)))))</f>
        <v/>
      </c>
      <c r="F12" s="61">
        <f>IF($N12="","",IF($P12&gt;0,IF(1&lt;=SemanaActual,INDEX('Cronograma R. Normativo'!$AH$5:$AH$1000,$N12),""),IF(INDEX('Cronograma R. Normativo'!$I$5:$I$1000,$N12)="","",INDEX('Cronograma R. Normativo'!$I$5:$I$1000,$N12))))</f>
        <v/>
      </c>
      <c r="G12" s="61">
        <f>IF($N12="","",IF($P12&gt;0,IF(2&lt;=SemanaActual,INDEX('Cronograma R. Normativo'!$AI$5:$AI$1000,$N12),""),IF(INDEX('Cronograma R. Normativo'!$J$5:$J$1000,$N12)="","",INDEX('Cronograma R. Normativo'!$J$5:$J$1000,$N12))))</f>
        <v/>
      </c>
      <c r="H12" s="61">
        <f>IF($N12="","",IF($P12&gt;0,IF(3&lt;=SemanaActual,INDEX('Cronograma R. Normativo'!$AJ$5:$AJ$1000,$N12),""),IF(INDEX('Cronograma R. Normativo'!$K$5:$K$1000,$N12)="","",INDEX('Cronograma R. Normativo'!$K$5:$K$1000,$N12))))</f>
        <v/>
      </c>
      <c r="I12" s="61">
        <f>IF($N12="","",IF($P12&gt;0,IF(4&lt;=SemanaActual,INDEX('Cronograma R. Normativo'!$AK$5:$AK$1000,$N12),""),IF(INDEX('Cronograma R. Normativo'!$L$5:$L$1000,$N12)="","",INDEX('Cronograma R. Normativo'!$L$5:$L$1000,$N12))))</f>
        <v/>
      </c>
      <c r="J12" s="61">
        <f>IF($N12="","",INDEX('Cronograma R. Normativo'!$M$5:$M$1000,$N12))</f>
        <v/>
      </c>
      <c r="K12" s="56">
        <f>IF($N12="","",IF(N($J12)&gt;=1,"Completado",IF(AND(ISNUMBER($D12),$D12&lt;FechaRef),"Vencida",IF(N($J12)&gt;0,"En curso","Pendiente"))))</f>
        <v/>
      </c>
      <c r="L12" s="56">
        <f>IF($N12="","",INDEX('Cronograma R. Normativo'!$O$5:$O$1000,$N12)&amp;"")</f>
        <v/>
      </c>
      <c r="M12" s="62">
        <f>IF($N12="","",INDEX('Cronograma R. Normativo'!$Q$5:$Q$1000,$N12)&amp;"")</f>
        <v/>
      </c>
      <c r="N12">
        <f>IFERROR(MATCH(ROW()-4,rOrden_RN,0),"")</f>
        <v/>
      </c>
      <c r="O12">
        <f>IF($N12="","",INDEX('Cronograma R. Normativo'!$V$5:$V$1000,$N12))</f>
        <v/>
      </c>
      <c r="P12">
        <f>IF($N12="","",N(INDEX('Cronograma R. Normativo'!$W$5:$W$1000,$N12)))</f>
        <v/>
      </c>
      <c r="Q12">
        <f>IF(OR(LEFT($L12,7)="Vencida",LEFT($L12,5)="Vence"),SUMPRODUCT(--(LEFT($L$5:$L12,7)="Vencida"))+SUMPRODUCT(--(LEFT($L$5:$L12,5)="Vence")),"")</f>
        <v/>
      </c>
    </row>
    <row r="13">
      <c r="A13" s="56">
        <f>IF($N13="","",INDEX('Cronograma R. Normativo'!$A$5:$A$1000,$N13))</f>
        <v/>
      </c>
      <c r="B13" s="62">
        <f>IF($N13="","",IF($O13="Sub","      ↳  "&amp;INDEX('Cronograma R. Normativo'!$C$5:$C$1000,$N13),INDEX('Cronograma R. Normativo'!$C$5:$C$1000,$N13)&amp;""))</f>
        <v/>
      </c>
      <c r="C13" s="79">
        <f>IF($N13="","",IF(INDEX('Cronograma R. Normativo'!$AR$5:$AR$1000,$N13)="","",INDEX('Cronograma R. Normativo'!$AR$5:$AR$1000,$N13)))</f>
        <v/>
      </c>
      <c r="D13" s="79">
        <f>IF($N13="","",IF(INDEX('Cronograma R. Normativo'!$AS$5:$AS$1000,$N13)="","",INDEX('Cronograma R. Normativo'!$AS$5:$AS$1000,$N13)))</f>
        <v/>
      </c>
      <c r="E13" s="56">
        <f>IF($N13="","",IF(NOT(ISNUMBER($D13)),"",IF($D13&lt;InicioCiclo,"Antes del ciclo",IF($D13&gt;=InicioCiclo+28,"Después del ciclo","Semana "&amp;(INT(($D13-InicioCiclo)/7)+1)))))</f>
        <v/>
      </c>
      <c r="F13" s="61">
        <f>IF($N13="","",IF($P13&gt;0,IF(1&lt;=SemanaActual,INDEX('Cronograma R. Normativo'!$AH$5:$AH$1000,$N13),""),IF(INDEX('Cronograma R. Normativo'!$I$5:$I$1000,$N13)="","",INDEX('Cronograma R. Normativo'!$I$5:$I$1000,$N13))))</f>
        <v/>
      </c>
      <c r="G13" s="61">
        <f>IF($N13="","",IF($P13&gt;0,IF(2&lt;=SemanaActual,INDEX('Cronograma R. Normativo'!$AI$5:$AI$1000,$N13),""),IF(INDEX('Cronograma R. Normativo'!$J$5:$J$1000,$N13)="","",INDEX('Cronograma R. Normativo'!$J$5:$J$1000,$N13))))</f>
        <v/>
      </c>
      <c r="H13" s="61">
        <f>IF($N13="","",IF($P13&gt;0,IF(3&lt;=SemanaActual,INDEX('Cronograma R. Normativo'!$AJ$5:$AJ$1000,$N13),""),IF(INDEX('Cronograma R. Normativo'!$K$5:$K$1000,$N13)="","",INDEX('Cronograma R. Normativo'!$K$5:$K$1000,$N13))))</f>
        <v/>
      </c>
      <c r="I13" s="61">
        <f>IF($N13="","",IF($P13&gt;0,IF(4&lt;=SemanaActual,INDEX('Cronograma R. Normativo'!$AK$5:$AK$1000,$N13),""),IF(INDEX('Cronograma R. Normativo'!$L$5:$L$1000,$N13)="","",INDEX('Cronograma R. Normativo'!$L$5:$L$1000,$N13))))</f>
        <v/>
      </c>
      <c r="J13" s="61">
        <f>IF($N13="","",INDEX('Cronograma R. Normativo'!$M$5:$M$1000,$N13))</f>
        <v/>
      </c>
      <c r="K13" s="56">
        <f>IF($N13="","",IF(N($J13)&gt;=1,"Completado",IF(AND(ISNUMBER($D13),$D13&lt;FechaRef),"Vencida",IF(N($J13)&gt;0,"En curso","Pendiente"))))</f>
        <v/>
      </c>
      <c r="L13" s="56">
        <f>IF($N13="","",INDEX('Cronograma R. Normativo'!$O$5:$O$1000,$N13)&amp;"")</f>
        <v/>
      </c>
      <c r="M13" s="62">
        <f>IF($N13="","",INDEX('Cronograma R. Normativo'!$Q$5:$Q$1000,$N13)&amp;"")</f>
        <v/>
      </c>
      <c r="N13">
        <f>IFERROR(MATCH(ROW()-4,rOrden_RN,0),"")</f>
        <v/>
      </c>
      <c r="O13">
        <f>IF($N13="","",INDEX('Cronograma R. Normativo'!$V$5:$V$1000,$N13))</f>
        <v/>
      </c>
      <c r="P13">
        <f>IF($N13="","",N(INDEX('Cronograma R. Normativo'!$W$5:$W$1000,$N13)))</f>
        <v/>
      </c>
      <c r="Q13">
        <f>IF(OR(LEFT($L13,7)="Vencida",LEFT($L13,5)="Vence"),SUMPRODUCT(--(LEFT($L$5:$L13,7)="Vencida"))+SUMPRODUCT(--(LEFT($L$5:$L13,5)="Vence")),"")</f>
        <v/>
      </c>
    </row>
    <row r="14">
      <c r="A14" s="56">
        <f>IF($N14="","",INDEX('Cronograma R. Normativo'!$A$5:$A$1000,$N14))</f>
        <v/>
      </c>
      <c r="B14" s="62">
        <f>IF($N14="","",IF($O14="Sub","      ↳  "&amp;INDEX('Cronograma R. Normativo'!$C$5:$C$1000,$N14),INDEX('Cronograma R. Normativo'!$C$5:$C$1000,$N14)&amp;""))</f>
        <v/>
      </c>
      <c r="C14" s="79">
        <f>IF($N14="","",IF(INDEX('Cronograma R. Normativo'!$AR$5:$AR$1000,$N14)="","",INDEX('Cronograma R. Normativo'!$AR$5:$AR$1000,$N14)))</f>
        <v/>
      </c>
      <c r="D14" s="79">
        <f>IF($N14="","",IF(INDEX('Cronograma R. Normativo'!$AS$5:$AS$1000,$N14)="","",INDEX('Cronograma R. Normativo'!$AS$5:$AS$1000,$N14)))</f>
        <v/>
      </c>
      <c r="E14" s="56">
        <f>IF($N14="","",IF(NOT(ISNUMBER($D14)),"",IF($D14&lt;InicioCiclo,"Antes del ciclo",IF($D14&gt;=InicioCiclo+28,"Después del ciclo","Semana "&amp;(INT(($D14-InicioCiclo)/7)+1)))))</f>
        <v/>
      </c>
      <c r="F14" s="61">
        <f>IF($N14="","",IF($P14&gt;0,IF(1&lt;=SemanaActual,INDEX('Cronograma R. Normativo'!$AH$5:$AH$1000,$N14),""),IF(INDEX('Cronograma R. Normativo'!$I$5:$I$1000,$N14)="","",INDEX('Cronograma R. Normativo'!$I$5:$I$1000,$N14))))</f>
        <v/>
      </c>
      <c r="G14" s="61">
        <f>IF($N14="","",IF($P14&gt;0,IF(2&lt;=SemanaActual,INDEX('Cronograma R. Normativo'!$AI$5:$AI$1000,$N14),""),IF(INDEX('Cronograma R. Normativo'!$J$5:$J$1000,$N14)="","",INDEX('Cronograma R. Normativo'!$J$5:$J$1000,$N14))))</f>
        <v/>
      </c>
      <c r="H14" s="61">
        <f>IF($N14="","",IF($P14&gt;0,IF(3&lt;=SemanaActual,INDEX('Cronograma R. Normativo'!$AJ$5:$AJ$1000,$N14),""),IF(INDEX('Cronograma R. Normativo'!$K$5:$K$1000,$N14)="","",INDEX('Cronograma R. Normativo'!$K$5:$K$1000,$N14))))</f>
        <v/>
      </c>
      <c r="I14" s="61">
        <f>IF($N14="","",IF($P14&gt;0,IF(4&lt;=SemanaActual,INDEX('Cronograma R. Normativo'!$AK$5:$AK$1000,$N14),""),IF(INDEX('Cronograma R. Normativo'!$L$5:$L$1000,$N14)="","",INDEX('Cronograma R. Normativo'!$L$5:$L$1000,$N14))))</f>
        <v/>
      </c>
      <c r="J14" s="61">
        <f>IF($N14="","",INDEX('Cronograma R. Normativo'!$M$5:$M$1000,$N14))</f>
        <v/>
      </c>
      <c r="K14" s="56">
        <f>IF($N14="","",IF(N($J14)&gt;=1,"Completado",IF(AND(ISNUMBER($D14),$D14&lt;FechaRef),"Vencida",IF(N($J14)&gt;0,"En curso","Pendiente"))))</f>
        <v/>
      </c>
      <c r="L14" s="56">
        <f>IF($N14="","",INDEX('Cronograma R. Normativo'!$O$5:$O$1000,$N14)&amp;"")</f>
        <v/>
      </c>
      <c r="M14" s="62">
        <f>IF($N14="","",INDEX('Cronograma R. Normativo'!$Q$5:$Q$1000,$N14)&amp;"")</f>
        <v/>
      </c>
      <c r="N14">
        <f>IFERROR(MATCH(ROW()-4,rOrden_RN,0),"")</f>
        <v/>
      </c>
      <c r="O14">
        <f>IF($N14="","",INDEX('Cronograma R. Normativo'!$V$5:$V$1000,$N14))</f>
        <v/>
      </c>
      <c r="P14">
        <f>IF($N14="","",N(INDEX('Cronograma R. Normativo'!$W$5:$W$1000,$N14)))</f>
        <v/>
      </c>
      <c r="Q14">
        <f>IF(OR(LEFT($L14,7)="Vencida",LEFT($L14,5)="Vence"),SUMPRODUCT(--(LEFT($L$5:$L14,7)="Vencida"))+SUMPRODUCT(--(LEFT($L$5:$L14,5)="Vence")),"")</f>
        <v/>
      </c>
    </row>
    <row r="15">
      <c r="A15" s="56">
        <f>IF($N15="","",INDEX('Cronograma R. Normativo'!$A$5:$A$1000,$N15))</f>
        <v/>
      </c>
      <c r="B15" s="62">
        <f>IF($N15="","",IF($O15="Sub","      ↳  "&amp;INDEX('Cronograma R. Normativo'!$C$5:$C$1000,$N15),INDEX('Cronograma R. Normativo'!$C$5:$C$1000,$N15)&amp;""))</f>
        <v/>
      </c>
      <c r="C15" s="79">
        <f>IF($N15="","",IF(INDEX('Cronograma R. Normativo'!$AR$5:$AR$1000,$N15)="","",INDEX('Cronograma R. Normativo'!$AR$5:$AR$1000,$N15)))</f>
        <v/>
      </c>
      <c r="D15" s="79">
        <f>IF($N15="","",IF(INDEX('Cronograma R. Normativo'!$AS$5:$AS$1000,$N15)="","",INDEX('Cronograma R. Normativo'!$AS$5:$AS$1000,$N15)))</f>
        <v/>
      </c>
      <c r="E15" s="56">
        <f>IF($N15="","",IF(NOT(ISNUMBER($D15)),"",IF($D15&lt;InicioCiclo,"Antes del ciclo",IF($D15&gt;=InicioCiclo+28,"Después del ciclo","Semana "&amp;(INT(($D15-InicioCiclo)/7)+1)))))</f>
        <v/>
      </c>
      <c r="F15" s="61">
        <f>IF($N15="","",IF($P15&gt;0,IF(1&lt;=SemanaActual,INDEX('Cronograma R. Normativo'!$AH$5:$AH$1000,$N15),""),IF(INDEX('Cronograma R. Normativo'!$I$5:$I$1000,$N15)="","",INDEX('Cronograma R. Normativo'!$I$5:$I$1000,$N15))))</f>
        <v/>
      </c>
      <c r="G15" s="61">
        <f>IF($N15="","",IF($P15&gt;0,IF(2&lt;=SemanaActual,INDEX('Cronograma R. Normativo'!$AI$5:$AI$1000,$N15),""),IF(INDEX('Cronograma R. Normativo'!$J$5:$J$1000,$N15)="","",INDEX('Cronograma R. Normativo'!$J$5:$J$1000,$N15))))</f>
        <v/>
      </c>
      <c r="H15" s="61">
        <f>IF($N15="","",IF($P15&gt;0,IF(3&lt;=SemanaActual,INDEX('Cronograma R. Normativo'!$AJ$5:$AJ$1000,$N15),""),IF(INDEX('Cronograma R. Normativo'!$K$5:$K$1000,$N15)="","",INDEX('Cronograma R. Normativo'!$K$5:$K$1000,$N15))))</f>
        <v/>
      </c>
      <c r="I15" s="61">
        <f>IF($N15="","",IF($P15&gt;0,IF(4&lt;=SemanaActual,INDEX('Cronograma R. Normativo'!$AK$5:$AK$1000,$N15),""),IF(INDEX('Cronograma R. Normativo'!$L$5:$L$1000,$N15)="","",INDEX('Cronograma R. Normativo'!$L$5:$L$1000,$N15))))</f>
        <v/>
      </c>
      <c r="J15" s="61">
        <f>IF($N15="","",INDEX('Cronograma R. Normativo'!$M$5:$M$1000,$N15))</f>
        <v/>
      </c>
      <c r="K15" s="56">
        <f>IF($N15="","",IF(N($J15)&gt;=1,"Completado",IF(AND(ISNUMBER($D15),$D15&lt;FechaRef),"Vencida",IF(N($J15)&gt;0,"En curso","Pendiente"))))</f>
        <v/>
      </c>
      <c r="L15" s="56">
        <f>IF($N15="","",INDEX('Cronograma R. Normativo'!$O$5:$O$1000,$N15)&amp;"")</f>
        <v/>
      </c>
      <c r="M15" s="62">
        <f>IF($N15="","",INDEX('Cronograma R. Normativo'!$Q$5:$Q$1000,$N15)&amp;"")</f>
        <v/>
      </c>
      <c r="N15">
        <f>IFERROR(MATCH(ROW()-4,rOrden_RN,0),"")</f>
        <v/>
      </c>
      <c r="O15">
        <f>IF($N15="","",INDEX('Cronograma R. Normativo'!$V$5:$V$1000,$N15))</f>
        <v/>
      </c>
      <c r="P15">
        <f>IF($N15="","",N(INDEX('Cronograma R. Normativo'!$W$5:$W$1000,$N15)))</f>
        <v/>
      </c>
      <c r="Q15">
        <f>IF(OR(LEFT($L15,7)="Vencida",LEFT($L15,5)="Vence"),SUMPRODUCT(--(LEFT($L$5:$L15,7)="Vencida"))+SUMPRODUCT(--(LEFT($L$5:$L15,5)="Vence")),"")</f>
        <v/>
      </c>
    </row>
    <row r="16">
      <c r="A16" s="56">
        <f>IF($N16="","",INDEX('Cronograma R. Normativo'!$A$5:$A$1000,$N16))</f>
        <v/>
      </c>
      <c r="B16" s="62">
        <f>IF($N16="","",IF($O16="Sub","      ↳  "&amp;INDEX('Cronograma R. Normativo'!$C$5:$C$1000,$N16),INDEX('Cronograma R. Normativo'!$C$5:$C$1000,$N16)&amp;""))</f>
        <v/>
      </c>
      <c r="C16" s="79">
        <f>IF($N16="","",IF(INDEX('Cronograma R. Normativo'!$AR$5:$AR$1000,$N16)="","",INDEX('Cronograma R. Normativo'!$AR$5:$AR$1000,$N16)))</f>
        <v/>
      </c>
      <c r="D16" s="79">
        <f>IF($N16="","",IF(INDEX('Cronograma R. Normativo'!$AS$5:$AS$1000,$N16)="","",INDEX('Cronograma R. Normativo'!$AS$5:$AS$1000,$N16)))</f>
        <v/>
      </c>
      <c r="E16" s="56">
        <f>IF($N16="","",IF(NOT(ISNUMBER($D16)),"",IF($D16&lt;InicioCiclo,"Antes del ciclo",IF($D16&gt;=InicioCiclo+28,"Después del ciclo","Semana "&amp;(INT(($D16-InicioCiclo)/7)+1)))))</f>
        <v/>
      </c>
      <c r="F16" s="61">
        <f>IF($N16="","",IF($P16&gt;0,IF(1&lt;=SemanaActual,INDEX('Cronograma R. Normativo'!$AH$5:$AH$1000,$N16),""),IF(INDEX('Cronograma R. Normativo'!$I$5:$I$1000,$N16)="","",INDEX('Cronograma R. Normativo'!$I$5:$I$1000,$N16))))</f>
        <v/>
      </c>
      <c r="G16" s="61">
        <f>IF($N16="","",IF($P16&gt;0,IF(2&lt;=SemanaActual,INDEX('Cronograma R. Normativo'!$AI$5:$AI$1000,$N16),""),IF(INDEX('Cronograma R. Normativo'!$J$5:$J$1000,$N16)="","",INDEX('Cronograma R. Normativo'!$J$5:$J$1000,$N16))))</f>
        <v/>
      </c>
      <c r="H16" s="61">
        <f>IF($N16="","",IF($P16&gt;0,IF(3&lt;=SemanaActual,INDEX('Cronograma R. Normativo'!$AJ$5:$AJ$1000,$N16),""),IF(INDEX('Cronograma R. Normativo'!$K$5:$K$1000,$N16)="","",INDEX('Cronograma R. Normativo'!$K$5:$K$1000,$N16))))</f>
        <v/>
      </c>
      <c r="I16" s="61">
        <f>IF($N16="","",IF($P16&gt;0,IF(4&lt;=SemanaActual,INDEX('Cronograma R. Normativo'!$AK$5:$AK$1000,$N16),""),IF(INDEX('Cronograma R. Normativo'!$L$5:$L$1000,$N16)="","",INDEX('Cronograma R. Normativo'!$L$5:$L$1000,$N16))))</f>
        <v/>
      </c>
      <c r="J16" s="61">
        <f>IF($N16="","",INDEX('Cronograma R. Normativo'!$M$5:$M$1000,$N16))</f>
        <v/>
      </c>
      <c r="K16" s="56">
        <f>IF($N16="","",IF(N($J16)&gt;=1,"Completado",IF(AND(ISNUMBER($D16),$D16&lt;FechaRef),"Vencida",IF(N($J16)&gt;0,"En curso","Pendiente"))))</f>
        <v/>
      </c>
      <c r="L16" s="56">
        <f>IF($N16="","",INDEX('Cronograma R. Normativo'!$O$5:$O$1000,$N16)&amp;"")</f>
        <v/>
      </c>
      <c r="M16" s="62">
        <f>IF($N16="","",INDEX('Cronograma R. Normativo'!$Q$5:$Q$1000,$N16)&amp;"")</f>
        <v/>
      </c>
      <c r="N16">
        <f>IFERROR(MATCH(ROW()-4,rOrden_RN,0),"")</f>
        <v/>
      </c>
      <c r="O16">
        <f>IF($N16="","",INDEX('Cronograma R. Normativo'!$V$5:$V$1000,$N16))</f>
        <v/>
      </c>
      <c r="P16">
        <f>IF($N16="","",N(INDEX('Cronograma R. Normativo'!$W$5:$W$1000,$N16)))</f>
        <v/>
      </c>
      <c r="Q16">
        <f>IF(OR(LEFT($L16,7)="Vencida",LEFT($L16,5)="Vence"),SUMPRODUCT(--(LEFT($L$5:$L16,7)="Vencida"))+SUMPRODUCT(--(LEFT($L$5:$L16,5)="Vence")),"")</f>
        <v/>
      </c>
    </row>
    <row r="17">
      <c r="A17" s="56">
        <f>IF($N17="","",INDEX('Cronograma R. Normativo'!$A$5:$A$1000,$N17))</f>
        <v/>
      </c>
      <c r="B17" s="62">
        <f>IF($N17="","",IF($O17="Sub","      ↳  "&amp;INDEX('Cronograma R. Normativo'!$C$5:$C$1000,$N17),INDEX('Cronograma R. Normativo'!$C$5:$C$1000,$N17)&amp;""))</f>
        <v/>
      </c>
      <c r="C17" s="79">
        <f>IF($N17="","",IF(INDEX('Cronograma R. Normativo'!$AR$5:$AR$1000,$N17)="","",INDEX('Cronograma R. Normativo'!$AR$5:$AR$1000,$N17)))</f>
        <v/>
      </c>
      <c r="D17" s="79">
        <f>IF($N17="","",IF(INDEX('Cronograma R. Normativo'!$AS$5:$AS$1000,$N17)="","",INDEX('Cronograma R. Normativo'!$AS$5:$AS$1000,$N17)))</f>
        <v/>
      </c>
      <c r="E17" s="56">
        <f>IF($N17="","",IF(NOT(ISNUMBER($D17)),"",IF($D17&lt;InicioCiclo,"Antes del ciclo",IF($D17&gt;=InicioCiclo+28,"Después del ciclo","Semana "&amp;(INT(($D17-InicioCiclo)/7)+1)))))</f>
        <v/>
      </c>
      <c r="F17" s="61">
        <f>IF($N17="","",IF($P17&gt;0,IF(1&lt;=SemanaActual,INDEX('Cronograma R. Normativo'!$AH$5:$AH$1000,$N17),""),IF(INDEX('Cronograma R. Normativo'!$I$5:$I$1000,$N17)="","",INDEX('Cronograma R. Normativo'!$I$5:$I$1000,$N17))))</f>
        <v/>
      </c>
      <c r="G17" s="61">
        <f>IF($N17="","",IF($P17&gt;0,IF(2&lt;=SemanaActual,INDEX('Cronograma R. Normativo'!$AI$5:$AI$1000,$N17),""),IF(INDEX('Cronograma R. Normativo'!$J$5:$J$1000,$N17)="","",INDEX('Cronograma R. Normativo'!$J$5:$J$1000,$N17))))</f>
        <v/>
      </c>
      <c r="H17" s="61">
        <f>IF($N17="","",IF($P17&gt;0,IF(3&lt;=SemanaActual,INDEX('Cronograma R. Normativo'!$AJ$5:$AJ$1000,$N17),""),IF(INDEX('Cronograma R. Normativo'!$K$5:$K$1000,$N17)="","",INDEX('Cronograma R. Normativo'!$K$5:$K$1000,$N17))))</f>
        <v/>
      </c>
      <c r="I17" s="61">
        <f>IF($N17="","",IF($P17&gt;0,IF(4&lt;=SemanaActual,INDEX('Cronograma R. Normativo'!$AK$5:$AK$1000,$N17),""),IF(INDEX('Cronograma R. Normativo'!$L$5:$L$1000,$N17)="","",INDEX('Cronograma R. Normativo'!$L$5:$L$1000,$N17))))</f>
        <v/>
      </c>
      <c r="J17" s="61">
        <f>IF($N17="","",INDEX('Cronograma R. Normativo'!$M$5:$M$1000,$N17))</f>
        <v/>
      </c>
      <c r="K17" s="56">
        <f>IF($N17="","",IF(N($J17)&gt;=1,"Completado",IF(AND(ISNUMBER($D17),$D17&lt;FechaRef),"Vencida",IF(N($J17)&gt;0,"En curso","Pendiente"))))</f>
        <v/>
      </c>
      <c r="L17" s="56">
        <f>IF($N17="","",INDEX('Cronograma R. Normativo'!$O$5:$O$1000,$N17)&amp;"")</f>
        <v/>
      </c>
      <c r="M17" s="62">
        <f>IF($N17="","",INDEX('Cronograma R. Normativo'!$Q$5:$Q$1000,$N17)&amp;"")</f>
        <v/>
      </c>
      <c r="N17">
        <f>IFERROR(MATCH(ROW()-4,rOrden_RN,0),"")</f>
        <v/>
      </c>
      <c r="O17">
        <f>IF($N17="","",INDEX('Cronograma R. Normativo'!$V$5:$V$1000,$N17))</f>
        <v/>
      </c>
      <c r="P17">
        <f>IF($N17="","",N(INDEX('Cronograma R. Normativo'!$W$5:$W$1000,$N17)))</f>
        <v/>
      </c>
      <c r="Q17">
        <f>IF(OR(LEFT($L17,7)="Vencida",LEFT($L17,5)="Vence"),SUMPRODUCT(--(LEFT($L$5:$L17,7)="Vencida"))+SUMPRODUCT(--(LEFT($L$5:$L17,5)="Vence")),"")</f>
        <v/>
      </c>
    </row>
    <row r="18">
      <c r="A18" s="56">
        <f>IF($N18="","",INDEX('Cronograma R. Normativo'!$A$5:$A$1000,$N18))</f>
        <v/>
      </c>
      <c r="B18" s="62">
        <f>IF($N18="","",IF($O18="Sub","      ↳  "&amp;INDEX('Cronograma R. Normativo'!$C$5:$C$1000,$N18),INDEX('Cronograma R. Normativo'!$C$5:$C$1000,$N18)&amp;""))</f>
        <v/>
      </c>
      <c r="C18" s="79">
        <f>IF($N18="","",IF(INDEX('Cronograma R. Normativo'!$AR$5:$AR$1000,$N18)="","",INDEX('Cronograma R. Normativo'!$AR$5:$AR$1000,$N18)))</f>
        <v/>
      </c>
      <c r="D18" s="79">
        <f>IF($N18="","",IF(INDEX('Cronograma R. Normativo'!$AS$5:$AS$1000,$N18)="","",INDEX('Cronograma R. Normativo'!$AS$5:$AS$1000,$N18)))</f>
        <v/>
      </c>
      <c r="E18" s="56">
        <f>IF($N18="","",IF(NOT(ISNUMBER($D18)),"",IF($D18&lt;InicioCiclo,"Antes del ciclo",IF($D18&gt;=InicioCiclo+28,"Después del ciclo","Semana "&amp;(INT(($D18-InicioCiclo)/7)+1)))))</f>
        <v/>
      </c>
      <c r="F18" s="61">
        <f>IF($N18="","",IF($P18&gt;0,IF(1&lt;=SemanaActual,INDEX('Cronograma R. Normativo'!$AH$5:$AH$1000,$N18),""),IF(INDEX('Cronograma R. Normativo'!$I$5:$I$1000,$N18)="","",INDEX('Cronograma R. Normativo'!$I$5:$I$1000,$N18))))</f>
        <v/>
      </c>
      <c r="G18" s="61">
        <f>IF($N18="","",IF($P18&gt;0,IF(2&lt;=SemanaActual,INDEX('Cronograma R. Normativo'!$AI$5:$AI$1000,$N18),""),IF(INDEX('Cronograma R. Normativo'!$J$5:$J$1000,$N18)="","",INDEX('Cronograma R. Normativo'!$J$5:$J$1000,$N18))))</f>
        <v/>
      </c>
      <c r="H18" s="61">
        <f>IF($N18="","",IF($P18&gt;0,IF(3&lt;=SemanaActual,INDEX('Cronograma R. Normativo'!$AJ$5:$AJ$1000,$N18),""),IF(INDEX('Cronograma R. Normativo'!$K$5:$K$1000,$N18)="","",INDEX('Cronograma R. Normativo'!$K$5:$K$1000,$N18))))</f>
        <v/>
      </c>
      <c r="I18" s="61">
        <f>IF($N18="","",IF($P18&gt;0,IF(4&lt;=SemanaActual,INDEX('Cronograma R. Normativo'!$AK$5:$AK$1000,$N18),""),IF(INDEX('Cronograma R. Normativo'!$L$5:$L$1000,$N18)="","",INDEX('Cronograma R. Normativo'!$L$5:$L$1000,$N18))))</f>
        <v/>
      </c>
      <c r="J18" s="61">
        <f>IF($N18="","",INDEX('Cronograma R. Normativo'!$M$5:$M$1000,$N18))</f>
        <v/>
      </c>
      <c r="K18" s="56">
        <f>IF($N18="","",IF(N($J18)&gt;=1,"Completado",IF(AND(ISNUMBER($D18),$D18&lt;FechaRef),"Vencida",IF(N($J18)&gt;0,"En curso","Pendiente"))))</f>
        <v/>
      </c>
      <c r="L18" s="56">
        <f>IF($N18="","",INDEX('Cronograma R. Normativo'!$O$5:$O$1000,$N18)&amp;"")</f>
        <v/>
      </c>
      <c r="M18" s="62">
        <f>IF($N18="","",INDEX('Cronograma R. Normativo'!$Q$5:$Q$1000,$N18)&amp;"")</f>
        <v/>
      </c>
      <c r="N18">
        <f>IFERROR(MATCH(ROW()-4,rOrden_RN,0),"")</f>
        <v/>
      </c>
      <c r="O18">
        <f>IF($N18="","",INDEX('Cronograma R. Normativo'!$V$5:$V$1000,$N18))</f>
        <v/>
      </c>
      <c r="P18">
        <f>IF($N18="","",N(INDEX('Cronograma R. Normativo'!$W$5:$W$1000,$N18)))</f>
        <v/>
      </c>
      <c r="Q18">
        <f>IF(OR(LEFT($L18,7)="Vencida",LEFT($L18,5)="Vence"),SUMPRODUCT(--(LEFT($L$5:$L18,7)="Vencida"))+SUMPRODUCT(--(LEFT($L$5:$L18,5)="Vence")),"")</f>
        <v/>
      </c>
    </row>
    <row r="19">
      <c r="A19" s="56">
        <f>IF($N19="","",INDEX('Cronograma R. Normativo'!$A$5:$A$1000,$N19))</f>
        <v/>
      </c>
      <c r="B19" s="62">
        <f>IF($N19="","",IF($O19="Sub","      ↳  "&amp;INDEX('Cronograma R. Normativo'!$C$5:$C$1000,$N19),INDEX('Cronograma R. Normativo'!$C$5:$C$1000,$N19)&amp;""))</f>
        <v/>
      </c>
      <c r="C19" s="79">
        <f>IF($N19="","",IF(INDEX('Cronograma R. Normativo'!$AR$5:$AR$1000,$N19)="","",INDEX('Cronograma R. Normativo'!$AR$5:$AR$1000,$N19)))</f>
        <v/>
      </c>
      <c r="D19" s="79">
        <f>IF($N19="","",IF(INDEX('Cronograma R. Normativo'!$AS$5:$AS$1000,$N19)="","",INDEX('Cronograma R. Normativo'!$AS$5:$AS$1000,$N19)))</f>
        <v/>
      </c>
      <c r="E19" s="56">
        <f>IF($N19="","",IF(NOT(ISNUMBER($D19)),"",IF($D19&lt;InicioCiclo,"Antes del ciclo",IF($D19&gt;=InicioCiclo+28,"Después del ciclo","Semana "&amp;(INT(($D19-InicioCiclo)/7)+1)))))</f>
        <v/>
      </c>
      <c r="F19" s="61">
        <f>IF($N19="","",IF($P19&gt;0,IF(1&lt;=SemanaActual,INDEX('Cronograma R. Normativo'!$AH$5:$AH$1000,$N19),""),IF(INDEX('Cronograma R. Normativo'!$I$5:$I$1000,$N19)="","",INDEX('Cronograma R. Normativo'!$I$5:$I$1000,$N19))))</f>
        <v/>
      </c>
      <c r="G19" s="61">
        <f>IF($N19="","",IF($P19&gt;0,IF(2&lt;=SemanaActual,INDEX('Cronograma R. Normativo'!$AI$5:$AI$1000,$N19),""),IF(INDEX('Cronograma R. Normativo'!$J$5:$J$1000,$N19)="","",INDEX('Cronograma R. Normativo'!$J$5:$J$1000,$N19))))</f>
        <v/>
      </c>
      <c r="H19" s="61">
        <f>IF($N19="","",IF($P19&gt;0,IF(3&lt;=SemanaActual,INDEX('Cronograma R. Normativo'!$AJ$5:$AJ$1000,$N19),""),IF(INDEX('Cronograma R. Normativo'!$K$5:$K$1000,$N19)="","",INDEX('Cronograma R. Normativo'!$K$5:$K$1000,$N19))))</f>
        <v/>
      </c>
      <c r="I19" s="61">
        <f>IF($N19="","",IF($P19&gt;0,IF(4&lt;=SemanaActual,INDEX('Cronograma R. Normativo'!$AK$5:$AK$1000,$N19),""),IF(INDEX('Cronograma R. Normativo'!$L$5:$L$1000,$N19)="","",INDEX('Cronograma R. Normativo'!$L$5:$L$1000,$N19))))</f>
        <v/>
      </c>
      <c r="J19" s="61">
        <f>IF($N19="","",INDEX('Cronograma R. Normativo'!$M$5:$M$1000,$N19))</f>
        <v/>
      </c>
      <c r="K19" s="56">
        <f>IF($N19="","",IF(N($J19)&gt;=1,"Completado",IF(AND(ISNUMBER($D19),$D19&lt;FechaRef),"Vencida",IF(N($J19)&gt;0,"En curso","Pendiente"))))</f>
        <v/>
      </c>
      <c r="L19" s="56">
        <f>IF($N19="","",INDEX('Cronograma R. Normativo'!$O$5:$O$1000,$N19)&amp;"")</f>
        <v/>
      </c>
      <c r="M19" s="62">
        <f>IF($N19="","",INDEX('Cronograma R. Normativo'!$Q$5:$Q$1000,$N19)&amp;"")</f>
        <v/>
      </c>
      <c r="N19">
        <f>IFERROR(MATCH(ROW()-4,rOrden_RN,0),"")</f>
        <v/>
      </c>
      <c r="O19">
        <f>IF($N19="","",INDEX('Cronograma R. Normativo'!$V$5:$V$1000,$N19))</f>
        <v/>
      </c>
      <c r="P19">
        <f>IF($N19="","",N(INDEX('Cronograma R. Normativo'!$W$5:$W$1000,$N19)))</f>
        <v/>
      </c>
      <c r="Q19">
        <f>IF(OR(LEFT($L19,7)="Vencida",LEFT($L19,5)="Vence"),SUMPRODUCT(--(LEFT($L$5:$L19,7)="Vencida"))+SUMPRODUCT(--(LEFT($L$5:$L19,5)="Vence")),"")</f>
        <v/>
      </c>
    </row>
    <row r="20">
      <c r="A20" s="56">
        <f>IF($N20="","",INDEX('Cronograma R. Normativo'!$A$5:$A$1000,$N20))</f>
        <v/>
      </c>
      <c r="B20" s="62">
        <f>IF($N20="","",IF($O20="Sub","      ↳  "&amp;INDEX('Cronograma R. Normativo'!$C$5:$C$1000,$N20),INDEX('Cronograma R. Normativo'!$C$5:$C$1000,$N20)&amp;""))</f>
        <v/>
      </c>
      <c r="C20" s="79">
        <f>IF($N20="","",IF(INDEX('Cronograma R. Normativo'!$AR$5:$AR$1000,$N20)="","",INDEX('Cronograma R. Normativo'!$AR$5:$AR$1000,$N20)))</f>
        <v/>
      </c>
      <c r="D20" s="79">
        <f>IF($N20="","",IF(INDEX('Cronograma R. Normativo'!$AS$5:$AS$1000,$N20)="","",INDEX('Cronograma R. Normativo'!$AS$5:$AS$1000,$N20)))</f>
        <v/>
      </c>
      <c r="E20" s="56">
        <f>IF($N20="","",IF(NOT(ISNUMBER($D20)),"",IF($D20&lt;InicioCiclo,"Antes del ciclo",IF($D20&gt;=InicioCiclo+28,"Después del ciclo","Semana "&amp;(INT(($D20-InicioCiclo)/7)+1)))))</f>
        <v/>
      </c>
      <c r="F20" s="61">
        <f>IF($N20="","",IF($P20&gt;0,IF(1&lt;=SemanaActual,INDEX('Cronograma R. Normativo'!$AH$5:$AH$1000,$N20),""),IF(INDEX('Cronograma R. Normativo'!$I$5:$I$1000,$N20)="","",INDEX('Cronograma R. Normativo'!$I$5:$I$1000,$N20))))</f>
        <v/>
      </c>
      <c r="G20" s="61">
        <f>IF($N20="","",IF($P20&gt;0,IF(2&lt;=SemanaActual,INDEX('Cronograma R. Normativo'!$AI$5:$AI$1000,$N20),""),IF(INDEX('Cronograma R. Normativo'!$J$5:$J$1000,$N20)="","",INDEX('Cronograma R. Normativo'!$J$5:$J$1000,$N20))))</f>
        <v/>
      </c>
      <c r="H20" s="61">
        <f>IF($N20="","",IF($P20&gt;0,IF(3&lt;=SemanaActual,INDEX('Cronograma R. Normativo'!$AJ$5:$AJ$1000,$N20),""),IF(INDEX('Cronograma R. Normativo'!$K$5:$K$1000,$N20)="","",INDEX('Cronograma R. Normativo'!$K$5:$K$1000,$N20))))</f>
        <v/>
      </c>
      <c r="I20" s="61">
        <f>IF($N20="","",IF($P20&gt;0,IF(4&lt;=SemanaActual,INDEX('Cronograma R. Normativo'!$AK$5:$AK$1000,$N20),""),IF(INDEX('Cronograma R. Normativo'!$L$5:$L$1000,$N20)="","",INDEX('Cronograma R. Normativo'!$L$5:$L$1000,$N20))))</f>
        <v/>
      </c>
      <c r="J20" s="61">
        <f>IF($N20="","",INDEX('Cronograma R. Normativo'!$M$5:$M$1000,$N20))</f>
        <v/>
      </c>
      <c r="K20" s="56">
        <f>IF($N20="","",IF(N($J20)&gt;=1,"Completado",IF(AND(ISNUMBER($D20),$D20&lt;FechaRef),"Vencida",IF(N($J20)&gt;0,"En curso","Pendiente"))))</f>
        <v/>
      </c>
      <c r="L20" s="56">
        <f>IF($N20="","",INDEX('Cronograma R. Normativo'!$O$5:$O$1000,$N20)&amp;"")</f>
        <v/>
      </c>
      <c r="M20" s="62">
        <f>IF($N20="","",INDEX('Cronograma R. Normativo'!$Q$5:$Q$1000,$N20)&amp;"")</f>
        <v/>
      </c>
      <c r="N20">
        <f>IFERROR(MATCH(ROW()-4,rOrden_RN,0),"")</f>
        <v/>
      </c>
      <c r="O20">
        <f>IF($N20="","",INDEX('Cronograma R. Normativo'!$V$5:$V$1000,$N20))</f>
        <v/>
      </c>
      <c r="P20">
        <f>IF($N20="","",N(INDEX('Cronograma R. Normativo'!$W$5:$W$1000,$N20)))</f>
        <v/>
      </c>
      <c r="Q20">
        <f>IF(OR(LEFT($L20,7)="Vencida",LEFT($L20,5)="Vence"),SUMPRODUCT(--(LEFT($L$5:$L20,7)="Vencida"))+SUMPRODUCT(--(LEFT($L$5:$L20,5)="Vence")),"")</f>
        <v/>
      </c>
    </row>
    <row r="21">
      <c r="A21" s="56">
        <f>IF($N21="","",INDEX('Cronograma R. Normativo'!$A$5:$A$1000,$N21))</f>
        <v/>
      </c>
      <c r="B21" s="62">
        <f>IF($N21="","",IF($O21="Sub","      ↳  "&amp;INDEX('Cronograma R. Normativo'!$C$5:$C$1000,$N21),INDEX('Cronograma R. Normativo'!$C$5:$C$1000,$N21)&amp;""))</f>
        <v/>
      </c>
      <c r="C21" s="79">
        <f>IF($N21="","",IF(INDEX('Cronograma R. Normativo'!$AR$5:$AR$1000,$N21)="","",INDEX('Cronograma R. Normativo'!$AR$5:$AR$1000,$N21)))</f>
        <v/>
      </c>
      <c r="D21" s="79">
        <f>IF($N21="","",IF(INDEX('Cronograma R. Normativo'!$AS$5:$AS$1000,$N21)="","",INDEX('Cronograma R. Normativo'!$AS$5:$AS$1000,$N21)))</f>
        <v/>
      </c>
      <c r="E21" s="56">
        <f>IF($N21="","",IF(NOT(ISNUMBER($D21)),"",IF($D21&lt;InicioCiclo,"Antes del ciclo",IF($D21&gt;=InicioCiclo+28,"Después del ciclo","Semana "&amp;(INT(($D21-InicioCiclo)/7)+1)))))</f>
        <v/>
      </c>
      <c r="F21" s="61">
        <f>IF($N21="","",IF($P21&gt;0,IF(1&lt;=SemanaActual,INDEX('Cronograma R. Normativo'!$AH$5:$AH$1000,$N21),""),IF(INDEX('Cronograma R. Normativo'!$I$5:$I$1000,$N21)="","",INDEX('Cronograma R. Normativo'!$I$5:$I$1000,$N21))))</f>
        <v/>
      </c>
      <c r="G21" s="61">
        <f>IF($N21="","",IF($P21&gt;0,IF(2&lt;=SemanaActual,INDEX('Cronograma R. Normativo'!$AI$5:$AI$1000,$N21),""),IF(INDEX('Cronograma R. Normativo'!$J$5:$J$1000,$N21)="","",INDEX('Cronograma R. Normativo'!$J$5:$J$1000,$N21))))</f>
        <v/>
      </c>
      <c r="H21" s="61">
        <f>IF($N21="","",IF($P21&gt;0,IF(3&lt;=SemanaActual,INDEX('Cronograma R. Normativo'!$AJ$5:$AJ$1000,$N21),""),IF(INDEX('Cronograma R. Normativo'!$K$5:$K$1000,$N21)="","",INDEX('Cronograma R. Normativo'!$K$5:$K$1000,$N21))))</f>
        <v/>
      </c>
      <c r="I21" s="61">
        <f>IF($N21="","",IF($P21&gt;0,IF(4&lt;=SemanaActual,INDEX('Cronograma R. Normativo'!$AK$5:$AK$1000,$N21),""),IF(INDEX('Cronograma R. Normativo'!$L$5:$L$1000,$N21)="","",INDEX('Cronograma R. Normativo'!$L$5:$L$1000,$N21))))</f>
        <v/>
      </c>
      <c r="J21" s="61">
        <f>IF($N21="","",INDEX('Cronograma R. Normativo'!$M$5:$M$1000,$N21))</f>
        <v/>
      </c>
      <c r="K21" s="56">
        <f>IF($N21="","",IF(N($J21)&gt;=1,"Completado",IF(AND(ISNUMBER($D21),$D21&lt;FechaRef),"Vencida",IF(N($J21)&gt;0,"En curso","Pendiente"))))</f>
        <v/>
      </c>
      <c r="L21" s="56">
        <f>IF($N21="","",INDEX('Cronograma R. Normativo'!$O$5:$O$1000,$N21)&amp;"")</f>
        <v/>
      </c>
      <c r="M21" s="62">
        <f>IF($N21="","",INDEX('Cronograma R. Normativo'!$Q$5:$Q$1000,$N21)&amp;"")</f>
        <v/>
      </c>
      <c r="N21">
        <f>IFERROR(MATCH(ROW()-4,rOrden_RN,0),"")</f>
        <v/>
      </c>
      <c r="O21">
        <f>IF($N21="","",INDEX('Cronograma R. Normativo'!$V$5:$V$1000,$N21))</f>
        <v/>
      </c>
      <c r="P21">
        <f>IF($N21="","",N(INDEX('Cronograma R. Normativo'!$W$5:$W$1000,$N21)))</f>
        <v/>
      </c>
      <c r="Q21">
        <f>IF(OR(LEFT($L21,7)="Vencida",LEFT($L21,5)="Vence"),SUMPRODUCT(--(LEFT($L$5:$L21,7)="Vencida"))+SUMPRODUCT(--(LEFT($L$5:$L21,5)="Vence")),"")</f>
        <v/>
      </c>
    </row>
    <row r="22">
      <c r="A22" s="56">
        <f>IF($N22="","",INDEX('Cronograma R. Normativo'!$A$5:$A$1000,$N22))</f>
        <v/>
      </c>
      <c r="B22" s="62">
        <f>IF($N22="","",IF($O22="Sub","      ↳  "&amp;INDEX('Cronograma R. Normativo'!$C$5:$C$1000,$N22),INDEX('Cronograma R. Normativo'!$C$5:$C$1000,$N22)&amp;""))</f>
        <v/>
      </c>
      <c r="C22" s="79">
        <f>IF($N22="","",IF(INDEX('Cronograma R. Normativo'!$AR$5:$AR$1000,$N22)="","",INDEX('Cronograma R. Normativo'!$AR$5:$AR$1000,$N22)))</f>
        <v/>
      </c>
      <c r="D22" s="79">
        <f>IF($N22="","",IF(INDEX('Cronograma R. Normativo'!$AS$5:$AS$1000,$N22)="","",INDEX('Cronograma R. Normativo'!$AS$5:$AS$1000,$N22)))</f>
        <v/>
      </c>
      <c r="E22" s="56">
        <f>IF($N22="","",IF(NOT(ISNUMBER($D22)),"",IF($D22&lt;InicioCiclo,"Antes del ciclo",IF($D22&gt;=InicioCiclo+28,"Después del ciclo","Semana "&amp;(INT(($D22-InicioCiclo)/7)+1)))))</f>
        <v/>
      </c>
      <c r="F22" s="61">
        <f>IF($N22="","",IF($P22&gt;0,IF(1&lt;=SemanaActual,INDEX('Cronograma R. Normativo'!$AH$5:$AH$1000,$N22),""),IF(INDEX('Cronograma R. Normativo'!$I$5:$I$1000,$N22)="","",INDEX('Cronograma R. Normativo'!$I$5:$I$1000,$N22))))</f>
        <v/>
      </c>
      <c r="G22" s="61">
        <f>IF($N22="","",IF($P22&gt;0,IF(2&lt;=SemanaActual,INDEX('Cronograma R. Normativo'!$AI$5:$AI$1000,$N22),""),IF(INDEX('Cronograma R. Normativo'!$J$5:$J$1000,$N22)="","",INDEX('Cronograma R. Normativo'!$J$5:$J$1000,$N22))))</f>
        <v/>
      </c>
      <c r="H22" s="61">
        <f>IF($N22="","",IF($P22&gt;0,IF(3&lt;=SemanaActual,INDEX('Cronograma R. Normativo'!$AJ$5:$AJ$1000,$N22),""),IF(INDEX('Cronograma R. Normativo'!$K$5:$K$1000,$N22)="","",INDEX('Cronograma R. Normativo'!$K$5:$K$1000,$N22))))</f>
        <v/>
      </c>
      <c r="I22" s="61">
        <f>IF($N22="","",IF($P22&gt;0,IF(4&lt;=SemanaActual,INDEX('Cronograma R. Normativo'!$AK$5:$AK$1000,$N22),""),IF(INDEX('Cronograma R. Normativo'!$L$5:$L$1000,$N22)="","",INDEX('Cronograma R. Normativo'!$L$5:$L$1000,$N22))))</f>
        <v/>
      </c>
      <c r="J22" s="61">
        <f>IF($N22="","",INDEX('Cronograma R. Normativo'!$M$5:$M$1000,$N22))</f>
        <v/>
      </c>
      <c r="K22" s="56">
        <f>IF($N22="","",IF(N($J22)&gt;=1,"Completado",IF(AND(ISNUMBER($D22),$D22&lt;FechaRef),"Vencida",IF(N($J22)&gt;0,"En curso","Pendiente"))))</f>
        <v/>
      </c>
      <c r="L22" s="56">
        <f>IF($N22="","",INDEX('Cronograma R. Normativo'!$O$5:$O$1000,$N22)&amp;"")</f>
        <v/>
      </c>
      <c r="M22" s="62">
        <f>IF($N22="","",INDEX('Cronograma R. Normativo'!$Q$5:$Q$1000,$N22)&amp;"")</f>
        <v/>
      </c>
      <c r="N22">
        <f>IFERROR(MATCH(ROW()-4,rOrden_RN,0),"")</f>
        <v/>
      </c>
      <c r="O22">
        <f>IF($N22="","",INDEX('Cronograma R. Normativo'!$V$5:$V$1000,$N22))</f>
        <v/>
      </c>
      <c r="P22">
        <f>IF($N22="","",N(INDEX('Cronograma R. Normativo'!$W$5:$W$1000,$N22)))</f>
        <v/>
      </c>
      <c r="Q22">
        <f>IF(OR(LEFT($L22,7)="Vencida",LEFT($L22,5)="Vence"),SUMPRODUCT(--(LEFT($L$5:$L22,7)="Vencida"))+SUMPRODUCT(--(LEFT($L$5:$L22,5)="Vence")),"")</f>
        <v/>
      </c>
    </row>
    <row r="23">
      <c r="A23" s="56">
        <f>IF($N23="","",INDEX('Cronograma R. Normativo'!$A$5:$A$1000,$N23))</f>
        <v/>
      </c>
      <c r="B23" s="62">
        <f>IF($N23="","",IF($O23="Sub","      ↳  "&amp;INDEX('Cronograma R. Normativo'!$C$5:$C$1000,$N23),INDEX('Cronograma R. Normativo'!$C$5:$C$1000,$N23)&amp;""))</f>
        <v/>
      </c>
      <c r="C23" s="79">
        <f>IF($N23="","",IF(INDEX('Cronograma R. Normativo'!$AR$5:$AR$1000,$N23)="","",INDEX('Cronograma R. Normativo'!$AR$5:$AR$1000,$N23)))</f>
        <v/>
      </c>
      <c r="D23" s="79">
        <f>IF($N23="","",IF(INDEX('Cronograma R. Normativo'!$AS$5:$AS$1000,$N23)="","",INDEX('Cronograma R. Normativo'!$AS$5:$AS$1000,$N23)))</f>
        <v/>
      </c>
      <c r="E23" s="56">
        <f>IF($N23="","",IF(NOT(ISNUMBER($D23)),"",IF($D23&lt;InicioCiclo,"Antes del ciclo",IF($D23&gt;=InicioCiclo+28,"Después del ciclo","Semana "&amp;(INT(($D23-InicioCiclo)/7)+1)))))</f>
        <v/>
      </c>
      <c r="F23" s="61">
        <f>IF($N23="","",IF($P23&gt;0,IF(1&lt;=SemanaActual,INDEX('Cronograma R. Normativo'!$AH$5:$AH$1000,$N23),""),IF(INDEX('Cronograma R. Normativo'!$I$5:$I$1000,$N23)="","",INDEX('Cronograma R. Normativo'!$I$5:$I$1000,$N23))))</f>
        <v/>
      </c>
      <c r="G23" s="61">
        <f>IF($N23="","",IF($P23&gt;0,IF(2&lt;=SemanaActual,INDEX('Cronograma R. Normativo'!$AI$5:$AI$1000,$N23),""),IF(INDEX('Cronograma R. Normativo'!$J$5:$J$1000,$N23)="","",INDEX('Cronograma R. Normativo'!$J$5:$J$1000,$N23))))</f>
        <v/>
      </c>
      <c r="H23" s="61">
        <f>IF($N23="","",IF($P23&gt;0,IF(3&lt;=SemanaActual,INDEX('Cronograma R. Normativo'!$AJ$5:$AJ$1000,$N23),""),IF(INDEX('Cronograma R. Normativo'!$K$5:$K$1000,$N23)="","",INDEX('Cronograma R. Normativo'!$K$5:$K$1000,$N23))))</f>
        <v/>
      </c>
      <c r="I23" s="61">
        <f>IF($N23="","",IF($P23&gt;0,IF(4&lt;=SemanaActual,INDEX('Cronograma R. Normativo'!$AK$5:$AK$1000,$N23),""),IF(INDEX('Cronograma R. Normativo'!$L$5:$L$1000,$N23)="","",INDEX('Cronograma R. Normativo'!$L$5:$L$1000,$N23))))</f>
        <v/>
      </c>
      <c r="J23" s="61">
        <f>IF($N23="","",INDEX('Cronograma R. Normativo'!$M$5:$M$1000,$N23))</f>
        <v/>
      </c>
      <c r="K23" s="56">
        <f>IF($N23="","",IF(N($J23)&gt;=1,"Completado",IF(AND(ISNUMBER($D23),$D23&lt;FechaRef),"Vencida",IF(N($J23)&gt;0,"En curso","Pendiente"))))</f>
        <v/>
      </c>
      <c r="L23" s="56">
        <f>IF($N23="","",INDEX('Cronograma R. Normativo'!$O$5:$O$1000,$N23)&amp;"")</f>
        <v/>
      </c>
      <c r="M23" s="62">
        <f>IF($N23="","",INDEX('Cronograma R. Normativo'!$Q$5:$Q$1000,$N23)&amp;"")</f>
        <v/>
      </c>
      <c r="N23">
        <f>IFERROR(MATCH(ROW()-4,rOrden_RN,0),"")</f>
        <v/>
      </c>
      <c r="O23">
        <f>IF($N23="","",INDEX('Cronograma R. Normativo'!$V$5:$V$1000,$N23))</f>
        <v/>
      </c>
      <c r="P23">
        <f>IF($N23="","",N(INDEX('Cronograma R. Normativo'!$W$5:$W$1000,$N23)))</f>
        <v/>
      </c>
      <c r="Q23">
        <f>IF(OR(LEFT($L23,7)="Vencida",LEFT($L23,5)="Vence"),SUMPRODUCT(--(LEFT($L$5:$L23,7)="Vencida"))+SUMPRODUCT(--(LEFT($L$5:$L23,5)="Vence")),"")</f>
        <v/>
      </c>
    </row>
    <row r="24">
      <c r="A24" s="56">
        <f>IF($N24="","",INDEX('Cronograma R. Normativo'!$A$5:$A$1000,$N24))</f>
        <v/>
      </c>
      <c r="B24" s="62">
        <f>IF($N24="","",IF($O24="Sub","      ↳  "&amp;INDEX('Cronograma R. Normativo'!$C$5:$C$1000,$N24),INDEX('Cronograma R. Normativo'!$C$5:$C$1000,$N24)&amp;""))</f>
        <v/>
      </c>
      <c r="C24" s="79">
        <f>IF($N24="","",IF(INDEX('Cronograma R. Normativo'!$AR$5:$AR$1000,$N24)="","",INDEX('Cronograma R. Normativo'!$AR$5:$AR$1000,$N24)))</f>
        <v/>
      </c>
      <c r="D24" s="79">
        <f>IF($N24="","",IF(INDEX('Cronograma R. Normativo'!$AS$5:$AS$1000,$N24)="","",INDEX('Cronograma R. Normativo'!$AS$5:$AS$1000,$N24)))</f>
        <v/>
      </c>
      <c r="E24" s="56">
        <f>IF($N24="","",IF(NOT(ISNUMBER($D24)),"",IF($D24&lt;InicioCiclo,"Antes del ciclo",IF($D24&gt;=InicioCiclo+28,"Después del ciclo","Semana "&amp;(INT(($D24-InicioCiclo)/7)+1)))))</f>
        <v/>
      </c>
      <c r="F24" s="61">
        <f>IF($N24="","",IF($P24&gt;0,IF(1&lt;=SemanaActual,INDEX('Cronograma R. Normativo'!$AH$5:$AH$1000,$N24),""),IF(INDEX('Cronograma R. Normativo'!$I$5:$I$1000,$N24)="","",INDEX('Cronograma R. Normativo'!$I$5:$I$1000,$N24))))</f>
        <v/>
      </c>
      <c r="G24" s="61">
        <f>IF($N24="","",IF($P24&gt;0,IF(2&lt;=SemanaActual,INDEX('Cronograma R. Normativo'!$AI$5:$AI$1000,$N24),""),IF(INDEX('Cronograma R. Normativo'!$J$5:$J$1000,$N24)="","",INDEX('Cronograma R. Normativo'!$J$5:$J$1000,$N24))))</f>
        <v/>
      </c>
      <c r="H24" s="61">
        <f>IF($N24="","",IF($P24&gt;0,IF(3&lt;=SemanaActual,INDEX('Cronograma R. Normativo'!$AJ$5:$AJ$1000,$N24),""),IF(INDEX('Cronograma R. Normativo'!$K$5:$K$1000,$N24)="","",INDEX('Cronograma R. Normativo'!$K$5:$K$1000,$N24))))</f>
        <v/>
      </c>
      <c r="I24" s="61">
        <f>IF($N24="","",IF($P24&gt;0,IF(4&lt;=SemanaActual,INDEX('Cronograma R. Normativo'!$AK$5:$AK$1000,$N24),""),IF(INDEX('Cronograma R. Normativo'!$L$5:$L$1000,$N24)="","",INDEX('Cronograma R. Normativo'!$L$5:$L$1000,$N24))))</f>
        <v/>
      </c>
      <c r="J24" s="61">
        <f>IF($N24="","",INDEX('Cronograma R. Normativo'!$M$5:$M$1000,$N24))</f>
        <v/>
      </c>
      <c r="K24" s="56">
        <f>IF($N24="","",IF(N($J24)&gt;=1,"Completado",IF(AND(ISNUMBER($D24),$D24&lt;FechaRef),"Vencida",IF(N($J24)&gt;0,"En curso","Pendiente"))))</f>
        <v/>
      </c>
      <c r="L24" s="56">
        <f>IF($N24="","",INDEX('Cronograma R. Normativo'!$O$5:$O$1000,$N24)&amp;"")</f>
        <v/>
      </c>
      <c r="M24" s="62">
        <f>IF($N24="","",INDEX('Cronograma R. Normativo'!$Q$5:$Q$1000,$N24)&amp;"")</f>
        <v/>
      </c>
      <c r="N24">
        <f>IFERROR(MATCH(ROW()-4,rOrden_RN,0),"")</f>
        <v/>
      </c>
      <c r="O24">
        <f>IF($N24="","",INDEX('Cronograma R. Normativo'!$V$5:$V$1000,$N24))</f>
        <v/>
      </c>
      <c r="P24">
        <f>IF($N24="","",N(INDEX('Cronograma R. Normativo'!$W$5:$W$1000,$N24)))</f>
        <v/>
      </c>
      <c r="Q24">
        <f>IF(OR(LEFT($L24,7)="Vencida",LEFT($L24,5)="Vence"),SUMPRODUCT(--(LEFT($L$5:$L24,7)="Vencida"))+SUMPRODUCT(--(LEFT($L$5:$L24,5)="Vence")),"")</f>
        <v/>
      </c>
    </row>
    <row r="25">
      <c r="A25" s="56">
        <f>IF($N25="","",INDEX('Cronograma R. Normativo'!$A$5:$A$1000,$N25))</f>
        <v/>
      </c>
      <c r="B25" s="62">
        <f>IF($N25="","",IF($O25="Sub","      ↳  "&amp;INDEX('Cronograma R. Normativo'!$C$5:$C$1000,$N25),INDEX('Cronograma R. Normativo'!$C$5:$C$1000,$N25)&amp;""))</f>
        <v/>
      </c>
      <c r="C25" s="79">
        <f>IF($N25="","",IF(INDEX('Cronograma R. Normativo'!$AR$5:$AR$1000,$N25)="","",INDEX('Cronograma R. Normativo'!$AR$5:$AR$1000,$N25)))</f>
        <v/>
      </c>
      <c r="D25" s="79">
        <f>IF($N25="","",IF(INDEX('Cronograma R. Normativo'!$AS$5:$AS$1000,$N25)="","",INDEX('Cronograma R. Normativo'!$AS$5:$AS$1000,$N25)))</f>
        <v/>
      </c>
      <c r="E25" s="56">
        <f>IF($N25="","",IF(NOT(ISNUMBER($D25)),"",IF($D25&lt;InicioCiclo,"Antes del ciclo",IF($D25&gt;=InicioCiclo+28,"Después del ciclo","Semana "&amp;(INT(($D25-InicioCiclo)/7)+1)))))</f>
        <v/>
      </c>
      <c r="F25" s="61">
        <f>IF($N25="","",IF($P25&gt;0,IF(1&lt;=SemanaActual,INDEX('Cronograma R. Normativo'!$AH$5:$AH$1000,$N25),""),IF(INDEX('Cronograma R. Normativo'!$I$5:$I$1000,$N25)="","",INDEX('Cronograma R. Normativo'!$I$5:$I$1000,$N25))))</f>
        <v/>
      </c>
      <c r="G25" s="61">
        <f>IF($N25="","",IF($P25&gt;0,IF(2&lt;=SemanaActual,INDEX('Cronograma R. Normativo'!$AI$5:$AI$1000,$N25),""),IF(INDEX('Cronograma R. Normativo'!$J$5:$J$1000,$N25)="","",INDEX('Cronograma R. Normativo'!$J$5:$J$1000,$N25))))</f>
        <v/>
      </c>
      <c r="H25" s="61">
        <f>IF($N25="","",IF($P25&gt;0,IF(3&lt;=SemanaActual,INDEX('Cronograma R. Normativo'!$AJ$5:$AJ$1000,$N25),""),IF(INDEX('Cronograma R. Normativo'!$K$5:$K$1000,$N25)="","",INDEX('Cronograma R. Normativo'!$K$5:$K$1000,$N25))))</f>
        <v/>
      </c>
      <c r="I25" s="61">
        <f>IF($N25="","",IF($P25&gt;0,IF(4&lt;=SemanaActual,INDEX('Cronograma R. Normativo'!$AK$5:$AK$1000,$N25),""),IF(INDEX('Cronograma R. Normativo'!$L$5:$L$1000,$N25)="","",INDEX('Cronograma R. Normativo'!$L$5:$L$1000,$N25))))</f>
        <v/>
      </c>
      <c r="J25" s="61">
        <f>IF($N25="","",INDEX('Cronograma R. Normativo'!$M$5:$M$1000,$N25))</f>
        <v/>
      </c>
      <c r="K25" s="56">
        <f>IF($N25="","",IF(N($J25)&gt;=1,"Completado",IF(AND(ISNUMBER($D25),$D25&lt;FechaRef),"Vencida",IF(N($J25)&gt;0,"En curso","Pendiente"))))</f>
        <v/>
      </c>
      <c r="L25" s="56">
        <f>IF($N25="","",INDEX('Cronograma R. Normativo'!$O$5:$O$1000,$N25)&amp;"")</f>
        <v/>
      </c>
      <c r="M25" s="62">
        <f>IF($N25="","",INDEX('Cronograma R. Normativo'!$Q$5:$Q$1000,$N25)&amp;"")</f>
        <v/>
      </c>
      <c r="N25">
        <f>IFERROR(MATCH(ROW()-4,rOrden_RN,0),"")</f>
        <v/>
      </c>
      <c r="O25">
        <f>IF($N25="","",INDEX('Cronograma R. Normativo'!$V$5:$V$1000,$N25))</f>
        <v/>
      </c>
      <c r="P25">
        <f>IF($N25="","",N(INDEX('Cronograma R. Normativo'!$W$5:$W$1000,$N25)))</f>
        <v/>
      </c>
      <c r="Q25">
        <f>IF(OR(LEFT($L25,7)="Vencida",LEFT($L25,5)="Vence"),SUMPRODUCT(--(LEFT($L$5:$L25,7)="Vencida"))+SUMPRODUCT(--(LEFT($L$5:$L25,5)="Vence")),"")</f>
        <v/>
      </c>
    </row>
    <row r="26">
      <c r="A26" s="56">
        <f>IF($N26="","",INDEX('Cronograma R. Normativo'!$A$5:$A$1000,$N26))</f>
        <v/>
      </c>
      <c r="B26" s="62">
        <f>IF($N26="","",IF($O26="Sub","      ↳  "&amp;INDEX('Cronograma R. Normativo'!$C$5:$C$1000,$N26),INDEX('Cronograma R. Normativo'!$C$5:$C$1000,$N26)&amp;""))</f>
        <v/>
      </c>
      <c r="C26" s="79">
        <f>IF($N26="","",IF(INDEX('Cronograma R. Normativo'!$AR$5:$AR$1000,$N26)="","",INDEX('Cronograma R. Normativo'!$AR$5:$AR$1000,$N26)))</f>
        <v/>
      </c>
      <c r="D26" s="79">
        <f>IF($N26="","",IF(INDEX('Cronograma R. Normativo'!$AS$5:$AS$1000,$N26)="","",INDEX('Cronograma R. Normativo'!$AS$5:$AS$1000,$N26)))</f>
        <v/>
      </c>
      <c r="E26" s="56">
        <f>IF($N26="","",IF(NOT(ISNUMBER($D26)),"",IF($D26&lt;InicioCiclo,"Antes del ciclo",IF($D26&gt;=InicioCiclo+28,"Después del ciclo","Semana "&amp;(INT(($D26-InicioCiclo)/7)+1)))))</f>
        <v/>
      </c>
      <c r="F26" s="61">
        <f>IF($N26="","",IF($P26&gt;0,IF(1&lt;=SemanaActual,INDEX('Cronograma R. Normativo'!$AH$5:$AH$1000,$N26),""),IF(INDEX('Cronograma R. Normativo'!$I$5:$I$1000,$N26)="","",INDEX('Cronograma R. Normativo'!$I$5:$I$1000,$N26))))</f>
        <v/>
      </c>
      <c r="G26" s="61">
        <f>IF($N26="","",IF($P26&gt;0,IF(2&lt;=SemanaActual,INDEX('Cronograma R. Normativo'!$AI$5:$AI$1000,$N26),""),IF(INDEX('Cronograma R. Normativo'!$J$5:$J$1000,$N26)="","",INDEX('Cronograma R. Normativo'!$J$5:$J$1000,$N26))))</f>
        <v/>
      </c>
      <c r="H26" s="61">
        <f>IF($N26="","",IF($P26&gt;0,IF(3&lt;=SemanaActual,INDEX('Cronograma R. Normativo'!$AJ$5:$AJ$1000,$N26),""),IF(INDEX('Cronograma R. Normativo'!$K$5:$K$1000,$N26)="","",INDEX('Cronograma R. Normativo'!$K$5:$K$1000,$N26))))</f>
        <v/>
      </c>
      <c r="I26" s="61">
        <f>IF($N26="","",IF($P26&gt;0,IF(4&lt;=SemanaActual,INDEX('Cronograma R. Normativo'!$AK$5:$AK$1000,$N26),""),IF(INDEX('Cronograma R. Normativo'!$L$5:$L$1000,$N26)="","",INDEX('Cronograma R. Normativo'!$L$5:$L$1000,$N26))))</f>
        <v/>
      </c>
      <c r="J26" s="61">
        <f>IF($N26="","",INDEX('Cronograma R. Normativo'!$M$5:$M$1000,$N26))</f>
        <v/>
      </c>
      <c r="K26" s="56">
        <f>IF($N26="","",IF(N($J26)&gt;=1,"Completado",IF(AND(ISNUMBER($D26),$D26&lt;FechaRef),"Vencida",IF(N($J26)&gt;0,"En curso","Pendiente"))))</f>
        <v/>
      </c>
      <c r="L26" s="56">
        <f>IF($N26="","",INDEX('Cronograma R. Normativo'!$O$5:$O$1000,$N26)&amp;"")</f>
        <v/>
      </c>
      <c r="M26" s="62">
        <f>IF($N26="","",INDEX('Cronograma R. Normativo'!$Q$5:$Q$1000,$N26)&amp;"")</f>
        <v/>
      </c>
      <c r="N26">
        <f>IFERROR(MATCH(ROW()-4,rOrden_RN,0),"")</f>
        <v/>
      </c>
      <c r="O26">
        <f>IF($N26="","",INDEX('Cronograma R. Normativo'!$V$5:$V$1000,$N26))</f>
        <v/>
      </c>
      <c r="P26">
        <f>IF($N26="","",N(INDEX('Cronograma R. Normativo'!$W$5:$W$1000,$N26)))</f>
        <v/>
      </c>
      <c r="Q26">
        <f>IF(OR(LEFT($L26,7)="Vencida",LEFT($L26,5)="Vence"),SUMPRODUCT(--(LEFT($L$5:$L26,7)="Vencida"))+SUMPRODUCT(--(LEFT($L$5:$L26,5)="Vence")),"")</f>
        <v/>
      </c>
    </row>
    <row r="27">
      <c r="A27" s="56">
        <f>IF($N27="","",INDEX('Cronograma R. Normativo'!$A$5:$A$1000,$N27))</f>
        <v/>
      </c>
      <c r="B27" s="62">
        <f>IF($N27="","",IF($O27="Sub","      ↳  "&amp;INDEX('Cronograma R. Normativo'!$C$5:$C$1000,$N27),INDEX('Cronograma R. Normativo'!$C$5:$C$1000,$N27)&amp;""))</f>
        <v/>
      </c>
      <c r="C27" s="79">
        <f>IF($N27="","",IF(INDEX('Cronograma R. Normativo'!$AR$5:$AR$1000,$N27)="","",INDEX('Cronograma R. Normativo'!$AR$5:$AR$1000,$N27)))</f>
        <v/>
      </c>
      <c r="D27" s="79">
        <f>IF($N27="","",IF(INDEX('Cronograma R. Normativo'!$AS$5:$AS$1000,$N27)="","",INDEX('Cronograma R. Normativo'!$AS$5:$AS$1000,$N27)))</f>
        <v/>
      </c>
      <c r="E27" s="56">
        <f>IF($N27="","",IF(NOT(ISNUMBER($D27)),"",IF($D27&lt;InicioCiclo,"Antes del ciclo",IF($D27&gt;=InicioCiclo+28,"Después del ciclo","Semana "&amp;(INT(($D27-InicioCiclo)/7)+1)))))</f>
        <v/>
      </c>
      <c r="F27" s="61">
        <f>IF($N27="","",IF($P27&gt;0,IF(1&lt;=SemanaActual,INDEX('Cronograma R. Normativo'!$AH$5:$AH$1000,$N27),""),IF(INDEX('Cronograma R. Normativo'!$I$5:$I$1000,$N27)="","",INDEX('Cronograma R. Normativo'!$I$5:$I$1000,$N27))))</f>
        <v/>
      </c>
      <c r="G27" s="61">
        <f>IF($N27="","",IF($P27&gt;0,IF(2&lt;=SemanaActual,INDEX('Cronograma R. Normativo'!$AI$5:$AI$1000,$N27),""),IF(INDEX('Cronograma R. Normativo'!$J$5:$J$1000,$N27)="","",INDEX('Cronograma R. Normativo'!$J$5:$J$1000,$N27))))</f>
        <v/>
      </c>
      <c r="H27" s="61">
        <f>IF($N27="","",IF($P27&gt;0,IF(3&lt;=SemanaActual,INDEX('Cronograma R. Normativo'!$AJ$5:$AJ$1000,$N27),""),IF(INDEX('Cronograma R. Normativo'!$K$5:$K$1000,$N27)="","",INDEX('Cronograma R. Normativo'!$K$5:$K$1000,$N27))))</f>
        <v/>
      </c>
      <c r="I27" s="61">
        <f>IF($N27="","",IF($P27&gt;0,IF(4&lt;=SemanaActual,INDEX('Cronograma R. Normativo'!$AK$5:$AK$1000,$N27),""),IF(INDEX('Cronograma R. Normativo'!$L$5:$L$1000,$N27)="","",INDEX('Cronograma R. Normativo'!$L$5:$L$1000,$N27))))</f>
        <v/>
      </c>
      <c r="J27" s="61">
        <f>IF($N27="","",INDEX('Cronograma R. Normativo'!$M$5:$M$1000,$N27))</f>
        <v/>
      </c>
      <c r="K27" s="56">
        <f>IF($N27="","",IF(N($J27)&gt;=1,"Completado",IF(AND(ISNUMBER($D27),$D27&lt;FechaRef),"Vencida",IF(N($J27)&gt;0,"En curso","Pendiente"))))</f>
        <v/>
      </c>
      <c r="L27" s="56">
        <f>IF($N27="","",INDEX('Cronograma R. Normativo'!$O$5:$O$1000,$N27)&amp;"")</f>
        <v/>
      </c>
      <c r="M27" s="62">
        <f>IF($N27="","",INDEX('Cronograma R. Normativo'!$Q$5:$Q$1000,$N27)&amp;"")</f>
        <v/>
      </c>
      <c r="N27">
        <f>IFERROR(MATCH(ROW()-4,rOrden_RN,0),"")</f>
        <v/>
      </c>
      <c r="O27">
        <f>IF($N27="","",INDEX('Cronograma R. Normativo'!$V$5:$V$1000,$N27))</f>
        <v/>
      </c>
      <c r="P27">
        <f>IF($N27="","",N(INDEX('Cronograma R. Normativo'!$W$5:$W$1000,$N27)))</f>
        <v/>
      </c>
      <c r="Q27">
        <f>IF(OR(LEFT($L27,7)="Vencida",LEFT($L27,5)="Vence"),SUMPRODUCT(--(LEFT($L$5:$L27,7)="Vencida"))+SUMPRODUCT(--(LEFT($L$5:$L27,5)="Vence")),"")</f>
        <v/>
      </c>
    </row>
    <row r="28">
      <c r="A28" s="56">
        <f>IF($N28="","",INDEX('Cronograma R. Normativo'!$A$5:$A$1000,$N28))</f>
        <v/>
      </c>
      <c r="B28" s="62">
        <f>IF($N28="","",IF($O28="Sub","      ↳  "&amp;INDEX('Cronograma R. Normativo'!$C$5:$C$1000,$N28),INDEX('Cronograma R. Normativo'!$C$5:$C$1000,$N28)&amp;""))</f>
        <v/>
      </c>
      <c r="C28" s="79">
        <f>IF($N28="","",IF(INDEX('Cronograma R. Normativo'!$AR$5:$AR$1000,$N28)="","",INDEX('Cronograma R. Normativo'!$AR$5:$AR$1000,$N28)))</f>
        <v/>
      </c>
      <c r="D28" s="79">
        <f>IF($N28="","",IF(INDEX('Cronograma R. Normativo'!$AS$5:$AS$1000,$N28)="","",INDEX('Cronograma R. Normativo'!$AS$5:$AS$1000,$N28)))</f>
        <v/>
      </c>
      <c r="E28" s="56">
        <f>IF($N28="","",IF(NOT(ISNUMBER($D28)),"",IF($D28&lt;InicioCiclo,"Antes del ciclo",IF($D28&gt;=InicioCiclo+28,"Después del ciclo","Semana "&amp;(INT(($D28-InicioCiclo)/7)+1)))))</f>
        <v/>
      </c>
      <c r="F28" s="61">
        <f>IF($N28="","",IF($P28&gt;0,IF(1&lt;=SemanaActual,INDEX('Cronograma R. Normativo'!$AH$5:$AH$1000,$N28),""),IF(INDEX('Cronograma R. Normativo'!$I$5:$I$1000,$N28)="","",INDEX('Cronograma R. Normativo'!$I$5:$I$1000,$N28))))</f>
        <v/>
      </c>
      <c r="G28" s="61">
        <f>IF($N28="","",IF($P28&gt;0,IF(2&lt;=SemanaActual,INDEX('Cronograma R. Normativo'!$AI$5:$AI$1000,$N28),""),IF(INDEX('Cronograma R. Normativo'!$J$5:$J$1000,$N28)="","",INDEX('Cronograma R. Normativo'!$J$5:$J$1000,$N28))))</f>
        <v/>
      </c>
      <c r="H28" s="61">
        <f>IF($N28="","",IF($P28&gt;0,IF(3&lt;=SemanaActual,INDEX('Cronograma R. Normativo'!$AJ$5:$AJ$1000,$N28),""),IF(INDEX('Cronograma R. Normativo'!$K$5:$K$1000,$N28)="","",INDEX('Cronograma R. Normativo'!$K$5:$K$1000,$N28))))</f>
        <v/>
      </c>
      <c r="I28" s="61">
        <f>IF($N28="","",IF($P28&gt;0,IF(4&lt;=SemanaActual,INDEX('Cronograma R. Normativo'!$AK$5:$AK$1000,$N28),""),IF(INDEX('Cronograma R. Normativo'!$L$5:$L$1000,$N28)="","",INDEX('Cronograma R. Normativo'!$L$5:$L$1000,$N28))))</f>
        <v/>
      </c>
      <c r="J28" s="61">
        <f>IF($N28="","",INDEX('Cronograma R. Normativo'!$M$5:$M$1000,$N28))</f>
        <v/>
      </c>
      <c r="K28" s="56">
        <f>IF($N28="","",IF(N($J28)&gt;=1,"Completado",IF(AND(ISNUMBER($D28),$D28&lt;FechaRef),"Vencida",IF(N($J28)&gt;0,"En curso","Pendiente"))))</f>
        <v/>
      </c>
      <c r="L28" s="56">
        <f>IF($N28="","",INDEX('Cronograma R. Normativo'!$O$5:$O$1000,$N28)&amp;"")</f>
        <v/>
      </c>
      <c r="M28" s="62">
        <f>IF($N28="","",INDEX('Cronograma R. Normativo'!$Q$5:$Q$1000,$N28)&amp;"")</f>
        <v/>
      </c>
      <c r="N28">
        <f>IFERROR(MATCH(ROW()-4,rOrden_RN,0),"")</f>
        <v/>
      </c>
      <c r="O28">
        <f>IF($N28="","",INDEX('Cronograma R. Normativo'!$V$5:$V$1000,$N28))</f>
        <v/>
      </c>
      <c r="P28">
        <f>IF($N28="","",N(INDEX('Cronograma R. Normativo'!$W$5:$W$1000,$N28)))</f>
        <v/>
      </c>
      <c r="Q28">
        <f>IF(OR(LEFT($L28,7)="Vencida",LEFT($L28,5)="Vence"),SUMPRODUCT(--(LEFT($L$5:$L28,7)="Vencida"))+SUMPRODUCT(--(LEFT($L$5:$L28,5)="Vence")),"")</f>
        <v/>
      </c>
    </row>
    <row r="29">
      <c r="A29" s="56">
        <f>IF($N29="","",INDEX('Cronograma R. Normativo'!$A$5:$A$1000,$N29))</f>
        <v/>
      </c>
      <c r="B29" s="62">
        <f>IF($N29="","",IF($O29="Sub","      ↳  "&amp;INDEX('Cronograma R. Normativo'!$C$5:$C$1000,$N29),INDEX('Cronograma R. Normativo'!$C$5:$C$1000,$N29)&amp;""))</f>
        <v/>
      </c>
      <c r="C29" s="79">
        <f>IF($N29="","",IF(INDEX('Cronograma R. Normativo'!$AR$5:$AR$1000,$N29)="","",INDEX('Cronograma R. Normativo'!$AR$5:$AR$1000,$N29)))</f>
        <v/>
      </c>
      <c r="D29" s="79">
        <f>IF($N29="","",IF(INDEX('Cronograma R. Normativo'!$AS$5:$AS$1000,$N29)="","",INDEX('Cronograma R. Normativo'!$AS$5:$AS$1000,$N29)))</f>
        <v/>
      </c>
      <c r="E29" s="56">
        <f>IF($N29="","",IF(NOT(ISNUMBER($D29)),"",IF($D29&lt;InicioCiclo,"Antes del ciclo",IF($D29&gt;=InicioCiclo+28,"Después del ciclo","Semana "&amp;(INT(($D29-InicioCiclo)/7)+1)))))</f>
        <v/>
      </c>
      <c r="F29" s="61">
        <f>IF($N29="","",IF($P29&gt;0,IF(1&lt;=SemanaActual,INDEX('Cronograma R. Normativo'!$AH$5:$AH$1000,$N29),""),IF(INDEX('Cronograma R. Normativo'!$I$5:$I$1000,$N29)="","",INDEX('Cronograma R. Normativo'!$I$5:$I$1000,$N29))))</f>
        <v/>
      </c>
      <c r="G29" s="61">
        <f>IF($N29="","",IF($P29&gt;0,IF(2&lt;=SemanaActual,INDEX('Cronograma R. Normativo'!$AI$5:$AI$1000,$N29),""),IF(INDEX('Cronograma R. Normativo'!$J$5:$J$1000,$N29)="","",INDEX('Cronograma R. Normativo'!$J$5:$J$1000,$N29))))</f>
        <v/>
      </c>
      <c r="H29" s="61">
        <f>IF($N29="","",IF($P29&gt;0,IF(3&lt;=SemanaActual,INDEX('Cronograma R. Normativo'!$AJ$5:$AJ$1000,$N29),""),IF(INDEX('Cronograma R. Normativo'!$K$5:$K$1000,$N29)="","",INDEX('Cronograma R. Normativo'!$K$5:$K$1000,$N29))))</f>
        <v/>
      </c>
      <c r="I29" s="61">
        <f>IF($N29="","",IF($P29&gt;0,IF(4&lt;=SemanaActual,INDEX('Cronograma R. Normativo'!$AK$5:$AK$1000,$N29),""),IF(INDEX('Cronograma R. Normativo'!$L$5:$L$1000,$N29)="","",INDEX('Cronograma R. Normativo'!$L$5:$L$1000,$N29))))</f>
        <v/>
      </c>
      <c r="J29" s="61">
        <f>IF($N29="","",INDEX('Cronograma R. Normativo'!$M$5:$M$1000,$N29))</f>
        <v/>
      </c>
      <c r="K29" s="56">
        <f>IF($N29="","",IF(N($J29)&gt;=1,"Completado",IF(AND(ISNUMBER($D29),$D29&lt;FechaRef),"Vencida",IF(N($J29)&gt;0,"En curso","Pendiente"))))</f>
        <v/>
      </c>
      <c r="L29" s="56">
        <f>IF($N29="","",INDEX('Cronograma R. Normativo'!$O$5:$O$1000,$N29)&amp;"")</f>
        <v/>
      </c>
      <c r="M29" s="62">
        <f>IF($N29="","",INDEX('Cronograma R. Normativo'!$Q$5:$Q$1000,$N29)&amp;"")</f>
        <v/>
      </c>
      <c r="N29">
        <f>IFERROR(MATCH(ROW()-4,rOrden_RN,0),"")</f>
        <v/>
      </c>
      <c r="O29">
        <f>IF($N29="","",INDEX('Cronograma R. Normativo'!$V$5:$V$1000,$N29))</f>
        <v/>
      </c>
      <c r="P29">
        <f>IF($N29="","",N(INDEX('Cronograma R. Normativo'!$W$5:$W$1000,$N29)))</f>
        <v/>
      </c>
      <c r="Q29">
        <f>IF(OR(LEFT($L29,7)="Vencida",LEFT($L29,5)="Vence"),SUMPRODUCT(--(LEFT($L$5:$L29,7)="Vencida"))+SUMPRODUCT(--(LEFT($L$5:$L29,5)="Vence")),"")</f>
        <v/>
      </c>
    </row>
    <row r="30">
      <c r="A30" s="56">
        <f>IF($N30="","",INDEX('Cronograma R. Normativo'!$A$5:$A$1000,$N30))</f>
        <v/>
      </c>
      <c r="B30" s="62">
        <f>IF($N30="","",IF($O30="Sub","      ↳  "&amp;INDEX('Cronograma R. Normativo'!$C$5:$C$1000,$N30),INDEX('Cronograma R. Normativo'!$C$5:$C$1000,$N30)&amp;""))</f>
        <v/>
      </c>
      <c r="C30" s="79">
        <f>IF($N30="","",IF(INDEX('Cronograma R. Normativo'!$AR$5:$AR$1000,$N30)="","",INDEX('Cronograma R. Normativo'!$AR$5:$AR$1000,$N30)))</f>
        <v/>
      </c>
      <c r="D30" s="79">
        <f>IF($N30="","",IF(INDEX('Cronograma R. Normativo'!$AS$5:$AS$1000,$N30)="","",INDEX('Cronograma R. Normativo'!$AS$5:$AS$1000,$N30)))</f>
        <v/>
      </c>
      <c r="E30" s="56">
        <f>IF($N30="","",IF(NOT(ISNUMBER($D30)),"",IF($D30&lt;InicioCiclo,"Antes del ciclo",IF($D30&gt;=InicioCiclo+28,"Después del ciclo","Semana "&amp;(INT(($D30-InicioCiclo)/7)+1)))))</f>
        <v/>
      </c>
      <c r="F30" s="61">
        <f>IF($N30="","",IF($P30&gt;0,IF(1&lt;=SemanaActual,INDEX('Cronograma R. Normativo'!$AH$5:$AH$1000,$N30),""),IF(INDEX('Cronograma R. Normativo'!$I$5:$I$1000,$N30)="","",INDEX('Cronograma R. Normativo'!$I$5:$I$1000,$N30))))</f>
        <v/>
      </c>
      <c r="G30" s="61">
        <f>IF($N30="","",IF($P30&gt;0,IF(2&lt;=SemanaActual,INDEX('Cronograma R. Normativo'!$AI$5:$AI$1000,$N30),""),IF(INDEX('Cronograma R. Normativo'!$J$5:$J$1000,$N30)="","",INDEX('Cronograma R. Normativo'!$J$5:$J$1000,$N30))))</f>
        <v/>
      </c>
      <c r="H30" s="61">
        <f>IF($N30="","",IF($P30&gt;0,IF(3&lt;=SemanaActual,INDEX('Cronograma R. Normativo'!$AJ$5:$AJ$1000,$N30),""),IF(INDEX('Cronograma R. Normativo'!$K$5:$K$1000,$N30)="","",INDEX('Cronograma R. Normativo'!$K$5:$K$1000,$N30))))</f>
        <v/>
      </c>
      <c r="I30" s="61">
        <f>IF($N30="","",IF($P30&gt;0,IF(4&lt;=SemanaActual,INDEX('Cronograma R. Normativo'!$AK$5:$AK$1000,$N30),""),IF(INDEX('Cronograma R. Normativo'!$L$5:$L$1000,$N30)="","",INDEX('Cronograma R. Normativo'!$L$5:$L$1000,$N30))))</f>
        <v/>
      </c>
      <c r="J30" s="61">
        <f>IF($N30="","",INDEX('Cronograma R. Normativo'!$M$5:$M$1000,$N30))</f>
        <v/>
      </c>
      <c r="K30" s="56">
        <f>IF($N30="","",IF(N($J30)&gt;=1,"Completado",IF(AND(ISNUMBER($D30),$D30&lt;FechaRef),"Vencida",IF(N($J30)&gt;0,"En curso","Pendiente"))))</f>
        <v/>
      </c>
      <c r="L30" s="56">
        <f>IF($N30="","",INDEX('Cronograma R. Normativo'!$O$5:$O$1000,$N30)&amp;"")</f>
        <v/>
      </c>
      <c r="M30" s="62">
        <f>IF($N30="","",INDEX('Cronograma R. Normativo'!$Q$5:$Q$1000,$N30)&amp;"")</f>
        <v/>
      </c>
      <c r="N30">
        <f>IFERROR(MATCH(ROW()-4,rOrden_RN,0),"")</f>
        <v/>
      </c>
      <c r="O30">
        <f>IF($N30="","",INDEX('Cronograma R. Normativo'!$V$5:$V$1000,$N30))</f>
        <v/>
      </c>
      <c r="P30">
        <f>IF($N30="","",N(INDEX('Cronograma R. Normativo'!$W$5:$W$1000,$N30)))</f>
        <v/>
      </c>
      <c r="Q30">
        <f>IF(OR(LEFT($L30,7)="Vencida",LEFT($L30,5)="Vence"),SUMPRODUCT(--(LEFT($L$5:$L30,7)="Vencida"))+SUMPRODUCT(--(LEFT($L$5:$L30,5)="Vence")),"")</f>
        <v/>
      </c>
    </row>
    <row r="31">
      <c r="A31" s="56">
        <f>IF($N31="","",INDEX('Cronograma R. Normativo'!$A$5:$A$1000,$N31))</f>
        <v/>
      </c>
      <c r="B31" s="62">
        <f>IF($N31="","",IF($O31="Sub","      ↳  "&amp;INDEX('Cronograma R. Normativo'!$C$5:$C$1000,$N31),INDEX('Cronograma R. Normativo'!$C$5:$C$1000,$N31)&amp;""))</f>
        <v/>
      </c>
      <c r="C31" s="79">
        <f>IF($N31="","",IF(INDEX('Cronograma R. Normativo'!$AR$5:$AR$1000,$N31)="","",INDEX('Cronograma R. Normativo'!$AR$5:$AR$1000,$N31)))</f>
        <v/>
      </c>
      <c r="D31" s="79">
        <f>IF($N31="","",IF(INDEX('Cronograma R. Normativo'!$AS$5:$AS$1000,$N31)="","",INDEX('Cronograma R. Normativo'!$AS$5:$AS$1000,$N31)))</f>
        <v/>
      </c>
      <c r="E31" s="56">
        <f>IF($N31="","",IF(NOT(ISNUMBER($D31)),"",IF($D31&lt;InicioCiclo,"Antes del ciclo",IF($D31&gt;=InicioCiclo+28,"Después del ciclo","Semana "&amp;(INT(($D31-InicioCiclo)/7)+1)))))</f>
        <v/>
      </c>
      <c r="F31" s="61">
        <f>IF($N31="","",IF($P31&gt;0,IF(1&lt;=SemanaActual,INDEX('Cronograma R. Normativo'!$AH$5:$AH$1000,$N31),""),IF(INDEX('Cronograma R. Normativo'!$I$5:$I$1000,$N31)="","",INDEX('Cronograma R. Normativo'!$I$5:$I$1000,$N31))))</f>
        <v/>
      </c>
      <c r="G31" s="61">
        <f>IF($N31="","",IF($P31&gt;0,IF(2&lt;=SemanaActual,INDEX('Cronograma R. Normativo'!$AI$5:$AI$1000,$N31),""),IF(INDEX('Cronograma R. Normativo'!$J$5:$J$1000,$N31)="","",INDEX('Cronograma R. Normativo'!$J$5:$J$1000,$N31))))</f>
        <v/>
      </c>
      <c r="H31" s="61">
        <f>IF($N31="","",IF($P31&gt;0,IF(3&lt;=SemanaActual,INDEX('Cronograma R. Normativo'!$AJ$5:$AJ$1000,$N31),""),IF(INDEX('Cronograma R. Normativo'!$K$5:$K$1000,$N31)="","",INDEX('Cronograma R. Normativo'!$K$5:$K$1000,$N31))))</f>
        <v/>
      </c>
      <c r="I31" s="61">
        <f>IF($N31="","",IF($P31&gt;0,IF(4&lt;=SemanaActual,INDEX('Cronograma R. Normativo'!$AK$5:$AK$1000,$N31),""),IF(INDEX('Cronograma R. Normativo'!$L$5:$L$1000,$N31)="","",INDEX('Cronograma R. Normativo'!$L$5:$L$1000,$N31))))</f>
        <v/>
      </c>
      <c r="J31" s="61">
        <f>IF($N31="","",INDEX('Cronograma R. Normativo'!$M$5:$M$1000,$N31))</f>
        <v/>
      </c>
      <c r="K31" s="56">
        <f>IF($N31="","",IF(N($J31)&gt;=1,"Completado",IF(AND(ISNUMBER($D31),$D31&lt;FechaRef),"Vencida",IF(N($J31)&gt;0,"En curso","Pendiente"))))</f>
        <v/>
      </c>
      <c r="L31" s="56">
        <f>IF($N31="","",INDEX('Cronograma R. Normativo'!$O$5:$O$1000,$N31)&amp;"")</f>
        <v/>
      </c>
      <c r="M31" s="62">
        <f>IF($N31="","",INDEX('Cronograma R. Normativo'!$Q$5:$Q$1000,$N31)&amp;"")</f>
        <v/>
      </c>
      <c r="N31">
        <f>IFERROR(MATCH(ROW()-4,rOrden_RN,0),"")</f>
        <v/>
      </c>
      <c r="O31">
        <f>IF($N31="","",INDEX('Cronograma R. Normativo'!$V$5:$V$1000,$N31))</f>
        <v/>
      </c>
      <c r="P31">
        <f>IF($N31="","",N(INDEX('Cronograma R. Normativo'!$W$5:$W$1000,$N31)))</f>
        <v/>
      </c>
      <c r="Q31">
        <f>IF(OR(LEFT($L31,7)="Vencida",LEFT($L31,5)="Vence"),SUMPRODUCT(--(LEFT($L$5:$L31,7)="Vencida"))+SUMPRODUCT(--(LEFT($L$5:$L31,5)="Vence")),"")</f>
        <v/>
      </c>
    </row>
    <row r="32">
      <c r="A32" s="56">
        <f>IF($N32="","",INDEX('Cronograma R. Normativo'!$A$5:$A$1000,$N32))</f>
        <v/>
      </c>
      <c r="B32" s="62">
        <f>IF($N32="","",IF($O32="Sub","      ↳  "&amp;INDEX('Cronograma R. Normativo'!$C$5:$C$1000,$N32),INDEX('Cronograma R. Normativo'!$C$5:$C$1000,$N32)&amp;""))</f>
        <v/>
      </c>
      <c r="C32" s="79">
        <f>IF($N32="","",IF(INDEX('Cronograma R. Normativo'!$AR$5:$AR$1000,$N32)="","",INDEX('Cronograma R. Normativo'!$AR$5:$AR$1000,$N32)))</f>
        <v/>
      </c>
      <c r="D32" s="79">
        <f>IF($N32="","",IF(INDEX('Cronograma R. Normativo'!$AS$5:$AS$1000,$N32)="","",INDEX('Cronograma R. Normativo'!$AS$5:$AS$1000,$N32)))</f>
        <v/>
      </c>
      <c r="E32" s="56">
        <f>IF($N32="","",IF(NOT(ISNUMBER($D32)),"",IF($D32&lt;InicioCiclo,"Antes del ciclo",IF($D32&gt;=InicioCiclo+28,"Después del ciclo","Semana "&amp;(INT(($D32-InicioCiclo)/7)+1)))))</f>
        <v/>
      </c>
      <c r="F32" s="61">
        <f>IF($N32="","",IF($P32&gt;0,IF(1&lt;=SemanaActual,INDEX('Cronograma R. Normativo'!$AH$5:$AH$1000,$N32),""),IF(INDEX('Cronograma R. Normativo'!$I$5:$I$1000,$N32)="","",INDEX('Cronograma R. Normativo'!$I$5:$I$1000,$N32))))</f>
        <v/>
      </c>
      <c r="G32" s="61">
        <f>IF($N32="","",IF($P32&gt;0,IF(2&lt;=SemanaActual,INDEX('Cronograma R. Normativo'!$AI$5:$AI$1000,$N32),""),IF(INDEX('Cronograma R. Normativo'!$J$5:$J$1000,$N32)="","",INDEX('Cronograma R. Normativo'!$J$5:$J$1000,$N32))))</f>
        <v/>
      </c>
      <c r="H32" s="61">
        <f>IF($N32="","",IF($P32&gt;0,IF(3&lt;=SemanaActual,INDEX('Cronograma R. Normativo'!$AJ$5:$AJ$1000,$N32),""),IF(INDEX('Cronograma R. Normativo'!$K$5:$K$1000,$N32)="","",INDEX('Cronograma R. Normativo'!$K$5:$K$1000,$N32))))</f>
        <v/>
      </c>
      <c r="I32" s="61">
        <f>IF($N32="","",IF($P32&gt;0,IF(4&lt;=SemanaActual,INDEX('Cronograma R. Normativo'!$AK$5:$AK$1000,$N32),""),IF(INDEX('Cronograma R. Normativo'!$L$5:$L$1000,$N32)="","",INDEX('Cronograma R. Normativo'!$L$5:$L$1000,$N32))))</f>
        <v/>
      </c>
      <c r="J32" s="61">
        <f>IF($N32="","",INDEX('Cronograma R. Normativo'!$M$5:$M$1000,$N32))</f>
        <v/>
      </c>
      <c r="K32" s="56">
        <f>IF($N32="","",IF(N($J32)&gt;=1,"Completado",IF(AND(ISNUMBER($D32),$D32&lt;FechaRef),"Vencida",IF(N($J32)&gt;0,"En curso","Pendiente"))))</f>
        <v/>
      </c>
      <c r="L32" s="56">
        <f>IF($N32="","",INDEX('Cronograma R. Normativo'!$O$5:$O$1000,$N32)&amp;"")</f>
        <v/>
      </c>
      <c r="M32" s="62">
        <f>IF($N32="","",INDEX('Cronograma R. Normativo'!$Q$5:$Q$1000,$N32)&amp;"")</f>
        <v/>
      </c>
      <c r="N32">
        <f>IFERROR(MATCH(ROW()-4,rOrden_RN,0),"")</f>
        <v/>
      </c>
      <c r="O32">
        <f>IF($N32="","",INDEX('Cronograma R. Normativo'!$V$5:$V$1000,$N32))</f>
        <v/>
      </c>
      <c r="P32">
        <f>IF($N32="","",N(INDEX('Cronograma R. Normativo'!$W$5:$W$1000,$N32)))</f>
        <v/>
      </c>
      <c r="Q32">
        <f>IF(OR(LEFT($L32,7)="Vencida",LEFT($L32,5)="Vence"),SUMPRODUCT(--(LEFT($L$5:$L32,7)="Vencida"))+SUMPRODUCT(--(LEFT($L$5:$L32,5)="Vence")),"")</f>
        <v/>
      </c>
    </row>
    <row r="33">
      <c r="A33" s="56">
        <f>IF($N33="","",INDEX('Cronograma R. Normativo'!$A$5:$A$1000,$N33))</f>
        <v/>
      </c>
      <c r="B33" s="62">
        <f>IF($N33="","",IF($O33="Sub","      ↳  "&amp;INDEX('Cronograma R. Normativo'!$C$5:$C$1000,$N33),INDEX('Cronograma R. Normativo'!$C$5:$C$1000,$N33)&amp;""))</f>
        <v/>
      </c>
      <c r="C33" s="79">
        <f>IF($N33="","",IF(INDEX('Cronograma R. Normativo'!$AR$5:$AR$1000,$N33)="","",INDEX('Cronograma R. Normativo'!$AR$5:$AR$1000,$N33)))</f>
        <v/>
      </c>
      <c r="D33" s="79">
        <f>IF($N33="","",IF(INDEX('Cronograma R. Normativo'!$AS$5:$AS$1000,$N33)="","",INDEX('Cronograma R. Normativo'!$AS$5:$AS$1000,$N33)))</f>
        <v/>
      </c>
      <c r="E33" s="56">
        <f>IF($N33="","",IF(NOT(ISNUMBER($D33)),"",IF($D33&lt;InicioCiclo,"Antes del ciclo",IF($D33&gt;=InicioCiclo+28,"Después del ciclo","Semana "&amp;(INT(($D33-InicioCiclo)/7)+1)))))</f>
        <v/>
      </c>
      <c r="F33" s="61">
        <f>IF($N33="","",IF($P33&gt;0,IF(1&lt;=SemanaActual,INDEX('Cronograma R. Normativo'!$AH$5:$AH$1000,$N33),""),IF(INDEX('Cronograma R. Normativo'!$I$5:$I$1000,$N33)="","",INDEX('Cronograma R. Normativo'!$I$5:$I$1000,$N33))))</f>
        <v/>
      </c>
      <c r="G33" s="61">
        <f>IF($N33="","",IF($P33&gt;0,IF(2&lt;=SemanaActual,INDEX('Cronograma R. Normativo'!$AI$5:$AI$1000,$N33),""),IF(INDEX('Cronograma R. Normativo'!$J$5:$J$1000,$N33)="","",INDEX('Cronograma R. Normativo'!$J$5:$J$1000,$N33))))</f>
        <v/>
      </c>
      <c r="H33" s="61">
        <f>IF($N33="","",IF($P33&gt;0,IF(3&lt;=SemanaActual,INDEX('Cronograma R. Normativo'!$AJ$5:$AJ$1000,$N33),""),IF(INDEX('Cronograma R. Normativo'!$K$5:$K$1000,$N33)="","",INDEX('Cronograma R. Normativo'!$K$5:$K$1000,$N33))))</f>
        <v/>
      </c>
      <c r="I33" s="61">
        <f>IF($N33="","",IF($P33&gt;0,IF(4&lt;=SemanaActual,INDEX('Cronograma R. Normativo'!$AK$5:$AK$1000,$N33),""),IF(INDEX('Cronograma R. Normativo'!$L$5:$L$1000,$N33)="","",INDEX('Cronograma R. Normativo'!$L$5:$L$1000,$N33))))</f>
        <v/>
      </c>
      <c r="J33" s="61">
        <f>IF($N33="","",INDEX('Cronograma R. Normativo'!$M$5:$M$1000,$N33))</f>
        <v/>
      </c>
      <c r="K33" s="56">
        <f>IF($N33="","",IF(N($J33)&gt;=1,"Completado",IF(AND(ISNUMBER($D33),$D33&lt;FechaRef),"Vencida",IF(N($J33)&gt;0,"En curso","Pendiente"))))</f>
        <v/>
      </c>
      <c r="L33" s="56">
        <f>IF($N33="","",INDEX('Cronograma R. Normativo'!$O$5:$O$1000,$N33)&amp;"")</f>
        <v/>
      </c>
      <c r="M33" s="62">
        <f>IF($N33="","",INDEX('Cronograma R. Normativo'!$Q$5:$Q$1000,$N33)&amp;"")</f>
        <v/>
      </c>
      <c r="N33">
        <f>IFERROR(MATCH(ROW()-4,rOrden_RN,0),"")</f>
        <v/>
      </c>
      <c r="O33">
        <f>IF($N33="","",INDEX('Cronograma R. Normativo'!$V$5:$V$1000,$N33))</f>
        <v/>
      </c>
      <c r="P33">
        <f>IF($N33="","",N(INDEX('Cronograma R. Normativo'!$W$5:$W$1000,$N33)))</f>
        <v/>
      </c>
      <c r="Q33">
        <f>IF(OR(LEFT($L33,7)="Vencida",LEFT($L33,5)="Vence"),SUMPRODUCT(--(LEFT($L$5:$L33,7)="Vencida"))+SUMPRODUCT(--(LEFT($L$5:$L33,5)="Vence")),"")</f>
        <v/>
      </c>
    </row>
    <row r="34">
      <c r="A34" s="56">
        <f>IF($N34="","",INDEX('Cronograma R. Normativo'!$A$5:$A$1000,$N34))</f>
        <v/>
      </c>
      <c r="B34" s="62">
        <f>IF($N34="","",IF($O34="Sub","      ↳  "&amp;INDEX('Cronograma R. Normativo'!$C$5:$C$1000,$N34),INDEX('Cronograma R. Normativo'!$C$5:$C$1000,$N34)&amp;""))</f>
        <v/>
      </c>
      <c r="C34" s="79">
        <f>IF($N34="","",IF(INDEX('Cronograma R. Normativo'!$AR$5:$AR$1000,$N34)="","",INDEX('Cronograma R. Normativo'!$AR$5:$AR$1000,$N34)))</f>
        <v/>
      </c>
      <c r="D34" s="79">
        <f>IF($N34="","",IF(INDEX('Cronograma R. Normativo'!$AS$5:$AS$1000,$N34)="","",INDEX('Cronograma R. Normativo'!$AS$5:$AS$1000,$N34)))</f>
        <v/>
      </c>
      <c r="E34" s="56">
        <f>IF($N34="","",IF(NOT(ISNUMBER($D34)),"",IF($D34&lt;InicioCiclo,"Antes del ciclo",IF($D34&gt;=InicioCiclo+28,"Después del ciclo","Semana "&amp;(INT(($D34-InicioCiclo)/7)+1)))))</f>
        <v/>
      </c>
      <c r="F34" s="61">
        <f>IF($N34="","",IF($P34&gt;0,IF(1&lt;=SemanaActual,INDEX('Cronograma R. Normativo'!$AH$5:$AH$1000,$N34),""),IF(INDEX('Cronograma R. Normativo'!$I$5:$I$1000,$N34)="","",INDEX('Cronograma R. Normativo'!$I$5:$I$1000,$N34))))</f>
        <v/>
      </c>
      <c r="G34" s="61">
        <f>IF($N34="","",IF($P34&gt;0,IF(2&lt;=SemanaActual,INDEX('Cronograma R. Normativo'!$AI$5:$AI$1000,$N34),""),IF(INDEX('Cronograma R. Normativo'!$J$5:$J$1000,$N34)="","",INDEX('Cronograma R. Normativo'!$J$5:$J$1000,$N34))))</f>
        <v/>
      </c>
      <c r="H34" s="61">
        <f>IF($N34="","",IF($P34&gt;0,IF(3&lt;=SemanaActual,INDEX('Cronograma R. Normativo'!$AJ$5:$AJ$1000,$N34),""),IF(INDEX('Cronograma R. Normativo'!$K$5:$K$1000,$N34)="","",INDEX('Cronograma R. Normativo'!$K$5:$K$1000,$N34))))</f>
        <v/>
      </c>
      <c r="I34" s="61">
        <f>IF($N34="","",IF($P34&gt;0,IF(4&lt;=SemanaActual,INDEX('Cronograma R. Normativo'!$AK$5:$AK$1000,$N34),""),IF(INDEX('Cronograma R. Normativo'!$L$5:$L$1000,$N34)="","",INDEX('Cronograma R. Normativo'!$L$5:$L$1000,$N34))))</f>
        <v/>
      </c>
      <c r="J34" s="61">
        <f>IF($N34="","",INDEX('Cronograma R. Normativo'!$M$5:$M$1000,$N34))</f>
        <v/>
      </c>
      <c r="K34" s="56">
        <f>IF($N34="","",IF(N($J34)&gt;=1,"Completado",IF(AND(ISNUMBER($D34),$D34&lt;FechaRef),"Vencida",IF(N($J34)&gt;0,"En curso","Pendiente"))))</f>
        <v/>
      </c>
      <c r="L34" s="56">
        <f>IF($N34="","",INDEX('Cronograma R. Normativo'!$O$5:$O$1000,$N34)&amp;"")</f>
        <v/>
      </c>
      <c r="M34" s="62">
        <f>IF($N34="","",INDEX('Cronograma R. Normativo'!$Q$5:$Q$1000,$N34)&amp;"")</f>
        <v/>
      </c>
      <c r="N34">
        <f>IFERROR(MATCH(ROW()-4,rOrden_RN,0),"")</f>
        <v/>
      </c>
      <c r="O34">
        <f>IF($N34="","",INDEX('Cronograma R. Normativo'!$V$5:$V$1000,$N34))</f>
        <v/>
      </c>
      <c r="P34">
        <f>IF($N34="","",N(INDEX('Cronograma R. Normativo'!$W$5:$W$1000,$N34)))</f>
        <v/>
      </c>
      <c r="Q34">
        <f>IF(OR(LEFT($L34,7)="Vencida",LEFT($L34,5)="Vence"),SUMPRODUCT(--(LEFT($L$5:$L34,7)="Vencida"))+SUMPRODUCT(--(LEFT($L$5:$L34,5)="Vence")),"")</f>
        <v/>
      </c>
    </row>
    <row r="35">
      <c r="A35" s="56">
        <f>IF($N35="","",INDEX('Cronograma R. Normativo'!$A$5:$A$1000,$N35))</f>
        <v/>
      </c>
      <c r="B35" s="62">
        <f>IF($N35="","",IF($O35="Sub","      ↳  "&amp;INDEX('Cronograma R. Normativo'!$C$5:$C$1000,$N35),INDEX('Cronograma R. Normativo'!$C$5:$C$1000,$N35)&amp;""))</f>
        <v/>
      </c>
      <c r="C35" s="79">
        <f>IF($N35="","",IF(INDEX('Cronograma R. Normativo'!$AR$5:$AR$1000,$N35)="","",INDEX('Cronograma R. Normativo'!$AR$5:$AR$1000,$N35)))</f>
        <v/>
      </c>
      <c r="D35" s="79">
        <f>IF($N35="","",IF(INDEX('Cronograma R. Normativo'!$AS$5:$AS$1000,$N35)="","",INDEX('Cronograma R. Normativo'!$AS$5:$AS$1000,$N35)))</f>
        <v/>
      </c>
      <c r="E35" s="56">
        <f>IF($N35="","",IF(NOT(ISNUMBER($D35)),"",IF($D35&lt;InicioCiclo,"Antes del ciclo",IF($D35&gt;=InicioCiclo+28,"Después del ciclo","Semana "&amp;(INT(($D35-InicioCiclo)/7)+1)))))</f>
        <v/>
      </c>
      <c r="F35" s="61">
        <f>IF($N35="","",IF($P35&gt;0,IF(1&lt;=SemanaActual,INDEX('Cronograma R. Normativo'!$AH$5:$AH$1000,$N35),""),IF(INDEX('Cronograma R. Normativo'!$I$5:$I$1000,$N35)="","",INDEX('Cronograma R. Normativo'!$I$5:$I$1000,$N35))))</f>
        <v/>
      </c>
      <c r="G35" s="61">
        <f>IF($N35="","",IF($P35&gt;0,IF(2&lt;=SemanaActual,INDEX('Cronograma R. Normativo'!$AI$5:$AI$1000,$N35),""),IF(INDEX('Cronograma R. Normativo'!$J$5:$J$1000,$N35)="","",INDEX('Cronograma R. Normativo'!$J$5:$J$1000,$N35))))</f>
        <v/>
      </c>
      <c r="H35" s="61">
        <f>IF($N35="","",IF($P35&gt;0,IF(3&lt;=SemanaActual,INDEX('Cronograma R. Normativo'!$AJ$5:$AJ$1000,$N35),""),IF(INDEX('Cronograma R. Normativo'!$K$5:$K$1000,$N35)="","",INDEX('Cronograma R. Normativo'!$K$5:$K$1000,$N35))))</f>
        <v/>
      </c>
      <c r="I35" s="61">
        <f>IF($N35="","",IF($P35&gt;0,IF(4&lt;=SemanaActual,INDEX('Cronograma R. Normativo'!$AK$5:$AK$1000,$N35),""),IF(INDEX('Cronograma R. Normativo'!$L$5:$L$1000,$N35)="","",INDEX('Cronograma R. Normativo'!$L$5:$L$1000,$N35))))</f>
        <v/>
      </c>
      <c r="J35" s="61">
        <f>IF($N35="","",INDEX('Cronograma R. Normativo'!$M$5:$M$1000,$N35))</f>
        <v/>
      </c>
      <c r="K35" s="56">
        <f>IF($N35="","",IF(N($J35)&gt;=1,"Completado",IF(AND(ISNUMBER($D35),$D35&lt;FechaRef),"Vencida",IF(N($J35)&gt;0,"En curso","Pendiente"))))</f>
        <v/>
      </c>
      <c r="L35" s="56">
        <f>IF($N35="","",INDEX('Cronograma R. Normativo'!$O$5:$O$1000,$N35)&amp;"")</f>
        <v/>
      </c>
      <c r="M35" s="62">
        <f>IF($N35="","",INDEX('Cronograma R. Normativo'!$Q$5:$Q$1000,$N35)&amp;"")</f>
        <v/>
      </c>
      <c r="N35">
        <f>IFERROR(MATCH(ROW()-4,rOrden_RN,0),"")</f>
        <v/>
      </c>
      <c r="O35">
        <f>IF($N35="","",INDEX('Cronograma R. Normativo'!$V$5:$V$1000,$N35))</f>
        <v/>
      </c>
      <c r="P35">
        <f>IF($N35="","",N(INDEX('Cronograma R. Normativo'!$W$5:$W$1000,$N35)))</f>
        <v/>
      </c>
      <c r="Q35">
        <f>IF(OR(LEFT($L35,7)="Vencida",LEFT($L35,5)="Vence"),SUMPRODUCT(--(LEFT($L$5:$L35,7)="Vencida"))+SUMPRODUCT(--(LEFT($L$5:$L35,5)="Vence")),"")</f>
        <v/>
      </c>
    </row>
    <row r="36">
      <c r="A36" s="56">
        <f>IF($N36="","",INDEX('Cronograma R. Normativo'!$A$5:$A$1000,$N36))</f>
        <v/>
      </c>
      <c r="B36" s="62">
        <f>IF($N36="","",IF($O36="Sub","      ↳  "&amp;INDEX('Cronograma R. Normativo'!$C$5:$C$1000,$N36),INDEX('Cronograma R. Normativo'!$C$5:$C$1000,$N36)&amp;""))</f>
        <v/>
      </c>
      <c r="C36" s="79">
        <f>IF($N36="","",IF(INDEX('Cronograma R. Normativo'!$AR$5:$AR$1000,$N36)="","",INDEX('Cronograma R. Normativo'!$AR$5:$AR$1000,$N36)))</f>
        <v/>
      </c>
      <c r="D36" s="79">
        <f>IF($N36="","",IF(INDEX('Cronograma R. Normativo'!$AS$5:$AS$1000,$N36)="","",INDEX('Cronograma R. Normativo'!$AS$5:$AS$1000,$N36)))</f>
        <v/>
      </c>
      <c r="E36" s="56">
        <f>IF($N36="","",IF(NOT(ISNUMBER($D36)),"",IF($D36&lt;InicioCiclo,"Antes del ciclo",IF($D36&gt;=InicioCiclo+28,"Después del ciclo","Semana "&amp;(INT(($D36-InicioCiclo)/7)+1)))))</f>
        <v/>
      </c>
      <c r="F36" s="61">
        <f>IF($N36="","",IF($P36&gt;0,IF(1&lt;=SemanaActual,INDEX('Cronograma R. Normativo'!$AH$5:$AH$1000,$N36),""),IF(INDEX('Cronograma R. Normativo'!$I$5:$I$1000,$N36)="","",INDEX('Cronograma R. Normativo'!$I$5:$I$1000,$N36))))</f>
        <v/>
      </c>
      <c r="G36" s="61">
        <f>IF($N36="","",IF($P36&gt;0,IF(2&lt;=SemanaActual,INDEX('Cronograma R. Normativo'!$AI$5:$AI$1000,$N36),""),IF(INDEX('Cronograma R. Normativo'!$J$5:$J$1000,$N36)="","",INDEX('Cronograma R. Normativo'!$J$5:$J$1000,$N36))))</f>
        <v/>
      </c>
      <c r="H36" s="61">
        <f>IF($N36="","",IF($P36&gt;0,IF(3&lt;=SemanaActual,INDEX('Cronograma R. Normativo'!$AJ$5:$AJ$1000,$N36),""),IF(INDEX('Cronograma R. Normativo'!$K$5:$K$1000,$N36)="","",INDEX('Cronograma R. Normativo'!$K$5:$K$1000,$N36))))</f>
        <v/>
      </c>
      <c r="I36" s="61">
        <f>IF($N36="","",IF($P36&gt;0,IF(4&lt;=SemanaActual,INDEX('Cronograma R. Normativo'!$AK$5:$AK$1000,$N36),""),IF(INDEX('Cronograma R. Normativo'!$L$5:$L$1000,$N36)="","",INDEX('Cronograma R. Normativo'!$L$5:$L$1000,$N36))))</f>
        <v/>
      </c>
      <c r="J36" s="61">
        <f>IF($N36="","",INDEX('Cronograma R. Normativo'!$M$5:$M$1000,$N36))</f>
        <v/>
      </c>
      <c r="K36" s="56">
        <f>IF($N36="","",IF(N($J36)&gt;=1,"Completado",IF(AND(ISNUMBER($D36),$D36&lt;FechaRef),"Vencida",IF(N($J36)&gt;0,"En curso","Pendiente"))))</f>
        <v/>
      </c>
      <c r="L36" s="56">
        <f>IF($N36="","",INDEX('Cronograma R. Normativo'!$O$5:$O$1000,$N36)&amp;"")</f>
        <v/>
      </c>
      <c r="M36" s="62">
        <f>IF($N36="","",INDEX('Cronograma R. Normativo'!$Q$5:$Q$1000,$N36)&amp;"")</f>
        <v/>
      </c>
      <c r="N36">
        <f>IFERROR(MATCH(ROW()-4,rOrden_RN,0),"")</f>
        <v/>
      </c>
      <c r="O36">
        <f>IF($N36="","",INDEX('Cronograma R. Normativo'!$V$5:$V$1000,$N36))</f>
        <v/>
      </c>
      <c r="P36">
        <f>IF($N36="","",N(INDEX('Cronograma R. Normativo'!$W$5:$W$1000,$N36)))</f>
        <v/>
      </c>
      <c r="Q36">
        <f>IF(OR(LEFT($L36,7)="Vencida",LEFT($L36,5)="Vence"),SUMPRODUCT(--(LEFT($L$5:$L36,7)="Vencida"))+SUMPRODUCT(--(LEFT($L$5:$L36,5)="Vence")),"")</f>
        <v/>
      </c>
    </row>
    <row r="37">
      <c r="A37" s="56">
        <f>IF($N37="","",INDEX('Cronograma R. Normativo'!$A$5:$A$1000,$N37))</f>
        <v/>
      </c>
      <c r="B37" s="62">
        <f>IF($N37="","",IF($O37="Sub","      ↳  "&amp;INDEX('Cronograma R. Normativo'!$C$5:$C$1000,$N37),INDEX('Cronograma R. Normativo'!$C$5:$C$1000,$N37)&amp;""))</f>
        <v/>
      </c>
      <c r="C37" s="79">
        <f>IF($N37="","",IF(INDEX('Cronograma R. Normativo'!$AR$5:$AR$1000,$N37)="","",INDEX('Cronograma R. Normativo'!$AR$5:$AR$1000,$N37)))</f>
        <v/>
      </c>
      <c r="D37" s="79">
        <f>IF($N37="","",IF(INDEX('Cronograma R. Normativo'!$AS$5:$AS$1000,$N37)="","",INDEX('Cronograma R. Normativo'!$AS$5:$AS$1000,$N37)))</f>
        <v/>
      </c>
      <c r="E37" s="56">
        <f>IF($N37="","",IF(NOT(ISNUMBER($D37)),"",IF($D37&lt;InicioCiclo,"Antes del ciclo",IF($D37&gt;=InicioCiclo+28,"Después del ciclo","Semana "&amp;(INT(($D37-InicioCiclo)/7)+1)))))</f>
        <v/>
      </c>
      <c r="F37" s="61">
        <f>IF($N37="","",IF($P37&gt;0,IF(1&lt;=SemanaActual,INDEX('Cronograma R. Normativo'!$AH$5:$AH$1000,$N37),""),IF(INDEX('Cronograma R. Normativo'!$I$5:$I$1000,$N37)="","",INDEX('Cronograma R. Normativo'!$I$5:$I$1000,$N37))))</f>
        <v/>
      </c>
      <c r="G37" s="61">
        <f>IF($N37="","",IF($P37&gt;0,IF(2&lt;=SemanaActual,INDEX('Cronograma R. Normativo'!$AI$5:$AI$1000,$N37),""),IF(INDEX('Cronograma R. Normativo'!$J$5:$J$1000,$N37)="","",INDEX('Cronograma R. Normativo'!$J$5:$J$1000,$N37))))</f>
        <v/>
      </c>
      <c r="H37" s="61">
        <f>IF($N37="","",IF($P37&gt;0,IF(3&lt;=SemanaActual,INDEX('Cronograma R. Normativo'!$AJ$5:$AJ$1000,$N37),""),IF(INDEX('Cronograma R. Normativo'!$K$5:$K$1000,$N37)="","",INDEX('Cronograma R. Normativo'!$K$5:$K$1000,$N37))))</f>
        <v/>
      </c>
      <c r="I37" s="61">
        <f>IF($N37="","",IF($P37&gt;0,IF(4&lt;=SemanaActual,INDEX('Cronograma R. Normativo'!$AK$5:$AK$1000,$N37),""),IF(INDEX('Cronograma R. Normativo'!$L$5:$L$1000,$N37)="","",INDEX('Cronograma R. Normativo'!$L$5:$L$1000,$N37))))</f>
        <v/>
      </c>
      <c r="J37" s="61">
        <f>IF($N37="","",INDEX('Cronograma R. Normativo'!$M$5:$M$1000,$N37))</f>
        <v/>
      </c>
      <c r="K37" s="56">
        <f>IF($N37="","",IF(N($J37)&gt;=1,"Completado",IF(AND(ISNUMBER($D37),$D37&lt;FechaRef),"Vencida",IF(N($J37)&gt;0,"En curso","Pendiente"))))</f>
        <v/>
      </c>
      <c r="L37" s="56">
        <f>IF($N37="","",INDEX('Cronograma R. Normativo'!$O$5:$O$1000,$N37)&amp;"")</f>
        <v/>
      </c>
      <c r="M37" s="62">
        <f>IF($N37="","",INDEX('Cronograma R. Normativo'!$Q$5:$Q$1000,$N37)&amp;"")</f>
        <v/>
      </c>
      <c r="N37">
        <f>IFERROR(MATCH(ROW()-4,rOrden_RN,0),"")</f>
        <v/>
      </c>
      <c r="O37">
        <f>IF($N37="","",INDEX('Cronograma R. Normativo'!$V$5:$V$1000,$N37))</f>
        <v/>
      </c>
      <c r="P37">
        <f>IF($N37="","",N(INDEX('Cronograma R. Normativo'!$W$5:$W$1000,$N37)))</f>
        <v/>
      </c>
      <c r="Q37">
        <f>IF(OR(LEFT($L37,7)="Vencida",LEFT($L37,5)="Vence"),SUMPRODUCT(--(LEFT($L$5:$L37,7)="Vencida"))+SUMPRODUCT(--(LEFT($L$5:$L37,5)="Vence")),"")</f>
        <v/>
      </c>
    </row>
    <row r="38">
      <c r="A38" s="56">
        <f>IF($N38="","",INDEX('Cronograma R. Normativo'!$A$5:$A$1000,$N38))</f>
        <v/>
      </c>
      <c r="B38" s="62">
        <f>IF($N38="","",IF($O38="Sub","      ↳  "&amp;INDEX('Cronograma R. Normativo'!$C$5:$C$1000,$N38),INDEX('Cronograma R. Normativo'!$C$5:$C$1000,$N38)&amp;""))</f>
        <v/>
      </c>
      <c r="C38" s="79">
        <f>IF($N38="","",IF(INDEX('Cronograma R. Normativo'!$AR$5:$AR$1000,$N38)="","",INDEX('Cronograma R. Normativo'!$AR$5:$AR$1000,$N38)))</f>
        <v/>
      </c>
      <c r="D38" s="79">
        <f>IF($N38="","",IF(INDEX('Cronograma R. Normativo'!$AS$5:$AS$1000,$N38)="","",INDEX('Cronograma R. Normativo'!$AS$5:$AS$1000,$N38)))</f>
        <v/>
      </c>
      <c r="E38" s="56">
        <f>IF($N38="","",IF(NOT(ISNUMBER($D38)),"",IF($D38&lt;InicioCiclo,"Antes del ciclo",IF($D38&gt;=InicioCiclo+28,"Después del ciclo","Semana "&amp;(INT(($D38-InicioCiclo)/7)+1)))))</f>
        <v/>
      </c>
      <c r="F38" s="61">
        <f>IF($N38="","",IF($P38&gt;0,IF(1&lt;=SemanaActual,INDEX('Cronograma R. Normativo'!$AH$5:$AH$1000,$N38),""),IF(INDEX('Cronograma R. Normativo'!$I$5:$I$1000,$N38)="","",INDEX('Cronograma R. Normativo'!$I$5:$I$1000,$N38))))</f>
        <v/>
      </c>
      <c r="G38" s="61">
        <f>IF($N38="","",IF($P38&gt;0,IF(2&lt;=SemanaActual,INDEX('Cronograma R. Normativo'!$AI$5:$AI$1000,$N38),""),IF(INDEX('Cronograma R. Normativo'!$J$5:$J$1000,$N38)="","",INDEX('Cronograma R. Normativo'!$J$5:$J$1000,$N38))))</f>
        <v/>
      </c>
      <c r="H38" s="61">
        <f>IF($N38="","",IF($P38&gt;0,IF(3&lt;=SemanaActual,INDEX('Cronograma R. Normativo'!$AJ$5:$AJ$1000,$N38),""),IF(INDEX('Cronograma R. Normativo'!$K$5:$K$1000,$N38)="","",INDEX('Cronograma R. Normativo'!$K$5:$K$1000,$N38))))</f>
        <v/>
      </c>
      <c r="I38" s="61">
        <f>IF($N38="","",IF($P38&gt;0,IF(4&lt;=SemanaActual,INDEX('Cronograma R. Normativo'!$AK$5:$AK$1000,$N38),""),IF(INDEX('Cronograma R. Normativo'!$L$5:$L$1000,$N38)="","",INDEX('Cronograma R. Normativo'!$L$5:$L$1000,$N38))))</f>
        <v/>
      </c>
      <c r="J38" s="61">
        <f>IF($N38="","",INDEX('Cronograma R. Normativo'!$M$5:$M$1000,$N38))</f>
        <v/>
      </c>
      <c r="K38" s="56">
        <f>IF($N38="","",IF(N($J38)&gt;=1,"Completado",IF(AND(ISNUMBER($D38),$D38&lt;FechaRef),"Vencida",IF(N($J38)&gt;0,"En curso","Pendiente"))))</f>
        <v/>
      </c>
      <c r="L38" s="56">
        <f>IF($N38="","",INDEX('Cronograma R. Normativo'!$O$5:$O$1000,$N38)&amp;"")</f>
        <v/>
      </c>
      <c r="M38" s="62">
        <f>IF($N38="","",INDEX('Cronograma R. Normativo'!$Q$5:$Q$1000,$N38)&amp;"")</f>
        <v/>
      </c>
      <c r="N38">
        <f>IFERROR(MATCH(ROW()-4,rOrden_RN,0),"")</f>
        <v/>
      </c>
      <c r="O38">
        <f>IF($N38="","",INDEX('Cronograma R. Normativo'!$V$5:$V$1000,$N38))</f>
        <v/>
      </c>
      <c r="P38">
        <f>IF($N38="","",N(INDEX('Cronograma R. Normativo'!$W$5:$W$1000,$N38)))</f>
        <v/>
      </c>
      <c r="Q38">
        <f>IF(OR(LEFT($L38,7)="Vencida",LEFT($L38,5)="Vence"),SUMPRODUCT(--(LEFT($L$5:$L38,7)="Vencida"))+SUMPRODUCT(--(LEFT($L$5:$L38,5)="Vence")),"")</f>
        <v/>
      </c>
    </row>
    <row r="39">
      <c r="A39" s="56">
        <f>IF($N39="","",INDEX('Cronograma R. Normativo'!$A$5:$A$1000,$N39))</f>
        <v/>
      </c>
      <c r="B39" s="62">
        <f>IF($N39="","",IF($O39="Sub","      ↳  "&amp;INDEX('Cronograma R. Normativo'!$C$5:$C$1000,$N39),INDEX('Cronograma R. Normativo'!$C$5:$C$1000,$N39)&amp;""))</f>
        <v/>
      </c>
      <c r="C39" s="79">
        <f>IF($N39="","",IF(INDEX('Cronograma R. Normativo'!$AR$5:$AR$1000,$N39)="","",INDEX('Cronograma R. Normativo'!$AR$5:$AR$1000,$N39)))</f>
        <v/>
      </c>
      <c r="D39" s="79">
        <f>IF($N39="","",IF(INDEX('Cronograma R. Normativo'!$AS$5:$AS$1000,$N39)="","",INDEX('Cronograma R. Normativo'!$AS$5:$AS$1000,$N39)))</f>
        <v/>
      </c>
      <c r="E39" s="56">
        <f>IF($N39="","",IF(NOT(ISNUMBER($D39)),"",IF($D39&lt;InicioCiclo,"Antes del ciclo",IF($D39&gt;=InicioCiclo+28,"Después del ciclo","Semana "&amp;(INT(($D39-InicioCiclo)/7)+1)))))</f>
        <v/>
      </c>
      <c r="F39" s="61">
        <f>IF($N39="","",IF($P39&gt;0,IF(1&lt;=SemanaActual,INDEX('Cronograma R. Normativo'!$AH$5:$AH$1000,$N39),""),IF(INDEX('Cronograma R. Normativo'!$I$5:$I$1000,$N39)="","",INDEX('Cronograma R. Normativo'!$I$5:$I$1000,$N39))))</f>
        <v/>
      </c>
      <c r="G39" s="61">
        <f>IF($N39="","",IF($P39&gt;0,IF(2&lt;=SemanaActual,INDEX('Cronograma R. Normativo'!$AI$5:$AI$1000,$N39),""),IF(INDEX('Cronograma R. Normativo'!$J$5:$J$1000,$N39)="","",INDEX('Cronograma R. Normativo'!$J$5:$J$1000,$N39))))</f>
        <v/>
      </c>
      <c r="H39" s="61">
        <f>IF($N39="","",IF($P39&gt;0,IF(3&lt;=SemanaActual,INDEX('Cronograma R. Normativo'!$AJ$5:$AJ$1000,$N39),""),IF(INDEX('Cronograma R. Normativo'!$K$5:$K$1000,$N39)="","",INDEX('Cronograma R. Normativo'!$K$5:$K$1000,$N39))))</f>
        <v/>
      </c>
      <c r="I39" s="61">
        <f>IF($N39="","",IF($P39&gt;0,IF(4&lt;=SemanaActual,INDEX('Cronograma R. Normativo'!$AK$5:$AK$1000,$N39),""),IF(INDEX('Cronograma R. Normativo'!$L$5:$L$1000,$N39)="","",INDEX('Cronograma R. Normativo'!$L$5:$L$1000,$N39))))</f>
        <v/>
      </c>
      <c r="J39" s="61">
        <f>IF($N39="","",INDEX('Cronograma R. Normativo'!$M$5:$M$1000,$N39))</f>
        <v/>
      </c>
      <c r="K39" s="56">
        <f>IF($N39="","",IF(N($J39)&gt;=1,"Completado",IF(AND(ISNUMBER($D39),$D39&lt;FechaRef),"Vencida",IF(N($J39)&gt;0,"En curso","Pendiente"))))</f>
        <v/>
      </c>
      <c r="L39" s="56">
        <f>IF($N39="","",INDEX('Cronograma R. Normativo'!$O$5:$O$1000,$N39)&amp;"")</f>
        <v/>
      </c>
      <c r="M39" s="62">
        <f>IF($N39="","",INDEX('Cronograma R. Normativo'!$Q$5:$Q$1000,$N39)&amp;"")</f>
        <v/>
      </c>
      <c r="N39">
        <f>IFERROR(MATCH(ROW()-4,rOrden_RN,0),"")</f>
        <v/>
      </c>
      <c r="O39">
        <f>IF($N39="","",INDEX('Cronograma R. Normativo'!$V$5:$V$1000,$N39))</f>
        <v/>
      </c>
      <c r="P39">
        <f>IF($N39="","",N(INDEX('Cronograma R. Normativo'!$W$5:$W$1000,$N39)))</f>
        <v/>
      </c>
      <c r="Q39">
        <f>IF(OR(LEFT($L39,7)="Vencida",LEFT($L39,5)="Vence"),SUMPRODUCT(--(LEFT($L$5:$L39,7)="Vencida"))+SUMPRODUCT(--(LEFT($L$5:$L39,5)="Vence")),"")</f>
        <v/>
      </c>
    </row>
    <row r="40">
      <c r="A40" s="56">
        <f>IF($N40="","",INDEX('Cronograma R. Normativo'!$A$5:$A$1000,$N40))</f>
        <v/>
      </c>
      <c r="B40" s="62">
        <f>IF($N40="","",IF($O40="Sub","      ↳  "&amp;INDEX('Cronograma R. Normativo'!$C$5:$C$1000,$N40),INDEX('Cronograma R. Normativo'!$C$5:$C$1000,$N40)&amp;""))</f>
        <v/>
      </c>
      <c r="C40" s="79">
        <f>IF($N40="","",IF(INDEX('Cronograma R. Normativo'!$AR$5:$AR$1000,$N40)="","",INDEX('Cronograma R. Normativo'!$AR$5:$AR$1000,$N40)))</f>
        <v/>
      </c>
      <c r="D40" s="79">
        <f>IF($N40="","",IF(INDEX('Cronograma R. Normativo'!$AS$5:$AS$1000,$N40)="","",INDEX('Cronograma R. Normativo'!$AS$5:$AS$1000,$N40)))</f>
        <v/>
      </c>
      <c r="E40" s="56">
        <f>IF($N40="","",IF(NOT(ISNUMBER($D40)),"",IF($D40&lt;InicioCiclo,"Antes del ciclo",IF($D40&gt;=InicioCiclo+28,"Después del ciclo","Semana "&amp;(INT(($D40-InicioCiclo)/7)+1)))))</f>
        <v/>
      </c>
      <c r="F40" s="61">
        <f>IF($N40="","",IF($P40&gt;0,IF(1&lt;=SemanaActual,INDEX('Cronograma R. Normativo'!$AH$5:$AH$1000,$N40),""),IF(INDEX('Cronograma R. Normativo'!$I$5:$I$1000,$N40)="","",INDEX('Cronograma R. Normativo'!$I$5:$I$1000,$N40))))</f>
        <v/>
      </c>
      <c r="G40" s="61">
        <f>IF($N40="","",IF($P40&gt;0,IF(2&lt;=SemanaActual,INDEX('Cronograma R. Normativo'!$AI$5:$AI$1000,$N40),""),IF(INDEX('Cronograma R. Normativo'!$J$5:$J$1000,$N40)="","",INDEX('Cronograma R. Normativo'!$J$5:$J$1000,$N40))))</f>
        <v/>
      </c>
      <c r="H40" s="61">
        <f>IF($N40="","",IF($P40&gt;0,IF(3&lt;=SemanaActual,INDEX('Cronograma R. Normativo'!$AJ$5:$AJ$1000,$N40),""),IF(INDEX('Cronograma R. Normativo'!$K$5:$K$1000,$N40)="","",INDEX('Cronograma R. Normativo'!$K$5:$K$1000,$N40))))</f>
        <v/>
      </c>
      <c r="I40" s="61">
        <f>IF($N40="","",IF($P40&gt;0,IF(4&lt;=SemanaActual,INDEX('Cronograma R. Normativo'!$AK$5:$AK$1000,$N40),""),IF(INDEX('Cronograma R. Normativo'!$L$5:$L$1000,$N40)="","",INDEX('Cronograma R. Normativo'!$L$5:$L$1000,$N40))))</f>
        <v/>
      </c>
      <c r="J40" s="61">
        <f>IF($N40="","",INDEX('Cronograma R. Normativo'!$M$5:$M$1000,$N40))</f>
        <v/>
      </c>
      <c r="K40" s="56">
        <f>IF($N40="","",IF(N($J40)&gt;=1,"Completado",IF(AND(ISNUMBER($D40),$D40&lt;FechaRef),"Vencida",IF(N($J40)&gt;0,"En curso","Pendiente"))))</f>
        <v/>
      </c>
      <c r="L40" s="56">
        <f>IF($N40="","",INDEX('Cronograma R. Normativo'!$O$5:$O$1000,$N40)&amp;"")</f>
        <v/>
      </c>
      <c r="M40" s="62">
        <f>IF($N40="","",INDEX('Cronograma R. Normativo'!$Q$5:$Q$1000,$N40)&amp;"")</f>
        <v/>
      </c>
      <c r="N40">
        <f>IFERROR(MATCH(ROW()-4,rOrden_RN,0),"")</f>
        <v/>
      </c>
      <c r="O40">
        <f>IF($N40="","",INDEX('Cronograma R. Normativo'!$V$5:$V$1000,$N40))</f>
        <v/>
      </c>
      <c r="P40">
        <f>IF($N40="","",N(INDEX('Cronograma R. Normativo'!$W$5:$W$1000,$N40)))</f>
        <v/>
      </c>
      <c r="Q40">
        <f>IF(OR(LEFT($L40,7)="Vencida",LEFT($L40,5)="Vence"),SUMPRODUCT(--(LEFT($L$5:$L40,7)="Vencida"))+SUMPRODUCT(--(LEFT($L$5:$L40,5)="Vence")),"")</f>
        <v/>
      </c>
    </row>
    <row r="41">
      <c r="A41" s="56">
        <f>IF($N41="","",INDEX('Cronograma R. Normativo'!$A$5:$A$1000,$N41))</f>
        <v/>
      </c>
      <c r="B41" s="62">
        <f>IF($N41="","",IF($O41="Sub","      ↳  "&amp;INDEX('Cronograma R. Normativo'!$C$5:$C$1000,$N41),INDEX('Cronograma R. Normativo'!$C$5:$C$1000,$N41)&amp;""))</f>
        <v/>
      </c>
      <c r="C41" s="79">
        <f>IF($N41="","",IF(INDEX('Cronograma R. Normativo'!$AR$5:$AR$1000,$N41)="","",INDEX('Cronograma R. Normativo'!$AR$5:$AR$1000,$N41)))</f>
        <v/>
      </c>
      <c r="D41" s="79">
        <f>IF($N41="","",IF(INDEX('Cronograma R. Normativo'!$AS$5:$AS$1000,$N41)="","",INDEX('Cronograma R. Normativo'!$AS$5:$AS$1000,$N41)))</f>
        <v/>
      </c>
      <c r="E41" s="56">
        <f>IF($N41="","",IF(NOT(ISNUMBER($D41)),"",IF($D41&lt;InicioCiclo,"Antes del ciclo",IF($D41&gt;=InicioCiclo+28,"Después del ciclo","Semana "&amp;(INT(($D41-InicioCiclo)/7)+1)))))</f>
        <v/>
      </c>
      <c r="F41" s="61">
        <f>IF($N41="","",IF($P41&gt;0,IF(1&lt;=SemanaActual,INDEX('Cronograma R. Normativo'!$AH$5:$AH$1000,$N41),""),IF(INDEX('Cronograma R. Normativo'!$I$5:$I$1000,$N41)="","",INDEX('Cronograma R. Normativo'!$I$5:$I$1000,$N41))))</f>
        <v/>
      </c>
      <c r="G41" s="61">
        <f>IF($N41="","",IF($P41&gt;0,IF(2&lt;=SemanaActual,INDEX('Cronograma R. Normativo'!$AI$5:$AI$1000,$N41),""),IF(INDEX('Cronograma R. Normativo'!$J$5:$J$1000,$N41)="","",INDEX('Cronograma R. Normativo'!$J$5:$J$1000,$N41))))</f>
        <v/>
      </c>
      <c r="H41" s="61">
        <f>IF($N41="","",IF($P41&gt;0,IF(3&lt;=SemanaActual,INDEX('Cronograma R. Normativo'!$AJ$5:$AJ$1000,$N41),""),IF(INDEX('Cronograma R. Normativo'!$K$5:$K$1000,$N41)="","",INDEX('Cronograma R. Normativo'!$K$5:$K$1000,$N41))))</f>
        <v/>
      </c>
      <c r="I41" s="61">
        <f>IF($N41="","",IF($P41&gt;0,IF(4&lt;=SemanaActual,INDEX('Cronograma R. Normativo'!$AK$5:$AK$1000,$N41),""),IF(INDEX('Cronograma R. Normativo'!$L$5:$L$1000,$N41)="","",INDEX('Cronograma R. Normativo'!$L$5:$L$1000,$N41))))</f>
        <v/>
      </c>
      <c r="J41" s="61">
        <f>IF($N41="","",INDEX('Cronograma R. Normativo'!$M$5:$M$1000,$N41))</f>
        <v/>
      </c>
      <c r="K41" s="56">
        <f>IF($N41="","",IF(N($J41)&gt;=1,"Completado",IF(AND(ISNUMBER($D41),$D41&lt;FechaRef),"Vencida",IF(N($J41)&gt;0,"En curso","Pendiente"))))</f>
        <v/>
      </c>
      <c r="L41" s="56">
        <f>IF($N41="","",INDEX('Cronograma R. Normativo'!$O$5:$O$1000,$N41)&amp;"")</f>
        <v/>
      </c>
      <c r="M41" s="62">
        <f>IF($N41="","",INDEX('Cronograma R. Normativo'!$Q$5:$Q$1000,$N41)&amp;"")</f>
        <v/>
      </c>
      <c r="N41">
        <f>IFERROR(MATCH(ROW()-4,rOrden_RN,0),"")</f>
        <v/>
      </c>
      <c r="O41">
        <f>IF($N41="","",INDEX('Cronograma R. Normativo'!$V$5:$V$1000,$N41))</f>
        <v/>
      </c>
      <c r="P41">
        <f>IF($N41="","",N(INDEX('Cronograma R. Normativo'!$W$5:$W$1000,$N41)))</f>
        <v/>
      </c>
      <c r="Q41">
        <f>IF(OR(LEFT($L41,7)="Vencida",LEFT($L41,5)="Vence"),SUMPRODUCT(--(LEFT($L$5:$L41,7)="Vencida"))+SUMPRODUCT(--(LEFT($L$5:$L41,5)="Vence")),"")</f>
        <v/>
      </c>
    </row>
    <row r="42">
      <c r="A42" s="56">
        <f>IF($N42="","",INDEX('Cronograma R. Normativo'!$A$5:$A$1000,$N42))</f>
        <v/>
      </c>
      <c r="B42" s="62">
        <f>IF($N42="","",IF($O42="Sub","      ↳  "&amp;INDEX('Cronograma R. Normativo'!$C$5:$C$1000,$N42),INDEX('Cronograma R. Normativo'!$C$5:$C$1000,$N42)&amp;""))</f>
        <v/>
      </c>
      <c r="C42" s="79">
        <f>IF($N42="","",IF(INDEX('Cronograma R. Normativo'!$AR$5:$AR$1000,$N42)="","",INDEX('Cronograma R. Normativo'!$AR$5:$AR$1000,$N42)))</f>
        <v/>
      </c>
      <c r="D42" s="79">
        <f>IF($N42="","",IF(INDEX('Cronograma R. Normativo'!$AS$5:$AS$1000,$N42)="","",INDEX('Cronograma R. Normativo'!$AS$5:$AS$1000,$N42)))</f>
        <v/>
      </c>
      <c r="E42" s="56">
        <f>IF($N42="","",IF(NOT(ISNUMBER($D42)),"",IF($D42&lt;InicioCiclo,"Antes del ciclo",IF($D42&gt;=InicioCiclo+28,"Después del ciclo","Semana "&amp;(INT(($D42-InicioCiclo)/7)+1)))))</f>
        <v/>
      </c>
      <c r="F42" s="61">
        <f>IF($N42="","",IF($P42&gt;0,IF(1&lt;=SemanaActual,INDEX('Cronograma R. Normativo'!$AH$5:$AH$1000,$N42),""),IF(INDEX('Cronograma R. Normativo'!$I$5:$I$1000,$N42)="","",INDEX('Cronograma R. Normativo'!$I$5:$I$1000,$N42))))</f>
        <v/>
      </c>
      <c r="G42" s="61">
        <f>IF($N42="","",IF($P42&gt;0,IF(2&lt;=SemanaActual,INDEX('Cronograma R. Normativo'!$AI$5:$AI$1000,$N42),""),IF(INDEX('Cronograma R. Normativo'!$J$5:$J$1000,$N42)="","",INDEX('Cronograma R. Normativo'!$J$5:$J$1000,$N42))))</f>
        <v/>
      </c>
      <c r="H42" s="61">
        <f>IF($N42="","",IF($P42&gt;0,IF(3&lt;=SemanaActual,INDEX('Cronograma R. Normativo'!$AJ$5:$AJ$1000,$N42),""),IF(INDEX('Cronograma R. Normativo'!$K$5:$K$1000,$N42)="","",INDEX('Cronograma R. Normativo'!$K$5:$K$1000,$N42))))</f>
        <v/>
      </c>
      <c r="I42" s="61">
        <f>IF($N42="","",IF($P42&gt;0,IF(4&lt;=SemanaActual,INDEX('Cronograma R. Normativo'!$AK$5:$AK$1000,$N42),""),IF(INDEX('Cronograma R. Normativo'!$L$5:$L$1000,$N42)="","",INDEX('Cronograma R. Normativo'!$L$5:$L$1000,$N42))))</f>
        <v/>
      </c>
      <c r="J42" s="61">
        <f>IF($N42="","",INDEX('Cronograma R. Normativo'!$M$5:$M$1000,$N42))</f>
        <v/>
      </c>
      <c r="K42" s="56">
        <f>IF($N42="","",IF(N($J42)&gt;=1,"Completado",IF(AND(ISNUMBER($D42),$D42&lt;FechaRef),"Vencida",IF(N($J42)&gt;0,"En curso","Pendiente"))))</f>
        <v/>
      </c>
      <c r="L42" s="56">
        <f>IF($N42="","",INDEX('Cronograma R. Normativo'!$O$5:$O$1000,$N42)&amp;"")</f>
        <v/>
      </c>
      <c r="M42" s="62">
        <f>IF($N42="","",INDEX('Cronograma R. Normativo'!$Q$5:$Q$1000,$N42)&amp;"")</f>
        <v/>
      </c>
      <c r="N42">
        <f>IFERROR(MATCH(ROW()-4,rOrden_RN,0),"")</f>
        <v/>
      </c>
      <c r="O42">
        <f>IF($N42="","",INDEX('Cronograma R. Normativo'!$V$5:$V$1000,$N42))</f>
        <v/>
      </c>
      <c r="P42">
        <f>IF($N42="","",N(INDEX('Cronograma R. Normativo'!$W$5:$W$1000,$N42)))</f>
        <v/>
      </c>
      <c r="Q42">
        <f>IF(OR(LEFT($L42,7)="Vencida",LEFT($L42,5)="Vence"),SUMPRODUCT(--(LEFT($L$5:$L42,7)="Vencida"))+SUMPRODUCT(--(LEFT($L$5:$L42,5)="Vence")),"")</f>
        <v/>
      </c>
    </row>
    <row r="43">
      <c r="A43" s="56">
        <f>IF($N43="","",INDEX('Cronograma R. Normativo'!$A$5:$A$1000,$N43))</f>
        <v/>
      </c>
      <c r="B43" s="62">
        <f>IF($N43="","",IF($O43="Sub","      ↳  "&amp;INDEX('Cronograma R. Normativo'!$C$5:$C$1000,$N43),INDEX('Cronograma R. Normativo'!$C$5:$C$1000,$N43)&amp;""))</f>
        <v/>
      </c>
      <c r="C43" s="79">
        <f>IF($N43="","",IF(INDEX('Cronograma R. Normativo'!$AR$5:$AR$1000,$N43)="","",INDEX('Cronograma R. Normativo'!$AR$5:$AR$1000,$N43)))</f>
        <v/>
      </c>
      <c r="D43" s="79">
        <f>IF($N43="","",IF(INDEX('Cronograma R. Normativo'!$AS$5:$AS$1000,$N43)="","",INDEX('Cronograma R. Normativo'!$AS$5:$AS$1000,$N43)))</f>
        <v/>
      </c>
      <c r="E43" s="56">
        <f>IF($N43="","",IF(NOT(ISNUMBER($D43)),"",IF($D43&lt;InicioCiclo,"Antes del ciclo",IF($D43&gt;=InicioCiclo+28,"Después del ciclo","Semana "&amp;(INT(($D43-InicioCiclo)/7)+1)))))</f>
        <v/>
      </c>
      <c r="F43" s="61">
        <f>IF($N43="","",IF($P43&gt;0,IF(1&lt;=SemanaActual,INDEX('Cronograma R. Normativo'!$AH$5:$AH$1000,$N43),""),IF(INDEX('Cronograma R. Normativo'!$I$5:$I$1000,$N43)="","",INDEX('Cronograma R. Normativo'!$I$5:$I$1000,$N43))))</f>
        <v/>
      </c>
      <c r="G43" s="61">
        <f>IF($N43="","",IF($P43&gt;0,IF(2&lt;=SemanaActual,INDEX('Cronograma R. Normativo'!$AI$5:$AI$1000,$N43),""),IF(INDEX('Cronograma R. Normativo'!$J$5:$J$1000,$N43)="","",INDEX('Cronograma R. Normativo'!$J$5:$J$1000,$N43))))</f>
        <v/>
      </c>
      <c r="H43" s="61">
        <f>IF($N43="","",IF($P43&gt;0,IF(3&lt;=SemanaActual,INDEX('Cronograma R. Normativo'!$AJ$5:$AJ$1000,$N43),""),IF(INDEX('Cronograma R. Normativo'!$K$5:$K$1000,$N43)="","",INDEX('Cronograma R. Normativo'!$K$5:$K$1000,$N43))))</f>
        <v/>
      </c>
      <c r="I43" s="61">
        <f>IF($N43="","",IF($P43&gt;0,IF(4&lt;=SemanaActual,INDEX('Cronograma R. Normativo'!$AK$5:$AK$1000,$N43),""),IF(INDEX('Cronograma R. Normativo'!$L$5:$L$1000,$N43)="","",INDEX('Cronograma R. Normativo'!$L$5:$L$1000,$N43))))</f>
        <v/>
      </c>
      <c r="J43" s="61">
        <f>IF($N43="","",INDEX('Cronograma R. Normativo'!$M$5:$M$1000,$N43))</f>
        <v/>
      </c>
      <c r="K43" s="56">
        <f>IF($N43="","",IF(N($J43)&gt;=1,"Completado",IF(AND(ISNUMBER($D43),$D43&lt;FechaRef),"Vencida",IF(N($J43)&gt;0,"En curso","Pendiente"))))</f>
        <v/>
      </c>
      <c r="L43" s="56">
        <f>IF($N43="","",INDEX('Cronograma R. Normativo'!$O$5:$O$1000,$N43)&amp;"")</f>
        <v/>
      </c>
      <c r="M43" s="62">
        <f>IF($N43="","",INDEX('Cronograma R. Normativo'!$Q$5:$Q$1000,$N43)&amp;"")</f>
        <v/>
      </c>
      <c r="N43">
        <f>IFERROR(MATCH(ROW()-4,rOrden_RN,0),"")</f>
        <v/>
      </c>
      <c r="O43">
        <f>IF($N43="","",INDEX('Cronograma R. Normativo'!$V$5:$V$1000,$N43))</f>
        <v/>
      </c>
      <c r="P43">
        <f>IF($N43="","",N(INDEX('Cronograma R. Normativo'!$W$5:$W$1000,$N43)))</f>
        <v/>
      </c>
      <c r="Q43">
        <f>IF(OR(LEFT($L43,7)="Vencida",LEFT($L43,5)="Vence"),SUMPRODUCT(--(LEFT($L$5:$L43,7)="Vencida"))+SUMPRODUCT(--(LEFT($L$5:$L43,5)="Vence")),"")</f>
        <v/>
      </c>
    </row>
    <row r="44">
      <c r="A44" s="56">
        <f>IF($N44="","",INDEX('Cronograma R. Normativo'!$A$5:$A$1000,$N44))</f>
        <v/>
      </c>
      <c r="B44" s="62">
        <f>IF($N44="","",IF($O44="Sub","      ↳  "&amp;INDEX('Cronograma R. Normativo'!$C$5:$C$1000,$N44),INDEX('Cronograma R. Normativo'!$C$5:$C$1000,$N44)&amp;""))</f>
        <v/>
      </c>
      <c r="C44" s="79">
        <f>IF($N44="","",IF(INDEX('Cronograma R. Normativo'!$AR$5:$AR$1000,$N44)="","",INDEX('Cronograma R. Normativo'!$AR$5:$AR$1000,$N44)))</f>
        <v/>
      </c>
      <c r="D44" s="79">
        <f>IF($N44="","",IF(INDEX('Cronograma R. Normativo'!$AS$5:$AS$1000,$N44)="","",INDEX('Cronograma R. Normativo'!$AS$5:$AS$1000,$N44)))</f>
        <v/>
      </c>
      <c r="E44" s="56">
        <f>IF($N44="","",IF(NOT(ISNUMBER($D44)),"",IF($D44&lt;InicioCiclo,"Antes del ciclo",IF($D44&gt;=InicioCiclo+28,"Después del ciclo","Semana "&amp;(INT(($D44-InicioCiclo)/7)+1)))))</f>
        <v/>
      </c>
      <c r="F44" s="61">
        <f>IF($N44="","",IF($P44&gt;0,IF(1&lt;=SemanaActual,INDEX('Cronograma R. Normativo'!$AH$5:$AH$1000,$N44),""),IF(INDEX('Cronograma R. Normativo'!$I$5:$I$1000,$N44)="","",INDEX('Cronograma R. Normativo'!$I$5:$I$1000,$N44))))</f>
        <v/>
      </c>
      <c r="G44" s="61">
        <f>IF($N44="","",IF($P44&gt;0,IF(2&lt;=SemanaActual,INDEX('Cronograma R. Normativo'!$AI$5:$AI$1000,$N44),""),IF(INDEX('Cronograma R. Normativo'!$J$5:$J$1000,$N44)="","",INDEX('Cronograma R. Normativo'!$J$5:$J$1000,$N44))))</f>
        <v/>
      </c>
      <c r="H44" s="61">
        <f>IF($N44="","",IF($P44&gt;0,IF(3&lt;=SemanaActual,INDEX('Cronograma R. Normativo'!$AJ$5:$AJ$1000,$N44),""),IF(INDEX('Cronograma R. Normativo'!$K$5:$K$1000,$N44)="","",INDEX('Cronograma R. Normativo'!$K$5:$K$1000,$N44))))</f>
        <v/>
      </c>
      <c r="I44" s="61">
        <f>IF($N44="","",IF($P44&gt;0,IF(4&lt;=SemanaActual,INDEX('Cronograma R. Normativo'!$AK$5:$AK$1000,$N44),""),IF(INDEX('Cronograma R. Normativo'!$L$5:$L$1000,$N44)="","",INDEX('Cronograma R. Normativo'!$L$5:$L$1000,$N44))))</f>
        <v/>
      </c>
      <c r="J44" s="61">
        <f>IF($N44="","",INDEX('Cronograma R. Normativo'!$M$5:$M$1000,$N44))</f>
        <v/>
      </c>
      <c r="K44" s="56">
        <f>IF($N44="","",IF(N($J44)&gt;=1,"Completado",IF(AND(ISNUMBER($D44),$D44&lt;FechaRef),"Vencida",IF(N($J44)&gt;0,"En curso","Pendiente"))))</f>
        <v/>
      </c>
      <c r="L44" s="56">
        <f>IF($N44="","",INDEX('Cronograma R. Normativo'!$O$5:$O$1000,$N44)&amp;"")</f>
        <v/>
      </c>
      <c r="M44" s="62">
        <f>IF($N44="","",INDEX('Cronograma R. Normativo'!$Q$5:$Q$1000,$N44)&amp;"")</f>
        <v/>
      </c>
      <c r="N44">
        <f>IFERROR(MATCH(ROW()-4,rOrden_RN,0),"")</f>
        <v/>
      </c>
      <c r="O44">
        <f>IF($N44="","",INDEX('Cronograma R. Normativo'!$V$5:$V$1000,$N44))</f>
        <v/>
      </c>
      <c r="P44">
        <f>IF($N44="","",N(INDEX('Cronograma R. Normativo'!$W$5:$W$1000,$N44)))</f>
        <v/>
      </c>
      <c r="Q44">
        <f>IF(OR(LEFT($L44,7)="Vencida",LEFT($L44,5)="Vence"),SUMPRODUCT(--(LEFT($L$5:$L44,7)="Vencida"))+SUMPRODUCT(--(LEFT($L$5:$L44,5)="Vence")),"")</f>
        <v/>
      </c>
    </row>
    <row r="45">
      <c r="A45" s="56">
        <f>IF($N45="","",INDEX('Cronograma R. Normativo'!$A$5:$A$1000,$N45))</f>
        <v/>
      </c>
      <c r="B45" s="62">
        <f>IF($N45="","",IF($O45="Sub","      ↳  "&amp;INDEX('Cronograma R. Normativo'!$C$5:$C$1000,$N45),INDEX('Cronograma R. Normativo'!$C$5:$C$1000,$N45)&amp;""))</f>
        <v/>
      </c>
      <c r="C45" s="79">
        <f>IF($N45="","",IF(INDEX('Cronograma R. Normativo'!$AR$5:$AR$1000,$N45)="","",INDEX('Cronograma R. Normativo'!$AR$5:$AR$1000,$N45)))</f>
        <v/>
      </c>
      <c r="D45" s="79">
        <f>IF($N45="","",IF(INDEX('Cronograma R. Normativo'!$AS$5:$AS$1000,$N45)="","",INDEX('Cronograma R. Normativo'!$AS$5:$AS$1000,$N45)))</f>
        <v/>
      </c>
      <c r="E45" s="56">
        <f>IF($N45="","",IF(NOT(ISNUMBER($D45)),"",IF($D45&lt;InicioCiclo,"Antes del ciclo",IF($D45&gt;=InicioCiclo+28,"Después del ciclo","Semana "&amp;(INT(($D45-InicioCiclo)/7)+1)))))</f>
        <v/>
      </c>
      <c r="F45" s="61">
        <f>IF($N45="","",IF($P45&gt;0,IF(1&lt;=SemanaActual,INDEX('Cronograma R. Normativo'!$AH$5:$AH$1000,$N45),""),IF(INDEX('Cronograma R. Normativo'!$I$5:$I$1000,$N45)="","",INDEX('Cronograma R. Normativo'!$I$5:$I$1000,$N45))))</f>
        <v/>
      </c>
      <c r="G45" s="61">
        <f>IF($N45="","",IF($P45&gt;0,IF(2&lt;=SemanaActual,INDEX('Cronograma R. Normativo'!$AI$5:$AI$1000,$N45),""),IF(INDEX('Cronograma R. Normativo'!$J$5:$J$1000,$N45)="","",INDEX('Cronograma R. Normativo'!$J$5:$J$1000,$N45))))</f>
        <v/>
      </c>
      <c r="H45" s="61">
        <f>IF($N45="","",IF($P45&gt;0,IF(3&lt;=SemanaActual,INDEX('Cronograma R. Normativo'!$AJ$5:$AJ$1000,$N45),""),IF(INDEX('Cronograma R. Normativo'!$K$5:$K$1000,$N45)="","",INDEX('Cronograma R. Normativo'!$K$5:$K$1000,$N45))))</f>
        <v/>
      </c>
      <c r="I45" s="61">
        <f>IF($N45="","",IF($P45&gt;0,IF(4&lt;=SemanaActual,INDEX('Cronograma R. Normativo'!$AK$5:$AK$1000,$N45),""),IF(INDEX('Cronograma R. Normativo'!$L$5:$L$1000,$N45)="","",INDEX('Cronograma R. Normativo'!$L$5:$L$1000,$N45))))</f>
        <v/>
      </c>
      <c r="J45" s="61">
        <f>IF($N45="","",INDEX('Cronograma R. Normativo'!$M$5:$M$1000,$N45))</f>
        <v/>
      </c>
      <c r="K45" s="56">
        <f>IF($N45="","",IF(N($J45)&gt;=1,"Completado",IF(AND(ISNUMBER($D45),$D45&lt;FechaRef),"Vencida",IF(N($J45)&gt;0,"En curso","Pendiente"))))</f>
        <v/>
      </c>
      <c r="L45" s="56">
        <f>IF($N45="","",INDEX('Cronograma R. Normativo'!$O$5:$O$1000,$N45)&amp;"")</f>
        <v/>
      </c>
      <c r="M45" s="62">
        <f>IF($N45="","",INDEX('Cronograma R. Normativo'!$Q$5:$Q$1000,$N45)&amp;"")</f>
        <v/>
      </c>
      <c r="N45">
        <f>IFERROR(MATCH(ROW()-4,rOrden_RN,0),"")</f>
        <v/>
      </c>
      <c r="O45">
        <f>IF($N45="","",INDEX('Cronograma R. Normativo'!$V$5:$V$1000,$N45))</f>
        <v/>
      </c>
      <c r="P45">
        <f>IF($N45="","",N(INDEX('Cronograma R. Normativo'!$W$5:$W$1000,$N45)))</f>
        <v/>
      </c>
      <c r="Q45">
        <f>IF(OR(LEFT($L45,7)="Vencida",LEFT($L45,5)="Vence"),SUMPRODUCT(--(LEFT($L$5:$L45,7)="Vencida"))+SUMPRODUCT(--(LEFT($L$5:$L45,5)="Vence")),"")</f>
        <v/>
      </c>
    </row>
    <row r="46">
      <c r="A46" s="56">
        <f>IF($N46="","",INDEX('Cronograma R. Normativo'!$A$5:$A$1000,$N46))</f>
        <v/>
      </c>
      <c r="B46" s="62">
        <f>IF($N46="","",IF($O46="Sub","      ↳  "&amp;INDEX('Cronograma R. Normativo'!$C$5:$C$1000,$N46),INDEX('Cronograma R. Normativo'!$C$5:$C$1000,$N46)&amp;""))</f>
        <v/>
      </c>
      <c r="C46" s="79">
        <f>IF($N46="","",IF(INDEX('Cronograma R. Normativo'!$AR$5:$AR$1000,$N46)="","",INDEX('Cronograma R. Normativo'!$AR$5:$AR$1000,$N46)))</f>
        <v/>
      </c>
      <c r="D46" s="79">
        <f>IF($N46="","",IF(INDEX('Cronograma R. Normativo'!$AS$5:$AS$1000,$N46)="","",INDEX('Cronograma R. Normativo'!$AS$5:$AS$1000,$N46)))</f>
        <v/>
      </c>
      <c r="E46" s="56">
        <f>IF($N46="","",IF(NOT(ISNUMBER($D46)),"",IF($D46&lt;InicioCiclo,"Antes del ciclo",IF($D46&gt;=InicioCiclo+28,"Después del ciclo","Semana "&amp;(INT(($D46-InicioCiclo)/7)+1)))))</f>
        <v/>
      </c>
      <c r="F46" s="61">
        <f>IF($N46="","",IF($P46&gt;0,IF(1&lt;=SemanaActual,INDEX('Cronograma R. Normativo'!$AH$5:$AH$1000,$N46),""),IF(INDEX('Cronograma R. Normativo'!$I$5:$I$1000,$N46)="","",INDEX('Cronograma R. Normativo'!$I$5:$I$1000,$N46))))</f>
        <v/>
      </c>
      <c r="G46" s="61">
        <f>IF($N46="","",IF($P46&gt;0,IF(2&lt;=SemanaActual,INDEX('Cronograma R. Normativo'!$AI$5:$AI$1000,$N46),""),IF(INDEX('Cronograma R. Normativo'!$J$5:$J$1000,$N46)="","",INDEX('Cronograma R. Normativo'!$J$5:$J$1000,$N46))))</f>
        <v/>
      </c>
      <c r="H46" s="61">
        <f>IF($N46="","",IF($P46&gt;0,IF(3&lt;=SemanaActual,INDEX('Cronograma R. Normativo'!$AJ$5:$AJ$1000,$N46),""),IF(INDEX('Cronograma R. Normativo'!$K$5:$K$1000,$N46)="","",INDEX('Cronograma R. Normativo'!$K$5:$K$1000,$N46))))</f>
        <v/>
      </c>
      <c r="I46" s="61">
        <f>IF($N46="","",IF($P46&gt;0,IF(4&lt;=SemanaActual,INDEX('Cronograma R. Normativo'!$AK$5:$AK$1000,$N46),""),IF(INDEX('Cronograma R. Normativo'!$L$5:$L$1000,$N46)="","",INDEX('Cronograma R. Normativo'!$L$5:$L$1000,$N46))))</f>
        <v/>
      </c>
      <c r="J46" s="61">
        <f>IF($N46="","",INDEX('Cronograma R. Normativo'!$M$5:$M$1000,$N46))</f>
        <v/>
      </c>
      <c r="K46" s="56">
        <f>IF($N46="","",IF(N($J46)&gt;=1,"Completado",IF(AND(ISNUMBER($D46),$D46&lt;FechaRef),"Vencida",IF(N($J46)&gt;0,"En curso","Pendiente"))))</f>
        <v/>
      </c>
      <c r="L46" s="56">
        <f>IF($N46="","",INDEX('Cronograma R. Normativo'!$O$5:$O$1000,$N46)&amp;"")</f>
        <v/>
      </c>
      <c r="M46" s="62">
        <f>IF($N46="","",INDEX('Cronograma R. Normativo'!$Q$5:$Q$1000,$N46)&amp;"")</f>
        <v/>
      </c>
      <c r="N46">
        <f>IFERROR(MATCH(ROW()-4,rOrden_RN,0),"")</f>
        <v/>
      </c>
      <c r="O46">
        <f>IF($N46="","",INDEX('Cronograma R. Normativo'!$V$5:$V$1000,$N46))</f>
        <v/>
      </c>
      <c r="P46">
        <f>IF($N46="","",N(INDEX('Cronograma R. Normativo'!$W$5:$W$1000,$N46)))</f>
        <v/>
      </c>
      <c r="Q46">
        <f>IF(OR(LEFT($L46,7)="Vencida",LEFT($L46,5)="Vence"),SUMPRODUCT(--(LEFT($L$5:$L46,7)="Vencida"))+SUMPRODUCT(--(LEFT($L$5:$L46,5)="Vence")),"")</f>
        <v/>
      </c>
    </row>
    <row r="47">
      <c r="A47" s="56">
        <f>IF($N47="","",INDEX('Cronograma R. Normativo'!$A$5:$A$1000,$N47))</f>
        <v/>
      </c>
      <c r="B47" s="62">
        <f>IF($N47="","",IF($O47="Sub","      ↳  "&amp;INDEX('Cronograma R. Normativo'!$C$5:$C$1000,$N47),INDEX('Cronograma R. Normativo'!$C$5:$C$1000,$N47)&amp;""))</f>
        <v/>
      </c>
      <c r="C47" s="79">
        <f>IF($N47="","",IF(INDEX('Cronograma R. Normativo'!$AR$5:$AR$1000,$N47)="","",INDEX('Cronograma R. Normativo'!$AR$5:$AR$1000,$N47)))</f>
        <v/>
      </c>
      <c r="D47" s="79">
        <f>IF($N47="","",IF(INDEX('Cronograma R. Normativo'!$AS$5:$AS$1000,$N47)="","",INDEX('Cronograma R. Normativo'!$AS$5:$AS$1000,$N47)))</f>
        <v/>
      </c>
      <c r="E47" s="56">
        <f>IF($N47="","",IF(NOT(ISNUMBER($D47)),"",IF($D47&lt;InicioCiclo,"Antes del ciclo",IF($D47&gt;=InicioCiclo+28,"Después del ciclo","Semana "&amp;(INT(($D47-InicioCiclo)/7)+1)))))</f>
        <v/>
      </c>
      <c r="F47" s="61">
        <f>IF($N47="","",IF($P47&gt;0,IF(1&lt;=SemanaActual,INDEX('Cronograma R. Normativo'!$AH$5:$AH$1000,$N47),""),IF(INDEX('Cronograma R. Normativo'!$I$5:$I$1000,$N47)="","",INDEX('Cronograma R. Normativo'!$I$5:$I$1000,$N47))))</f>
        <v/>
      </c>
      <c r="G47" s="61">
        <f>IF($N47="","",IF($P47&gt;0,IF(2&lt;=SemanaActual,INDEX('Cronograma R. Normativo'!$AI$5:$AI$1000,$N47),""),IF(INDEX('Cronograma R. Normativo'!$J$5:$J$1000,$N47)="","",INDEX('Cronograma R. Normativo'!$J$5:$J$1000,$N47))))</f>
        <v/>
      </c>
      <c r="H47" s="61">
        <f>IF($N47="","",IF($P47&gt;0,IF(3&lt;=SemanaActual,INDEX('Cronograma R. Normativo'!$AJ$5:$AJ$1000,$N47),""),IF(INDEX('Cronograma R. Normativo'!$K$5:$K$1000,$N47)="","",INDEX('Cronograma R. Normativo'!$K$5:$K$1000,$N47))))</f>
        <v/>
      </c>
      <c r="I47" s="61">
        <f>IF($N47="","",IF($P47&gt;0,IF(4&lt;=SemanaActual,INDEX('Cronograma R. Normativo'!$AK$5:$AK$1000,$N47),""),IF(INDEX('Cronograma R. Normativo'!$L$5:$L$1000,$N47)="","",INDEX('Cronograma R. Normativo'!$L$5:$L$1000,$N47))))</f>
        <v/>
      </c>
      <c r="J47" s="61">
        <f>IF($N47="","",INDEX('Cronograma R. Normativo'!$M$5:$M$1000,$N47))</f>
        <v/>
      </c>
      <c r="K47" s="56">
        <f>IF($N47="","",IF(N($J47)&gt;=1,"Completado",IF(AND(ISNUMBER($D47),$D47&lt;FechaRef),"Vencida",IF(N($J47)&gt;0,"En curso","Pendiente"))))</f>
        <v/>
      </c>
      <c r="L47" s="56">
        <f>IF($N47="","",INDEX('Cronograma R. Normativo'!$O$5:$O$1000,$N47)&amp;"")</f>
        <v/>
      </c>
      <c r="M47" s="62">
        <f>IF($N47="","",INDEX('Cronograma R. Normativo'!$Q$5:$Q$1000,$N47)&amp;"")</f>
        <v/>
      </c>
      <c r="N47">
        <f>IFERROR(MATCH(ROW()-4,rOrden_RN,0),"")</f>
        <v/>
      </c>
      <c r="O47">
        <f>IF($N47="","",INDEX('Cronograma R. Normativo'!$V$5:$V$1000,$N47))</f>
        <v/>
      </c>
      <c r="P47">
        <f>IF($N47="","",N(INDEX('Cronograma R. Normativo'!$W$5:$W$1000,$N47)))</f>
        <v/>
      </c>
      <c r="Q47">
        <f>IF(OR(LEFT($L47,7)="Vencida",LEFT($L47,5)="Vence"),SUMPRODUCT(--(LEFT($L$5:$L47,7)="Vencida"))+SUMPRODUCT(--(LEFT($L$5:$L47,5)="Vence")),"")</f>
        <v/>
      </c>
    </row>
    <row r="48">
      <c r="A48" s="56">
        <f>IF($N48="","",INDEX('Cronograma R. Normativo'!$A$5:$A$1000,$N48))</f>
        <v/>
      </c>
      <c r="B48" s="62">
        <f>IF($N48="","",IF($O48="Sub","      ↳  "&amp;INDEX('Cronograma R. Normativo'!$C$5:$C$1000,$N48),INDEX('Cronograma R. Normativo'!$C$5:$C$1000,$N48)&amp;""))</f>
        <v/>
      </c>
      <c r="C48" s="79">
        <f>IF($N48="","",IF(INDEX('Cronograma R. Normativo'!$AR$5:$AR$1000,$N48)="","",INDEX('Cronograma R. Normativo'!$AR$5:$AR$1000,$N48)))</f>
        <v/>
      </c>
      <c r="D48" s="79">
        <f>IF($N48="","",IF(INDEX('Cronograma R. Normativo'!$AS$5:$AS$1000,$N48)="","",INDEX('Cronograma R. Normativo'!$AS$5:$AS$1000,$N48)))</f>
        <v/>
      </c>
      <c r="E48" s="56">
        <f>IF($N48="","",IF(NOT(ISNUMBER($D48)),"",IF($D48&lt;InicioCiclo,"Antes del ciclo",IF($D48&gt;=InicioCiclo+28,"Después del ciclo","Semana "&amp;(INT(($D48-InicioCiclo)/7)+1)))))</f>
        <v/>
      </c>
      <c r="F48" s="61">
        <f>IF($N48="","",IF($P48&gt;0,IF(1&lt;=SemanaActual,INDEX('Cronograma R. Normativo'!$AH$5:$AH$1000,$N48),""),IF(INDEX('Cronograma R. Normativo'!$I$5:$I$1000,$N48)="","",INDEX('Cronograma R. Normativo'!$I$5:$I$1000,$N48))))</f>
        <v/>
      </c>
      <c r="G48" s="61">
        <f>IF($N48="","",IF($P48&gt;0,IF(2&lt;=SemanaActual,INDEX('Cronograma R. Normativo'!$AI$5:$AI$1000,$N48),""),IF(INDEX('Cronograma R. Normativo'!$J$5:$J$1000,$N48)="","",INDEX('Cronograma R. Normativo'!$J$5:$J$1000,$N48))))</f>
        <v/>
      </c>
      <c r="H48" s="61">
        <f>IF($N48="","",IF($P48&gt;0,IF(3&lt;=SemanaActual,INDEX('Cronograma R. Normativo'!$AJ$5:$AJ$1000,$N48),""),IF(INDEX('Cronograma R. Normativo'!$K$5:$K$1000,$N48)="","",INDEX('Cronograma R. Normativo'!$K$5:$K$1000,$N48))))</f>
        <v/>
      </c>
      <c r="I48" s="61">
        <f>IF($N48="","",IF($P48&gt;0,IF(4&lt;=SemanaActual,INDEX('Cronograma R. Normativo'!$AK$5:$AK$1000,$N48),""),IF(INDEX('Cronograma R. Normativo'!$L$5:$L$1000,$N48)="","",INDEX('Cronograma R. Normativo'!$L$5:$L$1000,$N48))))</f>
        <v/>
      </c>
      <c r="J48" s="61">
        <f>IF($N48="","",INDEX('Cronograma R. Normativo'!$M$5:$M$1000,$N48))</f>
        <v/>
      </c>
      <c r="K48" s="56">
        <f>IF($N48="","",IF(N($J48)&gt;=1,"Completado",IF(AND(ISNUMBER($D48),$D48&lt;FechaRef),"Vencida",IF(N($J48)&gt;0,"En curso","Pendiente"))))</f>
        <v/>
      </c>
      <c r="L48" s="56">
        <f>IF($N48="","",INDEX('Cronograma R. Normativo'!$O$5:$O$1000,$N48)&amp;"")</f>
        <v/>
      </c>
      <c r="M48" s="62">
        <f>IF($N48="","",INDEX('Cronograma R. Normativo'!$Q$5:$Q$1000,$N48)&amp;"")</f>
        <v/>
      </c>
      <c r="N48">
        <f>IFERROR(MATCH(ROW()-4,rOrden_RN,0),"")</f>
        <v/>
      </c>
      <c r="O48">
        <f>IF($N48="","",INDEX('Cronograma R. Normativo'!$V$5:$V$1000,$N48))</f>
        <v/>
      </c>
      <c r="P48">
        <f>IF($N48="","",N(INDEX('Cronograma R. Normativo'!$W$5:$W$1000,$N48)))</f>
        <v/>
      </c>
      <c r="Q48">
        <f>IF(OR(LEFT($L48,7)="Vencida",LEFT($L48,5)="Vence"),SUMPRODUCT(--(LEFT($L$5:$L48,7)="Vencida"))+SUMPRODUCT(--(LEFT($L$5:$L48,5)="Vence")),"")</f>
        <v/>
      </c>
    </row>
    <row r="49">
      <c r="A49" s="56">
        <f>IF($N49="","",INDEX('Cronograma R. Normativo'!$A$5:$A$1000,$N49))</f>
        <v/>
      </c>
      <c r="B49" s="62">
        <f>IF($N49="","",IF($O49="Sub","      ↳  "&amp;INDEX('Cronograma R. Normativo'!$C$5:$C$1000,$N49),INDEX('Cronograma R. Normativo'!$C$5:$C$1000,$N49)&amp;""))</f>
        <v/>
      </c>
      <c r="C49" s="79">
        <f>IF($N49="","",IF(INDEX('Cronograma R. Normativo'!$AR$5:$AR$1000,$N49)="","",INDEX('Cronograma R. Normativo'!$AR$5:$AR$1000,$N49)))</f>
        <v/>
      </c>
      <c r="D49" s="79">
        <f>IF($N49="","",IF(INDEX('Cronograma R. Normativo'!$AS$5:$AS$1000,$N49)="","",INDEX('Cronograma R. Normativo'!$AS$5:$AS$1000,$N49)))</f>
        <v/>
      </c>
      <c r="E49" s="56">
        <f>IF($N49="","",IF(NOT(ISNUMBER($D49)),"",IF($D49&lt;InicioCiclo,"Antes del ciclo",IF($D49&gt;=InicioCiclo+28,"Después del ciclo","Semana "&amp;(INT(($D49-InicioCiclo)/7)+1)))))</f>
        <v/>
      </c>
      <c r="F49" s="61">
        <f>IF($N49="","",IF($P49&gt;0,IF(1&lt;=SemanaActual,INDEX('Cronograma R. Normativo'!$AH$5:$AH$1000,$N49),""),IF(INDEX('Cronograma R. Normativo'!$I$5:$I$1000,$N49)="","",INDEX('Cronograma R. Normativo'!$I$5:$I$1000,$N49))))</f>
        <v/>
      </c>
      <c r="G49" s="61">
        <f>IF($N49="","",IF($P49&gt;0,IF(2&lt;=SemanaActual,INDEX('Cronograma R. Normativo'!$AI$5:$AI$1000,$N49),""),IF(INDEX('Cronograma R. Normativo'!$J$5:$J$1000,$N49)="","",INDEX('Cronograma R. Normativo'!$J$5:$J$1000,$N49))))</f>
        <v/>
      </c>
      <c r="H49" s="61">
        <f>IF($N49="","",IF($P49&gt;0,IF(3&lt;=SemanaActual,INDEX('Cronograma R. Normativo'!$AJ$5:$AJ$1000,$N49),""),IF(INDEX('Cronograma R. Normativo'!$K$5:$K$1000,$N49)="","",INDEX('Cronograma R. Normativo'!$K$5:$K$1000,$N49))))</f>
        <v/>
      </c>
      <c r="I49" s="61">
        <f>IF($N49="","",IF($P49&gt;0,IF(4&lt;=SemanaActual,INDEX('Cronograma R. Normativo'!$AK$5:$AK$1000,$N49),""),IF(INDEX('Cronograma R. Normativo'!$L$5:$L$1000,$N49)="","",INDEX('Cronograma R. Normativo'!$L$5:$L$1000,$N49))))</f>
        <v/>
      </c>
      <c r="J49" s="61">
        <f>IF($N49="","",INDEX('Cronograma R. Normativo'!$M$5:$M$1000,$N49))</f>
        <v/>
      </c>
      <c r="K49" s="56">
        <f>IF($N49="","",IF(N($J49)&gt;=1,"Completado",IF(AND(ISNUMBER($D49),$D49&lt;FechaRef),"Vencida",IF(N($J49)&gt;0,"En curso","Pendiente"))))</f>
        <v/>
      </c>
      <c r="L49" s="56">
        <f>IF($N49="","",INDEX('Cronograma R. Normativo'!$O$5:$O$1000,$N49)&amp;"")</f>
        <v/>
      </c>
      <c r="M49" s="62">
        <f>IF($N49="","",INDEX('Cronograma R. Normativo'!$Q$5:$Q$1000,$N49)&amp;"")</f>
        <v/>
      </c>
      <c r="N49">
        <f>IFERROR(MATCH(ROW()-4,rOrden_RN,0),"")</f>
        <v/>
      </c>
      <c r="O49">
        <f>IF($N49="","",INDEX('Cronograma R. Normativo'!$V$5:$V$1000,$N49))</f>
        <v/>
      </c>
      <c r="P49">
        <f>IF($N49="","",N(INDEX('Cronograma R. Normativo'!$W$5:$W$1000,$N49)))</f>
        <v/>
      </c>
      <c r="Q49">
        <f>IF(OR(LEFT($L49,7)="Vencida",LEFT($L49,5)="Vence"),SUMPRODUCT(--(LEFT($L$5:$L49,7)="Vencida"))+SUMPRODUCT(--(LEFT($L$5:$L49,5)="Vence")),"")</f>
        <v/>
      </c>
    </row>
    <row r="50">
      <c r="A50" s="56">
        <f>IF($N50="","",INDEX('Cronograma R. Normativo'!$A$5:$A$1000,$N50))</f>
        <v/>
      </c>
      <c r="B50" s="62">
        <f>IF($N50="","",IF($O50="Sub","      ↳  "&amp;INDEX('Cronograma R. Normativo'!$C$5:$C$1000,$N50),INDEX('Cronograma R. Normativo'!$C$5:$C$1000,$N50)&amp;""))</f>
        <v/>
      </c>
      <c r="C50" s="79">
        <f>IF($N50="","",IF(INDEX('Cronograma R. Normativo'!$AR$5:$AR$1000,$N50)="","",INDEX('Cronograma R. Normativo'!$AR$5:$AR$1000,$N50)))</f>
        <v/>
      </c>
      <c r="D50" s="79">
        <f>IF($N50="","",IF(INDEX('Cronograma R. Normativo'!$AS$5:$AS$1000,$N50)="","",INDEX('Cronograma R. Normativo'!$AS$5:$AS$1000,$N50)))</f>
        <v/>
      </c>
      <c r="E50" s="56">
        <f>IF($N50="","",IF(NOT(ISNUMBER($D50)),"",IF($D50&lt;InicioCiclo,"Antes del ciclo",IF($D50&gt;=InicioCiclo+28,"Después del ciclo","Semana "&amp;(INT(($D50-InicioCiclo)/7)+1)))))</f>
        <v/>
      </c>
      <c r="F50" s="61">
        <f>IF($N50="","",IF($P50&gt;0,IF(1&lt;=SemanaActual,INDEX('Cronograma R. Normativo'!$AH$5:$AH$1000,$N50),""),IF(INDEX('Cronograma R. Normativo'!$I$5:$I$1000,$N50)="","",INDEX('Cronograma R. Normativo'!$I$5:$I$1000,$N50))))</f>
        <v/>
      </c>
      <c r="G50" s="61">
        <f>IF($N50="","",IF($P50&gt;0,IF(2&lt;=SemanaActual,INDEX('Cronograma R. Normativo'!$AI$5:$AI$1000,$N50),""),IF(INDEX('Cronograma R. Normativo'!$J$5:$J$1000,$N50)="","",INDEX('Cronograma R. Normativo'!$J$5:$J$1000,$N50))))</f>
        <v/>
      </c>
      <c r="H50" s="61">
        <f>IF($N50="","",IF($P50&gt;0,IF(3&lt;=SemanaActual,INDEX('Cronograma R. Normativo'!$AJ$5:$AJ$1000,$N50),""),IF(INDEX('Cronograma R. Normativo'!$K$5:$K$1000,$N50)="","",INDEX('Cronograma R. Normativo'!$K$5:$K$1000,$N50))))</f>
        <v/>
      </c>
      <c r="I50" s="61">
        <f>IF($N50="","",IF($P50&gt;0,IF(4&lt;=SemanaActual,INDEX('Cronograma R. Normativo'!$AK$5:$AK$1000,$N50),""),IF(INDEX('Cronograma R. Normativo'!$L$5:$L$1000,$N50)="","",INDEX('Cronograma R. Normativo'!$L$5:$L$1000,$N50))))</f>
        <v/>
      </c>
      <c r="J50" s="61">
        <f>IF($N50="","",INDEX('Cronograma R. Normativo'!$M$5:$M$1000,$N50))</f>
        <v/>
      </c>
      <c r="K50" s="56">
        <f>IF($N50="","",IF(N($J50)&gt;=1,"Completado",IF(AND(ISNUMBER($D50),$D50&lt;FechaRef),"Vencida",IF(N($J50)&gt;0,"En curso","Pendiente"))))</f>
        <v/>
      </c>
      <c r="L50" s="56">
        <f>IF($N50="","",INDEX('Cronograma R. Normativo'!$O$5:$O$1000,$N50)&amp;"")</f>
        <v/>
      </c>
      <c r="M50" s="62">
        <f>IF($N50="","",INDEX('Cronograma R. Normativo'!$Q$5:$Q$1000,$N50)&amp;"")</f>
        <v/>
      </c>
      <c r="N50">
        <f>IFERROR(MATCH(ROW()-4,rOrden_RN,0),"")</f>
        <v/>
      </c>
      <c r="O50">
        <f>IF($N50="","",INDEX('Cronograma R. Normativo'!$V$5:$V$1000,$N50))</f>
        <v/>
      </c>
      <c r="P50">
        <f>IF($N50="","",N(INDEX('Cronograma R. Normativo'!$W$5:$W$1000,$N50)))</f>
        <v/>
      </c>
      <c r="Q50">
        <f>IF(OR(LEFT($L50,7)="Vencida",LEFT($L50,5)="Vence"),SUMPRODUCT(--(LEFT($L$5:$L50,7)="Vencida"))+SUMPRODUCT(--(LEFT($L$5:$L50,5)="Vence")),"")</f>
        <v/>
      </c>
    </row>
    <row r="51">
      <c r="A51" s="56">
        <f>IF($N51="","",INDEX('Cronograma R. Normativo'!$A$5:$A$1000,$N51))</f>
        <v/>
      </c>
      <c r="B51" s="62">
        <f>IF($N51="","",IF($O51="Sub","      ↳  "&amp;INDEX('Cronograma R. Normativo'!$C$5:$C$1000,$N51),INDEX('Cronograma R. Normativo'!$C$5:$C$1000,$N51)&amp;""))</f>
        <v/>
      </c>
      <c r="C51" s="79">
        <f>IF($N51="","",IF(INDEX('Cronograma R. Normativo'!$AR$5:$AR$1000,$N51)="","",INDEX('Cronograma R. Normativo'!$AR$5:$AR$1000,$N51)))</f>
        <v/>
      </c>
      <c r="D51" s="79">
        <f>IF($N51="","",IF(INDEX('Cronograma R. Normativo'!$AS$5:$AS$1000,$N51)="","",INDEX('Cronograma R. Normativo'!$AS$5:$AS$1000,$N51)))</f>
        <v/>
      </c>
      <c r="E51" s="56">
        <f>IF($N51="","",IF(NOT(ISNUMBER($D51)),"",IF($D51&lt;InicioCiclo,"Antes del ciclo",IF($D51&gt;=InicioCiclo+28,"Después del ciclo","Semana "&amp;(INT(($D51-InicioCiclo)/7)+1)))))</f>
        <v/>
      </c>
      <c r="F51" s="61">
        <f>IF($N51="","",IF($P51&gt;0,IF(1&lt;=SemanaActual,INDEX('Cronograma R. Normativo'!$AH$5:$AH$1000,$N51),""),IF(INDEX('Cronograma R. Normativo'!$I$5:$I$1000,$N51)="","",INDEX('Cronograma R. Normativo'!$I$5:$I$1000,$N51))))</f>
        <v/>
      </c>
      <c r="G51" s="61">
        <f>IF($N51="","",IF($P51&gt;0,IF(2&lt;=SemanaActual,INDEX('Cronograma R. Normativo'!$AI$5:$AI$1000,$N51),""),IF(INDEX('Cronograma R. Normativo'!$J$5:$J$1000,$N51)="","",INDEX('Cronograma R. Normativo'!$J$5:$J$1000,$N51))))</f>
        <v/>
      </c>
      <c r="H51" s="61">
        <f>IF($N51="","",IF($P51&gt;0,IF(3&lt;=SemanaActual,INDEX('Cronograma R. Normativo'!$AJ$5:$AJ$1000,$N51),""),IF(INDEX('Cronograma R. Normativo'!$K$5:$K$1000,$N51)="","",INDEX('Cronograma R. Normativo'!$K$5:$K$1000,$N51))))</f>
        <v/>
      </c>
      <c r="I51" s="61">
        <f>IF($N51="","",IF($P51&gt;0,IF(4&lt;=SemanaActual,INDEX('Cronograma R. Normativo'!$AK$5:$AK$1000,$N51),""),IF(INDEX('Cronograma R. Normativo'!$L$5:$L$1000,$N51)="","",INDEX('Cronograma R. Normativo'!$L$5:$L$1000,$N51))))</f>
        <v/>
      </c>
      <c r="J51" s="61">
        <f>IF($N51="","",INDEX('Cronograma R. Normativo'!$M$5:$M$1000,$N51))</f>
        <v/>
      </c>
      <c r="K51" s="56">
        <f>IF($N51="","",IF(N($J51)&gt;=1,"Completado",IF(AND(ISNUMBER($D51),$D51&lt;FechaRef),"Vencida",IF(N($J51)&gt;0,"En curso","Pendiente"))))</f>
        <v/>
      </c>
      <c r="L51" s="56">
        <f>IF($N51="","",INDEX('Cronograma R. Normativo'!$O$5:$O$1000,$N51)&amp;"")</f>
        <v/>
      </c>
      <c r="M51" s="62">
        <f>IF($N51="","",INDEX('Cronograma R. Normativo'!$Q$5:$Q$1000,$N51)&amp;"")</f>
        <v/>
      </c>
      <c r="N51">
        <f>IFERROR(MATCH(ROW()-4,rOrden_RN,0),"")</f>
        <v/>
      </c>
      <c r="O51">
        <f>IF($N51="","",INDEX('Cronograma R. Normativo'!$V$5:$V$1000,$N51))</f>
        <v/>
      </c>
      <c r="P51">
        <f>IF($N51="","",N(INDEX('Cronograma R. Normativo'!$W$5:$W$1000,$N51)))</f>
        <v/>
      </c>
      <c r="Q51">
        <f>IF(OR(LEFT($L51,7)="Vencida",LEFT($L51,5)="Vence"),SUMPRODUCT(--(LEFT($L$5:$L51,7)="Vencida"))+SUMPRODUCT(--(LEFT($L$5:$L51,5)="Vence")),"")</f>
        <v/>
      </c>
    </row>
    <row r="52">
      <c r="A52" s="56">
        <f>IF($N52="","",INDEX('Cronograma R. Normativo'!$A$5:$A$1000,$N52))</f>
        <v/>
      </c>
      <c r="B52" s="62">
        <f>IF($N52="","",IF($O52="Sub","      ↳  "&amp;INDEX('Cronograma R. Normativo'!$C$5:$C$1000,$N52),INDEX('Cronograma R. Normativo'!$C$5:$C$1000,$N52)&amp;""))</f>
        <v/>
      </c>
      <c r="C52" s="79">
        <f>IF($N52="","",IF(INDEX('Cronograma R. Normativo'!$AR$5:$AR$1000,$N52)="","",INDEX('Cronograma R. Normativo'!$AR$5:$AR$1000,$N52)))</f>
        <v/>
      </c>
      <c r="D52" s="79">
        <f>IF($N52="","",IF(INDEX('Cronograma R. Normativo'!$AS$5:$AS$1000,$N52)="","",INDEX('Cronograma R. Normativo'!$AS$5:$AS$1000,$N52)))</f>
        <v/>
      </c>
      <c r="E52" s="56">
        <f>IF($N52="","",IF(NOT(ISNUMBER($D52)),"",IF($D52&lt;InicioCiclo,"Antes del ciclo",IF($D52&gt;=InicioCiclo+28,"Después del ciclo","Semana "&amp;(INT(($D52-InicioCiclo)/7)+1)))))</f>
        <v/>
      </c>
      <c r="F52" s="61">
        <f>IF($N52="","",IF($P52&gt;0,IF(1&lt;=SemanaActual,INDEX('Cronograma R. Normativo'!$AH$5:$AH$1000,$N52),""),IF(INDEX('Cronograma R. Normativo'!$I$5:$I$1000,$N52)="","",INDEX('Cronograma R. Normativo'!$I$5:$I$1000,$N52))))</f>
        <v/>
      </c>
      <c r="G52" s="61">
        <f>IF($N52="","",IF($P52&gt;0,IF(2&lt;=SemanaActual,INDEX('Cronograma R. Normativo'!$AI$5:$AI$1000,$N52),""),IF(INDEX('Cronograma R. Normativo'!$J$5:$J$1000,$N52)="","",INDEX('Cronograma R. Normativo'!$J$5:$J$1000,$N52))))</f>
        <v/>
      </c>
      <c r="H52" s="61">
        <f>IF($N52="","",IF($P52&gt;0,IF(3&lt;=SemanaActual,INDEX('Cronograma R. Normativo'!$AJ$5:$AJ$1000,$N52),""),IF(INDEX('Cronograma R. Normativo'!$K$5:$K$1000,$N52)="","",INDEX('Cronograma R. Normativo'!$K$5:$K$1000,$N52))))</f>
        <v/>
      </c>
      <c r="I52" s="61">
        <f>IF($N52="","",IF($P52&gt;0,IF(4&lt;=SemanaActual,INDEX('Cronograma R. Normativo'!$AK$5:$AK$1000,$N52),""),IF(INDEX('Cronograma R. Normativo'!$L$5:$L$1000,$N52)="","",INDEX('Cronograma R. Normativo'!$L$5:$L$1000,$N52))))</f>
        <v/>
      </c>
      <c r="J52" s="61">
        <f>IF($N52="","",INDEX('Cronograma R. Normativo'!$M$5:$M$1000,$N52))</f>
        <v/>
      </c>
      <c r="K52" s="56">
        <f>IF($N52="","",IF(N($J52)&gt;=1,"Completado",IF(AND(ISNUMBER($D52),$D52&lt;FechaRef),"Vencida",IF(N($J52)&gt;0,"En curso","Pendiente"))))</f>
        <v/>
      </c>
      <c r="L52" s="56">
        <f>IF($N52="","",INDEX('Cronograma R. Normativo'!$O$5:$O$1000,$N52)&amp;"")</f>
        <v/>
      </c>
      <c r="M52" s="62">
        <f>IF($N52="","",INDEX('Cronograma R. Normativo'!$Q$5:$Q$1000,$N52)&amp;"")</f>
        <v/>
      </c>
      <c r="N52">
        <f>IFERROR(MATCH(ROW()-4,rOrden_RN,0),"")</f>
        <v/>
      </c>
      <c r="O52">
        <f>IF($N52="","",INDEX('Cronograma R. Normativo'!$V$5:$V$1000,$N52))</f>
        <v/>
      </c>
      <c r="P52">
        <f>IF($N52="","",N(INDEX('Cronograma R. Normativo'!$W$5:$W$1000,$N52)))</f>
        <v/>
      </c>
      <c r="Q52">
        <f>IF(OR(LEFT($L52,7)="Vencida",LEFT($L52,5)="Vence"),SUMPRODUCT(--(LEFT($L$5:$L52,7)="Vencida"))+SUMPRODUCT(--(LEFT($L$5:$L52,5)="Vence")),"")</f>
        <v/>
      </c>
    </row>
    <row r="53">
      <c r="A53" s="56">
        <f>IF($N53="","",INDEX('Cronograma R. Normativo'!$A$5:$A$1000,$N53))</f>
        <v/>
      </c>
      <c r="B53" s="62">
        <f>IF($N53="","",IF($O53="Sub","      ↳  "&amp;INDEX('Cronograma R. Normativo'!$C$5:$C$1000,$N53),INDEX('Cronograma R. Normativo'!$C$5:$C$1000,$N53)&amp;""))</f>
        <v/>
      </c>
      <c r="C53" s="79">
        <f>IF($N53="","",IF(INDEX('Cronograma R. Normativo'!$AR$5:$AR$1000,$N53)="","",INDEX('Cronograma R. Normativo'!$AR$5:$AR$1000,$N53)))</f>
        <v/>
      </c>
      <c r="D53" s="79">
        <f>IF($N53="","",IF(INDEX('Cronograma R. Normativo'!$AS$5:$AS$1000,$N53)="","",INDEX('Cronograma R. Normativo'!$AS$5:$AS$1000,$N53)))</f>
        <v/>
      </c>
      <c r="E53" s="56">
        <f>IF($N53="","",IF(NOT(ISNUMBER($D53)),"",IF($D53&lt;InicioCiclo,"Antes del ciclo",IF($D53&gt;=InicioCiclo+28,"Después del ciclo","Semana "&amp;(INT(($D53-InicioCiclo)/7)+1)))))</f>
        <v/>
      </c>
      <c r="F53" s="61">
        <f>IF($N53="","",IF($P53&gt;0,IF(1&lt;=SemanaActual,INDEX('Cronograma R. Normativo'!$AH$5:$AH$1000,$N53),""),IF(INDEX('Cronograma R. Normativo'!$I$5:$I$1000,$N53)="","",INDEX('Cronograma R. Normativo'!$I$5:$I$1000,$N53))))</f>
        <v/>
      </c>
      <c r="G53" s="61">
        <f>IF($N53="","",IF($P53&gt;0,IF(2&lt;=SemanaActual,INDEX('Cronograma R. Normativo'!$AI$5:$AI$1000,$N53),""),IF(INDEX('Cronograma R. Normativo'!$J$5:$J$1000,$N53)="","",INDEX('Cronograma R. Normativo'!$J$5:$J$1000,$N53))))</f>
        <v/>
      </c>
      <c r="H53" s="61">
        <f>IF($N53="","",IF($P53&gt;0,IF(3&lt;=SemanaActual,INDEX('Cronograma R. Normativo'!$AJ$5:$AJ$1000,$N53),""),IF(INDEX('Cronograma R. Normativo'!$K$5:$K$1000,$N53)="","",INDEX('Cronograma R. Normativo'!$K$5:$K$1000,$N53))))</f>
        <v/>
      </c>
      <c r="I53" s="61">
        <f>IF($N53="","",IF($P53&gt;0,IF(4&lt;=SemanaActual,INDEX('Cronograma R. Normativo'!$AK$5:$AK$1000,$N53),""),IF(INDEX('Cronograma R. Normativo'!$L$5:$L$1000,$N53)="","",INDEX('Cronograma R. Normativo'!$L$5:$L$1000,$N53))))</f>
        <v/>
      </c>
      <c r="J53" s="61">
        <f>IF($N53="","",INDEX('Cronograma R. Normativo'!$M$5:$M$1000,$N53))</f>
        <v/>
      </c>
      <c r="K53" s="56">
        <f>IF($N53="","",IF(N($J53)&gt;=1,"Completado",IF(AND(ISNUMBER($D53),$D53&lt;FechaRef),"Vencida",IF(N($J53)&gt;0,"En curso","Pendiente"))))</f>
        <v/>
      </c>
      <c r="L53" s="56">
        <f>IF($N53="","",INDEX('Cronograma R. Normativo'!$O$5:$O$1000,$N53)&amp;"")</f>
        <v/>
      </c>
      <c r="M53" s="62">
        <f>IF($N53="","",INDEX('Cronograma R. Normativo'!$Q$5:$Q$1000,$N53)&amp;"")</f>
        <v/>
      </c>
      <c r="N53">
        <f>IFERROR(MATCH(ROW()-4,rOrden_RN,0),"")</f>
        <v/>
      </c>
      <c r="O53">
        <f>IF($N53="","",INDEX('Cronograma R. Normativo'!$V$5:$V$1000,$N53))</f>
        <v/>
      </c>
      <c r="P53">
        <f>IF($N53="","",N(INDEX('Cronograma R. Normativo'!$W$5:$W$1000,$N53)))</f>
        <v/>
      </c>
      <c r="Q53">
        <f>IF(OR(LEFT($L53,7)="Vencida",LEFT($L53,5)="Vence"),SUMPRODUCT(--(LEFT($L$5:$L53,7)="Vencida"))+SUMPRODUCT(--(LEFT($L$5:$L53,5)="Vence")),"")</f>
        <v/>
      </c>
    </row>
    <row r="54">
      <c r="A54" s="56">
        <f>IF($N54="","",INDEX('Cronograma R. Normativo'!$A$5:$A$1000,$N54))</f>
        <v/>
      </c>
      <c r="B54" s="62">
        <f>IF($N54="","",IF($O54="Sub","      ↳  "&amp;INDEX('Cronograma R. Normativo'!$C$5:$C$1000,$N54),INDEX('Cronograma R. Normativo'!$C$5:$C$1000,$N54)&amp;""))</f>
        <v/>
      </c>
      <c r="C54" s="79">
        <f>IF($N54="","",IF(INDEX('Cronograma R. Normativo'!$AR$5:$AR$1000,$N54)="","",INDEX('Cronograma R. Normativo'!$AR$5:$AR$1000,$N54)))</f>
        <v/>
      </c>
      <c r="D54" s="79">
        <f>IF($N54="","",IF(INDEX('Cronograma R. Normativo'!$AS$5:$AS$1000,$N54)="","",INDEX('Cronograma R. Normativo'!$AS$5:$AS$1000,$N54)))</f>
        <v/>
      </c>
      <c r="E54" s="56">
        <f>IF($N54="","",IF(NOT(ISNUMBER($D54)),"",IF($D54&lt;InicioCiclo,"Antes del ciclo",IF($D54&gt;=InicioCiclo+28,"Después del ciclo","Semana "&amp;(INT(($D54-InicioCiclo)/7)+1)))))</f>
        <v/>
      </c>
      <c r="F54" s="61">
        <f>IF($N54="","",IF($P54&gt;0,IF(1&lt;=SemanaActual,INDEX('Cronograma R. Normativo'!$AH$5:$AH$1000,$N54),""),IF(INDEX('Cronograma R. Normativo'!$I$5:$I$1000,$N54)="","",INDEX('Cronograma R. Normativo'!$I$5:$I$1000,$N54))))</f>
        <v/>
      </c>
      <c r="G54" s="61">
        <f>IF($N54="","",IF($P54&gt;0,IF(2&lt;=SemanaActual,INDEX('Cronograma R. Normativo'!$AI$5:$AI$1000,$N54),""),IF(INDEX('Cronograma R. Normativo'!$J$5:$J$1000,$N54)="","",INDEX('Cronograma R. Normativo'!$J$5:$J$1000,$N54))))</f>
        <v/>
      </c>
      <c r="H54" s="61">
        <f>IF($N54="","",IF($P54&gt;0,IF(3&lt;=SemanaActual,INDEX('Cronograma R. Normativo'!$AJ$5:$AJ$1000,$N54),""),IF(INDEX('Cronograma R. Normativo'!$K$5:$K$1000,$N54)="","",INDEX('Cronograma R. Normativo'!$K$5:$K$1000,$N54))))</f>
        <v/>
      </c>
      <c r="I54" s="61">
        <f>IF($N54="","",IF($P54&gt;0,IF(4&lt;=SemanaActual,INDEX('Cronograma R. Normativo'!$AK$5:$AK$1000,$N54),""),IF(INDEX('Cronograma R. Normativo'!$L$5:$L$1000,$N54)="","",INDEX('Cronograma R. Normativo'!$L$5:$L$1000,$N54))))</f>
        <v/>
      </c>
      <c r="J54" s="61">
        <f>IF($N54="","",INDEX('Cronograma R. Normativo'!$M$5:$M$1000,$N54))</f>
        <v/>
      </c>
      <c r="K54" s="56">
        <f>IF($N54="","",IF(N($J54)&gt;=1,"Completado",IF(AND(ISNUMBER($D54),$D54&lt;FechaRef),"Vencida",IF(N($J54)&gt;0,"En curso","Pendiente"))))</f>
        <v/>
      </c>
      <c r="L54" s="56">
        <f>IF($N54="","",INDEX('Cronograma R. Normativo'!$O$5:$O$1000,$N54)&amp;"")</f>
        <v/>
      </c>
      <c r="M54" s="62">
        <f>IF($N54="","",INDEX('Cronograma R. Normativo'!$Q$5:$Q$1000,$N54)&amp;"")</f>
        <v/>
      </c>
      <c r="N54">
        <f>IFERROR(MATCH(ROW()-4,rOrden_RN,0),"")</f>
        <v/>
      </c>
      <c r="O54">
        <f>IF($N54="","",INDEX('Cronograma R. Normativo'!$V$5:$V$1000,$N54))</f>
        <v/>
      </c>
      <c r="P54">
        <f>IF($N54="","",N(INDEX('Cronograma R. Normativo'!$W$5:$W$1000,$N54)))</f>
        <v/>
      </c>
      <c r="Q54">
        <f>IF(OR(LEFT($L54,7)="Vencida",LEFT($L54,5)="Vence"),SUMPRODUCT(--(LEFT($L$5:$L54,7)="Vencida"))+SUMPRODUCT(--(LEFT($L$5:$L54,5)="Vence")),"")</f>
        <v/>
      </c>
    </row>
    <row r="55">
      <c r="A55" s="56">
        <f>IF($N55="","",INDEX('Cronograma R. Normativo'!$A$5:$A$1000,$N55))</f>
        <v/>
      </c>
      <c r="B55" s="62">
        <f>IF($N55="","",IF($O55="Sub","      ↳  "&amp;INDEX('Cronograma R. Normativo'!$C$5:$C$1000,$N55),INDEX('Cronograma R. Normativo'!$C$5:$C$1000,$N55)&amp;""))</f>
        <v/>
      </c>
      <c r="C55" s="79">
        <f>IF($N55="","",IF(INDEX('Cronograma R. Normativo'!$AR$5:$AR$1000,$N55)="","",INDEX('Cronograma R. Normativo'!$AR$5:$AR$1000,$N55)))</f>
        <v/>
      </c>
      <c r="D55" s="79">
        <f>IF($N55="","",IF(INDEX('Cronograma R. Normativo'!$AS$5:$AS$1000,$N55)="","",INDEX('Cronograma R. Normativo'!$AS$5:$AS$1000,$N55)))</f>
        <v/>
      </c>
      <c r="E55" s="56">
        <f>IF($N55="","",IF(NOT(ISNUMBER($D55)),"",IF($D55&lt;InicioCiclo,"Antes del ciclo",IF($D55&gt;=InicioCiclo+28,"Después del ciclo","Semana "&amp;(INT(($D55-InicioCiclo)/7)+1)))))</f>
        <v/>
      </c>
      <c r="F55" s="61">
        <f>IF($N55="","",IF($P55&gt;0,IF(1&lt;=SemanaActual,INDEX('Cronograma R. Normativo'!$AH$5:$AH$1000,$N55),""),IF(INDEX('Cronograma R. Normativo'!$I$5:$I$1000,$N55)="","",INDEX('Cronograma R. Normativo'!$I$5:$I$1000,$N55))))</f>
        <v/>
      </c>
      <c r="G55" s="61">
        <f>IF($N55="","",IF($P55&gt;0,IF(2&lt;=SemanaActual,INDEX('Cronograma R. Normativo'!$AI$5:$AI$1000,$N55),""),IF(INDEX('Cronograma R. Normativo'!$J$5:$J$1000,$N55)="","",INDEX('Cronograma R. Normativo'!$J$5:$J$1000,$N55))))</f>
        <v/>
      </c>
      <c r="H55" s="61">
        <f>IF($N55="","",IF($P55&gt;0,IF(3&lt;=SemanaActual,INDEX('Cronograma R. Normativo'!$AJ$5:$AJ$1000,$N55),""),IF(INDEX('Cronograma R. Normativo'!$K$5:$K$1000,$N55)="","",INDEX('Cronograma R. Normativo'!$K$5:$K$1000,$N55))))</f>
        <v/>
      </c>
      <c r="I55" s="61">
        <f>IF($N55="","",IF($P55&gt;0,IF(4&lt;=SemanaActual,INDEX('Cronograma R. Normativo'!$AK$5:$AK$1000,$N55),""),IF(INDEX('Cronograma R. Normativo'!$L$5:$L$1000,$N55)="","",INDEX('Cronograma R. Normativo'!$L$5:$L$1000,$N55))))</f>
        <v/>
      </c>
      <c r="J55" s="61">
        <f>IF($N55="","",INDEX('Cronograma R. Normativo'!$M$5:$M$1000,$N55))</f>
        <v/>
      </c>
      <c r="K55" s="56">
        <f>IF($N55="","",IF(N($J55)&gt;=1,"Completado",IF(AND(ISNUMBER($D55),$D55&lt;FechaRef),"Vencida",IF(N($J55)&gt;0,"En curso","Pendiente"))))</f>
        <v/>
      </c>
      <c r="L55" s="56">
        <f>IF($N55="","",INDEX('Cronograma R. Normativo'!$O$5:$O$1000,$N55)&amp;"")</f>
        <v/>
      </c>
      <c r="M55" s="62">
        <f>IF($N55="","",INDEX('Cronograma R. Normativo'!$Q$5:$Q$1000,$N55)&amp;"")</f>
        <v/>
      </c>
      <c r="N55">
        <f>IFERROR(MATCH(ROW()-4,rOrden_RN,0),"")</f>
        <v/>
      </c>
      <c r="O55">
        <f>IF($N55="","",INDEX('Cronograma R. Normativo'!$V$5:$V$1000,$N55))</f>
        <v/>
      </c>
      <c r="P55">
        <f>IF($N55="","",N(INDEX('Cronograma R. Normativo'!$W$5:$W$1000,$N55)))</f>
        <v/>
      </c>
      <c r="Q55">
        <f>IF(OR(LEFT($L55,7)="Vencida",LEFT($L55,5)="Vence"),SUMPRODUCT(--(LEFT($L$5:$L55,7)="Vencida"))+SUMPRODUCT(--(LEFT($L$5:$L55,5)="Vence")),"")</f>
        <v/>
      </c>
    </row>
    <row r="56">
      <c r="A56" s="56">
        <f>IF($N56="","",INDEX('Cronograma R. Normativo'!$A$5:$A$1000,$N56))</f>
        <v/>
      </c>
      <c r="B56" s="62">
        <f>IF($N56="","",IF($O56="Sub","      ↳  "&amp;INDEX('Cronograma R. Normativo'!$C$5:$C$1000,$N56),INDEX('Cronograma R. Normativo'!$C$5:$C$1000,$N56)&amp;""))</f>
        <v/>
      </c>
      <c r="C56" s="79">
        <f>IF($N56="","",IF(INDEX('Cronograma R. Normativo'!$AR$5:$AR$1000,$N56)="","",INDEX('Cronograma R. Normativo'!$AR$5:$AR$1000,$N56)))</f>
        <v/>
      </c>
      <c r="D56" s="79">
        <f>IF($N56="","",IF(INDEX('Cronograma R. Normativo'!$AS$5:$AS$1000,$N56)="","",INDEX('Cronograma R. Normativo'!$AS$5:$AS$1000,$N56)))</f>
        <v/>
      </c>
      <c r="E56" s="56">
        <f>IF($N56="","",IF(NOT(ISNUMBER($D56)),"",IF($D56&lt;InicioCiclo,"Antes del ciclo",IF($D56&gt;=InicioCiclo+28,"Después del ciclo","Semana "&amp;(INT(($D56-InicioCiclo)/7)+1)))))</f>
        <v/>
      </c>
      <c r="F56" s="61">
        <f>IF($N56="","",IF($P56&gt;0,IF(1&lt;=SemanaActual,INDEX('Cronograma R. Normativo'!$AH$5:$AH$1000,$N56),""),IF(INDEX('Cronograma R. Normativo'!$I$5:$I$1000,$N56)="","",INDEX('Cronograma R. Normativo'!$I$5:$I$1000,$N56))))</f>
        <v/>
      </c>
      <c r="G56" s="61">
        <f>IF($N56="","",IF($P56&gt;0,IF(2&lt;=SemanaActual,INDEX('Cronograma R. Normativo'!$AI$5:$AI$1000,$N56),""),IF(INDEX('Cronograma R. Normativo'!$J$5:$J$1000,$N56)="","",INDEX('Cronograma R. Normativo'!$J$5:$J$1000,$N56))))</f>
        <v/>
      </c>
      <c r="H56" s="61">
        <f>IF($N56="","",IF($P56&gt;0,IF(3&lt;=SemanaActual,INDEX('Cronograma R. Normativo'!$AJ$5:$AJ$1000,$N56),""),IF(INDEX('Cronograma R. Normativo'!$K$5:$K$1000,$N56)="","",INDEX('Cronograma R. Normativo'!$K$5:$K$1000,$N56))))</f>
        <v/>
      </c>
      <c r="I56" s="61">
        <f>IF($N56="","",IF($P56&gt;0,IF(4&lt;=SemanaActual,INDEX('Cronograma R. Normativo'!$AK$5:$AK$1000,$N56),""),IF(INDEX('Cronograma R. Normativo'!$L$5:$L$1000,$N56)="","",INDEX('Cronograma R. Normativo'!$L$5:$L$1000,$N56))))</f>
        <v/>
      </c>
      <c r="J56" s="61">
        <f>IF($N56="","",INDEX('Cronograma R. Normativo'!$M$5:$M$1000,$N56))</f>
        <v/>
      </c>
      <c r="K56" s="56">
        <f>IF($N56="","",IF(N($J56)&gt;=1,"Completado",IF(AND(ISNUMBER($D56),$D56&lt;FechaRef),"Vencida",IF(N($J56)&gt;0,"En curso","Pendiente"))))</f>
        <v/>
      </c>
      <c r="L56" s="56">
        <f>IF($N56="","",INDEX('Cronograma R. Normativo'!$O$5:$O$1000,$N56)&amp;"")</f>
        <v/>
      </c>
      <c r="M56" s="62">
        <f>IF($N56="","",INDEX('Cronograma R. Normativo'!$Q$5:$Q$1000,$N56)&amp;"")</f>
        <v/>
      </c>
      <c r="N56">
        <f>IFERROR(MATCH(ROW()-4,rOrden_RN,0),"")</f>
        <v/>
      </c>
      <c r="O56">
        <f>IF($N56="","",INDEX('Cronograma R. Normativo'!$V$5:$V$1000,$N56))</f>
        <v/>
      </c>
      <c r="P56">
        <f>IF($N56="","",N(INDEX('Cronograma R. Normativo'!$W$5:$W$1000,$N56)))</f>
        <v/>
      </c>
      <c r="Q56">
        <f>IF(OR(LEFT($L56,7)="Vencida",LEFT($L56,5)="Vence"),SUMPRODUCT(--(LEFT($L$5:$L56,7)="Vencida"))+SUMPRODUCT(--(LEFT($L$5:$L56,5)="Vence")),"")</f>
        <v/>
      </c>
    </row>
    <row r="57">
      <c r="A57" s="56">
        <f>IF($N57="","",INDEX('Cronograma R. Normativo'!$A$5:$A$1000,$N57))</f>
        <v/>
      </c>
      <c r="B57" s="62">
        <f>IF($N57="","",IF($O57="Sub","      ↳  "&amp;INDEX('Cronograma R. Normativo'!$C$5:$C$1000,$N57),INDEX('Cronograma R. Normativo'!$C$5:$C$1000,$N57)&amp;""))</f>
        <v/>
      </c>
      <c r="C57" s="79">
        <f>IF($N57="","",IF(INDEX('Cronograma R. Normativo'!$AR$5:$AR$1000,$N57)="","",INDEX('Cronograma R. Normativo'!$AR$5:$AR$1000,$N57)))</f>
        <v/>
      </c>
      <c r="D57" s="79">
        <f>IF($N57="","",IF(INDEX('Cronograma R. Normativo'!$AS$5:$AS$1000,$N57)="","",INDEX('Cronograma R. Normativo'!$AS$5:$AS$1000,$N57)))</f>
        <v/>
      </c>
      <c r="E57" s="56">
        <f>IF($N57="","",IF(NOT(ISNUMBER($D57)),"",IF($D57&lt;InicioCiclo,"Antes del ciclo",IF($D57&gt;=InicioCiclo+28,"Después del ciclo","Semana "&amp;(INT(($D57-InicioCiclo)/7)+1)))))</f>
        <v/>
      </c>
      <c r="F57" s="61">
        <f>IF($N57="","",IF($P57&gt;0,IF(1&lt;=SemanaActual,INDEX('Cronograma R. Normativo'!$AH$5:$AH$1000,$N57),""),IF(INDEX('Cronograma R. Normativo'!$I$5:$I$1000,$N57)="","",INDEX('Cronograma R. Normativo'!$I$5:$I$1000,$N57))))</f>
        <v/>
      </c>
      <c r="G57" s="61">
        <f>IF($N57="","",IF($P57&gt;0,IF(2&lt;=SemanaActual,INDEX('Cronograma R. Normativo'!$AI$5:$AI$1000,$N57),""),IF(INDEX('Cronograma R. Normativo'!$J$5:$J$1000,$N57)="","",INDEX('Cronograma R. Normativo'!$J$5:$J$1000,$N57))))</f>
        <v/>
      </c>
      <c r="H57" s="61">
        <f>IF($N57="","",IF($P57&gt;0,IF(3&lt;=SemanaActual,INDEX('Cronograma R. Normativo'!$AJ$5:$AJ$1000,$N57),""),IF(INDEX('Cronograma R. Normativo'!$K$5:$K$1000,$N57)="","",INDEX('Cronograma R. Normativo'!$K$5:$K$1000,$N57))))</f>
        <v/>
      </c>
      <c r="I57" s="61">
        <f>IF($N57="","",IF($P57&gt;0,IF(4&lt;=SemanaActual,INDEX('Cronograma R. Normativo'!$AK$5:$AK$1000,$N57),""),IF(INDEX('Cronograma R. Normativo'!$L$5:$L$1000,$N57)="","",INDEX('Cronograma R. Normativo'!$L$5:$L$1000,$N57))))</f>
        <v/>
      </c>
      <c r="J57" s="61">
        <f>IF($N57="","",INDEX('Cronograma R. Normativo'!$M$5:$M$1000,$N57))</f>
        <v/>
      </c>
      <c r="K57" s="56">
        <f>IF($N57="","",IF(N($J57)&gt;=1,"Completado",IF(AND(ISNUMBER($D57),$D57&lt;FechaRef),"Vencida",IF(N($J57)&gt;0,"En curso","Pendiente"))))</f>
        <v/>
      </c>
      <c r="L57" s="56">
        <f>IF($N57="","",INDEX('Cronograma R. Normativo'!$O$5:$O$1000,$N57)&amp;"")</f>
        <v/>
      </c>
      <c r="M57" s="62">
        <f>IF($N57="","",INDEX('Cronograma R. Normativo'!$Q$5:$Q$1000,$N57)&amp;"")</f>
        <v/>
      </c>
      <c r="N57">
        <f>IFERROR(MATCH(ROW()-4,rOrden_RN,0),"")</f>
        <v/>
      </c>
      <c r="O57">
        <f>IF($N57="","",INDEX('Cronograma R. Normativo'!$V$5:$V$1000,$N57))</f>
        <v/>
      </c>
      <c r="P57">
        <f>IF($N57="","",N(INDEX('Cronograma R. Normativo'!$W$5:$W$1000,$N57)))</f>
        <v/>
      </c>
      <c r="Q57">
        <f>IF(OR(LEFT($L57,7)="Vencida",LEFT($L57,5)="Vence"),SUMPRODUCT(--(LEFT($L$5:$L57,7)="Vencida"))+SUMPRODUCT(--(LEFT($L$5:$L57,5)="Vence")),"")</f>
        <v/>
      </c>
    </row>
    <row r="58">
      <c r="A58" s="56">
        <f>IF($N58="","",INDEX('Cronograma R. Normativo'!$A$5:$A$1000,$N58))</f>
        <v/>
      </c>
      <c r="B58" s="62">
        <f>IF($N58="","",IF($O58="Sub","      ↳  "&amp;INDEX('Cronograma R. Normativo'!$C$5:$C$1000,$N58),INDEX('Cronograma R. Normativo'!$C$5:$C$1000,$N58)&amp;""))</f>
        <v/>
      </c>
      <c r="C58" s="79">
        <f>IF($N58="","",IF(INDEX('Cronograma R. Normativo'!$AR$5:$AR$1000,$N58)="","",INDEX('Cronograma R. Normativo'!$AR$5:$AR$1000,$N58)))</f>
        <v/>
      </c>
      <c r="D58" s="79">
        <f>IF($N58="","",IF(INDEX('Cronograma R. Normativo'!$AS$5:$AS$1000,$N58)="","",INDEX('Cronograma R. Normativo'!$AS$5:$AS$1000,$N58)))</f>
        <v/>
      </c>
      <c r="E58" s="56">
        <f>IF($N58="","",IF(NOT(ISNUMBER($D58)),"",IF($D58&lt;InicioCiclo,"Antes del ciclo",IF($D58&gt;=InicioCiclo+28,"Después del ciclo","Semana "&amp;(INT(($D58-InicioCiclo)/7)+1)))))</f>
        <v/>
      </c>
      <c r="F58" s="61">
        <f>IF($N58="","",IF($P58&gt;0,IF(1&lt;=SemanaActual,INDEX('Cronograma R. Normativo'!$AH$5:$AH$1000,$N58),""),IF(INDEX('Cronograma R. Normativo'!$I$5:$I$1000,$N58)="","",INDEX('Cronograma R. Normativo'!$I$5:$I$1000,$N58))))</f>
        <v/>
      </c>
      <c r="G58" s="61">
        <f>IF($N58="","",IF($P58&gt;0,IF(2&lt;=SemanaActual,INDEX('Cronograma R. Normativo'!$AI$5:$AI$1000,$N58),""),IF(INDEX('Cronograma R. Normativo'!$J$5:$J$1000,$N58)="","",INDEX('Cronograma R. Normativo'!$J$5:$J$1000,$N58))))</f>
        <v/>
      </c>
      <c r="H58" s="61">
        <f>IF($N58="","",IF($P58&gt;0,IF(3&lt;=SemanaActual,INDEX('Cronograma R. Normativo'!$AJ$5:$AJ$1000,$N58),""),IF(INDEX('Cronograma R. Normativo'!$K$5:$K$1000,$N58)="","",INDEX('Cronograma R. Normativo'!$K$5:$K$1000,$N58))))</f>
        <v/>
      </c>
      <c r="I58" s="61">
        <f>IF($N58="","",IF($P58&gt;0,IF(4&lt;=SemanaActual,INDEX('Cronograma R. Normativo'!$AK$5:$AK$1000,$N58),""),IF(INDEX('Cronograma R. Normativo'!$L$5:$L$1000,$N58)="","",INDEX('Cronograma R. Normativo'!$L$5:$L$1000,$N58))))</f>
        <v/>
      </c>
      <c r="J58" s="61">
        <f>IF($N58="","",INDEX('Cronograma R. Normativo'!$M$5:$M$1000,$N58))</f>
        <v/>
      </c>
      <c r="K58" s="56">
        <f>IF($N58="","",IF(N($J58)&gt;=1,"Completado",IF(AND(ISNUMBER($D58),$D58&lt;FechaRef),"Vencida",IF(N($J58)&gt;0,"En curso","Pendiente"))))</f>
        <v/>
      </c>
      <c r="L58" s="56">
        <f>IF($N58="","",INDEX('Cronograma R. Normativo'!$O$5:$O$1000,$N58)&amp;"")</f>
        <v/>
      </c>
      <c r="M58" s="62">
        <f>IF($N58="","",INDEX('Cronograma R. Normativo'!$Q$5:$Q$1000,$N58)&amp;"")</f>
        <v/>
      </c>
      <c r="N58">
        <f>IFERROR(MATCH(ROW()-4,rOrden_RN,0),"")</f>
        <v/>
      </c>
      <c r="O58">
        <f>IF($N58="","",INDEX('Cronograma R. Normativo'!$V$5:$V$1000,$N58))</f>
        <v/>
      </c>
      <c r="P58">
        <f>IF($N58="","",N(INDEX('Cronograma R. Normativo'!$W$5:$W$1000,$N58)))</f>
        <v/>
      </c>
      <c r="Q58">
        <f>IF(OR(LEFT($L58,7)="Vencida",LEFT($L58,5)="Vence"),SUMPRODUCT(--(LEFT($L$5:$L58,7)="Vencida"))+SUMPRODUCT(--(LEFT($L$5:$L58,5)="Vence")),"")</f>
        <v/>
      </c>
    </row>
    <row r="59">
      <c r="A59" s="56">
        <f>IF($N59="","",INDEX('Cronograma R. Normativo'!$A$5:$A$1000,$N59))</f>
        <v/>
      </c>
      <c r="B59" s="62">
        <f>IF($N59="","",IF($O59="Sub","      ↳  "&amp;INDEX('Cronograma R. Normativo'!$C$5:$C$1000,$N59),INDEX('Cronograma R. Normativo'!$C$5:$C$1000,$N59)&amp;""))</f>
        <v/>
      </c>
      <c r="C59" s="79">
        <f>IF($N59="","",IF(INDEX('Cronograma R. Normativo'!$AR$5:$AR$1000,$N59)="","",INDEX('Cronograma R. Normativo'!$AR$5:$AR$1000,$N59)))</f>
        <v/>
      </c>
      <c r="D59" s="79">
        <f>IF($N59="","",IF(INDEX('Cronograma R. Normativo'!$AS$5:$AS$1000,$N59)="","",INDEX('Cronograma R. Normativo'!$AS$5:$AS$1000,$N59)))</f>
        <v/>
      </c>
      <c r="E59" s="56">
        <f>IF($N59="","",IF(NOT(ISNUMBER($D59)),"",IF($D59&lt;InicioCiclo,"Antes del ciclo",IF($D59&gt;=InicioCiclo+28,"Después del ciclo","Semana "&amp;(INT(($D59-InicioCiclo)/7)+1)))))</f>
        <v/>
      </c>
      <c r="F59" s="61">
        <f>IF($N59="","",IF($P59&gt;0,IF(1&lt;=SemanaActual,INDEX('Cronograma R. Normativo'!$AH$5:$AH$1000,$N59),""),IF(INDEX('Cronograma R. Normativo'!$I$5:$I$1000,$N59)="","",INDEX('Cronograma R. Normativo'!$I$5:$I$1000,$N59))))</f>
        <v/>
      </c>
      <c r="G59" s="61">
        <f>IF($N59="","",IF($P59&gt;0,IF(2&lt;=SemanaActual,INDEX('Cronograma R. Normativo'!$AI$5:$AI$1000,$N59),""),IF(INDEX('Cronograma R. Normativo'!$J$5:$J$1000,$N59)="","",INDEX('Cronograma R. Normativo'!$J$5:$J$1000,$N59))))</f>
        <v/>
      </c>
      <c r="H59" s="61">
        <f>IF($N59="","",IF($P59&gt;0,IF(3&lt;=SemanaActual,INDEX('Cronograma R. Normativo'!$AJ$5:$AJ$1000,$N59),""),IF(INDEX('Cronograma R. Normativo'!$K$5:$K$1000,$N59)="","",INDEX('Cronograma R. Normativo'!$K$5:$K$1000,$N59))))</f>
        <v/>
      </c>
      <c r="I59" s="61">
        <f>IF($N59="","",IF($P59&gt;0,IF(4&lt;=SemanaActual,INDEX('Cronograma R. Normativo'!$AK$5:$AK$1000,$N59),""),IF(INDEX('Cronograma R. Normativo'!$L$5:$L$1000,$N59)="","",INDEX('Cronograma R. Normativo'!$L$5:$L$1000,$N59))))</f>
        <v/>
      </c>
      <c r="J59" s="61">
        <f>IF($N59="","",INDEX('Cronograma R. Normativo'!$M$5:$M$1000,$N59))</f>
        <v/>
      </c>
      <c r="K59" s="56">
        <f>IF($N59="","",IF(N($J59)&gt;=1,"Completado",IF(AND(ISNUMBER($D59),$D59&lt;FechaRef),"Vencida",IF(N($J59)&gt;0,"En curso","Pendiente"))))</f>
        <v/>
      </c>
      <c r="L59" s="56">
        <f>IF($N59="","",INDEX('Cronograma R. Normativo'!$O$5:$O$1000,$N59)&amp;"")</f>
        <v/>
      </c>
      <c r="M59" s="62">
        <f>IF($N59="","",INDEX('Cronograma R. Normativo'!$Q$5:$Q$1000,$N59)&amp;"")</f>
        <v/>
      </c>
      <c r="N59">
        <f>IFERROR(MATCH(ROW()-4,rOrden_RN,0),"")</f>
        <v/>
      </c>
      <c r="O59">
        <f>IF($N59="","",INDEX('Cronograma R. Normativo'!$V$5:$V$1000,$N59))</f>
        <v/>
      </c>
      <c r="P59">
        <f>IF($N59="","",N(INDEX('Cronograma R. Normativo'!$W$5:$W$1000,$N59)))</f>
        <v/>
      </c>
      <c r="Q59">
        <f>IF(OR(LEFT($L59,7)="Vencida",LEFT($L59,5)="Vence"),SUMPRODUCT(--(LEFT($L$5:$L59,7)="Vencida"))+SUMPRODUCT(--(LEFT($L$5:$L59,5)="Vence")),"")</f>
        <v/>
      </c>
    </row>
    <row r="60">
      <c r="A60" s="56">
        <f>IF($N60="","",INDEX('Cronograma R. Normativo'!$A$5:$A$1000,$N60))</f>
        <v/>
      </c>
      <c r="B60" s="62">
        <f>IF($N60="","",IF($O60="Sub","      ↳  "&amp;INDEX('Cronograma R. Normativo'!$C$5:$C$1000,$N60),INDEX('Cronograma R. Normativo'!$C$5:$C$1000,$N60)&amp;""))</f>
        <v/>
      </c>
      <c r="C60" s="79">
        <f>IF($N60="","",IF(INDEX('Cronograma R. Normativo'!$AR$5:$AR$1000,$N60)="","",INDEX('Cronograma R. Normativo'!$AR$5:$AR$1000,$N60)))</f>
        <v/>
      </c>
      <c r="D60" s="79">
        <f>IF($N60="","",IF(INDEX('Cronograma R. Normativo'!$AS$5:$AS$1000,$N60)="","",INDEX('Cronograma R. Normativo'!$AS$5:$AS$1000,$N60)))</f>
        <v/>
      </c>
      <c r="E60" s="56">
        <f>IF($N60="","",IF(NOT(ISNUMBER($D60)),"",IF($D60&lt;InicioCiclo,"Antes del ciclo",IF($D60&gt;=InicioCiclo+28,"Después del ciclo","Semana "&amp;(INT(($D60-InicioCiclo)/7)+1)))))</f>
        <v/>
      </c>
      <c r="F60" s="61">
        <f>IF($N60="","",IF($P60&gt;0,IF(1&lt;=SemanaActual,INDEX('Cronograma R. Normativo'!$AH$5:$AH$1000,$N60),""),IF(INDEX('Cronograma R. Normativo'!$I$5:$I$1000,$N60)="","",INDEX('Cronograma R. Normativo'!$I$5:$I$1000,$N60))))</f>
        <v/>
      </c>
      <c r="G60" s="61">
        <f>IF($N60="","",IF($P60&gt;0,IF(2&lt;=SemanaActual,INDEX('Cronograma R. Normativo'!$AI$5:$AI$1000,$N60),""),IF(INDEX('Cronograma R. Normativo'!$J$5:$J$1000,$N60)="","",INDEX('Cronograma R. Normativo'!$J$5:$J$1000,$N60))))</f>
        <v/>
      </c>
      <c r="H60" s="61">
        <f>IF($N60="","",IF($P60&gt;0,IF(3&lt;=SemanaActual,INDEX('Cronograma R. Normativo'!$AJ$5:$AJ$1000,$N60),""),IF(INDEX('Cronograma R. Normativo'!$K$5:$K$1000,$N60)="","",INDEX('Cronograma R. Normativo'!$K$5:$K$1000,$N60))))</f>
        <v/>
      </c>
      <c r="I60" s="61">
        <f>IF($N60="","",IF($P60&gt;0,IF(4&lt;=SemanaActual,INDEX('Cronograma R. Normativo'!$AK$5:$AK$1000,$N60),""),IF(INDEX('Cronograma R. Normativo'!$L$5:$L$1000,$N60)="","",INDEX('Cronograma R. Normativo'!$L$5:$L$1000,$N60))))</f>
        <v/>
      </c>
      <c r="J60" s="61">
        <f>IF($N60="","",INDEX('Cronograma R. Normativo'!$M$5:$M$1000,$N60))</f>
        <v/>
      </c>
      <c r="K60" s="56">
        <f>IF($N60="","",IF(N($J60)&gt;=1,"Completado",IF(AND(ISNUMBER($D60),$D60&lt;FechaRef),"Vencida",IF(N($J60)&gt;0,"En curso","Pendiente"))))</f>
        <v/>
      </c>
      <c r="L60" s="56">
        <f>IF($N60="","",INDEX('Cronograma R. Normativo'!$O$5:$O$1000,$N60)&amp;"")</f>
        <v/>
      </c>
      <c r="M60" s="62">
        <f>IF($N60="","",INDEX('Cronograma R. Normativo'!$Q$5:$Q$1000,$N60)&amp;"")</f>
        <v/>
      </c>
      <c r="N60">
        <f>IFERROR(MATCH(ROW()-4,rOrden_RN,0),"")</f>
        <v/>
      </c>
      <c r="O60">
        <f>IF($N60="","",INDEX('Cronograma R. Normativo'!$V$5:$V$1000,$N60))</f>
        <v/>
      </c>
      <c r="P60">
        <f>IF($N60="","",N(INDEX('Cronograma R. Normativo'!$W$5:$W$1000,$N60)))</f>
        <v/>
      </c>
      <c r="Q60">
        <f>IF(OR(LEFT($L60,7)="Vencida",LEFT($L60,5)="Vence"),SUMPRODUCT(--(LEFT($L$5:$L60,7)="Vencida"))+SUMPRODUCT(--(LEFT($L$5:$L60,5)="Vence")),"")</f>
        <v/>
      </c>
    </row>
    <row r="61">
      <c r="A61" s="56">
        <f>IF($N61="","",INDEX('Cronograma R. Normativo'!$A$5:$A$1000,$N61))</f>
        <v/>
      </c>
      <c r="B61" s="62">
        <f>IF($N61="","",IF($O61="Sub","      ↳  "&amp;INDEX('Cronograma R. Normativo'!$C$5:$C$1000,$N61),INDEX('Cronograma R. Normativo'!$C$5:$C$1000,$N61)&amp;""))</f>
        <v/>
      </c>
      <c r="C61" s="79">
        <f>IF($N61="","",IF(INDEX('Cronograma R. Normativo'!$AR$5:$AR$1000,$N61)="","",INDEX('Cronograma R. Normativo'!$AR$5:$AR$1000,$N61)))</f>
        <v/>
      </c>
      <c r="D61" s="79">
        <f>IF($N61="","",IF(INDEX('Cronograma R. Normativo'!$AS$5:$AS$1000,$N61)="","",INDEX('Cronograma R. Normativo'!$AS$5:$AS$1000,$N61)))</f>
        <v/>
      </c>
      <c r="E61" s="56">
        <f>IF($N61="","",IF(NOT(ISNUMBER($D61)),"",IF($D61&lt;InicioCiclo,"Antes del ciclo",IF($D61&gt;=InicioCiclo+28,"Después del ciclo","Semana "&amp;(INT(($D61-InicioCiclo)/7)+1)))))</f>
        <v/>
      </c>
      <c r="F61" s="61">
        <f>IF($N61="","",IF($P61&gt;0,IF(1&lt;=SemanaActual,INDEX('Cronograma R. Normativo'!$AH$5:$AH$1000,$N61),""),IF(INDEX('Cronograma R. Normativo'!$I$5:$I$1000,$N61)="","",INDEX('Cronograma R. Normativo'!$I$5:$I$1000,$N61))))</f>
        <v/>
      </c>
      <c r="G61" s="61">
        <f>IF($N61="","",IF($P61&gt;0,IF(2&lt;=SemanaActual,INDEX('Cronograma R. Normativo'!$AI$5:$AI$1000,$N61),""),IF(INDEX('Cronograma R. Normativo'!$J$5:$J$1000,$N61)="","",INDEX('Cronograma R. Normativo'!$J$5:$J$1000,$N61))))</f>
        <v/>
      </c>
      <c r="H61" s="61">
        <f>IF($N61="","",IF($P61&gt;0,IF(3&lt;=SemanaActual,INDEX('Cronograma R. Normativo'!$AJ$5:$AJ$1000,$N61),""),IF(INDEX('Cronograma R. Normativo'!$K$5:$K$1000,$N61)="","",INDEX('Cronograma R. Normativo'!$K$5:$K$1000,$N61))))</f>
        <v/>
      </c>
      <c r="I61" s="61">
        <f>IF($N61="","",IF($P61&gt;0,IF(4&lt;=SemanaActual,INDEX('Cronograma R. Normativo'!$AK$5:$AK$1000,$N61),""),IF(INDEX('Cronograma R. Normativo'!$L$5:$L$1000,$N61)="","",INDEX('Cronograma R. Normativo'!$L$5:$L$1000,$N61))))</f>
        <v/>
      </c>
      <c r="J61" s="61">
        <f>IF($N61="","",INDEX('Cronograma R. Normativo'!$M$5:$M$1000,$N61))</f>
        <v/>
      </c>
      <c r="K61" s="56">
        <f>IF($N61="","",IF(N($J61)&gt;=1,"Completado",IF(AND(ISNUMBER($D61),$D61&lt;FechaRef),"Vencida",IF(N($J61)&gt;0,"En curso","Pendiente"))))</f>
        <v/>
      </c>
      <c r="L61" s="56">
        <f>IF($N61="","",INDEX('Cronograma R. Normativo'!$O$5:$O$1000,$N61)&amp;"")</f>
        <v/>
      </c>
      <c r="M61" s="62">
        <f>IF($N61="","",INDEX('Cronograma R. Normativo'!$Q$5:$Q$1000,$N61)&amp;"")</f>
        <v/>
      </c>
      <c r="N61">
        <f>IFERROR(MATCH(ROW()-4,rOrden_RN,0),"")</f>
        <v/>
      </c>
      <c r="O61">
        <f>IF($N61="","",INDEX('Cronograma R. Normativo'!$V$5:$V$1000,$N61))</f>
        <v/>
      </c>
      <c r="P61">
        <f>IF($N61="","",N(INDEX('Cronograma R. Normativo'!$W$5:$W$1000,$N61)))</f>
        <v/>
      </c>
      <c r="Q61">
        <f>IF(OR(LEFT($L61,7)="Vencida",LEFT($L61,5)="Vence"),SUMPRODUCT(--(LEFT($L$5:$L61,7)="Vencida"))+SUMPRODUCT(--(LEFT($L$5:$L61,5)="Vence")),"")</f>
        <v/>
      </c>
    </row>
    <row r="62">
      <c r="A62" s="56">
        <f>IF($N62="","",INDEX('Cronograma R. Normativo'!$A$5:$A$1000,$N62))</f>
        <v/>
      </c>
      <c r="B62" s="62">
        <f>IF($N62="","",IF($O62="Sub","      ↳  "&amp;INDEX('Cronograma R. Normativo'!$C$5:$C$1000,$N62),INDEX('Cronograma R. Normativo'!$C$5:$C$1000,$N62)&amp;""))</f>
        <v/>
      </c>
      <c r="C62" s="79">
        <f>IF($N62="","",IF(INDEX('Cronograma R. Normativo'!$AR$5:$AR$1000,$N62)="","",INDEX('Cronograma R. Normativo'!$AR$5:$AR$1000,$N62)))</f>
        <v/>
      </c>
      <c r="D62" s="79">
        <f>IF($N62="","",IF(INDEX('Cronograma R. Normativo'!$AS$5:$AS$1000,$N62)="","",INDEX('Cronograma R. Normativo'!$AS$5:$AS$1000,$N62)))</f>
        <v/>
      </c>
      <c r="E62" s="56">
        <f>IF($N62="","",IF(NOT(ISNUMBER($D62)),"",IF($D62&lt;InicioCiclo,"Antes del ciclo",IF($D62&gt;=InicioCiclo+28,"Después del ciclo","Semana "&amp;(INT(($D62-InicioCiclo)/7)+1)))))</f>
        <v/>
      </c>
      <c r="F62" s="61">
        <f>IF($N62="","",IF($P62&gt;0,IF(1&lt;=SemanaActual,INDEX('Cronograma R. Normativo'!$AH$5:$AH$1000,$N62),""),IF(INDEX('Cronograma R. Normativo'!$I$5:$I$1000,$N62)="","",INDEX('Cronograma R. Normativo'!$I$5:$I$1000,$N62))))</f>
        <v/>
      </c>
      <c r="G62" s="61">
        <f>IF($N62="","",IF($P62&gt;0,IF(2&lt;=SemanaActual,INDEX('Cronograma R. Normativo'!$AI$5:$AI$1000,$N62),""),IF(INDEX('Cronograma R. Normativo'!$J$5:$J$1000,$N62)="","",INDEX('Cronograma R. Normativo'!$J$5:$J$1000,$N62))))</f>
        <v/>
      </c>
      <c r="H62" s="61">
        <f>IF($N62="","",IF($P62&gt;0,IF(3&lt;=SemanaActual,INDEX('Cronograma R. Normativo'!$AJ$5:$AJ$1000,$N62),""),IF(INDEX('Cronograma R. Normativo'!$K$5:$K$1000,$N62)="","",INDEX('Cronograma R. Normativo'!$K$5:$K$1000,$N62))))</f>
        <v/>
      </c>
      <c r="I62" s="61">
        <f>IF($N62="","",IF($P62&gt;0,IF(4&lt;=SemanaActual,INDEX('Cronograma R. Normativo'!$AK$5:$AK$1000,$N62),""),IF(INDEX('Cronograma R. Normativo'!$L$5:$L$1000,$N62)="","",INDEX('Cronograma R. Normativo'!$L$5:$L$1000,$N62))))</f>
        <v/>
      </c>
      <c r="J62" s="61">
        <f>IF($N62="","",INDEX('Cronograma R. Normativo'!$M$5:$M$1000,$N62))</f>
        <v/>
      </c>
      <c r="K62" s="56">
        <f>IF($N62="","",IF(N($J62)&gt;=1,"Completado",IF(AND(ISNUMBER($D62),$D62&lt;FechaRef),"Vencida",IF(N($J62)&gt;0,"En curso","Pendiente"))))</f>
        <v/>
      </c>
      <c r="L62" s="56">
        <f>IF($N62="","",INDEX('Cronograma R. Normativo'!$O$5:$O$1000,$N62)&amp;"")</f>
        <v/>
      </c>
      <c r="M62" s="62">
        <f>IF($N62="","",INDEX('Cronograma R. Normativo'!$Q$5:$Q$1000,$N62)&amp;"")</f>
        <v/>
      </c>
      <c r="N62">
        <f>IFERROR(MATCH(ROW()-4,rOrden_RN,0),"")</f>
        <v/>
      </c>
      <c r="O62">
        <f>IF($N62="","",INDEX('Cronograma R. Normativo'!$V$5:$V$1000,$N62))</f>
        <v/>
      </c>
      <c r="P62">
        <f>IF($N62="","",N(INDEX('Cronograma R. Normativo'!$W$5:$W$1000,$N62)))</f>
        <v/>
      </c>
      <c r="Q62">
        <f>IF(OR(LEFT($L62,7)="Vencida",LEFT($L62,5)="Vence"),SUMPRODUCT(--(LEFT($L$5:$L62,7)="Vencida"))+SUMPRODUCT(--(LEFT($L$5:$L62,5)="Vence")),"")</f>
        <v/>
      </c>
    </row>
    <row r="63">
      <c r="A63" s="56">
        <f>IF($N63="","",INDEX('Cronograma R. Normativo'!$A$5:$A$1000,$N63))</f>
        <v/>
      </c>
      <c r="B63" s="62">
        <f>IF($N63="","",IF($O63="Sub","      ↳  "&amp;INDEX('Cronograma R. Normativo'!$C$5:$C$1000,$N63),INDEX('Cronograma R. Normativo'!$C$5:$C$1000,$N63)&amp;""))</f>
        <v/>
      </c>
      <c r="C63" s="79">
        <f>IF($N63="","",IF(INDEX('Cronograma R. Normativo'!$AR$5:$AR$1000,$N63)="","",INDEX('Cronograma R. Normativo'!$AR$5:$AR$1000,$N63)))</f>
        <v/>
      </c>
      <c r="D63" s="79">
        <f>IF($N63="","",IF(INDEX('Cronograma R. Normativo'!$AS$5:$AS$1000,$N63)="","",INDEX('Cronograma R. Normativo'!$AS$5:$AS$1000,$N63)))</f>
        <v/>
      </c>
      <c r="E63" s="56">
        <f>IF($N63="","",IF(NOT(ISNUMBER($D63)),"",IF($D63&lt;InicioCiclo,"Antes del ciclo",IF($D63&gt;=InicioCiclo+28,"Después del ciclo","Semana "&amp;(INT(($D63-InicioCiclo)/7)+1)))))</f>
        <v/>
      </c>
      <c r="F63" s="61">
        <f>IF($N63="","",IF($P63&gt;0,IF(1&lt;=SemanaActual,INDEX('Cronograma R. Normativo'!$AH$5:$AH$1000,$N63),""),IF(INDEX('Cronograma R. Normativo'!$I$5:$I$1000,$N63)="","",INDEX('Cronograma R. Normativo'!$I$5:$I$1000,$N63))))</f>
        <v/>
      </c>
      <c r="G63" s="61">
        <f>IF($N63="","",IF($P63&gt;0,IF(2&lt;=SemanaActual,INDEX('Cronograma R. Normativo'!$AI$5:$AI$1000,$N63),""),IF(INDEX('Cronograma R. Normativo'!$J$5:$J$1000,$N63)="","",INDEX('Cronograma R. Normativo'!$J$5:$J$1000,$N63))))</f>
        <v/>
      </c>
      <c r="H63" s="61">
        <f>IF($N63="","",IF($P63&gt;0,IF(3&lt;=SemanaActual,INDEX('Cronograma R. Normativo'!$AJ$5:$AJ$1000,$N63),""),IF(INDEX('Cronograma R. Normativo'!$K$5:$K$1000,$N63)="","",INDEX('Cronograma R. Normativo'!$K$5:$K$1000,$N63))))</f>
        <v/>
      </c>
      <c r="I63" s="61">
        <f>IF($N63="","",IF($P63&gt;0,IF(4&lt;=SemanaActual,INDEX('Cronograma R. Normativo'!$AK$5:$AK$1000,$N63),""),IF(INDEX('Cronograma R. Normativo'!$L$5:$L$1000,$N63)="","",INDEX('Cronograma R. Normativo'!$L$5:$L$1000,$N63))))</f>
        <v/>
      </c>
      <c r="J63" s="61">
        <f>IF($N63="","",INDEX('Cronograma R. Normativo'!$M$5:$M$1000,$N63))</f>
        <v/>
      </c>
      <c r="K63" s="56">
        <f>IF($N63="","",IF(N($J63)&gt;=1,"Completado",IF(AND(ISNUMBER($D63),$D63&lt;FechaRef),"Vencida",IF(N($J63)&gt;0,"En curso","Pendiente"))))</f>
        <v/>
      </c>
      <c r="L63" s="56">
        <f>IF($N63="","",INDEX('Cronograma R. Normativo'!$O$5:$O$1000,$N63)&amp;"")</f>
        <v/>
      </c>
      <c r="M63" s="62">
        <f>IF($N63="","",INDEX('Cronograma R. Normativo'!$Q$5:$Q$1000,$N63)&amp;"")</f>
        <v/>
      </c>
      <c r="N63">
        <f>IFERROR(MATCH(ROW()-4,rOrden_RN,0),"")</f>
        <v/>
      </c>
      <c r="O63">
        <f>IF($N63="","",INDEX('Cronograma R. Normativo'!$V$5:$V$1000,$N63))</f>
        <v/>
      </c>
      <c r="P63">
        <f>IF($N63="","",N(INDEX('Cronograma R. Normativo'!$W$5:$W$1000,$N63)))</f>
        <v/>
      </c>
      <c r="Q63">
        <f>IF(OR(LEFT($L63,7)="Vencida",LEFT($L63,5)="Vence"),SUMPRODUCT(--(LEFT($L$5:$L63,7)="Vencida"))+SUMPRODUCT(--(LEFT($L$5:$L63,5)="Vence")),"")</f>
        <v/>
      </c>
    </row>
    <row r="64">
      <c r="A64" s="56">
        <f>IF($N64="","",INDEX('Cronograma R. Normativo'!$A$5:$A$1000,$N64))</f>
        <v/>
      </c>
      <c r="B64" s="62">
        <f>IF($N64="","",IF($O64="Sub","      ↳  "&amp;INDEX('Cronograma R. Normativo'!$C$5:$C$1000,$N64),INDEX('Cronograma R. Normativo'!$C$5:$C$1000,$N64)&amp;""))</f>
        <v/>
      </c>
      <c r="C64" s="79">
        <f>IF($N64="","",IF(INDEX('Cronograma R. Normativo'!$AR$5:$AR$1000,$N64)="","",INDEX('Cronograma R. Normativo'!$AR$5:$AR$1000,$N64)))</f>
        <v/>
      </c>
      <c r="D64" s="79">
        <f>IF($N64="","",IF(INDEX('Cronograma R. Normativo'!$AS$5:$AS$1000,$N64)="","",INDEX('Cronograma R. Normativo'!$AS$5:$AS$1000,$N64)))</f>
        <v/>
      </c>
      <c r="E64" s="56">
        <f>IF($N64="","",IF(NOT(ISNUMBER($D64)),"",IF($D64&lt;InicioCiclo,"Antes del ciclo",IF($D64&gt;=InicioCiclo+28,"Después del ciclo","Semana "&amp;(INT(($D64-InicioCiclo)/7)+1)))))</f>
        <v/>
      </c>
      <c r="F64" s="61">
        <f>IF($N64="","",IF($P64&gt;0,IF(1&lt;=SemanaActual,INDEX('Cronograma R. Normativo'!$AH$5:$AH$1000,$N64),""),IF(INDEX('Cronograma R. Normativo'!$I$5:$I$1000,$N64)="","",INDEX('Cronograma R. Normativo'!$I$5:$I$1000,$N64))))</f>
        <v/>
      </c>
      <c r="G64" s="61">
        <f>IF($N64="","",IF($P64&gt;0,IF(2&lt;=SemanaActual,INDEX('Cronograma R. Normativo'!$AI$5:$AI$1000,$N64),""),IF(INDEX('Cronograma R. Normativo'!$J$5:$J$1000,$N64)="","",INDEX('Cronograma R. Normativo'!$J$5:$J$1000,$N64))))</f>
        <v/>
      </c>
      <c r="H64" s="61">
        <f>IF($N64="","",IF($P64&gt;0,IF(3&lt;=SemanaActual,INDEX('Cronograma R. Normativo'!$AJ$5:$AJ$1000,$N64),""),IF(INDEX('Cronograma R. Normativo'!$K$5:$K$1000,$N64)="","",INDEX('Cronograma R. Normativo'!$K$5:$K$1000,$N64))))</f>
        <v/>
      </c>
      <c r="I64" s="61">
        <f>IF($N64="","",IF($P64&gt;0,IF(4&lt;=SemanaActual,INDEX('Cronograma R. Normativo'!$AK$5:$AK$1000,$N64),""),IF(INDEX('Cronograma R. Normativo'!$L$5:$L$1000,$N64)="","",INDEX('Cronograma R. Normativo'!$L$5:$L$1000,$N64))))</f>
        <v/>
      </c>
      <c r="J64" s="61">
        <f>IF($N64="","",INDEX('Cronograma R. Normativo'!$M$5:$M$1000,$N64))</f>
        <v/>
      </c>
      <c r="K64" s="56">
        <f>IF($N64="","",IF(N($J64)&gt;=1,"Completado",IF(AND(ISNUMBER($D64),$D64&lt;FechaRef),"Vencida",IF(N($J64)&gt;0,"En curso","Pendiente"))))</f>
        <v/>
      </c>
      <c r="L64" s="56">
        <f>IF($N64="","",INDEX('Cronograma R. Normativo'!$O$5:$O$1000,$N64)&amp;"")</f>
        <v/>
      </c>
      <c r="M64" s="62">
        <f>IF($N64="","",INDEX('Cronograma R. Normativo'!$Q$5:$Q$1000,$N64)&amp;"")</f>
        <v/>
      </c>
      <c r="N64">
        <f>IFERROR(MATCH(ROW()-4,rOrden_RN,0),"")</f>
        <v/>
      </c>
      <c r="O64">
        <f>IF($N64="","",INDEX('Cronograma R. Normativo'!$V$5:$V$1000,$N64))</f>
        <v/>
      </c>
      <c r="P64">
        <f>IF($N64="","",N(INDEX('Cronograma R. Normativo'!$W$5:$W$1000,$N64)))</f>
        <v/>
      </c>
      <c r="Q64">
        <f>IF(OR(LEFT($L64,7)="Vencida",LEFT($L64,5)="Vence"),SUMPRODUCT(--(LEFT($L$5:$L64,7)="Vencida"))+SUMPRODUCT(--(LEFT($L$5:$L64,5)="Vence")),"")</f>
        <v/>
      </c>
    </row>
    <row r="65">
      <c r="A65" s="56">
        <f>IF($N65="","",INDEX('Cronograma R. Normativo'!$A$5:$A$1000,$N65))</f>
        <v/>
      </c>
      <c r="B65" s="62">
        <f>IF($N65="","",IF($O65="Sub","      ↳  "&amp;INDEX('Cronograma R. Normativo'!$C$5:$C$1000,$N65),INDEX('Cronograma R. Normativo'!$C$5:$C$1000,$N65)&amp;""))</f>
        <v/>
      </c>
      <c r="C65" s="79">
        <f>IF($N65="","",IF(INDEX('Cronograma R. Normativo'!$AR$5:$AR$1000,$N65)="","",INDEX('Cronograma R. Normativo'!$AR$5:$AR$1000,$N65)))</f>
        <v/>
      </c>
      <c r="D65" s="79">
        <f>IF($N65="","",IF(INDEX('Cronograma R. Normativo'!$AS$5:$AS$1000,$N65)="","",INDEX('Cronograma R. Normativo'!$AS$5:$AS$1000,$N65)))</f>
        <v/>
      </c>
      <c r="E65" s="56">
        <f>IF($N65="","",IF(NOT(ISNUMBER($D65)),"",IF($D65&lt;InicioCiclo,"Antes del ciclo",IF($D65&gt;=InicioCiclo+28,"Después del ciclo","Semana "&amp;(INT(($D65-InicioCiclo)/7)+1)))))</f>
        <v/>
      </c>
      <c r="F65" s="61">
        <f>IF($N65="","",IF($P65&gt;0,IF(1&lt;=SemanaActual,INDEX('Cronograma R. Normativo'!$AH$5:$AH$1000,$N65),""),IF(INDEX('Cronograma R. Normativo'!$I$5:$I$1000,$N65)="","",INDEX('Cronograma R. Normativo'!$I$5:$I$1000,$N65))))</f>
        <v/>
      </c>
      <c r="G65" s="61">
        <f>IF($N65="","",IF($P65&gt;0,IF(2&lt;=SemanaActual,INDEX('Cronograma R. Normativo'!$AI$5:$AI$1000,$N65),""),IF(INDEX('Cronograma R. Normativo'!$J$5:$J$1000,$N65)="","",INDEX('Cronograma R. Normativo'!$J$5:$J$1000,$N65))))</f>
        <v/>
      </c>
      <c r="H65" s="61">
        <f>IF($N65="","",IF($P65&gt;0,IF(3&lt;=SemanaActual,INDEX('Cronograma R. Normativo'!$AJ$5:$AJ$1000,$N65),""),IF(INDEX('Cronograma R. Normativo'!$K$5:$K$1000,$N65)="","",INDEX('Cronograma R. Normativo'!$K$5:$K$1000,$N65))))</f>
        <v/>
      </c>
      <c r="I65" s="61">
        <f>IF($N65="","",IF($P65&gt;0,IF(4&lt;=SemanaActual,INDEX('Cronograma R. Normativo'!$AK$5:$AK$1000,$N65),""),IF(INDEX('Cronograma R. Normativo'!$L$5:$L$1000,$N65)="","",INDEX('Cronograma R. Normativo'!$L$5:$L$1000,$N65))))</f>
        <v/>
      </c>
      <c r="J65" s="61">
        <f>IF($N65="","",INDEX('Cronograma R. Normativo'!$M$5:$M$1000,$N65))</f>
        <v/>
      </c>
      <c r="K65" s="56">
        <f>IF($N65="","",IF(N($J65)&gt;=1,"Completado",IF(AND(ISNUMBER($D65),$D65&lt;FechaRef),"Vencida",IF(N($J65)&gt;0,"En curso","Pendiente"))))</f>
        <v/>
      </c>
      <c r="L65" s="56">
        <f>IF($N65="","",INDEX('Cronograma R. Normativo'!$O$5:$O$1000,$N65)&amp;"")</f>
        <v/>
      </c>
      <c r="M65" s="62">
        <f>IF($N65="","",INDEX('Cronograma R. Normativo'!$Q$5:$Q$1000,$N65)&amp;"")</f>
        <v/>
      </c>
      <c r="N65">
        <f>IFERROR(MATCH(ROW()-4,rOrden_RN,0),"")</f>
        <v/>
      </c>
      <c r="O65">
        <f>IF($N65="","",INDEX('Cronograma R. Normativo'!$V$5:$V$1000,$N65))</f>
        <v/>
      </c>
      <c r="P65">
        <f>IF($N65="","",N(INDEX('Cronograma R. Normativo'!$W$5:$W$1000,$N65)))</f>
        <v/>
      </c>
      <c r="Q65">
        <f>IF(OR(LEFT($L65,7)="Vencida",LEFT($L65,5)="Vence"),SUMPRODUCT(--(LEFT($L$5:$L65,7)="Vencida"))+SUMPRODUCT(--(LEFT($L$5:$L65,5)="Vence")),"")</f>
        <v/>
      </c>
    </row>
    <row r="66">
      <c r="A66" s="56">
        <f>IF($N66="","",INDEX('Cronograma R. Normativo'!$A$5:$A$1000,$N66))</f>
        <v/>
      </c>
      <c r="B66" s="62">
        <f>IF($N66="","",IF($O66="Sub","      ↳  "&amp;INDEX('Cronograma R. Normativo'!$C$5:$C$1000,$N66),INDEX('Cronograma R. Normativo'!$C$5:$C$1000,$N66)&amp;""))</f>
        <v/>
      </c>
      <c r="C66" s="79">
        <f>IF($N66="","",IF(INDEX('Cronograma R. Normativo'!$AR$5:$AR$1000,$N66)="","",INDEX('Cronograma R. Normativo'!$AR$5:$AR$1000,$N66)))</f>
        <v/>
      </c>
      <c r="D66" s="79">
        <f>IF($N66="","",IF(INDEX('Cronograma R. Normativo'!$AS$5:$AS$1000,$N66)="","",INDEX('Cronograma R. Normativo'!$AS$5:$AS$1000,$N66)))</f>
        <v/>
      </c>
      <c r="E66" s="56">
        <f>IF($N66="","",IF(NOT(ISNUMBER($D66)),"",IF($D66&lt;InicioCiclo,"Antes del ciclo",IF($D66&gt;=InicioCiclo+28,"Después del ciclo","Semana "&amp;(INT(($D66-InicioCiclo)/7)+1)))))</f>
        <v/>
      </c>
      <c r="F66" s="61">
        <f>IF($N66="","",IF($P66&gt;0,IF(1&lt;=SemanaActual,INDEX('Cronograma R. Normativo'!$AH$5:$AH$1000,$N66),""),IF(INDEX('Cronograma R. Normativo'!$I$5:$I$1000,$N66)="","",INDEX('Cronograma R. Normativo'!$I$5:$I$1000,$N66))))</f>
        <v/>
      </c>
      <c r="G66" s="61">
        <f>IF($N66="","",IF($P66&gt;0,IF(2&lt;=SemanaActual,INDEX('Cronograma R. Normativo'!$AI$5:$AI$1000,$N66),""),IF(INDEX('Cronograma R. Normativo'!$J$5:$J$1000,$N66)="","",INDEX('Cronograma R. Normativo'!$J$5:$J$1000,$N66))))</f>
        <v/>
      </c>
      <c r="H66" s="61">
        <f>IF($N66="","",IF($P66&gt;0,IF(3&lt;=SemanaActual,INDEX('Cronograma R. Normativo'!$AJ$5:$AJ$1000,$N66),""),IF(INDEX('Cronograma R. Normativo'!$K$5:$K$1000,$N66)="","",INDEX('Cronograma R. Normativo'!$K$5:$K$1000,$N66))))</f>
        <v/>
      </c>
      <c r="I66" s="61">
        <f>IF($N66="","",IF($P66&gt;0,IF(4&lt;=SemanaActual,INDEX('Cronograma R. Normativo'!$AK$5:$AK$1000,$N66),""),IF(INDEX('Cronograma R. Normativo'!$L$5:$L$1000,$N66)="","",INDEX('Cronograma R. Normativo'!$L$5:$L$1000,$N66))))</f>
        <v/>
      </c>
      <c r="J66" s="61">
        <f>IF($N66="","",INDEX('Cronograma R. Normativo'!$M$5:$M$1000,$N66))</f>
        <v/>
      </c>
      <c r="K66" s="56">
        <f>IF($N66="","",IF(N($J66)&gt;=1,"Completado",IF(AND(ISNUMBER($D66),$D66&lt;FechaRef),"Vencida",IF(N($J66)&gt;0,"En curso","Pendiente"))))</f>
        <v/>
      </c>
      <c r="L66" s="56">
        <f>IF($N66="","",INDEX('Cronograma R. Normativo'!$O$5:$O$1000,$N66)&amp;"")</f>
        <v/>
      </c>
      <c r="M66" s="62">
        <f>IF($N66="","",INDEX('Cronograma R. Normativo'!$Q$5:$Q$1000,$N66)&amp;"")</f>
        <v/>
      </c>
      <c r="N66">
        <f>IFERROR(MATCH(ROW()-4,rOrden_RN,0),"")</f>
        <v/>
      </c>
      <c r="O66">
        <f>IF($N66="","",INDEX('Cronograma R. Normativo'!$V$5:$V$1000,$N66))</f>
        <v/>
      </c>
      <c r="P66">
        <f>IF($N66="","",N(INDEX('Cronograma R. Normativo'!$W$5:$W$1000,$N66)))</f>
        <v/>
      </c>
      <c r="Q66">
        <f>IF(OR(LEFT($L66,7)="Vencida",LEFT($L66,5)="Vence"),SUMPRODUCT(--(LEFT($L$5:$L66,7)="Vencida"))+SUMPRODUCT(--(LEFT($L$5:$L66,5)="Vence")),"")</f>
        <v/>
      </c>
    </row>
    <row r="67">
      <c r="A67" s="56">
        <f>IF($N67="","",INDEX('Cronograma R. Normativo'!$A$5:$A$1000,$N67))</f>
        <v/>
      </c>
      <c r="B67" s="62">
        <f>IF($N67="","",IF($O67="Sub","      ↳  "&amp;INDEX('Cronograma R. Normativo'!$C$5:$C$1000,$N67),INDEX('Cronograma R. Normativo'!$C$5:$C$1000,$N67)&amp;""))</f>
        <v/>
      </c>
      <c r="C67" s="79">
        <f>IF($N67="","",IF(INDEX('Cronograma R. Normativo'!$AR$5:$AR$1000,$N67)="","",INDEX('Cronograma R. Normativo'!$AR$5:$AR$1000,$N67)))</f>
        <v/>
      </c>
      <c r="D67" s="79">
        <f>IF($N67="","",IF(INDEX('Cronograma R. Normativo'!$AS$5:$AS$1000,$N67)="","",INDEX('Cronograma R. Normativo'!$AS$5:$AS$1000,$N67)))</f>
        <v/>
      </c>
      <c r="E67" s="56">
        <f>IF($N67="","",IF(NOT(ISNUMBER($D67)),"",IF($D67&lt;InicioCiclo,"Antes del ciclo",IF($D67&gt;=InicioCiclo+28,"Después del ciclo","Semana "&amp;(INT(($D67-InicioCiclo)/7)+1)))))</f>
        <v/>
      </c>
      <c r="F67" s="61">
        <f>IF($N67="","",IF($P67&gt;0,IF(1&lt;=SemanaActual,INDEX('Cronograma R. Normativo'!$AH$5:$AH$1000,$N67),""),IF(INDEX('Cronograma R. Normativo'!$I$5:$I$1000,$N67)="","",INDEX('Cronograma R. Normativo'!$I$5:$I$1000,$N67))))</f>
        <v/>
      </c>
      <c r="G67" s="61">
        <f>IF($N67="","",IF($P67&gt;0,IF(2&lt;=SemanaActual,INDEX('Cronograma R. Normativo'!$AI$5:$AI$1000,$N67),""),IF(INDEX('Cronograma R. Normativo'!$J$5:$J$1000,$N67)="","",INDEX('Cronograma R. Normativo'!$J$5:$J$1000,$N67))))</f>
        <v/>
      </c>
      <c r="H67" s="61">
        <f>IF($N67="","",IF($P67&gt;0,IF(3&lt;=SemanaActual,INDEX('Cronograma R. Normativo'!$AJ$5:$AJ$1000,$N67),""),IF(INDEX('Cronograma R. Normativo'!$K$5:$K$1000,$N67)="","",INDEX('Cronograma R. Normativo'!$K$5:$K$1000,$N67))))</f>
        <v/>
      </c>
      <c r="I67" s="61">
        <f>IF($N67="","",IF($P67&gt;0,IF(4&lt;=SemanaActual,INDEX('Cronograma R. Normativo'!$AK$5:$AK$1000,$N67),""),IF(INDEX('Cronograma R. Normativo'!$L$5:$L$1000,$N67)="","",INDEX('Cronograma R. Normativo'!$L$5:$L$1000,$N67))))</f>
        <v/>
      </c>
      <c r="J67" s="61">
        <f>IF($N67="","",INDEX('Cronograma R. Normativo'!$M$5:$M$1000,$N67))</f>
        <v/>
      </c>
      <c r="K67" s="56">
        <f>IF($N67="","",IF(N($J67)&gt;=1,"Completado",IF(AND(ISNUMBER($D67),$D67&lt;FechaRef),"Vencida",IF(N($J67)&gt;0,"En curso","Pendiente"))))</f>
        <v/>
      </c>
      <c r="L67" s="56">
        <f>IF($N67="","",INDEX('Cronograma R. Normativo'!$O$5:$O$1000,$N67)&amp;"")</f>
        <v/>
      </c>
      <c r="M67" s="62">
        <f>IF($N67="","",INDEX('Cronograma R. Normativo'!$Q$5:$Q$1000,$N67)&amp;"")</f>
        <v/>
      </c>
      <c r="N67">
        <f>IFERROR(MATCH(ROW()-4,rOrden_RN,0),"")</f>
        <v/>
      </c>
      <c r="O67">
        <f>IF($N67="","",INDEX('Cronograma R. Normativo'!$V$5:$V$1000,$N67))</f>
        <v/>
      </c>
      <c r="P67">
        <f>IF($N67="","",N(INDEX('Cronograma R. Normativo'!$W$5:$W$1000,$N67)))</f>
        <v/>
      </c>
      <c r="Q67">
        <f>IF(OR(LEFT($L67,7)="Vencida",LEFT($L67,5)="Vence"),SUMPRODUCT(--(LEFT($L$5:$L67,7)="Vencida"))+SUMPRODUCT(--(LEFT($L$5:$L67,5)="Vence")),"")</f>
        <v/>
      </c>
    </row>
    <row r="68">
      <c r="A68" s="56">
        <f>IF($N68="","",INDEX('Cronograma R. Normativo'!$A$5:$A$1000,$N68))</f>
        <v/>
      </c>
      <c r="B68" s="62">
        <f>IF($N68="","",IF($O68="Sub","      ↳  "&amp;INDEX('Cronograma R. Normativo'!$C$5:$C$1000,$N68),INDEX('Cronograma R. Normativo'!$C$5:$C$1000,$N68)&amp;""))</f>
        <v/>
      </c>
      <c r="C68" s="79">
        <f>IF($N68="","",IF(INDEX('Cronograma R. Normativo'!$AR$5:$AR$1000,$N68)="","",INDEX('Cronograma R. Normativo'!$AR$5:$AR$1000,$N68)))</f>
        <v/>
      </c>
      <c r="D68" s="79">
        <f>IF($N68="","",IF(INDEX('Cronograma R. Normativo'!$AS$5:$AS$1000,$N68)="","",INDEX('Cronograma R. Normativo'!$AS$5:$AS$1000,$N68)))</f>
        <v/>
      </c>
      <c r="E68" s="56">
        <f>IF($N68="","",IF(NOT(ISNUMBER($D68)),"",IF($D68&lt;InicioCiclo,"Antes del ciclo",IF($D68&gt;=InicioCiclo+28,"Después del ciclo","Semana "&amp;(INT(($D68-InicioCiclo)/7)+1)))))</f>
        <v/>
      </c>
      <c r="F68" s="61">
        <f>IF($N68="","",IF($P68&gt;0,IF(1&lt;=SemanaActual,INDEX('Cronograma R. Normativo'!$AH$5:$AH$1000,$N68),""),IF(INDEX('Cronograma R. Normativo'!$I$5:$I$1000,$N68)="","",INDEX('Cronograma R. Normativo'!$I$5:$I$1000,$N68))))</f>
        <v/>
      </c>
      <c r="G68" s="61">
        <f>IF($N68="","",IF($P68&gt;0,IF(2&lt;=SemanaActual,INDEX('Cronograma R. Normativo'!$AI$5:$AI$1000,$N68),""),IF(INDEX('Cronograma R. Normativo'!$J$5:$J$1000,$N68)="","",INDEX('Cronograma R. Normativo'!$J$5:$J$1000,$N68))))</f>
        <v/>
      </c>
      <c r="H68" s="61">
        <f>IF($N68="","",IF($P68&gt;0,IF(3&lt;=SemanaActual,INDEX('Cronograma R. Normativo'!$AJ$5:$AJ$1000,$N68),""),IF(INDEX('Cronograma R. Normativo'!$K$5:$K$1000,$N68)="","",INDEX('Cronograma R. Normativo'!$K$5:$K$1000,$N68))))</f>
        <v/>
      </c>
      <c r="I68" s="61">
        <f>IF($N68="","",IF($P68&gt;0,IF(4&lt;=SemanaActual,INDEX('Cronograma R. Normativo'!$AK$5:$AK$1000,$N68),""),IF(INDEX('Cronograma R. Normativo'!$L$5:$L$1000,$N68)="","",INDEX('Cronograma R. Normativo'!$L$5:$L$1000,$N68))))</f>
        <v/>
      </c>
      <c r="J68" s="61">
        <f>IF($N68="","",INDEX('Cronograma R. Normativo'!$M$5:$M$1000,$N68))</f>
        <v/>
      </c>
      <c r="K68" s="56">
        <f>IF($N68="","",IF(N($J68)&gt;=1,"Completado",IF(AND(ISNUMBER($D68),$D68&lt;FechaRef),"Vencida",IF(N($J68)&gt;0,"En curso","Pendiente"))))</f>
        <v/>
      </c>
      <c r="L68" s="56">
        <f>IF($N68="","",INDEX('Cronograma R. Normativo'!$O$5:$O$1000,$N68)&amp;"")</f>
        <v/>
      </c>
      <c r="M68" s="62">
        <f>IF($N68="","",INDEX('Cronograma R. Normativo'!$Q$5:$Q$1000,$N68)&amp;"")</f>
        <v/>
      </c>
      <c r="N68">
        <f>IFERROR(MATCH(ROW()-4,rOrden_RN,0),"")</f>
        <v/>
      </c>
      <c r="O68">
        <f>IF($N68="","",INDEX('Cronograma R. Normativo'!$V$5:$V$1000,$N68))</f>
        <v/>
      </c>
      <c r="P68">
        <f>IF($N68="","",N(INDEX('Cronograma R. Normativo'!$W$5:$W$1000,$N68)))</f>
        <v/>
      </c>
      <c r="Q68">
        <f>IF(OR(LEFT($L68,7)="Vencida",LEFT($L68,5)="Vence"),SUMPRODUCT(--(LEFT($L$5:$L68,7)="Vencida"))+SUMPRODUCT(--(LEFT($L$5:$L68,5)="Vence")),"")</f>
        <v/>
      </c>
    </row>
    <row r="69">
      <c r="A69" s="56">
        <f>IF($N69="","",INDEX('Cronograma R. Normativo'!$A$5:$A$1000,$N69))</f>
        <v/>
      </c>
      <c r="B69" s="62">
        <f>IF($N69="","",IF($O69="Sub","      ↳  "&amp;INDEX('Cronograma R. Normativo'!$C$5:$C$1000,$N69),INDEX('Cronograma R. Normativo'!$C$5:$C$1000,$N69)&amp;""))</f>
        <v/>
      </c>
      <c r="C69" s="79">
        <f>IF($N69="","",IF(INDEX('Cronograma R. Normativo'!$AR$5:$AR$1000,$N69)="","",INDEX('Cronograma R. Normativo'!$AR$5:$AR$1000,$N69)))</f>
        <v/>
      </c>
      <c r="D69" s="79">
        <f>IF($N69="","",IF(INDEX('Cronograma R. Normativo'!$AS$5:$AS$1000,$N69)="","",INDEX('Cronograma R. Normativo'!$AS$5:$AS$1000,$N69)))</f>
        <v/>
      </c>
      <c r="E69" s="56">
        <f>IF($N69="","",IF(NOT(ISNUMBER($D69)),"",IF($D69&lt;InicioCiclo,"Antes del ciclo",IF($D69&gt;=InicioCiclo+28,"Después del ciclo","Semana "&amp;(INT(($D69-InicioCiclo)/7)+1)))))</f>
        <v/>
      </c>
      <c r="F69" s="61">
        <f>IF($N69="","",IF($P69&gt;0,IF(1&lt;=SemanaActual,INDEX('Cronograma R. Normativo'!$AH$5:$AH$1000,$N69),""),IF(INDEX('Cronograma R. Normativo'!$I$5:$I$1000,$N69)="","",INDEX('Cronograma R. Normativo'!$I$5:$I$1000,$N69))))</f>
        <v/>
      </c>
      <c r="G69" s="61">
        <f>IF($N69="","",IF($P69&gt;0,IF(2&lt;=SemanaActual,INDEX('Cronograma R. Normativo'!$AI$5:$AI$1000,$N69),""),IF(INDEX('Cronograma R. Normativo'!$J$5:$J$1000,$N69)="","",INDEX('Cronograma R. Normativo'!$J$5:$J$1000,$N69))))</f>
        <v/>
      </c>
      <c r="H69" s="61">
        <f>IF($N69="","",IF($P69&gt;0,IF(3&lt;=SemanaActual,INDEX('Cronograma R. Normativo'!$AJ$5:$AJ$1000,$N69),""),IF(INDEX('Cronograma R. Normativo'!$K$5:$K$1000,$N69)="","",INDEX('Cronograma R. Normativo'!$K$5:$K$1000,$N69))))</f>
        <v/>
      </c>
      <c r="I69" s="61">
        <f>IF($N69="","",IF($P69&gt;0,IF(4&lt;=SemanaActual,INDEX('Cronograma R. Normativo'!$AK$5:$AK$1000,$N69),""),IF(INDEX('Cronograma R. Normativo'!$L$5:$L$1000,$N69)="","",INDEX('Cronograma R. Normativo'!$L$5:$L$1000,$N69))))</f>
        <v/>
      </c>
      <c r="J69" s="61">
        <f>IF($N69="","",INDEX('Cronograma R. Normativo'!$M$5:$M$1000,$N69))</f>
        <v/>
      </c>
      <c r="K69" s="56">
        <f>IF($N69="","",IF(N($J69)&gt;=1,"Completado",IF(AND(ISNUMBER($D69),$D69&lt;FechaRef),"Vencida",IF(N($J69)&gt;0,"En curso","Pendiente"))))</f>
        <v/>
      </c>
      <c r="L69" s="56">
        <f>IF($N69="","",INDEX('Cronograma R. Normativo'!$O$5:$O$1000,$N69)&amp;"")</f>
        <v/>
      </c>
      <c r="M69" s="62">
        <f>IF($N69="","",INDEX('Cronograma R. Normativo'!$Q$5:$Q$1000,$N69)&amp;"")</f>
        <v/>
      </c>
      <c r="N69">
        <f>IFERROR(MATCH(ROW()-4,rOrden_RN,0),"")</f>
        <v/>
      </c>
      <c r="O69">
        <f>IF($N69="","",INDEX('Cronograma R. Normativo'!$V$5:$V$1000,$N69))</f>
        <v/>
      </c>
      <c r="P69">
        <f>IF($N69="","",N(INDEX('Cronograma R. Normativo'!$W$5:$W$1000,$N69)))</f>
        <v/>
      </c>
      <c r="Q69">
        <f>IF(OR(LEFT($L69,7)="Vencida",LEFT($L69,5)="Vence"),SUMPRODUCT(--(LEFT($L$5:$L69,7)="Vencida"))+SUMPRODUCT(--(LEFT($L$5:$L69,5)="Vence")),"")</f>
        <v/>
      </c>
    </row>
    <row r="70">
      <c r="A70" s="56">
        <f>IF($N70="","",INDEX('Cronograma R. Normativo'!$A$5:$A$1000,$N70))</f>
        <v/>
      </c>
      <c r="B70" s="62">
        <f>IF($N70="","",IF($O70="Sub","      ↳  "&amp;INDEX('Cronograma R. Normativo'!$C$5:$C$1000,$N70),INDEX('Cronograma R. Normativo'!$C$5:$C$1000,$N70)&amp;""))</f>
        <v/>
      </c>
      <c r="C70" s="79">
        <f>IF($N70="","",IF(INDEX('Cronograma R. Normativo'!$AR$5:$AR$1000,$N70)="","",INDEX('Cronograma R. Normativo'!$AR$5:$AR$1000,$N70)))</f>
        <v/>
      </c>
      <c r="D70" s="79">
        <f>IF($N70="","",IF(INDEX('Cronograma R. Normativo'!$AS$5:$AS$1000,$N70)="","",INDEX('Cronograma R. Normativo'!$AS$5:$AS$1000,$N70)))</f>
        <v/>
      </c>
      <c r="E70" s="56">
        <f>IF($N70="","",IF(NOT(ISNUMBER($D70)),"",IF($D70&lt;InicioCiclo,"Antes del ciclo",IF($D70&gt;=InicioCiclo+28,"Después del ciclo","Semana "&amp;(INT(($D70-InicioCiclo)/7)+1)))))</f>
        <v/>
      </c>
      <c r="F70" s="61">
        <f>IF($N70="","",IF($P70&gt;0,IF(1&lt;=SemanaActual,INDEX('Cronograma R. Normativo'!$AH$5:$AH$1000,$N70),""),IF(INDEX('Cronograma R. Normativo'!$I$5:$I$1000,$N70)="","",INDEX('Cronograma R. Normativo'!$I$5:$I$1000,$N70))))</f>
        <v/>
      </c>
      <c r="G70" s="61">
        <f>IF($N70="","",IF($P70&gt;0,IF(2&lt;=SemanaActual,INDEX('Cronograma R. Normativo'!$AI$5:$AI$1000,$N70),""),IF(INDEX('Cronograma R. Normativo'!$J$5:$J$1000,$N70)="","",INDEX('Cronograma R. Normativo'!$J$5:$J$1000,$N70))))</f>
        <v/>
      </c>
      <c r="H70" s="61">
        <f>IF($N70="","",IF($P70&gt;0,IF(3&lt;=SemanaActual,INDEX('Cronograma R. Normativo'!$AJ$5:$AJ$1000,$N70),""),IF(INDEX('Cronograma R. Normativo'!$K$5:$K$1000,$N70)="","",INDEX('Cronograma R. Normativo'!$K$5:$K$1000,$N70))))</f>
        <v/>
      </c>
      <c r="I70" s="61">
        <f>IF($N70="","",IF($P70&gt;0,IF(4&lt;=SemanaActual,INDEX('Cronograma R. Normativo'!$AK$5:$AK$1000,$N70),""),IF(INDEX('Cronograma R. Normativo'!$L$5:$L$1000,$N70)="","",INDEX('Cronograma R. Normativo'!$L$5:$L$1000,$N70))))</f>
        <v/>
      </c>
      <c r="J70" s="61">
        <f>IF($N70="","",INDEX('Cronograma R. Normativo'!$M$5:$M$1000,$N70))</f>
        <v/>
      </c>
      <c r="K70" s="56">
        <f>IF($N70="","",IF(N($J70)&gt;=1,"Completado",IF(AND(ISNUMBER($D70),$D70&lt;FechaRef),"Vencida",IF(N($J70)&gt;0,"En curso","Pendiente"))))</f>
        <v/>
      </c>
      <c r="L70" s="56">
        <f>IF($N70="","",INDEX('Cronograma R. Normativo'!$O$5:$O$1000,$N70)&amp;"")</f>
        <v/>
      </c>
      <c r="M70" s="62">
        <f>IF($N70="","",INDEX('Cronograma R. Normativo'!$Q$5:$Q$1000,$N70)&amp;"")</f>
        <v/>
      </c>
      <c r="N70">
        <f>IFERROR(MATCH(ROW()-4,rOrden_RN,0),"")</f>
        <v/>
      </c>
      <c r="O70">
        <f>IF($N70="","",INDEX('Cronograma R. Normativo'!$V$5:$V$1000,$N70))</f>
        <v/>
      </c>
      <c r="P70">
        <f>IF($N70="","",N(INDEX('Cronograma R. Normativo'!$W$5:$W$1000,$N70)))</f>
        <v/>
      </c>
      <c r="Q70">
        <f>IF(OR(LEFT($L70,7)="Vencida",LEFT($L70,5)="Vence"),SUMPRODUCT(--(LEFT($L$5:$L70,7)="Vencida"))+SUMPRODUCT(--(LEFT($L$5:$L70,5)="Vence")),"")</f>
        <v/>
      </c>
    </row>
    <row r="71">
      <c r="A71" s="56">
        <f>IF($N71="","",INDEX('Cronograma R. Normativo'!$A$5:$A$1000,$N71))</f>
        <v/>
      </c>
      <c r="B71" s="62">
        <f>IF($N71="","",IF($O71="Sub","      ↳  "&amp;INDEX('Cronograma R. Normativo'!$C$5:$C$1000,$N71),INDEX('Cronograma R. Normativo'!$C$5:$C$1000,$N71)&amp;""))</f>
        <v/>
      </c>
      <c r="C71" s="79">
        <f>IF($N71="","",IF(INDEX('Cronograma R. Normativo'!$AR$5:$AR$1000,$N71)="","",INDEX('Cronograma R. Normativo'!$AR$5:$AR$1000,$N71)))</f>
        <v/>
      </c>
      <c r="D71" s="79">
        <f>IF($N71="","",IF(INDEX('Cronograma R. Normativo'!$AS$5:$AS$1000,$N71)="","",INDEX('Cronograma R. Normativo'!$AS$5:$AS$1000,$N71)))</f>
        <v/>
      </c>
      <c r="E71" s="56">
        <f>IF($N71="","",IF(NOT(ISNUMBER($D71)),"",IF($D71&lt;InicioCiclo,"Antes del ciclo",IF($D71&gt;=InicioCiclo+28,"Después del ciclo","Semana "&amp;(INT(($D71-InicioCiclo)/7)+1)))))</f>
        <v/>
      </c>
      <c r="F71" s="61">
        <f>IF($N71="","",IF($P71&gt;0,IF(1&lt;=SemanaActual,INDEX('Cronograma R. Normativo'!$AH$5:$AH$1000,$N71),""),IF(INDEX('Cronograma R. Normativo'!$I$5:$I$1000,$N71)="","",INDEX('Cronograma R. Normativo'!$I$5:$I$1000,$N71))))</f>
        <v/>
      </c>
      <c r="G71" s="61">
        <f>IF($N71="","",IF($P71&gt;0,IF(2&lt;=SemanaActual,INDEX('Cronograma R. Normativo'!$AI$5:$AI$1000,$N71),""),IF(INDEX('Cronograma R. Normativo'!$J$5:$J$1000,$N71)="","",INDEX('Cronograma R. Normativo'!$J$5:$J$1000,$N71))))</f>
        <v/>
      </c>
      <c r="H71" s="61">
        <f>IF($N71="","",IF($P71&gt;0,IF(3&lt;=SemanaActual,INDEX('Cronograma R. Normativo'!$AJ$5:$AJ$1000,$N71),""),IF(INDEX('Cronograma R. Normativo'!$K$5:$K$1000,$N71)="","",INDEX('Cronograma R. Normativo'!$K$5:$K$1000,$N71))))</f>
        <v/>
      </c>
      <c r="I71" s="61">
        <f>IF($N71="","",IF($P71&gt;0,IF(4&lt;=SemanaActual,INDEX('Cronograma R. Normativo'!$AK$5:$AK$1000,$N71),""),IF(INDEX('Cronograma R. Normativo'!$L$5:$L$1000,$N71)="","",INDEX('Cronograma R. Normativo'!$L$5:$L$1000,$N71))))</f>
        <v/>
      </c>
      <c r="J71" s="61">
        <f>IF($N71="","",INDEX('Cronograma R. Normativo'!$M$5:$M$1000,$N71))</f>
        <v/>
      </c>
      <c r="K71" s="56">
        <f>IF($N71="","",IF(N($J71)&gt;=1,"Completado",IF(AND(ISNUMBER($D71),$D71&lt;FechaRef),"Vencida",IF(N($J71)&gt;0,"En curso","Pendiente"))))</f>
        <v/>
      </c>
      <c r="L71" s="56">
        <f>IF($N71="","",INDEX('Cronograma R. Normativo'!$O$5:$O$1000,$N71)&amp;"")</f>
        <v/>
      </c>
      <c r="M71" s="62">
        <f>IF($N71="","",INDEX('Cronograma R. Normativo'!$Q$5:$Q$1000,$N71)&amp;"")</f>
        <v/>
      </c>
      <c r="N71">
        <f>IFERROR(MATCH(ROW()-4,rOrden_RN,0),"")</f>
        <v/>
      </c>
      <c r="O71">
        <f>IF($N71="","",INDEX('Cronograma R. Normativo'!$V$5:$V$1000,$N71))</f>
        <v/>
      </c>
      <c r="P71">
        <f>IF($N71="","",N(INDEX('Cronograma R. Normativo'!$W$5:$W$1000,$N71)))</f>
        <v/>
      </c>
      <c r="Q71">
        <f>IF(OR(LEFT($L71,7)="Vencida",LEFT($L71,5)="Vence"),SUMPRODUCT(--(LEFT($L$5:$L71,7)="Vencida"))+SUMPRODUCT(--(LEFT($L$5:$L71,5)="Vence")),"")</f>
        <v/>
      </c>
    </row>
    <row r="72">
      <c r="A72" s="56">
        <f>IF($N72="","",INDEX('Cronograma R. Normativo'!$A$5:$A$1000,$N72))</f>
        <v/>
      </c>
      <c r="B72" s="62">
        <f>IF($N72="","",IF($O72="Sub","      ↳  "&amp;INDEX('Cronograma R. Normativo'!$C$5:$C$1000,$N72),INDEX('Cronograma R. Normativo'!$C$5:$C$1000,$N72)&amp;""))</f>
        <v/>
      </c>
      <c r="C72" s="79">
        <f>IF($N72="","",IF(INDEX('Cronograma R. Normativo'!$AR$5:$AR$1000,$N72)="","",INDEX('Cronograma R. Normativo'!$AR$5:$AR$1000,$N72)))</f>
        <v/>
      </c>
      <c r="D72" s="79">
        <f>IF($N72="","",IF(INDEX('Cronograma R. Normativo'!$AS$5:$AS$1000,$N72)="","",INDEX('Cronograma R. Normativo'!$AS$5:$AS$1000,$N72)))</f>
        <v/>
      </c>
      <c r="E72" s="56">
        <f>IF($N72="","",IF(NOT(ISNUMBER($D72)),"",IF($D72&lt;InicioCiclo,"Antes del ciclo",IF($D72&gt;=InicioCiclo+28,"Después del ciclo","Semana "&amp;(INT(($D72-InicioCiclo)/7)+1)))))</f>
        <v/>
      </c>
      <c r="F72" s="61">
        <f>IF($N72="","",IF($P72&gt;0,IF(1&lt;=SemanaActual,INDEX('Cronograma R. Normativo'!$AH$5:$AH$1000,$N72),""),IF(INDEX('Cronograma R. Normativo'!$I$5:$I$1000,$N72)="","",INDEX('Cronograma R. Normativo'!$I$5:$I$1000,$N72))))</f>
        <v/>
      </c>
      <c r="G72" s="61">
        <f>IF($N72="","",IF($P72&gt;0,IF(2&lt;=SemanaActual,INDEX('Cronograma R. Normativo'!$AI$5:$AI$1000,$N72),""),IF(INDEX('Cronograma R. Normativo'!$J$5:$J$1000,$N72)="","",INDEX('Cronograma R. Normativo'!$J$5:$J$1000,$N72))))</f>
        <v/>
      </c>
      <c r="H72" s="61">
        <f>IF($N72="","",IF($P72&gt;0,IF(3&lt;=SemanaActual,INDEX('Cronograma R. Normativo'!$AJ$5:$AJ$1000,$N72),""),IF(INDEX('Cronograma R. Normativo'!$K$5:$K$1000,$N72)="","",INDEX('Cronograma R. Normativo'!$K$5:$K$1000,$N72))))</f>
        <v/>
      </c>
      <c r="I72" s="61">
        <f>IF($N72="","",IF($P72&gt;0,IF(4&lt;=SemanaActual,INDEX('Cronograma R. Normativo'!$AK$5:$AK$1000,$N72),""),IF(INDEX('Cronograma R. Normativo'!$L$5:$L$1000,$N72)="","",INDEX('Cronograma R. Normativo'!$L$5:$L$1000,$N72))))</f>
        <v/>
      </c>
      <c r="J72" s="61">
        <f>IF($N72="","",INDEX('Cronograma R. Normativo'!$M$5:$M$1000,$N72))</f>
        <v/>
      </c>
      <c r="K72" s="56">
        <f>IF($N72="","",IF(N($J72)&gt;=1,"Completado",IF(AND(ISNUMBER($D72),$D72&lt;FechaRef),"Vencida",IF(N($J72)&gt;0,"En curso","Pendiente"))))</f>
        <v/>
      </c>
      <c r="L72" s="56">
        <f>IF($N72="","",INDEX('Cronograma R. Normativo'!$O$5:$O$1000,$N72)&amp;"")</f>
        <v/>
      </c>
      <c r="M72" s="62">
        <f>IF($N72="","",INDEX('Cronograma R. Normativo'!$Q$5:$Q$1000,$N72)&amp;"")</f>
        <v/>
      </c>
      <c r="N72">
        <f>IFERROR(MATCH(ROW()-4,rOrden_RN,0),"")</f>
        <v/>
      </c>
      <c r="O72">
        <f>IF($N72="","",INDEX('Cronograma R. Normativo'!$V$5:$V$1000,$N72))</f>
        <v/>
      </c>
      <c r="P72">
        <f>IF($N72="","",N(INDEX('Cronograma R. Normativo'!$W$5:$W$1000,$N72)))</f>
        <v/>
      </c>
      <c r="Q72">
        <f>IF(OR(LEFT($L72,7)="Vencida",LEFT($L72,5)="Vence"),SUMPRODUCT(--(LEFT($L$5:$L72,7)="Vencida"))+SUMPRODUCT(--(LEFT($L$5:$L72,5)="Vence")),"")</f>
        <v/>
      </c>
    </row>
    <row r="73">
      <c r="A73" s="56">
        <f>IF($N73="","",INDEX('Cronograma R. Normativo'!$A$5:$A$1000,$N73))</f>
        <v/>
      </c>
      <c r="B73" s="62">
        <f>IF($N73="","",IF($O73="Sub","      ↳  "&amp;INDEX('Cronograma R. Normativo'!$C$5:$C$1000,$N73),INDEX('Cronograma R. Normativo'!$C$5:$C$1000,$N73)&amp;""))</f>
        <v/>
      </c>
      <c r="C73" s="79">
        <f>IF($N73="","",IF(INDEX('Cronograma R. Normativo'!$AR$5:$AR$1000,$N73)="","",INDEX('Cronograma R. Normativo'!$AR$5:$AR$1000,$N73)))</f>
        <v/>
      </c>
      <c r="D73" s="79">
        <f>IF($N73="","",IF(INDEX('Cronograma R. Normativo'!$AS$5:$AS$1000,$N73)="","",INDEX('Cronograma R. Normativo'!$AS$5:$AS$1000,$N73)))</f>
        <v/>
      </c>
      <c r="E73" s="56">
        <f>IF($N73="","",IF(NOT(ISNUMBER($D73)),"",IF($D73&lt;InicioCiclo,"Antes del ciclo",IF($D73&gt;=InicioCiclo+28,"Después del ciclo","Semana "&amp;(INT(($D73-InicioCiclo)/7)+1)))))</f>
        <v/>
      </c>
      <c r="F73" s="61">
        <f>IF($N73="","",IF($P73&gt;0,IF(1&lt;=SemanaActual,INDEX('Cronograma R. Normativo'!$AH$5:$AH$1000,$N73),""),IF(INDEX('Cronograma R. Normativo'!$I$5:$I$1000,$N73)="","",INDEX('Cronograma R. Normativo'!$I$5:$I$1000,$N73))))</f>
        <v/>
      </c>
      <c r="G73" s="61">
        <f>IF($N73="","",IF($P73&gt;0,IF(2&lt;=SemanaActual,INDEX('Cronograma R. Normativo'!$AI$5:$AI$1000,$N73),""),IF(INDEX('Cronograma R. Normativo'!$J$5:$J$1000,$N73)="","",INDEX('Cronograma R. Normativo'!$J$5:$J$1000,$N73))))</f>
        <v/>
      </c>
      <c r="H73" s="61">
        <f>IF($N73="","",IF($P73&gt;0,IF(3&lt;=SemanaActual,INDEX('Cronograma R. Normativo'!$AJ$5:$AJ$1000,$N73),""),IF(INDEX('Cronograma R. Normativo'!$K$5:$K$1000,$N73)="","",INDEX('Cronograma R. Normativo'!$K$5:$K$1000,$N73))))</f>
        <v/>
      </c>
      <c r="I73" s="61">
        <f>IF($N73="","",IF($P73&gt;0,IF(4&lt;=SemanaActual,INDEX('Cronograma R. Normativo'!$AK$5:$AK$1000,$N73),""),IF(INDEX('Cronograma R. Normativo'!$L$5:$L$1000,$N73)="","",INDEX('Cronograma R. Normativo'!$L$5:$L$1000,$N73))))</f>
        <v/>
      </c>
      <c r="J73" s="61">
        <f>IF($N73="","",INDEX('Cronograma R. Normativo'!$M$5:$M$1000,$N73))</f>
        <v/>
      </c>
      <c r="K73" s="56">
        <f>IF($N73="","",IF(N($J73)&gt;=1,"Completado",IF(AND(ISNUMBER($D73),$D73&lt;FechaRef),"Vencida",IF(N($J73)&gt;0,"En curso","Pendiente"))))</f>
        <v/>
      </c>
      <c r="L73" s="56">
        <f>IF($N73="","",INDEX('Cronograma R. Normativo'!$O$5:$O$1000,$N73)&amp;"")</f>
        <v/>
      </c>
      <c r="M73" s="62">
        <f>IF($N73="","",INDEX('Cronograma R. Normativo'!$Q$5:$Q$1000,$N73)&amp;"")</f>
        <v/>
      </c>
      <c r="N73">
        <f>IFERROR(MATCH(ROW()-4,rOrden_RN,0),"")</f>
        <v/>
      </c>
      <c r="O73">
        <f>IF($N73="","",INDEX('Cronograma R. Normativo'!$V$5:$V$1000,$N73))</f>
        <v/>
      </c>
      <c r="P73">
        <f>IF($N73="","",N(INDEX('Cronograma R. Normativo'!$W$5:$W$1000,$N73)))</f>
        <v/>
      </c>
      <c r="Q73">
        <f>IF(OR(LEFT($L73,7)="Vencida",LEFT($L73,5)="Vence"),SUMPRODUCT(--(LEFT($L$5:$L73,7)="Vencida"))+SUMPRODUCT(--(LEFT($L$5:$L73,5)="Vence")),"")</f>
        <v/>
      </c>
    </row>
    <row r="74">
      <c r="A74" s="56">
        <f>IF($N74="","",INDEX('Cronograma R. Normativo'!$A$5:$A$1000,$N74))</f>
        <v/>
      </c>
      <c r="B74" s="62">
        <f>IF($N74="","",IF($O74="Sub","      ↳  "&amp;INDEX('Cronograma R. Normativo'!$C$5:$C$1000,$N74),INDEX('Cronograma R. Normativo'!$C$5:$C$1000,$N74)&amp;""))</f>
        <v/>
      </c>
      <c r="C74" s="79">
        <f>IF($N74="","",IF(INDEX('Cronograma R. Normativo'!$AR$5:$AR$1000,$N74)="","",INDEX('Cronograma R. Normativo'!$AR$5:$AR$1000,$N74)))</f>
        <v/>
      </c>
      <c r="D74" s="79">
        <f>IF($N74="","",IF(INDEX('Cronograma R. Normativo'!$AS$5:$AS$1000,$N74)="","",INDEX('Cronograma R. Normativo'!$AS$5:$AS$1000,$N74)))</f>
        <v/>
      </c>
      <c r="E74" s="56">
        <f>IF($N74="","",IF(NOT(ISNUMBER($D74)),"",IF($D74&lt;InicioCiclo,"Antes del ciclo",IF($D74&gt;=InicioCiclo+28,"Después del ciclo","Semana "&amp;(INT(($D74-InicioCiclo)/7)+1)))))</f>
        <v/>
      </c>
      <c r="F74" s="61">
        <f>IF($N74="","",IF($P74&gt;0,IF(1&lt;=SemanaActual,INDEX('Cronograma R. Normativo'!$AH$5:$AH$1000,$N74),""),IF(INDEX('Cronograma R. Normativo'!$I$5:$I$1000,$N74)="","",INDEX('Cronograma R. Normativo'!$I$5:$I$1000,$N74))))</f>
        <v/>
      </c>
      <c r="G74" s="61">
        <f>IF($N74="","",IF($P74&gt;0,IF(2&lt;=SemanaActual,INDEX('Cronograma R. Normativo'!$AI$5:$AI$1000,$N74),""),IF(INDEX('Cronograma R. Normativo'!$J$5:$J$1000,$N74)="","",INDEX('Cronograma R. Normativo'!$J$5:$J$1000,$N74))))</f>
        <v/>
      </c>
      <c r="H74" s="61">
        <f>IF($N74="","",IF($P74&gt;0,IF(3&lt;=SemanaActual,INDEX('Cronograma R. Normativo'!$AJ$5:$AJ$1000,$N74),""),IF(INDEX('Cronograma R. Normativo'!$K$5:$K$1000,$N74)="","",INDEX('Cronograma R. Normativo'!$K$5:$K$1000,$N74))))</f>
        <v/>
      </c>
      <c r="I74" s="61">
        <f>IF($N74="","",IF($P74&gt;0,IF(4&lt;=SemanaActual,INDEX('Cronograma R. Normativo'!$AK$5:$AK$1000,$N74),""),IF(INDEX('Cronograma R. Normativo'!$L$5:$L$1000,$N74)="","",INDEX('Cronograma R. Normativo'!$L$5:$L$1000,$N74))))</f>
        <v/>
      </c>
      <c r="J74" s="61">
        <f>IF($N74="","",INDEX('Cronograma R. Normativo'!$M$5:$M$1000,$N74))</f>
        <v/>
      </c>
      <c r="K74" s="56">
        <f>IF($N74="","",IF(N($J74)&gt;=1,"Completado",IF(AND(ISNUMBER($D74),$D74&lt;FechaRef),"Vencida",IF(N($J74)&gt;0,"En curso","Pendiente"))))</f>
        <v/>
      </c>
      <c r="L74" s="56">
        <f>IF($N74="","",INDEX('Cronograma R. Normativo'!$O$5:$O$1000,$N74)&amp;"")</f>
        <v/>
      </c>
      <c r="M74" s="62">
        <f>IF($N74="","",INDEX('Cronograma R. Normativo'!$Q$5:$Q$1000,$N74)&amp;"")</f>
        <v/>
      </c>
      <c r="N74">
        <f>IFERROR(MATCH(ROW()-4,rOrden_RN,0),"")</f>
        <v/>
      </c>
      <c r="O74">
        <f>IF($N74="","",INDEX('Cronograma R. Normativo'!$V$5:$V$1000,$N74))</f>
        <v/>
      </c>
      <c r="P74">
        <f>IF($N74="","",N(INDEX('Cronograma R. Normativo'!$W$5:$W$1000,$N74)))</f>
        <v/>
      </c>
      <c r="Q74">
        <f>IF(OR(LEFT($L74,7)="Vencida",LEFT($L74,5)="Vence"),SUMPRODUCT(--(LEFT($L$5:$L74,7)="Vencida"))+SUMPRODUCT(--(LEFT($L$5:$L74,5)="Vence")),"")</f>
        <v/>
      </c>
    </row>
    <row r="75">
      <c r="A75" s="56">
        <f>IF($N75="","",INDEX('Cronograma R. Normativo'!$A$5:$A$1000,$N75))</f>
        <v/>
      </c>
      <c r="B75" s="62">
        <f>IF($N75="","",IF($O75="Sub","      ↳  "&amp;INDEX('Cronograma R. Normativo'!$C$5:$C$1000,$N75),INDEX('Cronograma R. Normativo'!$C$5:$C$1000,$N75)&amp;""))</f>
        <v/>
      </c>
      <c r="C75" s="79">
        <f>IF($N75="","",IF(INDEX('Cronograma R. Normativo'!$AR$5:$AR$1000,$N75)="","",INDEX('Cronograma R. Normativo'!$AR$5:$AR$1000,$N75)))</f>
        <v/>
      </c>
      <c r="D75" s="79">
        <f>IF($N75="","",IF(INDEX('Cronograma R. Normativo'!$AS$5:$AS$1000,$N75)="","",INDEX('Cronograma R. Normativo'!$AS$5:$AS$1000,$N75)))</f>
        <v/>
      </c>
      <c r="E75" s="56">
        <f>IF($N75="","",IF(NOT(ISNUMBER($D75)),"",IF($D75&lt;InicioCiclo,"Antes del ciclo",IF($D75&gt;=InicioCiclo+28,"Después del ciclo","Semana "&amp;(INT(($D75-InicioCiclo)/7)+1)))))</f>
        <v/>
      </c>
      <c r="F75" s="61">
        <f>IF($N75="","",IF($P75&gt;0,IF(1&lt;=SemanaActual,INDEX('Cronograma R. Normativo'!$AH$5:$AH$1000,$N75),""),IF(INDEX('Cronograma R. Normativo'!$I$5:$I$1000,$N75)="","",INDEX('Cronograma R. Normativo'!$I$5:$I$1000,$N75))))</f>
        <v/>
      </c>
      <c r="G75" s="61">
        <f>IF($N75="","",IF($P75&gt;0,IF(2&lt;=SemanaActual,INDEX('Cronograma R. Normativo'!$AI$5:$AI$1000,$N75),""),IF(INDEX('Cronograma R. Normativo'!$J$5:$J$1000,$N75)="","",INDEX('Cronograma R. Normativo'!$J$5:$J$1000,$N75))))</f>
        <v/>
      </c>
      <c r="H75" s="61">
        <f>IF($N75="","",IF($P75&gt;0,IF(3&lt;=SemanaActual,INDEX('Cronograma R. Normativo'!$AJ$5:$AJ$1000,$N75),""),IF(INDEX('Cronograma R. Normativo'!$K$5:$K$1000,$N75)="","",INDEX('Cronograma R. Normativo'!$K$5:$K$1000,$N75))))</f>
        <v/>
      </c>
      <c r="I75" s="61">
        <f>IF($N75="","",IF($P75&gt;0,IF(4&lt;=SemanaActual,INDEX('Cronograma R. Normativo'!$AK$5:$AK$1000,$N75),""),IF(INDEX('Cronograma R. Normativo'!$L$5:$L$1000,$N75)="","",INDEX('Cronograma R. Normativo'!$L$5:$L$1000,$N75))))</f>
        <v/>
      </c>
      <c r="J75" s="61">
        <f>IF($N75="","",INDEX('Cronograma R. Normativo'!$M$5:$M$1000,$N75))</f>
        <v/>
      </c>
      <c r="K75" s="56">
        <f>IF($N75="","",IF(N($J75)&gt;=1,"Completado",IF(AND(ISNUMBER($D75),$D75&lt;FechaRef),"Vencida",IF(N($J75)&gt;0,"En curso","Pendiente"))))</f>
        <v/>
      </c>
      <c r="L75" s="56">
        <f>IF($N75="","",INDEX('Cronograma R. Normativo'!$O$5:$O$1000,$N75)&amp;"")</f>
        <v/>
      </c>
      <c r="M75" s="62">
        <f>IF($N75="","",INDEX('Cronograma R. Normativo'!$Q$5:$Q$1000,$N75)&amp;"")</f>
        <v/>
      </c>
      <c r="N75">
        <f>IFERROR(MATCH(ROW()-4,rOrden_RN,0),"")</f>
        <v/>
      </c>
      <c r="O75">
        <f>IF($N75="","",INDEX('Cronograma R. Normativo'!$V$5:$V$1000,$N75))</f>
        <v/>
      </c>
      <c r="P75">
        <f>IF($N75="","",N(INDEX('Cronograma R. Normativo'!$W$5:$W$1000,$N75)))</f>
        <v/>
      </c>
      <c r="Q75">
        <f>IF(OR(LEFT($L75,7)="Vencida",LEFT($L75,5)="Vence"),SUMPRODUCT(--(LEFT($L$5:$L75,7)="Vencida"))+SUMPRODUCT(--(LEFT($L$5:$L75,5)="Vence")),"")</f>
        <v/>
      </c>
    </row>
    <row r="76">
      <c r="A76" s="56">
        <f>IF($N76="","",INDEX('Cronograma R. Normativo'!$A$5:$A$1000,$N76))</f>
        <v/>
      </c>
      <c r="B76" s="62">
        <f>IF($N76="","",IF($O76="Sub","      ↳  "&amp;INDEX('Cronograma R. Normativo'!$C$5:$C$1000,$N76),INDEX('Cronograma R. Normativo'!$C$5:$C$1000,$N76)&amp;""))</f>
        <v/>
      </c>
      <c r="C76" s="79">
        <f>IF($N76="","",IF(INDEX('Cronograma R. Normativo'!$AR$5:$AR$1000,$N76)="","",INDEX('Cronograma R. Normativo'!$AR$5:$AR$1000,$N76)))</f>
        <v/>
      </c>
      <c r="D76" s="79">
        <f>IF($N76="","",IF(INDEX('Cronograma R. Normativo'!$AS$5:$AS$1000,$N76)="","",INDEX('Cronograma R. Normativo'!$AS$5:$AS$1000,$N76)))</f>
        <v/>
      </c>
      <c r="E76" s="56">
        <f>IF($N76="","",IF(NOT(ISNUMBER($D76)),"",IF($D76&lt;InicioCiclo,"Antes del ciclo",IF($D76&gt;=InicioCiclo+28,"Después del ciclo","Semana "&amp;(INT(($D76-InicioCiclo)/7)+1)))))</f>
        <v/>
      </c>
      <c r="F76" s="61">
        <f>IF($N76="","",IF($P76&gt;0,IF(1&lt;=SemanaActual,INDEX('Cronograma R. Normativo'!$AH$5:$AH$1000,$N76),""),IF(INDEX('Cronograma R. Normativo'!$I$5:$I$1000,$N76)="","",INDEX('Cronograma R. Normativo'!$I$5:$I$1000,$N76))))</f>
        <v/>
      </c>
      <c r="G76" s="61">
        <f>IF($N76="","",IF($P76&gt;0,IF(2&lt;=SemanaActual,INDEX('Cronograma R. Normativo'!$AI$5:$AI$1000,$N76),""),IF(INDEX('Cronograma R. Normativo'!$J$5:$J$1000,$N76)="","",INDEX('Cronograma R. Normativo'!$J$5:$J$1000,$N76))))</f>
        <v/>
      </c>
      <c r="H76" s="61">
        <f>IF($N76="","",IF($P76&gt;0,IF(3&lt;=SemanaActual,INDEX('Cronograma R. Normativo'!$AJ$5:$AJ$1000,$N76),""),IF(INDEX('Cronograma R. Normativo'!$K$5:$K$1000,$N76)="","",INDEX('Cronograma R. Normativo'!$K$5:$K$1000,$N76))))</f>
        <v/>
      </c>
      <c r="I76" s="61">
        <f>IF($N76="","",IF($P76&gt;0,IF(4&lt;=SemanaActual,INDEX('Cronograma R. Normativo'!$AK$5:$AK$1000,$N76),""),IF(INDEX('Cronograma R. Normativo'!$L$5:$L$1000,$N76)="","",INDEX('Cronograma R. Normativo'!$L$5:$L$1000,$N76))))</f>
        <v/>
      </c>
      <c r="J76" s="61">
        <f>IF($N76="","",INDEX('Cronograma R. Normativo'!$M$5:$M$1000,$N76))</f>
        <v/>
      </c>
      <c r="K76" s="56">
        <f>IF($N76="","",IF(N($J76)&gt;=1,"Completado",IF(AND(ISNUMBER($D76),$D76&lt;FechaRef),"Vencida",IF(N($J76)&gt;0,"En curso","Pendiente"))))</f>
        <v/>
      </c>
      <c r="L76" s="56">
        <f>IF($N76="","",INDEX('Cronograma R. Normativo'!$O$5:$O$1000,$N76)&amp;"")</f>
        <v/>
      </c>
      <c r="M76" s="62">
        <f>IF($N76="","",INDEX('Cronograma R. Normativo'!$Q$5:$Q$1000,$N76)&amp;"")</f>
        <v/>
      </c>
      <c r="N76">
        <f>IFERROR(MATCH(ROW()-4,rOrden_RN,0),"")</f>
        <v/>
      </c>
      <c r="O76">
        <f>IF($N76="","",INDEX('Cronograma R. Normativo'!$V$5:$V$1000,$N76))</f>
        <v/>
      </c>
      <c r="P76">
        <f>IF($N76="","",N(INDEX('Cronograma R. Normativo'!$W$5:$W$1000,$N76)))</f>
        <v/>
      </c>
      <c r="Q76">
        <f>IF(OR(LEFT($L76,7)="Vencida",LEFT($L76,5)="Vence"),SUMPRODUCT(--(LEFT($L$5:$L76,7)="Vencida"))+SUMPRODUCT(--(LEFT($L$5:$L76,5)="Vence")),"")</f>
        <v/>
      </c>
    </row>
    <row r="77">
      <c r="A77" s="56">
        <f>IF($N77="","",INDEX('Cronograma R. Normativo'!$A$5:$A$1000,$N77))</f>
        <v/>
      </c>
      <c r="B77" s="62">
        <f>IF($N77="","",IF($O77="Sub","      ↳  "&amp;INDEX('Cronograma R. Normativo'!$C$5:$C$1000,$N77),INDEX('Cronograma R. Normativo'!$C$5:$C$1000,$N77)&amp;""))</f>
        <v/>
      </c>
      <c r="C77" s="79">
        <f>IF($N77="","",IF(INDEX('Cronograma R. Normativo'!$AR$5:$AR$1000,$N77)="","",INDEX('Cronograma R. Normativo'!$AR$5:$AR$1000,$N77)))</f>
        <v/>
      </c>
      <c r="D77" s="79">
        <f>IF($N77="","",IF(INDEX('Cronograma R. Normativo'!$AS$5:$AS$1000,$N77)="","",INDEX('Cronograma R. Normativo'!$AS$5:$AS$1000,$N77)))</f>
        <v/>
      </c>
      <c r="E77" s="56">
        <f>IF($N77="","",IF(NOT(ISNUMBER($D77)),"",IF($D77&lt;InicioCiclo,"Antes del ciclo",IF($D77&gt;=InicioCiclo+28,"Después del ciclo","Semana "&amp;(INT(($D77-InicioCiclo)/7)+1)))))</f>
        <v/>
      </c>
      <c r="F77" s="61">
        <f>IF($N77="","",IF($P77&gt;0,IF(1&lt;=SemanaActual,INDEX('Cronograma R. Normativo'!$AH$5:$AH$1000,$N77),""),IF(INDEX('Cronograma R. Normativo'!$I$5:$I$1000,$N77)="","",INDEX('Cronograma R. Normativo'!$I$5:$I$1000,$N77))))</f>
        <v/>
      </c>
      <c r="G77" s="61">
        <f>IF($N77="","",IF($P77&gt;0,IF(2&lt;=SemanaActual,INDEX('Cronograma R. Normativo'!$AI$5:$AI$1000,$N77),""),IF(INDEX('Cronograma R. Normativo'!$J$5:$J$1000,$N77)="","",INDEX('Cronograma R. Normativo'!$J$5:$J$1000,$N77))))</f>
        <v/>
      </c>
      <c r="H77" s="61">
        <f>IF($N77="","",IF($P77&gt;0,IF(3&lt;=SemanaActual,INDEX('Cronograma R. Normativo'!$AJ$5:$AJ$1000,$N77),""),IF(INDEX('Cronograma R. Normativo'!$K$5:$K$1000,$N77)="","",INDEX('Cronograma R. Normativo'!$K$5:$K$1000,$N77))))</f>
        <v/>
      </c>
      <c r="I77" s="61">
        <f>IF($N77="","",IF($P77&gt;0,IF(4&lt;=SemanaActual,INDEX('Cronograma R. Normativo'!$AK$5:$AK$1000,$N77),""),IF(INDEX('Cronograma R. Normativo'!$L$5:$L$1000,$N77)="","",INDEX('Cronograma R. Normativo'!$L$5:$L$1000,$N77))))</f>
        <v/>
      </c>
      <c r="J77" s="61">
        <f>IF($N77="","",INDEX('Cronograma R. Normativo'!$M$5:$M$1000,$N77))</f>
        <v/>
      </c>
      <c r="K77" s="56">
        <f>IF($N77="","",IF(N($J77)&gt;=1,"Completado",IF(AND(ISNUMBER($D77),$D77&lt;FechaRef),"Vencida",IF(N($J77)&gt;0,"En curso","Pendiente"))))</f>
        <v/>
      </c>
      <c r="L77" s="56">
        <f>IF($N77="","",INDEX('Cronograma R. Normativo'!$O$5:$O$1000,$N77)&amp;"")</f>
        <v/>
      </c>
      <c r="M77" s="62">
        <f>IF($N77="","",INDEX('Cronograma R. Normativo'!$Q$5:$Q$1000,$N77)&amp;"")</f>
        <v/>
      </c>
      <c r="N77">
        <f>IFERROR(MATCH(ROW()-4,rOrden_RN,0),"")</f>
        <v/>
      </c>
      <c r="O77">
        <f>IF($N77="","",INDEX('Cronograma R. Normativo'!$V$5:$V$1000,$N77))</f>
        <v/>
      </c>
      <c r="P77">
        <f>IF($N77="","",N(INDEX('Cronograma R. Normativo'!$W$5:$W$1000,$N77)))</f>
        <v/>
      </c>
      <c r="Q77">
        <f>IF(OR(LEFT($L77,7)="Vencida",LEFT($L77,5)="Vence"),SUMPRODUCT(--(LEFT($L$5:$L77,7)="Vencida"))+SUMPRODUCT(--(LEFT($L$5:$L77,5)="Vence")),"")</f>
        <v/>
      </c>
    </row>
    <row r="78">
      <c r="A78" s="56">
        <f>IF($N78="","",INDEX('Cronograma R. Normativo'!$A$5:$A$1000,$N78))</f>
        <v/>
      </c>
      <c r="B78" s="62">
        <f>IF($N78="","",IF($O78="Sub","      ↳  "&amp;INDEX('Cronograma R. Normativo'!$C$5:$C$1000,$N78),INDEX('Cronograma R. Normativo'!$C$5:$C$1000,$N78)&amp;""))</f>
        <v/>
      </c>
      <c r="C78" s="79">
        <f>IF($N78="","",IF(INDEX('Cronograma R. Normativo'!$AR$5:$AR$1000,$N78)="","",INDEX('Cronograma R. Normativo'!$AR$5:$AR$1000,$N78)))</f>
        <v/>
      </c>
      <c r="D78" s="79">
        <f>IF($N78="","",IF(INDEX('Cronograma R. Normativo'!$AS$5:$AS$1000,$N78)="","",INDEX('Cronograma R. Normativo'!$AS$5:$AS$1000,$N78)))</f>
        <v/>
      </c>
      <c r="E78" s="56">
        <f>IF($N78="","",IF(NOT(ISNUMBER($D78)),"",IF($D78&lt;InicioCiclo,"Antes del ciclo",IF($D78&gt;=InicioCiclo+28,"Después del ciclo","Semana "&amp;(INT(($D78-InicioCiclo)/7)+1)))))</f>
        <v/>
      </c>
      <c r="F78" s="61">
        <f>IF($N78="","",IF($P78&gt;0,IF(1&lt;=SemanaActual,INDEX('Cronograma R. Normativo'!$AH$5:$AH$1000,$N78),""),IF(INDEX('Cronograma R. Normativo'!$I$5:$I$1000,$N78)="","",INDEX('Cronograma R. Normativo'!$I$5:$I$1000,$N78))))</f>
        <v/>
      </c>
      <c r="G78" s="61">
        <f>IF($N78="","",IF($P78&gt;0,IF(2&lt;=SemanaActual,INDEX('Cronograma R. Normativo'!$AI$5:$AI$1000,$N78),""),IF(INDEX('Cronograma R. Normativo'!$J$5:$J$1000,$N78)="","",INDEX('Cronograma R. Normativo'!$J$5:$J$1000,$N78))))</f>
        <v/>
      </c>
      <c r="H78" s="61">
        <f>IF($N78="","",IF($P78&gt;0,IF(3&lt;=SemanaActual,INDEX('Cronograma R. Normativo'!$AJ$5:$AJ$1000,$N78),""),IF(INDEX('Cronograma R. Normativo'!$K$5:$K$1000,$N78)="","",INDEX('Cronograma R. Normativo'!$K$5:$K$1000,$N78))))</f>
        <v/>
      </c>
      <c r="I78" s="61">
        <f>IF($N78="","",IF($P78&gt;0,IF(4&lt;=SemanaActual,INDEX('Cronograma R. Normativo'!$AK$5:$AK$1000,$N78),""),IF(INDEX('Cronograma R. Normativo'!$L$5:$L$1000,$N78)="","",INDEX('Cronograma R. Normativo'!$L$5:$L$1000,$N78))))</f>
        <v/>
      </c>
      <c r="J78" s="61">
        <f>IF($N78="","",INDEX('Cronograma R. Normativo'!$M$5:$M$1000,$N78))</f>
        <v/>
      </c>
      <c r="K78" s="56">
        <f>IF($N78="","",IF(N($J78)&gt;=1,"Completado",IF(AND(ISNUMBER($D78),$D78&lt;FechaRef),"Vencida",IF(N($J78)&gt;0,"En curso","Pendiente"))))</f>
        <v/>
      </c>
      <c r="L78" s="56">
        <f>IF($N78="","",INDEX('Cronograma R. Normativo'!$O$5:$O$1000,$N78)&amp;"")</f>
        <v/>
      </c>
      <c r="M78" s="62">
        <f>IF($N78="","",INDEX('Cronograma R. Normativo'!$Q$5:$Q$1000,$N78)&amp;"")</f>
        <v/>
      </c>
      <c r="N78">
        <f>IFERROR(MATCH(ROW()-4,rOrden_RN,0),"")</f>
        <v/>
      </c>
      <c r="O78">
        <f>IF($N78="","",INDEX('Cronograma R. Normativo'!$V$5:$V$1000,$N78))</f>
        <v/>
      </c>
      <c r="P78">
        <f>IF($N78="","",N(INDEX('Cronograma R. Normativo'!$W$5:$W$1000,$N78)))</f>
        <v/>
      </c>
      <c r="Q78">
        <f>IF(OR(LEFT($L78,7)="Vencida",LEFT($L78,5)="Vence"),SUMPRODUCT(--(LEFT($L$5:$L78,7)="Vencida"))+SUMPRODUCT(--(LEFT($L$5:$L78,5)="Vence")),"")</f>
        <v/>
      </c>
    </row>
    <row r="79">
      <c r="A79" s="56">
        <f>IF($N79="","",INDEX('Cronograma R. Normativo'!$A$5:$A$1000,$N79))</f>
        <v/>
      </c>
      <c r="B79" s="62">
        <f>IF($N79="","",IF($O79="Sub","      ↳  "&amp;INDEX('Cronograma R. Normativo'!$C$5:$C$1000,$N79),INDEX('Cronograma R. Normativo'!$C$5:$C$1000,$N79)&amp;""))</f>
        <v/>
      </c>
      <c r="C79" s="79">
        <f>IF($N79="","",IF(INDEX('Cronograma R. Normativo'!$AR$5:$AR$1000,$N79)="","",INDEX('Cronograma R. Normativo'!$AR$5:$AR$1000,$N79)))</f>
        <v/>
      </c>
      <c r="D79" s="79">
        <f>IF($N79="","",IF(INDEX('Cronograma R. Normativo'!$AS$5:$AS$1000,$N79)="","",INDEX('Cronograma R. Normativo'!$AS$5:$AS$1000,$N79)))</f>
        <v/>
      </c>
      <c r="E79" s="56">
        <f>IF($N79="","",IF(NOT(ISNUMBER($D79)),"",IF($D79&lt;InicioCiclo,"Antes del ciclo",IF($D79&gt;=InicioCiclo+28,"Después del ciclo","Semana "&amp;(INT(($D79-InicioCiclo)/7)+1)))))</f>
        <v/>
      </c>
      <c r="F79" s="61">
        <f>IF($N79="","",IF($P79&gt;0,IF(1&lt;=SemanaActual,INDEX('Cronograma R. Normativo'!$AH$5:$AH$1000,$N79),""),IF(INDEX('Cronograma R. Normativo'!$I$5:$I$1000,$N79)="","",INDEX('Cronograma R. Normativo'!$I$5:$I$1000,$N79))))</f>
        <v/>
      </c>
      <c r="G79" s="61">
        <f>IF($N79="","",IF($P79&gt;0,IF(2&lt;=SemanaActual,INDEX('Cronograma R. Normativo'!$AI$5:$AI$1000,$N79),""),IF(INDEX('Cronograma R. Normativo'!$J$5:$J$1000,$N79)="","",INDEX('Cronograma R. Normativo'!$J$5:$J$1000,$N79))))</f>
        <v/>
      </c>
      <c r="H79" s="61">
        <f>IF($N79="","",IF($P79&gt;0,IF(3&lt;=SemanaActual,INDEX('Cronograma R. Normativo'!$AJ$5:$AJ$1000,$N79),""),IF(INDEX('Cronograma R. Normativo'!$K$5:$K$1000,$N79)="","",INDEX('Cronograma R. Normativo'!$K$5:$K$1000,$N79))))</f>
        <v/>
      </c>
      <c r="I79" s="61">
        <f>IF($N79="","",IF($P79&gt;0,IF(4&lt;=SemanaActual,INDEX('Cronograma R. Normativo'!$AK$5:$AK$1000,$N79),""),IF(INDEX('Cronograma R. Normativo'!$L$5:$L$1000,$N79)="","",INDEX('Cronograma R. Normativo'!$L$5:$L$1000,$N79))))</f>
        <v/>
      </c>
      <c r="J79" s="61">
        <f>IF($N79="","",INDEX('Cronograma R. Normativo'!$M$5:$M$1000,$N79))</f>
        <v/>
      </c>
      <c r="K79" s="56">
        <f>IF($N79="","",IF(N($J79)&gt;=1,"Completado",IF(AND(ISNUMBER($D79),$D79&lt;FechaRef),"Vencida",IF(N($J79)&gt;0,"En curso","Pendiente"))))</f>
        <v/>
      </c>
      <c r="L79" s="56">
        <f>IF($N79="","",INDEX('Cronograma R. Normativo'!$O$5:$O$1000,$N79)&amp;"")</f>
        <v/>
      </c>
      <c r="M79" s="62">
        <f>IF($N79="","",INDEX('Cronograma R. Normativo'!$Q$5:$Q$1000,$N79)&amp;"")</f>
        <v/>
      </c>
      <c r="N79">
        <f>IFERROR(MATCH(ROW()-4,rOrden_RN,0),"")</f>
        <v/>
      </c>
      <c r="O79">
        <f>IF($N79="","",INDEX('Cronograma R. Normativo'!$V$5:$V$1000,$N79))</f>
        <v/>
      </c>
      <c r="P79">
        <f>IF($N79="","",N(INDEX('Cronograma R. Normativo'!$W$5:$W$1000,$N79)))</f>
        <v/>
      </c>
      <c r="Q79">
        <f>IF(OR(LEFT($L79,7)="Vencida",LEFT($L79,5)="Vence"),SUMPRODUCT(--(LEFT($L$5:$L79,7)="Vencida"))+SUMPRODUCT(--(LEFT($L$5:$L79,5)="Vence")),"")</f>
        <v/>
      </c>
    </row>
    <row r="80">
      <c r="A80" s="56">
        <f>IF($N80="","",INDEX('Cronograma R. Normativo'!$A$5:$A$1000,$N80))</f>
        <v/>
      </c>
      <c r="B80" s="62">
        <f>IF($N80="","",IF($O80="Sub","      ↳  "&amp;INDEX('Cronograma R. Normativo'!$C$5:$C$1000,$N80),INDEX('Cronograma R. Normativo'!$C$5:$C$1000,$N80)&amp;""))</f>
        <v/>
      </c>
      <c r="C80" s="79">
        <f>IF($N80="","",IF(INDEX('Cronograma R. Normativo'!$AR$5:$AR$1000,$N80)="","",INDEX('Cronograma R. Normativo'!$AR$5:$AR$1000,$N80)))</f>
        <v/>
      </c>
      <c r="D80" s="79">
        <f>IF($N80="","",IF(INDEX('Cronograma R. Normativo'!$AS$5:$AS$1000,$N80)="","",INDEX('Cronograma R. Normativo'!$AS$5:$AS$1000,$N80)))</f>
        <v/>
      </c>
      <c r="E80" s="56">
        <f>IF($N80="","",IF(NOT(ISNUMBER($D80)),"",IF($D80&lt;InicioCiclo,"Antes del ciclo",IF($D80&gt;=InicioCiclo+28,"Después del ciclo","Semana "&amp;(INT(($D80-InicioCiclo)/7)+1)))))</f>
        <v/>
      </c>
      <c r="F80" s="61">
        <f>IF($N80="","",IF($P80&gt;0,IF(1&lt;=SemanaActual,INDEX('Cronograma R. Normativo'!$AH$5:$AH$1000,$N80),""),IF(INDEX('Cronograma R. Normativo'!$I$5:$I$1000,$N80)="","",INDEX('Cronograma R. Normativo'!$I$5:$I$1000,$N80))))</f>
        <v/>
      </c>
      <c r="G80" s="61">
        <f>IF($N80="","",IF($P80&gt;0,IF(2&lt;=SemanaActual,INDEX('Cronograma R. Normativo'!$AI$5:$AI$1000,$N80),""),IF(INDEX('Cronograma R. Normativo'!$J$5:$J$1000,$N80)="","",INDEX('Cronograma R. Normativo'!$J$5:$J$1000,$N80))))</f>
        <v/>
      </c>
      <c r="H80" s="61">
        <f>IF($N80="","",IF($P80&gt;0,IF(3&lt;=SemanaActual,INDEX('Cronograma R. Normativo'!$AJ$5:$AJ$1000,$N80),""),IF(INDEX('Cronograma R. Normativo'!$K$5:$K$1000,$N80)="","",INDEX('Cronograma R. Normativo'!$K$5:$K$1000,$N80))))</f>
        <v/>
      </c>
      <c r="I80" s="61">
        <f>IF($N80="","",IF($P80&gt;0,IF(4&lt;=SemanaActual,INDEX('Cronograma R. Normativo'!$AK$5:$AK$1000,$N80),""),IF(INDEX('Cronograma R. Normativo'!$L$5:$L$1000,$N80)="","",INDEX('Cronograma R. Normativo'!$L$5:$L$1000,$N80))))</f>
        <v/>
      </c>
      <c r="J80" s="61">
        <f>IF($N80="","",INDEX('Cronograma R. Normativo'!$M$5:$M$1000,$N80))</f>
        <v/>
      </c>
      <c r="K80" s="56">
        <f>IF($N80="","",IF(N($J80)&gt;=1,"Completado",IF(AND(ISNUMBER($D80),$D80&lt;FechaRef),"Vencida",IF(N($J80)&gt;0,"En curso","Pendiente"))))</f>
        <v/>
      </c>
      <c r="L80" s="56">
        <f>IF($N80="","",INDEX('Cronograma R. Normativo'!$O$5:$O$1000,$N80)&amp;"")</f>
        <v/>
      </c>
      <c r="M80" s="62">
        <f>IF($N80="","",INDEX('Cronograma R. Normativo'!$Q$5:$Q$1000,$N80)&amp;"")</f>
        <v/>
      </c>
      <c r="N80">
        <f>IFERROR(MATCH(ROW()-4,rOrden_RN,0),"")</f>
        <v/>
      </c>
      <c r="O80">
        <f>IF($N80="","",INDEX('Cronograma R. Normativo'!$V$5:$V$1000,$N80))</f>
        <v/>
      </c>
      <c r="P80">
        <f>IF($N80="","",N(INDEX('Cronograma R. Normativo'!$W$5:$W$1000,$N80)))</f>
        <v/>
      </c>
      <c r="Q80">
        <f>IF(OR(LEFT($L80,7)="Vencida",LEFT($L80,5)="Vence"),SUMPRODUCT(--(LEFT($L$5:$L80,7)="Vencida"))+SUMPRODUCT(--(LEFT($L$5:$L80,5)="Vence")),"")</f>
        <v/>
      </c>
    </row>
    <row r="81">
      <c r="A81" s="56">
        <f>IF($N81="","",INDEX('Cronograma R. Normativo'!$A$5:$A$1000,$N81))</f>
        <v/>
      </c>
      <c r="B81" s="62">
        <f>IF($N81="","",IF($O81="Sub","      ↳  "&amp;INDEX('Cronograma R. Normativo'!$C$5:$C$1000,$N81),INDEX('Cronograma R. Normativo'!$C$5:$C$1000,$N81)&amp;""))</f>
        <v/>
      </c>
      <c r="C81" s="79">
        <f>IF($N81="","",IF(INDEX('Cronograma R. Normativo'!$AR$5:$AR$1000,$N81)="","",INDEX('Cronograma R. Normativo'!$AR$5:$AR$1000,$N81)))</f>
        <v/>
      </c>
      <c r="D81" s="79">
        <f>IF($N81="","",IF(INDEX('Cronograma R. Normativo'!$AS$5:$AS$1000,$N81)="","",INDEX('Cronograma R. Normativo'!$AS$5:$AS$1000,$N81)))</f>
        <v/>
      </c>
      <c r="E81" s="56">
        <f>IF($N81="","",IF(NOT(ISNUMBER($D81)),"",IF($D81&lt;InicioCiclo,"Antes del ciclo",IF($D81&gt;=InicioCiclo+28,"Después del ciclo","Semana "&amp;(INT(($D81-InicioCiclo)/7)+1)))))</f>
        <v/>
      </c>
      <c r="F81" s="61">
        <f>IF($N81="","",IF($P81&gt;0,IF(1&lt;=SemanaActual,INDEX('Cronograma R. Normativo'!$AH$5:$AH$1000,$N81),""),IF(INDEX('Cronograma R. Normativo'!$I$5:$I$1000,$N81)="","",INDEX('Cronograma R. Normativo'!$I$5:$I$1000,$N81))))</f>
        <v/>
      </c>
      <c r="G81" s="61">
        <f>IF($N81="","",IF($P81&gt;0,IF(2&lt;=SemanaActual,INDEX('Cronograma R. Normativo'!$AI$5:$AI$1000,$N81),""),IF(INDEX('Cronograma R. Normativo'!$J$5:$J$1000,$N81)="","",INDEX('Cronograma R. Normativo'!$J$5:$J$1000,$N81))))</f>
        <v/>
      </c>
      <c r="H81" s="61">
        <f>IF($N81="","",IF($P81&gt;0,IF(3&lt;=SemanaActual,INDEX('Cronograma R. Normativo'!$AJ$5:$AJ$1000,$N81),""),IF(INDEX('Cronograma R. Normativo'!$K$5:$K$1000,$N81)="","",INDEX('Cronograma R. Normativo'!$K$5:$K$1000,$N81))))</f>
        <v/>
      </c>
      <c r="I81" s="61">
        <f>IF($N81="","",IF($P81&gt;0,IF(4&lt;=SemanaActual,INDEX('Cronograma R. Normativo'!$AK$5:$AK$1000,$N81),""),IF(INDEX('Cronograma R. Normativo'!$L$5:$L$1000,$N81)="","",INDEX('Cronograma R. Normativo'!$L$5:$L$1000,$N81))))</f>
        <v/>
      </c>
      <c r="J81" s="61">
        <f>IF($N81="","",INDEX('Cronograma R. Normativo'!$M$5:$M$1000,$N81))</f>
        <v/>
      </c>
      <c r="K81" s="56">
        <f>IF($N81="","",IF(N($J81)&gt;=1,"Completado",IF(AND(ISNUMBER($D81),$D81&lt;FechaRef),"Vencida",IF(N($J81)&gt;0,"En curso","Pendiente"))))</f>
        <v/>
      </c>
      <c r="L81" s="56">
        <f>IF($N81="","",INDEX('Cronograma R. Normativo'!$O$5:$O$1000,$N81)&amp;"")</f>
        <v/>
      </c>
      <c r="M81" s="62">
        <f>IF($N81="","",INDEX('Cronograma R. Normativo'!$Q$5:$Q$1000,$N81)&amp;"")</f>
        <v/>
      </c>
      <c r="N81">
        <f>IFERROR(MATCH(ROW()-4,rOrden_RN,0),"")</f>
        <v/>
      </c>
      <c r="O81">
        <f>IF($N81="","",INDEX('Cronograma R. Normativo'!$V$5:$V$1000,$N81))</f>
        <v/>
      </c>
      <c r="P81">
        <f>IF($N81="","",N(INDEX('Cronograma R. Normativo'!$W$5:$W$1000,$N81)))</f>
        <v/>
      </c>
      <c r="Q81">
        <f>IF(OR(LEFT($L81,7)="Vencida",LEFT($L81,5)="Vence"),SUMPRODUCT(--(LEFT($L$5:$L81,7)="Vencida"))+SUMPRODUCT(--(LEFT($L$5:$L81,5)="Vence")),"")</f>
        <v/>
      </c>
    </row>
    <row r="82">
      <c r="A82" s="56">
        <f>IF($N82="","",INDEX('Cronograma R. Normativo'!$A$5:$A$1000,$N82))</f>
        <v/>
      </c>
      <c r="B82" s="62">
        <f>IF($N82="","",IF($O82="Sub","      ↳  "&amp;INDEX('Cronograma R. Normativo'!$C$5:$C$1000,$N82),INDEX('Cronograma R. Normativo'!$C$5:$C$1000,$N82)&amp;""))</f>
        <v/>
      </c>
      <c r="C82" s="79">
        <f>IF($N82="","",IF(INDEX('Cronograma R. Normativo'!$AR$5:$AR$1000,$N82)="","",INDEX('Cronograma R. Normativo'!$AR$5:$AR$1000,$N82)))</f>
        <v/>
      </c>
      <c r="D82" s="79">
        <f>IF($N82="","",IF(INDEX('Cronograma R. Normativo'!$AS$5:$AS$1000,$N82)="","",INDEX('Cronograma R. Normativo'!$AS$5:$AS$1000,$N82)))</f>
        <v/>
      </c>
      <c r="E82" s="56">
        <f>IF($N82="","",IF(NOT(ISNUMBER($D82)),"",IF($D82&lt;InicioCiclo,"Antes del ciclo",IF($D82&gt;=InicioCiclo+28,"Después del ciclo","Semana "&amp;(INT(($D82-InicioCiclo)/7)+1)))))</f>
        <v/>
      </c>
      <c r="F82" s="61">
        <f>IF($N82="","",IF($P82&gt;0,IF(1&lt;=SemanaActual,INDEX('Cronograma R. Normativo'!$AH$5:$AH$1000,$N82),""),IF(INDEX('Cronograma R. Normativo'!$I$5:$I$1000,$N82)="","",INDEX('Cronograma R. Normativo'!$I$5:$I$1000,$N82))))</f>
        <v/>
      </c>
      <c r="G82" s="61">
        <f>IF($N82="","",IF($P82&gt;0,IF(2&lt;=SemanaActual,INDEX('Cronograma R. Normativo'!$AI$5:$AI$1000,$N82),""),IF(INDEX('Cronograma R. Normativo'!$J$5:$J$1000,$N82)="","",INDEX('Cronograma R. Normativo'!$J$5:$J$1000,$N82))))</f>
        <v/>
      </c>
      <c r="H82" s="61">
        <f>IF($N82="","",IF($P82&gt;0,IF(3&lt;=SemanaActual,INDEX('Cronograma R. Normativo'!$AJ$5:$AJ$1000,$N82),""),IF(INDEX('Cronograma R. Normativo'!$K$5:$K$1000,$N82)="","",INDEX('Cronograma R. Normativo'!$K$5:$K$1000,$N82))))</f>
        <v/>
      </c>
      <c r="I82" s="61">
        <f>IF($N82="","",IF($P82&gt;0,IF(4&lt;=SemanaActual,INDEX('Cronograma R. Normativo'!$AK$5:$AK$1000,$N82),""),IF(INDEX('Cronograma R. Normativo'!$L$5:$L$1000,$N82)="","",INDEX('Cronograma R. Normativo'!$L$5:$L$1000,$N82))))</f>
        <v/>
      </c>
      <c r="J82" s="61">
        <f>IF($N82="","",INDEX('Cronograma R. Normativo'!$M$5:$M$1000,$N82))</f>
        <v/>
      </c>
      <c r="K82" s="56">
        <f>IF($N82="","",IF(N($J82)&gt;=1,"Completado",IF(AND(ISNUMBER($D82),$D82&lt;FechaRef),"Vencida",IF(N($J82)&gt;0,"En curso","Pendiente"))))</f>
        <v/>
      </c>
      <c r="L82" s="56">
        <f>IF($N82="","",INDEX('Cronograma R. Normativo'!$O$5:$O$1000,$N82)&amp;"")</f>
        <v/>
      </c>
      <c r="M82" s="62">
        <f>IF($N82="","",INDEX('Cronograma R. Normativo'!$Q$5:$Q$1000,$N82)&amp;"")</f>
        <v/>
      </c>
      <c r="N82">
        <f>IFERROR(MATCH(ROW()-4,rOrden_RN,0),"")</f>
        <v/>
      </c>
      <c r="O82">
        <f>IF($N82="","",INDEX('Cronograma R. Normativo'!$V$5:$V$1000,$N82))</f>
        <v/>
      </c>
      <c r="P82">
        <f>IF($N82="","",N(INDEX('Cronograma R. Normativo'!$W$5:$W$1000,$N82)))</f>
        <v/>
      </c>
      <c r="Q82">
        <f>IF(OR(LEFT($L82,7)="Vencida",LEFT($L82,5)="Vence"),SUMPRODUCT(--(LEFT($L$5:$L82,7)="Vencida"))+SUMPRODUCT(--(LEFT($L$5:$L82,5)="Vence")),"")</f>
        <v/>
      </c>
    </row>
    <row r="83">
      <c r="A83" s="56">
        <f>IF($N83="","",INDEX('Cronograma R. Normativo'!$A$5:$A$1000,$N83))</f>
        <v/>
      </c>
      <c r="B83" s="62">
        <f>IF($N83="","",IF($O83="Sub","      ↳  "&amp;INDEX('Cronograma R. Normativo'!$C$5:$C$1000,$N83),INDEX('Cronograma R. Normativo'!$C$5:$C$1000,$N83)&amp;""))</f>
        <v/>
      </c>
      <c r="C83" s="79">
        <f>IF($N83="","",IF(INDEX('Cronograma R. Normativo'!$AR$5:$AR$1000,$N83)="","",INDEX('Cronograma R. Normativo'!$AR$5:$AR$1000,$N83)))</f>
        <v/>
      </c>
      <c r="D83" s="79">
        <f>IF($N83="","",IF(INDEX('Cronograma R. Normativo'!$AS$5:$AS$1000,$N83)="","",INDEX('Cronograma R. Normativo'!$AS$5:$AS$1000,$N83)))</f>
        <v/>
      </c>
      <c r="E83" s="56">
        <f>IF($N83="","",IF(NOT(ISNUMBER($D83)),"",IF($D83&lt;InicioCiclo,"Antes del ciclo",IF($D83&gt;=InicioCiclo+28,"Después del ciclo","Semana "&amp;(INT(($D83-InicioCiclo)/7)+1)))))</f>
        <v/>
      </c>
      <c r="F83" s="61">
        <f>IF($N83="","",IF($P83&gt;0,IF(1&lt;=SemanaActual,INDEX('Cronograma R. Normativo'!$AH$5:$AH$1000,$N83),""),IF(INDEX('Cronograma R. Normativo'!$I$5:$I$1000,$N83)="","",INDEX('Cronograma R. Normativo'!$I$5:$I$1000,$N83))))</f>
        <v/>
      </c>
      <c r="G83" s="61">
        <f>IF($N83="","",IF($P83&gt;0,IF(2&lt;=SemanaActual,INDEX('Cronograma R. Normativo'!$AI$5:$AI$1000,$N83),""),IF(INDEX('Cronograma R. Normativo'!$J$5:$J$1000,$N83)="","",INDEX('Cronograma R. Normativo'!$J$5:$J$1000,$N83))))</f>
        <v/>
      </c>
      <c r="H83" s="61">
        <f>IF($N83="","",IF($P83&gt;0,IF(3&lt;=SemanaActual,INDEX('Cronograma R. Normativo'!$AJ$5:$AJ$1000,$N83),""),IF(INDEX('Cronograma R. Normativo'!$K$5:$K$1000,$N83)="","",INDEX('Cronograma R. Normativo'!$K$5:$K$1000,$N83))))</f>
        <v/>
      </c>
      <c r="I83" s="61">
        <f>IF($N83="","",IF($P83&gt;0,IF(4&lt;=SemanaActual,INDEX('Cronograma R. Normativo'!$AK$5:$AK$1000,$N83),""),IF(INDEX('Cronograma R. Normativo'!$L$5:$L$1000,$N83)="","",INDEX('Cronograma R. Normativo'!$L$5:$L$1000,$N83))))</f>
        <v/>
      </c>
      <c r="J83" s="61">
        <f>IF($N83="","",INDEX('Cronograma R. Normativo'!$M$5:$M$1000,$N83))</f>
        <v/>
      </c>
      <c r="K83" s="56">
        <f>IF($N83="","",IF(N($J83)&gt;=1,"Completado",IF(AND(ISNUMBER($D83),$D83&lt;FechaRef),"Vencida",IF(N($J83)&gt;0,"En curso","Pendiente"))))</f>
        <v/>
      </c>
      <c r="L83" s="56">
        <f>IF($N83="","",INDEX('Cronograma R. Normativo'!$O$5:$O$1000,$N83)&amp;"")</f>
        <v/>
      </c>
      <c r="M83" s="62">
        <f>IF($N83="","",INDEX('Cronograma R. Normativo'!$Q$5:$Q$1000,$N83)&amp;"")</f>
        <v/>
      </c>
      <c r="N83">
        <f>IFERROR(MATCH(ROW()-4,rOrden_RN,0),"")</f>
        <v/>
      </c>
      <c r="O83">
        <f>IF($N83="","",INDEX('Cronograma R. Normativo'!$V$5:$V$1000,$N83))</f>
        <v/>
      </c>
      <c r="P83">
        <f>IF($N83="","",N(INDEX('Cronograma R. Normativo'!$W$5:$W$1000,$N83)))</f>
        <v/>
      </c>
      <c r="Q83">
        <f>IF(OR(LEFT($L83,7)="Vencida",LEFT($L83,5)="Vence"),SUMPRODUCT(--(LEFT($L$5:$L83,7)="Vencida"))+SUMPRODUCT(--(LEFT($L$5:$L83,5)="Vence")),"")</f>
        <v/>
      </c>
    </row>
    <row r="84">
      <c r="A84" s="56">
        <f>IF($N84="","",INDEX('Cronograma R. Normativo'!$A$5:$A$1000,$N84))</f>
        <v/>
      </c>
      <c r="B84" s="62">
        <f>IF($N84="","",IF($O84="Sub","      ↳  "&amp;INDEX('Cronograma R. Normativo'!$C$5:$C$1000,$N84),INDEX('Cronograma R. Normativo'!$C$5:$C$1000,$N84)&amp;""))</f>
        <v/>
      </c>
      <c r="C84" s="79">
        <f>IF($N84="","",IF(INDEX('Cronograma R. Normativo'!$AR$5:$AR$1000,$N84)="","",INDEX('Cronograma R. Normativo'!$AR$5:$AR$1000,$N84)))</f>
        <v/>
      </c>
      <c r="D84" s="79">
        <f>IF($N84="","",IF(INDEX('Cronograma R. Normativo'!$AS$5:$AS$1000,$N84)="","",INDEX('Cronograma R. Normativo'!$AS$5:$AS$1000,$N84)))</f>
        <v/>
      </c>
      <c r="E84" s="56">
        <f>IF($N84="","",IF(NOT(ISNUMBER($D84)),"",IF($D84&lt;InicioCiclo,"Antes del ciclo",IF($D84&gt;=InicioCiclo+28,"Después del ciclo","Semana "&amp;(INT(($D84-InicioCiclo)/7)+1)))))</f>
        <v/>
      </c>
      <c r="F84" s="61">
        <f>IF($N84="","",IF($P84&gt;0,IF(1&lt;=SemanaActual,INDEX('Cronograma R. Normativo'!$AH$5:$AH$1000,$N84),""),IF(INDEX('Cronograma R. Normativo'!$I$5:$I$1000,$N84)="","",INDEX('Cronograma R. Normativo'!$I$5:$I$1000,$N84))))</f>
        <v/>
      </c>
      <c r="G84" s="61">
        <f>IF($N84="","",IF($P84&gt;0,IF(2&lt;=SemanaActual,INDEX('Cronograma R. Normativo'!$AI$5:$AI$1000,$N84),""),IF(INDEX('Cronograma R. Normativo'!$J$5:$J$1000,$N84)="","",INDEX('Cronograma R. Normativo'!$J$5:$J$1000,$N84))))</f>
        <v/>
      </c>
      <c r="H84" s="61">
        <f>IF($N84="","",IF($P84&gt;0,IF(3&lt;=SemanaActual,INDEX('Cronograma R. Normativo'!$AJ$5:$AJ$1000,$N84),""),IF(INDEX('Cronograma R. Normativo'!$K$5:$K$1000,$N84)="","",INDEX('Cronograma R. Normativo'!$K$5:$K$1000,$N84))))</f>
        <v/>
      </c>
      <c r="I84" s="61">
        <f>IF($N84="","",IF($P84&gt;0,IF(4&lt;=SemanaActual,INDEX('Cronograma R. Normativo'!$AK$5:$AK$1000,$N84),""),IF(INDEX('Cronograma R. Normativo'!$L$5:$L$1000,$N84)="","",INDEX('Cronograma R. Normativo'!$L$5:$L$1000,$N84))))</f>
        <v/>
      </c>
      <c r="J84" s="61">
        <f>IF($N84="","",INDEX('Cronograma R. Normativo'!$M$5:$M$1000,$N84))</f>
        <v/>
      </c>
      <c r="K84" s="56">
        <f>IF($N84="","",IF(N($J84)&gt;=1,"Completado",IF(AND(ISNUMBER($D84),$D84&lt;FechaRef),"Vencida",IF(N($J84)&gt;0,"En curso","Pendiente"))))</f>
        <v/>
      </c>
      <c r="L84" s="56">
        <f>IF($N84="","",INDEX('Cronograma R. Normativo'!$O$5:$O$1000,$N84)&amp;"")</f>
        <v/>
      </c>
      <c r="M84" s="62">
        <f>IF($N84="","",INDEX('Cronograma R. Normativo'!$Q$5:$Q$1000,$N84)&amp;"")</f>
        <v/>
      </c>
      <c r="N84">
        <f>IFERROR(MATCH(ROW()-4,rOrden_RN,0),"")</f>
        <v/>
      </c>
      <c r="O84">
        <f>IF($N84="","",INDEX('Cronograma R. Normativo'!$V$5:$V$1000,$N84))</f>
        <v/>
      </c>
      <c r="P84">
        <f>IF($N84="","",N(INDEX('Cronograma R. Normativo'!$W$5:$W$1000,$N84)))</f>
        <v/>
      </c>
      <c r="Q84">
        <f>IF(OR(LEFT($L84,7)="Vencida",LEFT($L84,5)="Vence"),SUMPRODUCT(--(LEFT($L$5:$L84,7)="Vencida"))+SUMPRODUCT(--(LEFT($L$5:$L84,5)="Vence")),"")</f>
        <v/>
      </c>
    </row>
    <row r="85">
      <c r="A85" s="56">
        <f>IF($N85="","",INDEX('Cronograma R. Normativo'!$A$5:$A$1000,$N85))</f>
        <v/>
      </c>
      <c r="B85" s="62">
        <f>IF($N85="","",IF($O85="Sub","      ↳  "&amp;INDEX('Cronograma R. Normativo'!$C$5:$C$1000,$N85),INDEX('Cronograma R. Normativo'!$C$5:$C$1000,$N85)&amp;""))</f>
        <v/>
      </c>
      <c r="C85" s="79">
        <f>IF($N85="","",IF(INDEX('Cronograma R. Normativo'!$AR$5:$AR$1000,$N85)="","",INDEX('Cronograma R. Normativo'!$AR$5:$AR$1000,$N85)))</f>
        <v/>
      </c>
      <c r="D85" s="79">
        <f>IF($N85="","",IF(INDEX('Cronograma R. Normativo'!$AS$5:$AS$1000,$N85)="","",INDEX('Cronograma R. Normativo'!$AS$5:$AS$1000,$N85)))</f>
        <v/>
      </c>
      <c r="E85" s="56">
        <f>IF($N85="","",IF(NOT(ISNUMBER($D85)),"",IF($D85&lt;InicioCiclo,"Antes del ciclo",IF($D85&gt;=InicioCiclo+28,"Después del ciclo","Semana "&amp;(INT(($D85-InicioCiclo)/7)+1)))))</f>
        <v/>
      </c>
      <c r="F85" s="61">
        <f>IF($N85="","",IF($P85&gt;0,IF(1&lt;=SemanaActual,INDEX('Cronograma R. Normativo'!$AH$5:$AH$1000,$N85),""),IF(INDEX('Cronograma R. Normativo'!$I$5:$I$1000,$N85)="","",INDEX('Cronograma R. Normativo'!$I$5:$I$1000,$N85))))</f>
        <v/>
      </c>
      <c r="G85" s="61">
        <f>IF($N85="","",IF($P85&gt;0,IF(2&lt;=SemanaActual,INDEX('Cronograma R. Normativo'!$AI$5:$AI$1000,$N85),""),IF(INDEX('Cronograma R. Normativo'!$J$5:$J$1000,$N85)="","",INDEX('Cronograma R. Normativo'!$J$5:$J$1000,$N85))))</f>
        <v/>
      </c>
      <c r="H85" s="61">
        <f>IF($N85="","",IF($P85&gt;0,IF(3&lt;=SemanaActual,INDEX('Cronograma R. Normativo'!$AJ$5:$AJ$1000,$N85),""),IF(INDEX('Cronograma R. Normativo'!$K$5:$K$1000,$N85)="","",INDEX('Cronograma R. Normativo'!$K$5:$K$1000,$N85))))</f>
        <v/>
      </c>
      <c r="I85" s="61">
        <f>IF($N85="","",IF($P85&gt;0,IF(4&lt;=SemanaActual,INDEX('Cronograma R. Normativo'!$AK$5:$AK$1000,$N85),""),IF(INDEX('Cronograma R. Normativo'!$L$5:$L$1000,$N85)="","",INDEX('Cronograma R. Normativo'!$L$5:$L$1000,$N85))))</f>
        <v/>
      </c>
      <c r="J85" s="61">
        <f>IF($N85="","",INDEX('Cronograma R. Normativo'!$M$5:$M$1000,$N85))</f>
        <v/>
      </c>
      <c r="K85" s="56">
        <f>IF($N85="","",IF(N($J85)&gt;=1,"Completado",IF(AND(ISNUMBER($D85),$D85&lt;FechaRef),"Vencida",IF(N($J85)&gt;0,"En curso","Pendiente"))))</f>
        <v/>
      </c>
      <c r="L85" s="56">
        <f>IF($N85="","",INDEX('Cronograma R. Normativo'!$O$5:$O$1000,$N85)&amp;"")</f>
        <v/>
      </c>
      <c r="M85" s="62">
        <f>IF($N85="","",INDEX('Cronograma R. Normativo'!$Q$5:$Q$1000,$N85)&amp;"")</f>
        <v/>
      </c>
      <c r="N85">
        <f>IFERROR(MATCH(ROW()-4,rOrden_RN,0),"")</f>
        <v/>
      </c>
      <c r="O85">
        <f>IF($N85="","",INDEX('Cronograma R. Normativo'!$V$5:$V$1000,$N85))</f>
        <v/>
      </c>
      <c r="P85">
        <f>IF($N85="","",N(INDEX('Cronograma R. Normativo'!$W$5:$W$1000,$N85)))</f>
        <v/>
      </c>
      <c r="Q85">
        <f>IF(OR(LEFT($L85,7)="Vencida",LEFT($L85,5)="Vence"),SUMPRODUCT(--(LEFT($L$5:$L85,7)="Vencida"))+SUMPRODUCT(--(LEFT($L$5:$L85,5)="Vence")),"")</f>
        <v/>
      </c>
    </row>
    <row r="86">
      <c r="A86" s="56">
        <f>IF($N86="","",INDEX('Cronograma R. Normativo'!$A$5:$A$1000,$N86))</f>
        <v/>
      </c>
      <c r="B86" s="62">
        <f>IF($N86="","",IF($O86="Sub","      ↳  "&amp;INDEX('Cronograma R. Normativo'!$C$5:$C$1000,$N86),INDEX('Cronograma R. Normativo'!$C$5:$C$1000,$N86)&amp;""))</f>
        <v/>
      </c>
      <c r="C86" s="79">
        <f>IF($N86="","",IF(INDEX('Cronograma R. Normativo'!$AR$5:$AR$1000,$N86)="","",INDEX('Cronograma R. Normativo'!$AR$5:$AR$1000,$N86)))</f>
        <v/>
      </c>
      <c r="D86" s="79">
        <f>IF($N86="","",IF(INDEX('Cronograma R. Normativo'!$AS$5:$AS$1000,$N86)="","",INDEX('Cronograma R. Normativo'!$AS$5:$AS$1000,$N86)))</f>
        <v/>
      </c>
      <c r="E86" s="56">
        <f>IF($N86="","",IF(NOT(ISNUMBER($D86)),"",IF($D86&lt;InicioCiclo,"Antes del ciclo",IF($D86&gt;=InicioCiclo+28,"Después del ciclo","Semana "&amp;(INT(($D86-InicioCiclo)/7)+1)))))</f>
        <v/>
      </c>
      <c r="F86" s="61">
        <f>IF($N86="","",IF($P86&gt;0,IF(1&lt;=SemanaActual,INDEX('Cronograma R. Normativo'!$AH$5:$AH$1000,$N86),""),IF(INDEX('Cronograma R. Normativo'!$I$5:$I$1000,$N86)="","",INDEX('Cronograma R. Normativo'!$I$5:$I$1000,$N86))))</f>
        <v/>
      </c>
      <c r="G86" s="61">
        <f>IF($N86="","",IF($P86&gt;0,IF(2&lt;=SemanaActual,INDEX('Cronograma R. Normativo'!$AI$5:$AI$1000,$N86),""),IF(INDEX('Cronograma R. Normativo'!$J$5:$J$1000,$N86)="","",INDEX('Cronograma R. Normativo'!$J$5:$J$1000,$N86))))</f>
        <v/>
      </c>
      <c r="H86" s="61">
        <f>IF($N86="","",IF($P86&gt;0,IF(3&lt;=SemanaActual,INDEX('Cronograma R. Normativo'!$AJ$5:$AJ$1000,$N86),""),IF(INDEX('Cronograma R. Normativo'!$K$5:$K$1000,$N86)="","",INDEX('Cronograma R. Normativo'!$K$5:$K$1000,$N86))))</f>
        <v/>
      </c>
      <c r="I86" s="61">
        <f>IF($N86="","",IF($P86&gt;0,IF(4&lt;=SemanaActual,INDEX('Cronograma R. Normativo'!$AK$5:$AK$1000,$N86),""),IF(INDEX('Cronograma R. Normativo'!$L$5:$L$1000,$N86)="","",INDEX('Cronograma R. Normativo'!$L$5:$L$1000,$N86))))</f>
        <v/>
      </c>
      <c r="J86" s="61">
        <f>IF($N86="","",INDEX('Cronograma R. Normativo'!$M$5:$M$1000,$N86))</f>
        <v/>
      </c>
      <c r="K86" s="56">
        <f>IF($N86="","",IF(N($J86)&gt;=1,"Completado",IF(AND(ISNUMBER($D86),$D86&lt;FechaRef),"Vencida",IF(N($J86)&gt;0,"En curso","Pendiente"))))</f>
        <v/>
      </c>
      <c r="L86" s="56">
        <f>IF($N86="","",INDEX('Cronograma R. Normativo'!$O$5:$O$1000,$N86)&amp;"")</f>
        <v/>
      </c>
      <c r="M86" s="62">
        <f>IF($N86="","",INDEX('Cronograma R. Normativo'!$Q$5:$Q$1000,$N86)&amp;"")</f>
        <v/>
      </c>
      <c r="N86">
        <f>IFERROR(MATCH(ROW()-4,rOrden_RN,0),"")</f>
        <v/>
      </c>
      <c r="O86">
        <f>IF($N86="","",INDEX('Cronograma R. Normativo'!$V$5:$V$1000,$N86))</f>
        <v/>
      </c>
      <c r="P86">
        <f>IF($N86="","",N(INDEX('Cronograma R. Normativo'!$W$5:$W$1000,$N86)))</f>
        <v/>
      </c>
      <c r="Q86">
        <f>IF(OR(LEFT($L86,7)="Vencida",LEFT($L86,5)="Vence"),SUMPRODUCT(--(LEFT($L$5:$L86,7)="Vencida"))+SUMPRODUCT(--(LEFT($L$5:$L86,5)="Vence")),"")</f>
        <v/>
      </c>
    </row>
    <row r="87">
      <c r="A87" s="56">
        <f>IF($N87="","",INDEX('Cronograma R. Normativo'!$A$5:$A$1000,$N87))</f>
        <v/>
      </c>
      <c r="B87" s="62">
        <f>IF($N87="","",IF($O87="Sub","      ↳  "&amp;INDEX('Cronograma R. Normativo'!$C$5:$C$1000,$N87),INDEX('Cronograma R. Normativo'!$C$5:$C$1000,$N87)&amp;""))</f>
        <v/>
      </c>
      <c r="C87" s="79">
        <f>IF($N87="","",IF(INDEX('Cronograma R. Normativo'!$AR$5:$AR$1000,$N87)="","",INDEX('Cronograma R. Normativo'!$AR$5:$AR$1000,$N87)))</f>
        <v/>
      </c>
      <c r="D87" s="79">
        <f>IF($N87="","",IF(INDEX('Cronograma R. Normativo'!$AS$5:$AS$1000,$N87)="","",INDEX('Cronograma R. Normativo'!$AS$5:$AS$1000,$N87)))</f>
        <v/>
      </c>
      <c r="E87" s="56">
        <f>IF($N87="","",IF(NOT(ISNUMBER($D87)),"",IF($D87&lt;InicioCiclo,"Antes del ciclo",IF($D87&gt;=InicioCiclo+28,"Después del ciclo","Semana "&amp;(INT(($D87-InicioCiclo)/7)+1)))))</f>
        <v/>
      </c>
      <c r="F87" s="61">
        <f>IF($N87="","",IF($P87&gt;0,IF(1&lt;=SemanaActual,INDEX('Cronograma R. Normativo'!$AH$5:$AH$1000,$N87),""),IF(INDEX('Cronograma R. Normativo'!$I$5:$I$1000,$N87)="","",INDEX('Cronograma R. Normativo'!$I$5:$I$1000,$N87))))</f>
        <v/>
      </c>
      <c r="G87" s="61">
        <f>IF($N87="","",IF($P87&gt;0,IF(2&lt;=SemanaActual,INDEX('Cronograma R. Normativo'!$AI$5:$AI$1000,$N87),""),IF(INDEX('Cronograma R. Normativo'!$J$5:$J$1000,$N87)="","",INDEX('Cronograma R. Normativo'!$J$5:$J$1000,$N87))))</f>
        <v/>
      </c>
      <c r="H87" s="61">
        <f>IF($N87="","",IF($P87&gt;0,IF(3&lt;=SemanaActual,INDEX('Cronograma R. Normativo'!$AJ$5:$AJ$1000,$N87),""),IF(INDEX('Cronograma R. Normativo'!$K$5:$K$1000,$N87)="","",INDEX('Cronograma R. Normativo'!$K$5:$K$1000,$N87))))</f>
        <v/>
      </c>
      <c r="I87" s="61">
        <f>IF($N87="","",IF($P87&gt;0,IF(4&lt;=SemanaActual,INDEX('Cronograma R. Normativo'!$AK$5:$AK$1000,$N87),""),IF(INDEX('Cronograma R. Normativo'!$L$5:$L$1000,$N87)="","",INDEX('Cronograma R. Normativo'!$L$5:$L$1000,$N87))))</f>
        <v/>
      </c>
      <c r="J87" s="61">
        <f>IF($N87="","",INDEX('Cronograma R. Normativo'!$M$5:$M$1000,$N87))</f>
        <v/>
      </c>
      <c r="K87" s="56">
        <f>IF($N87="","",IF(N($J87)&gt;=1,"Completado",IF(AND(ISNUMBER($D87),$D87&lt;FechaRef),"Vencida",IF(N($J87)&gt;0,"En curso","Pendiente"))))</f>
        <v/>
      </c>
      <c r="L87" s="56">
        <f>IF($N87="","",INDEX('Cronograma R. Normativo'!$O$5:$O$1000,$N87)&amp;"")</f>
        <v/>
      </c>
      <c r="M87" s="62">
        <f>IF($N87="","",INDEX('Cronograma R. Normativo'!$Q$5:$Q$1000,$N87)&amp;"")</f>
        <v/>
      </c>
      <c r="N87">
        <f>IFERROR(MATCH(ROW()-4,rOrden_RN,0),"")</f>
        <v/>
      </c>
      <c r="O87">
        <f>IF($N87="","",INDEX('Cronograma R. Normativo'!$V$5:$V$1000,$N87))</f>
        <v/>
      </c>
      <c r="P87">
        <f>IF($N87="","",N(INDEX('Cronograma R. Normativo'!$W$5:$W$1000,$N87)))</f>
        <v/>
      </c>
      <c r="Q87">
        <f>IF(OR(LEFT($L87,7)="Vencida",LEFT($L87,5)="Vence"),SUMPRODUCT(--(LEFT($L$5:$L87,7)="Vencida"))+SUMPRODUCT(--(LEFT($L$5:$L87,5)="Vence")),"")</f>
        <v/>
      </c>
    </row>
    <row r="88">
      <c r="A88" s="56">
        <f>IF($N88="","",INDEX('Cronograma R. Normativo'!$A$5:$A$1000,$N88))</f>
        <v/>
      </c>
      <c r="B88" s="62">
        <f>IF($N88="","",IF($O88="Sub","      ↳  "&amp;INDEX('Cronograma R. Normativo'!$C$5:$C$1000,$N88),INDEX('Cronograma R. Normativo'!$C$5:$C$1000,$N88)&amp;""))</f>
        <v/>
      </c>
      <c r="C88" s="79">
        <f>IF($N88="","",IF(INDEX('Cronograma R. Normativo'!$AR$5:$AR$1000,$N88)="","",INDEX('Cronograma R. Normativo'!$AR$5:$AR$1000,$N88)))</f>
        <v/>
      </c>
      <c r="D88" s="79">
        <f>IF($N88="","",IF(INDEX('Cronograma R. Normativo'!$AS$5:$AS$1000,$N88)="","",INDEX('Cronograma R. Normativo'!$AS$5:$AS$1000,$N88)))</f>
        <v/>
      </c>
      <c r="E88" s="56">
        <f>IF($N88="","",IF(NOT(ISNUMBER($D88)),"",IF($D88&lt;InicioCiclo,"Antes del ciclo",IF($D88&gt;=InicioCiclo+28,"Después del ciclo","Semana "&amp;(INT(($D88-InicioCiclo)/7)+1)))))</f>
        <v/>
      </c>
      <c r="F88" s="61">
        <f>IF($N88="","",IF($P88&gt;0,IF(1&lt;=SemanaActual,INDEX('Cronograma R. Normativo'!$AH$5:$AH$1000,$N88),""),IF(INDEX('Cronograma R. Normativo'!$I$5:$I$1000,$N88)="","",INDEX('Cronograma R. Normativo'!$I$5:$I$1000,$N88))))</f>
        <v/>
      </c>
      <c r="G88" s="61">
        <f>IF($N88="","",IF($P88&gt;0,IF(2&lt;=SemanaActual,INDEX('Cronograma R. Normativo'!$AI$5:$AI$1000,$N88),""),IF(INDEX('Cronograma R. Normativo'!$J$5:$J$1000,$N88)="","",INDEX('Cronograma R. Normativo'!$J$5:$J$1000,$N88))))</f>
        <v/>
      </c>
      <c r="H88" s="61">
        <f>IF($N88="","",IF($P88&gt;0,IF(3&lt;=SemanaActual,INDEX('Cronograma R. Normativo'!$AJ$5:$AJ$1000,$N88),""),IF(INDEX('Cronograma R. Normativo'!$K$5:$K$1000,$N88)="","",INDEX('Cronograma R. Normativo'!$K$5:$K$1000,$N88))))</f>
        <v/>
      </c>
      <c r="I88" s="61">
        <f>IF($N88="","",IF($P88&gt;0,IF(4&lt;=SemanaActual,INDEX('Cronograma R. Normativo'!$AK$5:$AK$1000,$N88),""),IF(INDEX('Cronograma R. Normativo'!$L$5:$L$1000,$N88)="","",INDEX('Cronograma R. Normativo'!$L$5:$L$1000,$N88))))</f>
        <v/>
      </c>
      <c r="J88" s="61">
        <f>IF($N88="","",INDEX('Cronograma R. Normativo'!$M$5:$M$1000,$N88))</f>
        <v/>
      </c>
      <c r="K88" s="56">
        <f>IF($N88="","",IF(N($J88)&gt;=1,"Completado",IF(AND(ISNUMBER($D88),$D88&lt;FechaRef),"Vencida",IF(N($J88)&gt;0,"En curso","Pendiente"))))</f>
        <v/>
      </c>
      <c r="L88" s="56">
        <f>IF($N88="","",INDEX('Cronograma R. Normativo'!$O$5:$O$1000,$N88)&amp;"")</f>
        <v/>
      </c>
      <c r="M88" s="62">
        <f>IF($N88="","",INDEX('Cronograma R. Normativo'!$Q$5:$Q$1000,$N88)&amp;"")</f>
        <v/>
      </c>
      <c r="N88">
        <f>IFERROR(MATCH(ROW()-4,rOrden_RN,0),"")</f>
        <v/>
      </c>
      <c r="O88">
        <f>IF($N88="","",INDEX('Cronograma R. Normativo'!$V$5:$V$1000,$N88))</f>
        <v/>
      </c>
      <c r="P88">
        <f>IF($N88="","",N(INDEX('Cronograma R. Normativo'!$W$5:$W$1000,$N88)))</f>
        <v/>
      </c>
      <c r="Q88">
        <f>IF(OR(LEFT($L88,7)="Vencida",LEFT($L88,5)="Vence"),SUMPRODUCT(--(LEFT($L$5:$L88,7)="Vencida"))+SUMPRODUCT(--(LEFT($L$5:$L88,5)="Vence")),"")</f>
        <v/>
      </c>
    </row>
    <row r="89">
      <c r="A89" s="56">
        <f>IF($N89="","",INDEX('Cronograma R. Normativo'!$A$5:$A$1000,$N89))</f>
        <v/>
      </c>
      <c r="B89" s="62">
        <f>IF($N89="","",IF($O89="Sub","      ↳  "&amp;INDEX('Cronograma R. Normativo'!$C$5:$C$1000,$N89),INDEX('Cronograma R. Normativo'!$C$5:$C$1000,$N89)&amp;""))</f>
        <v/>
      </c>
      <c r="C89" s="79">
        <f>IF($N89="","",IF(INDEX('Cronograma R. Normativo'!$AR$5:$AR$1000,$N89)="","",INDEX('Cronograma R. Normativo'!$AR$5:$AR$1000,$N89)))</f>
        <v/>
      </c>
      <c r="D89" s="79">
        <f>IF($N89="","",IF(INDEX('Cronograma R. Normativo'!$AS$5:$AS$1000,$N89)="","",INDEX('Cronograma R. Normativo'!$AS$5:$AS$1000,$N89)))</f>
        <v/>
      </c>
      <c r="E89" s="56">
        <f>IF($N89="","",IF(NOT(ISNUMBER($D89)),"",IF($D89&lt;InicioCiclo,"Antes del ciclo",IF($D89&gt;=InicioCiclo+28,"Después del ciclo","Semana "&amp;(INT(($D89-InicioCiclo)/7)+1)))))</f>
        <v/>
      </c>
      <c r="F89" s="61">
        <f>IF($N89="","",IF($P89&gt;0,IF(1&lt;=SemanaActual,INDEX('Cronograma R. Normativo'!$AH$5:$AH$1000,$N89),""),IF(INDEX('Cronograma R. Normativo'!$I$5:$I$1000,$N89)="","",INDEX('Cronograma R. Normativo'!$I$5:$I$1000,$N89))))</f>
        <v/>
      </c>
      <c r="G89" s="61">
        <f>IF($N89="","",IF($P89&gt;0,IF(2&lt;=SemanaActual,INDEX('Cronograma R. Normativo'!$AI$5:$AI$1000,$N89),""),IF(INDEX('Cronograma R. Normativo'!$J$5:$J$1000,$N89)="","",INDEX('Cronograma R. Normativo'!$J$5:$J$1000,$N89))))</f>
        <v/>
      </c>
      <c r="H89" s="61">
        <f>IF($N89="","",IF($P89&gt;0,IF(3&lt;=SemanaActual,INDEX('Cronograma R. Normativo'!$AJ$5:$AJ$1000,$N89),""),IF(INDEX('Cronograma R. Normativo'!$K$5:$K$1000,$N89)="","",INDEX('Cronograma R. Normativo'!$K$5:$K$1000,$N89))))</f>
        <v/>
      </c>
      <c r="I89" s="61">
        <f>IF($N89="","",IF($P89&gt;0,IF(4&lt;=SemanaActual,INDEX('Cronograma R. Normativo'!$AK$5:$AK$1000,$N89),""),IF(INDEX('Cronograma R. Normativo'!$L$5:$L$1000,$N89)="","",INDEX('Cronograma R. Normativo'!$L$5:$L$1000,$N89))))</f>
        <v/>
      </c>
      <c r="J89" s="61">
        <f>IF($N89="","",INDEX('Cronograma R. Normativo'!$M$5:$M$1000,$N89))</f>
        <v/>
      </c>
      <c r="K89" s="56">
        <f>IF($N89="","",IF(N($J89)&gt;=1,"Completado",IF(AND(ISNUMBER($D89),$D89&lt;FechaRef),"Vencida",IF(N($J89)&gt;0,"En curso","Pendiente"))))</f>
        <v/>
      </c>
      <c r="L89" s="56">
        <f>IF($N89="","",INDEX('Cronograma R. Normativo'!$O$5:$O$1000,$N89)&amp;"")</f>
        <v/>
      </c>
      <c r="M89" s="62">
        <f>IF($N89="","",INDEX('Cronograma R. Normativo'!$Q$5:$Q$1000,$N89)&amp;"")</f>
        <v/>
      </c>
      <c r="N89">
        <f>IFERROR(MATCH(ROW()-4,rOrden_RN,0),"")</f>
        <v/>
      </c>
      <c r="O89">
        <f>IF($N89="","",INDEX('Cronograma R. Normativo'!$V$5:$V$1000,$N89))</f>
        <v/>
      </c>
      <c r="P89">
        <f>IF($N89="","",N(INDEX('Cronograma R. Normativo'!$W$5:$W$1000,$N89)))</f>
        <v/>
      </c>
      <c r="Q89">
        <f>IF(OR(LEFT($L89,7)="Vencida",LEFT($L89,5)="Vence"),SUMPRODUCT(--(LEFT($L$5:$L89,7)="Vencida"))+SUMPRODUCT(--(LEFT($L$5:$L89,5)="Vence")),"")</f>
        <v/>
      </c>
    </row>
    <row r="90">
      <c r="A90" s="56">
        <f>IF($N90="","",INDEX('Cronograma R. Normativo'!$A$5:$A$1000,$N90))</f>
        <v/>
      </c>
      <c r="B90" s="62">
        <f>IF($N90="","",IF($O90="Sub","      ↳  "&amp;INDEX('Cronograma R. Normativo'!$C$5:$C$1000,$N90),INDEX('Cronograma R. Normativo'!$C$5:$C$1000,$N90)&amp;""))</f>
        <v/>
      </c>
      <c r="C90" s="79">
        <f>IF($N90="","",IF(INDEX('Cronograma R. Normativo'!$AR$5:$AR$1000,$N90)="","",INDEX('Cronograma R. Normativo'!$AR$5:$AR$1000,$N90)))</f>
        <v/>
      </c>
      <c r="D90" s="79">
        <f>IF($N90="","",IF(INDEX('Cronograma R. Normativo'!$AS$5:$AS$1000,$N90)="","",INDEX('Cronograma R. Normativo'!$AS$5:$AS$1000,$N90)))</f>
        <v/>
      </c>
      <c r="E90" s="56">
        <f>IF($N90="","",IF(NOT(ISNUMBER($D90)),"",IF($D90&lt;InicioCiclo,"Antes del ciclo",IF($D90&gt;=InicioCiclo+28,"Después del ciclo","Semana "&amp;(INT(($D90-InicioCiclo)/7)+1)))))</f>
        <v/>
      </c>
      <c r="F90" s="61">
        <f>IF($N90="","",IF($P90&gt;0,IF(1&lt;=SemanaActual,INDEX('Cronograma R. Normativo'!$AH$5:$AH$1000,$N90),""),IF(INDEX('Cronograma R. Normativo'!$I$5:$I$1000,$N90)="","",INDEX('Cronograma R. Normativo'!$I$5:$I$1000,$N90))))</f>
        <v/>
      </c>
      <c r="G90" s="61">
        <f>IF($N90="","",IF($P90&gt;0,IF(2&lt;=SemanaActual,INDEX('Cronograma R. Normativo'!$AI$5:$AI$1000,$N90),""),IF(INDEX('Cronograma R. Normativo'!$J$5:$J$1000,$N90)="","",INDEX('Cronograma R. Normativo'!$J$5:$J$1000,$N90))))</f>
        <v/>
      </c>
      <c r="H90" s="61">
        <f>IF($N90="","",IF($P90&gt;0,IF(3&lt;=SemanaActual,INDEX('Cronograma R. Normativo'!$AJ$5:$AJ$1000,$N90),""),IF(INDEX('Cronograma R. Normativo'!$K$5:$K$1000,$N90)="","",INDEX('Cronograma R. Normativo'!$K$5:$K$1000,$N90))))</f>
        <v/>
      </c>
      <c r="I90" s="61">
        <f>IF($N90="","",IF($P90&gt;0,IF(4&lt;=SemanaActual,INDEX('Cronograma R. Normativo'!$AK$5:$AK$1000,$N90),""),IF(INDEX('Cronograma R. Normativo'!$L$5:$L$1000,$N90)="","",INDEX('Cronograma R. Normativo'!$L$5:$L$1000,$N90))))</f>
        <v/>
      </c>
      <c r="J90" s="61">
        <f>IF($N90="","",INDEX('Cronograma R. Normativo'!$M$5:$M$1000,$N90))</f>
        <v/>
      </c>
      <c r="K90" s="56">
        <f>IF($N90="","",IF(N($J90)&gt;=1,"Completado",IF(AND(ISNUMBER($D90),$D90&lt;FechaRef),"Vencida",IF(N($J90)&gt;0,"En curso","Pendiente"))))</f>
        <v/>
      </c>
      <c r="L90" s="56">
        <f>IF($N90="","",INDEX('Cronograma R. Normativo'!$O$5:$O$1000,$N90)&amp;"")</f>
        <v/>
      </c>
      <c r="M90" s="62">
        <f>IF($N90="","",INDEX('Cronograma R. Normativo'!$Q$5:$Q$1000,$N90)&amp;"")</f>
        <v/>
      </c>
      <c r="N90">
        <f>IFERROR(MATCH(ROW()-4,rOrden_RN,0),"")</f>
        <v/>
      </c>
      <c r="O90">
        <f>IF($N90="","",INDEX('Cronograma R. Normativo'!$V$5:$V$1000,$N90))</f>
        <v/>
      </c>
      <c r="P90">
        <f>IF($N90="","",N(INDEX('Cronograma R. Normativo'!$W$5:$W$1000,$N90)))</f>
        <v/>
      </c>
      <c r="Q90">
        <f>IF(OR(LEFT($L90,7)="Vencida",LEFT($L90,5)="Vence"),SUMPRODUCT(--(LEFT($L$5:$L90,7)="Vencida"))+SUMPRODUCT(--(LEFT($L$5:$L90,5)="Vence")),"")</f>
        <v/>
      </c>
    </row>
    <row r="91">
      <c r="A91" s="56">
        <f>IF($N91="","",INDEX('Cronograma R. Normativo'!$A$5:$A$1000,$N91))</f>
        <v/>
      </c>
      <c r="B91" s="62">
        <f>IF($N91="","",IF($O91="Sub","      ↳  "&amp;INDEX('Cronograma R. Normativo'!$C$5:$C$1000,$N91),INDEX('Cronograma R. Normativo'!$C$5:$C$1000,$N91)&amp;""))</f>
        <v/>
      </c>
      <c r="C91" s="79">
        <f>IF($N91="","",IF(INDEX('Cronograma R. Normativo'!$AR$5:$AR$1000,$N91)="","",INDEX('Cronograma R. Normativo'!$AR$5:$AR$1000,$N91)))</f>
        <v/>
      </c>
      <c r="D91" s="79">
        <f>IF($N91="","",IF(INDEX('Cronograma R. Normativo'!$AS$5:$AS$1000,$N91)="","",INDEX('Cronograma R. Normativo'!$AS$5:$AS$1000,$N91)))</f>
        <v/>
      </c>
      <c r="E91" s="56">
        <f>IF($N91="","",IF(NOT(ISNUMBER($D91)),"",IF($D91&lt;InicioCiclo,"Antes del ciclo",IF($D91&gt;=InicioCiclo+28,"Después del ciclo","Semana "&amp;(INT(($D91-InicioCiclo)/7)+1)))))</f>
        <v/>
      </c>
      <c r="F91" s="61">
        <f>IF($N91="","",IF($P91&gt;0,IF(1&lt;=SemanaActual,INDEX('Cronograma R. Normativo'!$AH$5:$AH$1000,$N91),""),IF(INDEX('Cronograma R. Normativo'!$I$5:$I$1000,$N91)="","",INDEX('Cronograma R. Normativo'!$I$5:$I$1000,$N91))))</f>
        <v/>
      </c>
      <c r="G91" s="61">
        <f>IF($N91="","",IF($P91&gt;0,IF(2&lt;=SemanaActual,INDEX('Cronograma R. Normativo'!$AI$5:$AI$1000,$N91),""),IF(INDEX('Cronograma R. Normativo'!$J$5:$J$1000,$N91)="","",INDEX('Cronograma R. Normativo'!$J$5:$J$1000,$N91))))</f>
        <v/>
      </c>
      <c r="H91" s="61">
        <f>IF($N91="","",IF($P91&gt;0,IF(3&lt;=SemanaActual,INDEX('Cronograma R. Normativo'!$AJ$5:$AJ$1000,$N91),""),IF(INDEX('Cronograma R. Normativo'!$K$5:$K$1000,$N91)="","",INDEX('Cronograma R. Normativo'!$K$5:$K$1000,$N91))))</f>
        <v/>
      </c>
      <c r="I91" s="61">
        <f>IF($N91="","",IF($P91&gt;0,IF(4&lt;=SemanaActual,INDEX('Cronograma R. Normativo'!$AK$5:$AK$1000,$N91),""),IF(INDEX('Cronograma R. Normativo'!$L$5:$L$1000,$N91)="","",INDEX('Cronograma R. Normativo'!$L$5:$L$1000,$N91))))</f>
        <v/>
      </c>
      <c r="J91" s="61">
        <f>IF($N91="","",INDEX('Cronograma R. Normativo'!$M$5:$M$1000,$N91))</f>
        <v/>
      </c>
      <c r="K91" s="56">
        <f>IF($N91="","",IF(N($J91)&gt;=1,"Completado",IF(AND(ISNUMBER($D91),$D91&lt;FechaRef),"Vencida",IF(N($J91)&gt;0,"En curso","Pendiente"))))</f>
        <v/>
      </c>
      <c r="L91" s="56">
        <f>IF($N91="","",INDEX('Cronograma R. Normativo'!$O$5:$O$1000,$N91)&amp;"")</f>
        <v/>
      </c>
      <c r="M91" s="62">
        <f>IF($N91="","",INDEX('Cronograma R. Normativo'!$Q$5:$Q$1000,$N91)&amp;"")</f>
        <v/>
      </c>
      <c r="N91">
        <f>IFERROR(MATCH(ROW()-4,rOrden_RN,0),"")</f>
        <v/>
      </c>
      <c r="O91">
        <f>IF($N91="","",INDEX('Cronograma R. Normativo'!$V$5:$V$1000,$N91))</f>
        <v/>
      </c>
      <c r="P91">
        <f>IF($N91="","",N(INDEX('Cronograma R. Normativo'!$W$5:$W$1000,$N91)))</f>
        <v/>
      </c>
      <c r="Q91">
        <f>IF(OR(LEFT($L91,7)="Vencida",LEFT($L91,5)="Vence"),SUMPRODUCT(--(LEFT($L$5:$L91,7)="Vencida"))+SUMPRODUCT(--(LEFT($L$5:$L91,5)="Vence")),"")</f>
        <v/>
      </c>
    </row>
    <row r="92">
      <c r="A92" s="56">
        <f>IF($N92="","",INDEX('Cronograma R. Normativo'!$A$5:$A$1000,$N92))</f>
        <v/>
      </c>
      <c r="B92" s="62">
        <f>IF($N92="","",IF($O92="Sub","      ↳  "&amp;INDEX('Cronograma R. Normativo'!$C$5:$C$1000,$N92),INDEX('Cronograma R. Normativo'!$C$5:$C$1000,$N92)&amp;""))</f>
        <v/>
      </c>
      <c r="C92" s="79">
        <f>IF($N92="","",IF(INDEX('Cronograma R. Normativo'!$AR$5:$AR$1000,$N92)="","",INDEX('Cronograma R. Normativo'!$AR$5:$AR$1000,$N92)))</f>
        <v/>
      </c>
      <c r="D92" s="79">
        <f>IF($N92="","",IF(INDEX('Cronograma R. Normativo'!$AS$5:$AS$1000,$N92)="","",INDEX('Cronograma R. Normativo'!$AS$5:$AS$1000,$N92)))</f>
        <v/>
      </c>
      <c r="E92" s="56">
        <f>IF($N92="","",IF(NOT(ISNUMBER($D92)),"",IF($D92&lt;InicioCiclo,"Antes del ciclo",IF($D92&gt;=InicioCiclo+28,"Después del ciclo","Semana "&amp;(INT(($D92-InicioCiclo)/7)+1)))))</f>
        <v/>
      </c>
      <c r="F92" s="61">
        <f>IF($N92="","",IF($P92&gt;0,IF(1&lt;=SemanaActual,INDEX('Cronograma R. Normativo'!$AH$5:$AH$1000,$N92),""),IF(INDEX('Cronograma R. Normativo'!$I$5:$I$1000,$N92)="","",INDEX('Cronograma R. Normativo'!$I$5:$I$1000,$N92))))</f>
        <v/>
      </c>
      <c r="G92" s="61">
        <f>IF($N92="","",IF($P92&gt;0,IF(2&lt;=SemanaActual,INDEX('Cronograma R. Normativo'!$AI$5:$AI$1000,$N92),""),IF(INDEX('Cronograma R. Normativo'!$J$5:$J$1000,$N92)="","",INDEX('Cronograma R. Normativo'!$J$5:$J$1000,$N92))))</f>
        <v/>
      </c>
      <c r="H92" s="61">
        <f>IF($N92="","",IF($P92&gt;0,IF(3&lt;=SemanaActual,INDEX('Cronograma R. Normativo'!$AJ$5:$AJ$1000,$N92),""),IF(INDEX('Cronograma R. Normativo'!$K$5:$K$1000,$N92)="","",INDEX('Cronograma R. Normativo'!$K$5:$K$1000,$N92))))</f>
        <v/>
      </c>
      <c r="I92" s="61">
        <f>IF($N92="","",IF($P92&gt;0,IF(4&lt;=SemanaActual,INDEX('Cronograma R. Normativo'!$AK$5:$AK$1000,$N92),""),IF(INDEX('Cronograma R. Normativo'!$L$5:$L$1000,$N92)="","",INDEX('Cronograma R. Normativo'!$L$5:$L$1000,$N92))))</f>
        <v/>
      </c>
      <c r="J92" s="61">
        <f>IF($N92="","",INDEX('Cronograma R. Normativo'!$M$5:$M$1000,$N92))</f>
        <v/>
      </c>
      <c r="K92" s="56">
        <f>IF($N92="","",IF(N($J92)&gt;=1,"Completado",IF(AND(ISNUMBER($D92),$D92&lt;FechaRef),"Vencida",IF(N($J92)&gt;0,"En curso","Pendiente"))))</f>
        <v/>
      </c>
      <c r="L92" s="56">
        <f>IF($N92="","",INDEX('Cronograma R. Normativo'!$O$5:$O$1000,$N92)&amp;"")</f>
        <v/>
      </c>
      <c r="M92" s="62">
        <f>IF($N92="","",INDEX('Cronograma R. Normativo'!$Q$5:$Q$1000,$N92)&amp;"")</f>
        <v/>
      </c>
      <c r="N92">
        <f>IFERROR(MATCH(ROW()-4,rOrden_RN,0),"")</f>
        <v/>
      </c>
      <c r="O92">
        <f>IF($N92="","",INDEX('Cronograma R. Normativo'!$V$5:$V$1000,$N92))</f>
        <v/>
      </c>
      <c r="P92">
        <f>IF($N92="","",N(INDEX('Cronograma R. Normativo'!$W$5:$W$1000,$N92)))</f>
        <v/>
      </c>
      <c r="Q92">
        <f>IF(OR(LEFT($L92,7)="Vencida",LEFT($L92,5)="Vence"),SUMPRODUCT(--(LEFT($L$5:$L92,7)="Vencida"))+SUMPRODUCT(--(LEFT($L$5:$L92,5)="Vence")),"")</f>
        <v/>
      </c>
    </row>
    <row r="93">
      <c r="A93" s="56">
        <f>IF($N93="","",INDEX('Cronograma R. Normativo'!$A$5:$A$1000,$N93))</f>
        <v/>
      </c>
      <c r="B93" s="62">
        <f>IF($N93="","",IF($O93="Sub","      ↳  "&amp;INDEX('Cronograma R. Normativo'!$C$5:$C$1000,$N93),INDEX('Cronograma R. Normativo'!$C$5:$C$1000,$N93)&amp;""))</f>
        <v/>
      </c>
      <c r="C93" s="79">
        <f>IF($N93="","",IF(INDEX('Cronograma R. Normativo'!$AR$5:$AR$1000,$N93)="","",INDEX('Cronograma R. Normativo'!$AR$5:$AR$1000,$N93)))</f>
        <v/>
      </c>
      <c r="D93" s="79">
        <f>IF($N93="","",IF(INDEX('Cronograma R. Normativo'!$AS$5:$AS$1000,$N93)="","",INDEX('Cronograma R. Normativo'!$AS$5:$AS$1000,$N93)))</f>
        <v/>
      </c>
      <c r="E93" s="56">
        <f>IF($N93="","",IF(NOT(ISNUMBER($D93)),"",IF($D93&lt;InicioCiclo,"Antes del ciclo",IF($D93&gt;=InicioCiclo+28,"Después del ciclo","Semana "&amp;(INT(($D93-InicioCiclo)/7)+1)))))</f>
        <v/>
      </c>
      <c r="F93" s="61">
        <f>IF($N93="","",IF($P93&gt;0,IF(1&lt;=SemanaActual,INDEX('Cronograma R. Normativo'!$AH$5:$AH$1000,$N93),""),IF(INDEX('Cronograma R. Normativo'!$I$5:$I$1000,$N93)="","",INDEX('Cronograma R. Normativo'!$I$5:$I$1000,$N93))))</f>
        <v/>
      </c>
      <c r="G93" s="61">
        <f>IF($N93="","",IF($P93&gt;0,IF(2&lt;=SemanaActual,INDEX('Cronograma R. Normativo'!$AI$5:$AI$1000,$N93),""),IF(INDEX('Cronograma R. Normativo'!$J$5:$J$1000,$N93)="","",INDEX('Cronograma R. Normativo'!$J$5:$J$1000,$N93))))</f>
        <v/>
      </c>
      <c r="H93" s="61">
        <f>IF($N93="","",IF($P93&gt;0,IF(3&lt;=SemanaActual,INDEX('Cronograma R. Normativo'!$AJ$5:$AJ$1000,$N93),""),IF(INDEX('Cronograma R. Normativo'!$K$5:$K$1000,$N93)="","",INDEX('Cronograma R. Normativo'!$K$5:$K$1000,$N93))))</f>
        <v/>
      </c>
      <c r="I93" s="61">
        <f>IF($N93="","",IF($P93&gt;0,IF(4&lt;=SemanaActual,INDEX('Cronograma R. Normativo'!$AK$5:$AK$1000,$N93),""),IF(INDEX('Cronograma R. Normativo'!$L$5:$L$1000,$N93)="","",INDEX('Cronograma R. Normativo'!$L$5:$L$1000,$N93))))</f>
        <v/>
      </c>
      <c r="J93" s="61">
        <f>IF($N93="","",INDEX('Cronograma R. Normativo'!$M$5:$M$1000,$N93))</f>
        <v/>
      </c>
      <c r="K93" s="56">
        <f>IF($N93="","",IF(N($J93)&gt;=1,"Completado",IF(AND(ISNUMBER($D93),$D93&lt;FechaRef),"Vencida",IF(N($J93)&gt;0,"En curso","Pendiente"))))</f>
        <v/>
      </c>
      <c r="L93" s="56">
        <f>IF($N93="","",INDEX('Cronograma R. Normativo'!$O$5:$O$1000,$N93)&amp;"")</f>
        <v/>
      </c>
      <c r="M93" s="62">
        <f>IF($N93="","",INDEX('Cronograma R. Normativo'!$Q$5:$Q$1000,$N93)&amp;"")</f>
        <v/>
      </c>
      <c r="N93">
        <f>IFERROR(MATCH(ROW()-4,rOrden_RN,0),"")</f>
        <v/>
      </c>
      <c r="O93">
        <f>IF($N93="","",INDEX('Cronograma R. Normativo'!$V$5:$V$1000,$N93))</f>
        <v/>
      </c>
      <c r="P93">
        <f>IF($N93="","",N(INDEX('Cronograma R. Normativo'!$W$5:$W$1000,$N93)))</f>
        <v/>
      </c>
      <c r="Q93">
        <f>IF(OR(LEFT($L93,7)="Vencida",LEFT($L93,5)="Vence"),SUMPRODUCT(--(LEFT($L$5:$L93,7)="Vencida"))+SUMPRODUCT(--(LEFT($L$5:$L93,5)="Vence")),"")</f>
        <v/>
      </c>
    </row>
    <row r="94">
      <c r="A94" s="56">
        <f>IF($N94="","",INDEX('Cronograma R. Normativo'!$A$5:$A$1000,$N94))</f>
        <v/>
      </c>
      <c r="B94" s="62">
        <f>IF($N94="","",IF($O94="Sub","      ↳  "&amp;INDEX('Cronograma R. Normativo'!$C$5:$C$1000,$N94),INDEX('Cronograma R. Normativo'!$C$5:$C$1000,$N94)&amp;""))</f>
        <v/>
      </c>
      <c r="C94" s="79">
        <f>IF($N94="","",IF(INDEX('Cronograma R. Normativo'!$AR$5:$AR$1000,$N94)="","",INDEX('Cronograma R. Normativo'!$AR$5:$AR$1000,$N94)))</f>
        <v/>
      </c>
      <c r="D94" s="79">
        <f>IF($N94="","",IF(INDEX('Cronograma R. Normativo'!$AS$5:$AS$1000,$N94)="","",INDEX('Cronograma R. Normativo'!$AS$5:$AS$1000,$N94)))</f>
        <v/>
      </c>
      <c r="E94" s="56">
        <f>IF($N94="","",IF(NOT(ISNUMBER($D94)),"",IF($D94&lt;InicioCiclo,"Antes del ciclo",IF($D94&gt;=InicioCiclo+28,"Después del ciclo","Semana "&amp;(INT(($D94-InicioCiclo)/7)+1)))))</f>
        <v/>
      </c>
      <c r="F94" s="61">
        <f>IF($N94="","",IF($P94&gt;0,IF(1&lt;=SemanaActual,INDEX('Cronograma R. Normativo'!$AH$5:$AH$1000,$N94),""),IF(INDEX('Cronograma R. Normativo'!$I$5:$I$1000,$N94)="","",INDEX('Cronograma R. Normativo'!$I$5:$I$1000,$N94))))</f>
        <v/>
      </c>
      <c r="G94" s="61">
        <f>IF($N94="","",IF($P94&gt;0,IF(2&lt;=SemanaActual,INDEX('Cronograma R. Normativo'!$AI$5:$AI$1000,$N94),""),IF(INDEX('Cronograma R. Normativo'!$J$5:$J$1000,$N94)="","",INDEX('Cronograma R. Normativo'!$J$5:$J$1000,$N94))))</f>
        <v/>
      </c>
      <c r="H94" s="61">
        <f>IF($N94="","",IF($P94&gt;0,IF(3&lt;=SemanaActual,INDEX('Cronograma R. Normativo'!$AJ$5:$AJ$1000,$N94),""),IF(INDEX('Cronograma R. Normativo'!$K$5:$K$1000,$N94)="","",INDEX('Cronograma R. Normativo'!$K$5:$K$1000,$N94))))</f>
        <v/>
      </c>
      <c r="I94" s="61">
        <f>IF($N94="","",IF($P94&gt;0,IF(4&lt;=SemanaActual,INDEX('Cronograma R. Normativo'!$AK$5:$AK$1000,$N94),""),IF(INDEX('Cronograma R. Normativo'!$L$5:$L$1000,$N94)="","",INDEX('Cronograma R. Normativo'!$L$5:$L$1000,$N94))))</f>
        <v/>
      </c>
      <c r="J94" s="61">
        <f>IF($N94="","",INDEX('Cronograma R. Normativo'!$M$5:$M$1000,$N94))</f>
        <v/>
      </c>
      <c r="K94" s="56">
        <f>IF($N94="","",IF(N($J94)&gt;=1,"Completado",IF(AND(ISNUMBER($D94),$D94&lt;FechaRef),"Vencida",IF(N($J94)&gt;0,"En curso","Pendiente"))))</f>
        <v/>
      </c>
      <c r="L94" s="56">
        <f>IF($N94="","",INDEX('Cronograma R. Normativo'!$O$5:$O$1000,$N94)&amp;"")</f>
        <v/>
      </c>
      <c r="M94" s="62">
        <f>IF($N94="","",INDEX('Cronograma R. Normativo'!$Q$5:$Q$1000,$N94)&amp;"")</f>
        <v/>
      </c>
      <c r="N94">
        <f>IFERROR(MATCH(ROW()-4,rOrden_RN,0),"")</f>
        <v/>
      </c>
      <c r="O94">
        <f>IF($N94="","",INDEX('Cronograma R. Normativo'!$V$5:$V$1000,$N94))</f>
        <v/>
      </c>
      <c r="P94">
        <f>IF($N94="","",N(INDEX('Cronograma R. Normativo'!$W$5:$W$1000,$N94)))</f>
        <v/>
      </c>
      <c r="Q94">
        <f>IF(OR(LEFT($L94,7)="Vencida",LEFT($L94,5)="Vence"),SUMPRODUCT(--(LEFT($L$5:$L94,7)="Vencida"))+SUMPRODUCT(--(LEFT($L$5:$L94,5)="Vence")),"")</f>
        <v/>
      </c>
    </row>
    <row r="95">
      <c r="A95" s="56">
        <f>IF($N95="","",INDEX('Cronograma R. Normativo'!$A$5:$A$1000,$N95))</f>
        <v/>
      </c>
      <c r="B95" s="62">
        <f>IF($N95="","",IF($O95="Sub","      ↳  "&amp;INDEX('Cronograma R. Normativo'!$C$5:$C$1000,$N95),INDEX('Cronograma R. Normativo'!$C$5:$C$1000,$N95)&amp;""))</f>
        <v/>
      </c>
      <c r="C95" s="79">
        <f>IF($N95="","",IF(INDEX('Cronograma R. Normativo'!$AR$5:$AR$1000,$N95)="","",INDEX('Cronograma R. Normativo'!$AR$5:$AR$1000,$N95)))</f>
        <v/>
      </c>
      <c r="D95" s="79">
        <f>IF($N95="","",IF(INDEX('Cronograma R. Normativo'!$AS$5:$AS$1000,$N95)="","",INDEX('Cronograma R. Normativo'!$AS$5:$AS$1000,$N95)))</f>
        <v/>
      </c>
      <c r="E95" s="56">
        <f>IF($N95="","",IF(NOT(ISNUMBER($D95)),"",IF($D95&lt;InicioCiclo,"Antes del ciclo",IF($D95&gt;=InicioCiclo+28,"Después del ciclo","Semana "&amp;(INT(($D95-InicioCiclo)/7)+1)))))</f>
        <v/>
      </c>
      <c r="F95" s="61">
        <f>IF($N95="","",IF($P95&gt;0,IF(1&lt;=SemanaActual,INDEX('Cronograma R. Normativo'!$AH$5:$AH$1000,$N95),""),IF(INDEX('Cronograma R. Normativo'!$I$5:$I$1000,$N95)="","",INDEX('Cronograma R. Normativo'!$I$5:$I$1000,$N95))))</f>
        <v/>
      </c>
      <c r="G95" s="61">
        <f>IF($N95="","",IF($P95&gt;0,IF(2&lt;=SemanaActual,INDEX('Cronograma R. Normativo'!$AI$5:$AI$1000,$N95),""),IF(INDEX('Cronograma R. Normativo'!$J$5:$J$1000,$N95)="","",INDEX('Cronograma R. Normativo'!$J$5:$J$1000,$N95))))</f>
        <v/>
      </c>
      <c r="H95" s="61">
        <f>IF($N95="","",IF($P95&gt;0,IF(3&lt;=SemanaActual,INDEX('Cronograma R. Normativo'!$AJ$5:$AJ$1000,$N95),""),IF(INDEX('Cronograma R. Normativo'!$K$5:$K$1000,$N95)="","",INDEX('Cronograma R. Normativo'!$K$5:$K$1000,$N95))))</f>
        <v/>
      </c>
      <c r="I95" s="61">
        <f>IF($N95="","",IF($P95&gt;0,IF(4&lt;=SemanaActual,INDEX('Cronograma R. Normativo'!$AK$5:$AK$1000,$N95),""),IF(INDEX('Cronograma R. Normativo'!$L$5:$L$1000,$N95)="","",INDEX('Cronograma R. Normativo'!$L$5:$L$1000,$N95))))</f>
        <v/>
      </c>
      <c r="J95" s="61">
        <f>IF($N95="","",INDEX('Cronograma R. Normativo'!$M$5:$M$1000,$N95))</f>
        <v/>
      </c>
      <c r="K95" s="56">
        <f>IF($N95="","",IF(N($J95)&gt;=1,"Completado",IF(AND(ISNUMBER($D95),$D95&lt;FechaRef),"Vencida",IF(N($J95)&gt;0,"En curso","Pendiente"))))</f>
        <v/>
      </c>
      <c r="L95" s="56">
        <f>IF($N95="","",INDEX('Cronograma R. Normativo'!$O$5:$O$1000,$N95)&amp;"")</f>
        <v/>
      </c>
      <c r="M95" s="62">
        <f>IF($N95="","",INDEX('Cronograma R. Normativo'!$Q$5:$Q$1000,$N95)&amp;"")</f>
        <v/>
      </c>
      <c r="N95">
        <f>IFERROR(MATCH(ROW()-4,rOrden_RN,0),"")</f>
        <v/>
      </c>
      <c r="O95">
        <f>IF($N95="","",INDEX('Cronograma R. Normativo'!$V$5:$V$1000,$N95))</f>
        <v/>
      </c>
      <c r="P95">
        <f>IF($N95="","",N(INDEX('Cronograma R. Normativo'!$W$5:$W$1000,$N95)))</f>
        <v/>
      </c>
      <c r="Q95">
        <f>IF(OR(LEFT($L95,7)="Vencida",LEFT($L95,5)="Vence"),SUMPRODUCT(--(LEFT($L$5:$L95,7)="Vencida"))+SUMPRODUCT(--(LEFT($L$5:$L95,5)="Vence")),"")</f>
        <v/>
      </c>
    </row>
    <row r="96">
      <c r="A96" s="56">
        <f>IF($N96="","",INDEX('Cronograma R. Normativo'!$A$5:$A$1000,$N96))</f>
        <v/>
      </c>
      <c r="B96" s="62">
        <f>IF($N96="","",IF($O96="Sub","      ↳  "&amp;INDEX('Cronograma R. Normativo'!$C$5:$C$1000,$N96),INDEX('Cronograma R. Normativo'!$C$5:$C$1000,$N96)&amp;""))</f>
        <v/>
      </c>
      <c r="C96" s="79">
        <f>IF($N96="","",IF(INDEX('Cronograma R. Normativo'!$AR$5:$AR$1000,$N96)="","",INDEX('Cronograma R. Normativo'!$AR$5:$AR$1000,$N96)))</f>
        <v/>
      </c>
      <c r="D96" s="79">
        <f>IF($N96="","",IF(INDEX('Cronograma R. Normativo'!$AS$5:$AS$1000,$N96)="","",INDEX('Cronograma R. Normativo'!$AS$5:$AS$1000,$N96)))</f>
        <v/>
      </c>
      <c r="E96" s="56">
        <f>IF($N96="","",IF(NOT(ISNUMBER($D96)),"",IF($D96&lt;InicioCiclo,"Antes del ciclo",IF($D96&gt;=InicioCiclo+28,"Después del ciclo","Semana "&amp;(INT(($D96-InicioCiclo)/7)+1)))))</f>
        <v/>
      </c>
      <c r="F96" s="61">
        <f>IF($N96="","",IF($P96&gt;0,IF(1&lt;=SemanaActual,INDEX('Cronograma R. Normativo'!$AH$5:$AH$1000,$N96),""),IF(INDEX('Cronograma R. Normativo'!$I$5:$I$1000,$N96)="","",INDEX('Cronograma R. Normativo'!$I$5:$I$1000,$N96))))</f>
        <v/>
      </c>
      <c r="G96" s="61">
        <f>IF($N96="","",IF($P96&gt;0,IF(2&lt;=SemanaActual,INDEX('Cronograma R. Normativo'!$AI$5:$AI$1000,$N96),""),IF(INDEX('Cronograma R. Normativo'!$J$5:$J$1000,$N96)="","",INDEX('Cronograma R. Normativo'!$J$5:$J$1000,$N96))))</f>
        <v/>
      </c>
      <c r="H96" s="61">
        <f>IF($N96="","",IF($P96&gt;0,IF(3&lt;=SemanaActual,INDEX('Cronograma R. Normativo'!$AJ$5:$AJ$1000,$N96),""),IF(INDEX('Cronograma R. Normativo'!$K$5:$K$1000,$N96)="","",INDEX('Cronograma R. Normativo'!$K$5:$K$1000,$N96))))</f>
        <v/>
      </c>
      <c r="I96" s="61">
        <f>IF($N96="","",IF($P96&gt;0,IF(4&lt;=SemanaActual,INDEX('Cronograma R. Normativo'!$AK$5:$AK$1000,$N96),""),IF(INDEX('Cronograma R. Normativo'!$L$5:$L$1000,$N96)="","",INDEX('Cronograma R. Normativo'!$L$5:$L$1000,$N96))))</f>
        <v/>
      </c>
      <c r="J96" s="61">
        <f>IF($N96="","",INDEX('Cronograma R. Normativo'!$M$5:$M$1000,$N96))</f>
        <v/>
      </c>
      <c r="K96" s="56">
        <f>IF($N96="","",IF(N($J96)&gt;=1,"Completado",IF(AND(ISNUMBER($D96),$D96&lt;FechaRef),"Vencida",IF(N($J96)&gt;0,"En curso","Pendiente"))))</f>
        <v/>
      </c>
      <c r="L96" s="56">
        <f>IF($N96="","",INDEX('Cronograma R. Normativo'!$O$5:$O$1000,$N96)&amp;"")</f>
        <v/>
      </c>
      <c r="M96" s="62">
        <f>IF($N96="","",INDEX('Cronograma R. Normativo'!$Q$5:$Q$1000,$N96)&amp;"")</f>
        <v/>
      </c>
      <c r="N96">
        <f>IFERROR(MATCH(ROW()-4,rOrden_RN,0),"")</f>
        <v/>
      </c>
      <c r="O96">
        <f>IF($N96="","",INDEX('Cronograma R. Normativo'!$V$5:$V$1000,$N96))</f>
        <v/>
      </c>
      <c r="P96">
        <f>IF($N96="","",N(INDEX('Cronograma R. Normativo'!$W$5:$W$1000,$N96)))</f>
        <v/>
      </c>
      <c r="Q96">
        <f>IF(OR(LEFT($L96,7)="Vencida",LEFT($L96,5)="Vence"),SUMPRODUCT(--(LEFT($L$5:$L96,7)="Vencida"))+SUMPRODUCT(--(LEFT($L$5:$L96,5)="Vence")),"")</f>
        <v/>
      </c>
    </row>
    <row r="97">
      <c r="A97" s="56">
        <f>IF($N97="","",INDEX('Cronograma R. Normativo'!$A$5:$A$1000,$N97))</f>
        <v/>
      </c>
      <c r="B97" s="62">
        <f>IF($N97="","",IF($O97="Sub","      ↳  "&amp;INDEX('Cronograma R. Normativo'!$C$5:$C$1000,$N97),INDEX('Cronograma R. Normativo'!$C$5:$C$1000,$N97)&amp;""))</f>
        <v/>
      </c>
      <c r="C97" s="79">
        <f>IF($N97="","",IF(INDEX('Cronograma R. Normativo'!$AR$5:$AR$1000,$N97)="","",INDEX('Cronograma R. Normativo'!$AR$5:$AR$1000,$N97)))</f>
        <v/>
      </c>
      <c r="D97" s="79">
        <f>IF($N97="","",IF(INDEX('Cronograma R. Normativo'!$AS$5:$AS$1000,$N97)="","",INDEX('Cronograma R. Normativo'!$AS$5:$AS$1000,$N97)))</f>
        <v/>
      </c>
      <c r="E97" s="56">
        <f>IF($N97="","",IF(NOT(ISNUMBER($D97)),"",IF($D97&lt;InicioCiclo,"Antes del ciclo",IF($D97&gt;=InicioCiclo+28,"Después del ciclo","Semana "&amp;(INT(($D97-InicioCiclo)/7)+1)))))</f>
        <v/>
      </c>
      <c r="F97" s="61">
        <f>IF($N97="","",IF($P97&gt;0,IF(1&lt;=SemanaActual,INDEX('Cronograma R. Normativo'!$AH$5:$AH$1000,$N97),""),IF(INDEX('Cronograma R. Normativo'!$I$5:$I$1000,$N97)="","",INDEX('Cronograma R. Normativo'!$I$5:$I$1000,$N97))))</f>
        <v/>
      </c>
      <c r="G97" s="61">
        <f>IF($N97="","",IF($P97&gt;0,IF(2&lt;=SemanaActual,INDEX('Cronograma R. Normativo'!$AI$5:$AI$1000,$N97),""),IF(INDEX('Cronograma R. Normativo'!$J$5:$J$1000,$N97)="","",INDEX('Cronograma R. Normativo'!$J$5:$J$1000,$N97))))</f>
        <v/>
      </c>
      <c r="H97" s="61">
        <f>IF($N97="","",IF($P97&gt;0,IF(3&lt;=SemanaActual,INDEX('Cronograma R. Normativo'!$AJ$5:$AJ$1000,$N97),""),IF(INDEX('Cronograma R. Normativo'!$K$5:$K$1000,$N97)="","",INDEX('Cronograma R. Normativo'!$K$5:$K$1000,$N97))))</f>
        <v/>
      </c>
      <c r="I97" s="61">
        <f>IF($N97="","",IF($P97&gt;0,IF(4&lt;=SemanaActual,INDEX('Cronograma R. Normativo'!$AK$5:$AK$1000,$N97),""),IF(INDEX('Cronograma R. Normativo'!$L$5:$L$1000,$N97)="","",INDEX('Cronograma R. Normativo'!$L$5:$L$1000,$N97))))</f>
        <v/>
      </c>
      <c r="J97" s="61">
        <f>IF($N97="","",INDEX('Cronograma R. Normativo'!$M$5:$M$1000,$N97))</f>
        <v/>
      </c>
      <c r="K97" s="56">
        <f>IF($N97="","",IF(N($J97)&gt;=1,"Completado",IF(AND(ISNUMBER($D97),$D97&lt;FechaRef),"Vencida",IF(N($J97)&gt;0,"En curso","Pendiente"))))</f>
        <v/>
      </c>
      <c r="L97" s="56">
        <f>IF($N97="","",INDEX('Cronograma R. Normativo'!$O$5:$O$1000,$N97)&amp;"")</f>
        <v/>
      </c>
      <c r="M97" s="62">
        <f>IF($N97="","",INDEX('Cronograma R. Normativo'!$Q$5:$Q$1000,$N97)&amp;"")</f>
        <v/>
      </c>
      <c r="N97">
        <f>IFERROR(MATCH(ROW()-4,rOrden_RN,0),"")</f>
        <v/>
      </c>
      <c r="O97">
        <f>IF($N97="","",INDEX('Cronograma R. Normativo'!$V$5:$V$1000,$N97))</f>
        <v/>
      </c>
      <c r="P97">
        <f>IF($N97="","",N(INDEX('Cronograma R. Normativo'!$W$5:$W$1000,$N97)))</f>
        <v/>
      </c>
      <c r="Q97">
        <f>IF(OR(LEFT($L97,7)="Vencida",LEFT($L97,5)="Vence"),SUMPRODUCT(--(LEFT($L$5:$L97,7)="Vencida"))+SUMPRODUCT(--(LEFT($L$5:$L97,5)="Vence")),"")</f>
        <v/>
      </c>
    </row>
    <row r="98">
      <c r="A98" s="56">
        <f>IF($N98="","",INDEX('Cronograma R. Normativo'!$A$5:$A$1000,$N98))</f>
        <v/>
      </c>
      <c r="B98" s="62">
        <f>IF($N98="","",IF($O98="Sub","      ↳  "&amp;INDEX('Cronograma R. Normativo'!$C$5:$C$1000,$N98),INDEX('Cronograma R. Normativo'!$C$5:$C$1000,$N98)&amp;""))</f>
        <v/>
      </c>
      <c r="C98" s="79">
        <f>IF($N98="","",IF(INDEX('Cronograma R. Normativo'!$AR$5:$AR$1000,$N98)="","",INDEX('Cronograma R. Normativo'!$AR$5:$AR$1000,$N98)))</f>
        <v/>
      </c>
      <c r="D98" s="79">
        <f>IF($N98="","",IF(INDEX('Cronograma R. Normativo'!$AS$5:$AS$1000,$N98)="","",INDEX('Cronograma R. Normativo'!$AS$5:$AS$1000,$N98)))</f>
        <v/>
      </c>
      <c r="E98" s="56">
        <f>IF($N98="","",IF(NOT(ISNUMBER($D98)),"",IF($D98&lt;InicioCiclo,"Antes del ciclo",IF($D98&gt;=InicioCiclo+28,"Después del ciclo","Semana "&amp;(INT(($D98-InicioCiclo)/7)+1)))))</f>
        <v/>
      </c>
      <c r="F98" s="61">
        <f>IF($N98="","",IF($P98&gt;0,IF(1&lt;=SemanaActual,INDEX('Cronograma R. Normativo'!$AH$5:$AH$1000,$N98),""),IF(INDEX('Cronograma R. Normativo'!$I$5:$I$1000,$N98)="","",INDEX('Cronograma R. Normativo'!$I$5:$I$1000,$N98))))</f>
        <v/>
      </c>
      <c r="G98" s="61">
        <f>IF($N98="","",IF($P98&gt;0,IF(2&lt;=SemanaActual,INDEX('Cronograma R. Normativo'!$AI$5:$AI$1000,$N98),""),IF(INDEX('Cronograma R. Normativo'!$J$5:$J$1000,$N98)="","",INDEX('Cronograma R. Normativo'!$J$5:$J$1000,$N98))))</f>
        <v/>
      </c>
      <c r="H98" s="61">
        <f>IF($N98="","",IF($P98&gt;0,IF(3&lt;=SemanaActual,INDEX('Cronograma R. Normativo'!$AJ$5:$AJ$1000,$N98),""),IF(INDEX('Cronograma R. Normativo'!$K$5:$K$1000,$N98)="","",INDEX('Cronograma R. Normativo'!$K$5:$K$1000,$N98))))</f>
        <v/>
      </c>
      <c r="I98" s="61">
        <f>IF($N98="","",IF($P98&gt;0,IF(4&lt;=SemanaActual,INDEX('Cronograma R. Normativo'!$AK$5:$AK$1000,$N98),""),IF(INDEX('Cronograma R. Normativo'!$L$5:$L$1000,$N98)="","",INDEX('Cronograma R. Normativo'!$L$5:$L$1000,$N98))))</f>
        <v/>
      </c>
      <c r="J98" s="61">
        <f>IF($N98="","",INDEX('Cronograma R. Normativo'!$M$5:$M$1000,$N98))</f>
        <v/>
      </c>
      <c r="K98" s="56">
        <f>IF($N98="","",IF(N($J98)&gt;=1,"Completado",IF(AND(ISNUMBER($D98),$D98&lt;FechaRef),"Vencida",IF(N($J98)&gt;0,"En curso","Pendiente"))))</f>
        <v/>
      </c>
      <c r="L98" s="56">
        <f>IF($N98="","",INDEX('Cronograma R. Normativo'!$O$5:$O$1000,$N98)&amp;"")</f>
        <v/>
      </c>
      <c r="M98" s="62">
        <f>IF($N98="","",INDEX('Cronograma R. Normativo'!$Q$5:$Q$1000,$N98)&amp;"")</f>
        <v/>
      </c>
      <c r="N98">
        <f>IFERROR(MATCH(ROW()-4,rOrden_RN,0),"")</f>
        <v/>
      </c>
      <c r="O98">
        <f>IF($N98="","",INDEX('Cronograma R. Normativo'!$V$5:$V$1000,$N98))</f>
        <v/>
      </c>
      <c r="P98">
        <f>IF($N98="","",N(INDEX('Cronograma R. Normativo'!$W$5:$W$1000,$N98)))</f>
        <v/>
      </c>
      <c r="Q98">
        <f>IF(OR(LEFT($L98,7)="Vencida",LEFT($L98,5)="Vence"),SUMPRODUCT(--(LEFT($L$5:$L98,7)="Vencida"))+SUMPRODUCT(--(LEFT($L$5:$L98,5)="Vence")),"")</f>
        <v/>
      </c>
    </row>
    <row r="99">
      <c r="A99" s="56">
        <f>IF($N99="","",INDEX('Cronograma R. Normativo'!$A$5:$A$1000,$N99))</f>
        <v/>
      </c>
      <c r="B99" s="62">
        <f>IF($N99="","",IF($O99="Sub","      ↳  "&amp;INDEX('Cronograma R. Normativo'!$C$5:$C$1000,$N99),INDEX('Cronograma R. Normativo'!$C$5:$C$1000,$N99)&amp;""))</f>
        <v/>
      </c>
      <c r="C99" s="79">
        <f>IF($N99="","",IF(INDEX('Cronograma R. Normativo'!$AR$5:$AR$1000,$N99)="","",INDEX('Cronograma R. Normativo'!$AR$5:$AR$1000,$N99)))</f>
        <v/>
      </c>
      <c r="D99" s="79">
        <f>IF($N99="","",IF(INDEX('Cronograma R. Normativo'!$AS$5:$AS$1000,$N99)="","",INDEX('Cronograma R. Normativo'!$AS$5:$AS$1000,$N99)))</f>
        <v/>
      </c>
      <c r="E99" s="56">
        <f>IF($N99="","",IF(NOT(ISNUMBER($D99)),"",IF($D99&lt;InicioCiclo,"Antes del ciclo",IF($D99&gt;=InicioCiclo+28,"Después del ciclo","Semana "&amp;(INT(($D99-InicioCiclo)/7)+1)))))</f>
        <v/>
      </c>
      <c r="F99" s="61">
        <f>IF($N99="","",IF($P99&gt;0,IF(1&lt;=SemanaActual,INDEX('Cronograma R. Normativo'!$AH$5:$AH$1000,$N99),""),IF(INDEX('Cronograma R. Normativo'!$I$5:$I$1000,$N99)="","",INDEX('Cronograma R. Normativo'!$I$5:$I$1000,$N99))))</f>
        <v/>
      </c>
      <c r="G99" s="61">
        <f>IF($N99="","",IF($P99&gt;0,IF(2&lt;=SemanaActual,INDEX('Cronograma R. Normativo'!$AI$5:$AI$1000,$N99),""),IF(INDEX('Cronograma R. Normativo'!$J$5:$J$1000,$N99)="","",INDEX('Cronograma R. Normativo'!$J$5:$J$1000,$N99))))</f>
        <v/>
      </c>
      <c r="H99" s="61">
        <f>IF($N99="","",IF($P99&gt;0,IF(3&lt;=SemanaActual,INDEX('Cronograma R. Normativo'!$AJ$5:$AJ$1000,$N99),""),IF(INDEX('Cronograma R. Normativo'!$K$5:$K$1000,$N99)="","",INDEX('Cronograma R. Normativo'!$K$5:$K$1000,$N99))))</f>
        <v/>
      </c>
      <c r="I99" s="61">
        <f>IF($N99="","",IF($P99&gt;0,IF(4&lt;=SemanaActual,INDEX('Cronograma R. Normativo'!$AK$5:$AK$1000,$N99),""),IF(INDEX('Cronograma R. Normativo'!$L$5:$L$1000,$N99)="","",INDEX('Cronograma R. Normativo'!$L$5:$L$1000,$N99))))</f>
        <v/>
      </c>
      <c r="J99" s="61">
        <f>IF($N99="","",INDEX('Cronograma R. Normativo'!$M$5:$M$1000,$N99))</f>
        <v/>
      </c>
      <c r="K99" s="56">
        <f>IF($N99="","",IF(N($J99)&gt;=1,"Completado",IF(AND(ISNUMBER($D99),$D99&lt;FechaRef),"Vencida",IF(N($J99)&gt;0,"En curso","Pendiente"))))</f>
        <v/>
      </c>
      <c r="L99" s="56">
        <f>IF($N99="","",INDEX('Cronograma R. Normativo'!$O$5:$O$1000,$N99)&amp;"")</f>
        <v/>
      </c>
      <c r="M99" s="62">
        <f>IF($N99="","",INDEX('Cronograma R. Normativo'!$Q$5:$Q$1000,$N99)&amp;"")</f>
        <v/>
      </c>
      <c r="N99">
        <f>IFERROR(MATCH(ROW()-4,rOrden_RN,0),"")</f>
        <v/>
      </c>
      <c r="O99">
        <f>IF($N99="","",INDEX('Cronograma R. Normativo'!$V$5:$V$1000,$N99))</f>
        <v/>
      </c>
      <c r="P99">
        <f>IF($N99="","",N(INDEX('Cronograma R. Normativo'!$W$5:$W$1000,$N99)))</f>
        <v/>
      </c>
      <c r="Q99">
        <f>IF(OR(LEFT($L99,7)="Vencida",LEFT($L99,5)="Vence"),SUMPRODUCT(--(LEFT($L$5:$L99,7)="Vencida"))+SUMPRODUCT(--(LEFT($L$5:$L99,5)="Vence")),"")</f>
        <v/>
      </c>
    </row>
    <row r="100">
      <c r="A100" s="56">
        <f>IF($N100="","",INDEX('Cronograma R. Normativo'!$A$5:$A$1000,$N100))</f>
        <v/>
      </c>
      <c r="B100" s="62">
        <f>IF($N100="","",IF($O100="Sub","      ↳  "&amp;INDEX('Cronograma R. Normativo'!$C$5:$C$1000,$N100),INDEX('Cronograma R. Normativo'!$C$5:$C$1000,$N100)&amp;""))</f>
        <v/>
      </c>
      <c r="C100" s="79">
        <f>IF($N100="","",IF(INDEX('Cronograma R. Normativo'!$AR$5:$AR$1000,$N100)="","",INDEX('Cronograma R. Normativo'!$AR$5:$AR$1000,$N100)))</f>
        <v/>
      </c>
      <c r="D100" s="79">
        <f>IF($N100="","",IF(INDEX('Cronograma R. Normativo'!$AS$5:$AS$1000,$N100)="","",INDEX('Cronograma R. Normativo'!$AS$5:$AS$1000,$N100)))</f>
        <v/>
      </c>
      <c r="E100" s="56">
        <f>IF($N100="","",IF(NOT(ISNUMBER($D100)),"",IF($D100&lt;InicioCiclo,"Antes del ciclo",IF($D100&gt;=InicioCiclo+28,"Después del ciclo","Semana "&amp;(INT(($D100-InicioCiclo)/7)+1)))))</f>
        <v/>
      </c>
      <c r="F100" s="61">
        <f>IF($N100="","",IF($P100&gt;0,IF(1&lt;=SemanaActual,INDEX('Cronograma R. Normativo'!$AH$5:$AH$1000,$N100),""),IF(INDEX('Cronograma R. Normativo'!$I$5:$I$1000,$N100)="","",INDEX('Cronograma R. Normativo'!$I$5:$I$1000,$N100))))</f>
        <v/>
      </c>
      <c r="G100" s="61">
        <f>IF($N100="","",IF($P100&gt;0,IF(2&lt;=SemanaActual,INDEX('Cronograma R. Normativo'!$AI$5:$AI$1000,$N100),""),IF(INDEX('Cronograma R. Normativo'!$J$5:$J$1000,$N100)="","",INDEX('Cronograma R. Normativo'!$J$5:$J$1000,$N100))))</f>
        <v/>
      </c>
      <c r="H100" s="61">
        <f>IF($N100="","",IF($P100&gt;0,IF(3&lt;=SemanaActual,INDEX('Cronograma R. Normativo'!$AJ$5:$AJ$1000,$N100),""),IF(INDEX('Cronograma R. Normativo'!$K$5:$K$1000,$N100)="","",INDEX('Cronograma R. Normativo'!$K$5:$K$1000,$N100))))</f>
        <v/>
      </c>
      <c r="I100" s="61">
        <f>IF($N100="","",IF($P100&gt;0,IF(4&lt;=SemanaActual,INDEX('Cronograma R. Normativo'!$AK$5:$AK$1000,$N100),""),IF(INDEX('Cronograma R. Normativo'!$L$5:$L$1000,$N100)="","",INDEX('Cronograma R. Normativo'!$L$5:$L$1000,$N100))))</f>
        <v/>
      </c>
      <c r="J100" s="61">
        <f>IF($N100="","",INDEX('Cronograma R. Normativo'!$M$5:$M$1000,$N100))</f>
        <v/>
      </c>
      <c r="K100" s="56">
        <f>IF($N100="","",IF(N($J100)&gt;=1,"Completado",IF(AND(ISNUMBER($D100),$D100&lt;FechaRef),"Vencida",IF(N($J100)&gt;0,"En curso","Pendiente"))))</f>
        <v/>
      </c>
      <c r="L100" s="56">
        <f>IF($N100="","",INDEX('Cronograma R. Normativo'!$O$5:$O$1000,$N100)&amp;"")</f>
        <v/>
      </c>
      <c r="M100" s="62">
        <f>IF($N100="","",INDEX('Cronograma R. Normativo'!$Q$5:$Q$1000,$N100)&amp;"")</f>
        <v/>
      </c>
      <c r="N100">
        <f>IFERROR(MATCH(ROW()-4,rOrden_RN,0),"")</f>
        <v/>
      </c>
      <c r="O100">
        <f>IF($N100="","",INDEX('Cronograma R. Normativo'!$V$5:$V$1000,$N100))</f>
        <v/>
      </c>
      <c r="P100">
        <f>IF($N100="","",N(INDEX('Cronograma R. Normativo'!$W$5:$W$1000,$N100)))</f>
        <v/>
      </c>
      <c r="Q100">
        <f>IF(OR(LEFT($L100,7)="Vencida",LEFT($L100,5)="Vence"),SUMPRODUCT(--(LEFT($L$5:$L100,7)="Vencida"))+SUMPRODUCT(--(LEFT($L$5:$L100,5)="Vence")),"")</f>
        <v/>
      </c>
    </row>
    <row r="101">
      <c r="A101" s="56">
        <f>IF($N101="","",INDEX('Cronograma R. Normativo'!$A$5:$A$1000,$N101))</f>
        <v/>
      </c>
      <c r="B101" s="62">
        <f>IF($N101="","",IF($O101="Sub","      ↳  "&amp;INDEX('Cronograma R. Normativo'!$C$5:$C$1000,$N101),INDEX('Cronograma R. Normativo'!$C$5:$C$1000,$N101)&amp;""))</f>
        <v/>
      </c>
      <c r="C101" s="79">
        <f>IF($N101="","",IF(INDEX('Cronograma R. Normativo'!$AR$5:$AR$1000,$N101)="","",INDEX('Cronograma R. Normativo'!$AR$5:$AR$1000,$N101)))</f>
        <v/>
      </c>
      <c r="D101" s="79">
        <f>IF($N101="","",IF(INDEX('Cronograma R. Normativo'!$AS$5:$AS$1000,$N101)="","",INDEX('Cronograma R. Normativo'!$AS$5:$AS$1000,$N101)))</f>
        <v/>
      </c>
      <c r="E101" s="56">
        <f>IF($N101="","",IF(NOT(ISNUMBER($D101)),"",IF($D101&lt;InicioCiclo,"Antes del ciclo",IF($D101&gt;=InicioCiclo+28,"Después del ciclo","Semana "&amp;(INT(($D101-InicioCiclo)/7)+1)))))</f>
        <v/>
      </c>
      <c r="F101" s="61">
        <f>IF($N101="","",IF($P101&gt;0,IF(1&lt;=SemanaActual,INDEX('Cronograma R. Normativo'!$AH$5:$AH$1000,$N101),""),IF(INDEX('Cronograma R. Normativo'!$I$5:$I$1000,$N101)="","",INDEX('Cronograma R. Normativo'!$I$5:$I$1000,$N101))))</f>
        <v/>
      </c>
      <c r="G101" s="61">
        <f>IF($N101="","",IF($P101&gt;0,IF(2&lt;=SemanaActual,INDEX('Cronograma R. Normativo'!$AI$5:$AI$1000,$N101),""),IF(INDEX('Cronograma R. Normativo'!$J$5:$J$1000,$N101)="","",INDEX('Cronograma R. Normativo'!$J$5:$J$1000,$N101))))</f>
        <v/>
      </c>
      <c r="H101" s="61">
        <f>IF($N101="","",IF($P101&gt;0,IF(3&lt;=SemanaActual,INDEX('Cronograma R. Normativo'!$AJ$5:$AJ$1000,$N101),""),IF(INDEX('Cronograma R. Normativo'!$K$5:$K$1000,$N101)="","",INDEX('Cronograma R. Normativo'!$K$5:$K$1000,$N101))))</f>
        <v/>
      </c>
      <c r="I101" s="61">
        <f>IF($N101="","",IF($P101&gt;0,IF(4&lt;=SemanaActual,INDEX('Cronograma R. Normativo'!$AK$5:$AK$1000,$N101),""),IF(INDEX('Cronograma R. Normativo'!$L$5:$L$1000,$N101)="","",INDEX('Cronograma R. Normativo'!$L$5:$L$1000,$N101))))</f>
        <v/>
      </c>
      <c r="J101" s="61">
        <f>IF($N101="","",INDEX('Cronograma R. Normativo'!$M$5:$M$1000,$N101))</f>
        <v/>
      </c>
      <c r="K101" s="56">
        <f>IF($N101="","",IF(N($J101)&gt;=1,"Completado",IF(AND(ISNUMBER($D101),$D101&lt;FechaRef),"Vencida",IF(N($J101)&gt;0,"En curso","Pendiente"))))</f>
        <v/>
      </c>
      <c r="L101" s="56">
        <f>IF($N101="","",INDEX('Cronograma R. Normativo'!$O$5:$O$1000,$N101)&amp;"")</f>
        <v/>
      </c>
      <c r="M101" s="62">
        <f>IF($N101="","",INDEX('Cronograma R. Normativo'!$Q$5:$Q$1000,$N101)&amp;"")</f>
        <v/>
      </c>
      <c r="N101">
        <f>IFERROR(MATCH(ROW()-4,rOrden_RN,0),"")</f>
        <v/>
      </c>
      <c r="O101">
        <f>IF($N101="","",INDEX('Cronograma R. Normativo'!$V$5:$V$1000,$N101))</f>
        <v/>
      </c>
      <c r="P101">
        <f>IF($N101="","",N(INDEX('Cronograma R. Normativo'!$W$5:$W$1000,$N101)))</f>
        <v/>
      </c>
      <c r="Q101">
        <f>IF(OR(LEFT($L101,7)="Vencida",LEFT($L101,5)="Vence"),SUMPRODUCT(--(LEFT($L$5:$L101,7)="Vencida"))+SUMPRODUCT(--(LEFT($L$5:$L101,5)="Vence")),"")</f>
        <v/>
      </c>
    </row>
    <row r="102">
      <c r="A102" s="56">
        <f>IF($N102="","",INDEX('Cronograma R. Normativo'!$A$5:$A$1000,$N102))</f>
        <v/>
      </c>
      <c r="B102" s="62">
        <f>IF($N102="","",IF($O102="Sub","      ↳  "&amp;INDEX('Cronograma R. Normativo'!$C$5:$C$1000,$N102),INDEX('Cronograma R. Normativo'!$C$5:$C$1000,$N102)&amp;""))</f>
        <v/>
      </c>
      <c r="C102" s="79">
        <f>IF($N102="","",IF(INDEX('Cronograma R. Normativo'!$AR$5:$AR$1000,$N102)="","",INDEX('Cronograma R. Normativo'!$AR$5:$AR$1000,$N102)))</f>
        <v/>
      </c>
      <c r="D102" s="79">
        <f>IF($N102="","",IF(INDEX('Cronograma R. Normativo'!$AS$5:$AS$1000,$N102)="","",INDEX('Cronograma R. Normativo'!$AS$5:$AS$1000,$N102)))</f>
        <v/>
      </c>
      <c r="E102" s="56">
        <f>IF($N102="","",IF(NOT(ISNUMBER($D102)),"",IF($D102&lt;InicioCiclo,"Antes del ciclo",IF($D102&gt;=InicioCiclo+28,"Después del ciclo","Semana "&amp;(INT(($D102-InicioCiclo)/7)+1)))))</f>
        <v/>
      </c>
      <c r="F102" s="61">
        <f>IF($N102="","",IF($P102&gt;0,IF(1&lt;=SemanaActual,INDEX('Cronograma R. Normativo'!$AH$5:$AH$1000,$N102),""),IF(INDEX('Cronograma R. Normativo'!$I$5:$I$1000,$N102)="","",INDEX('Cronograma R. Normativo'!$I$5:$I$1000,$N102))))</f>
        <v/>
      </c>
      <c r="G102" s="61">
        <f>IF($N102="","",IF($P102&gt;0,IF(2&lt;=SemanaActual,INDEX('Cronograma R. Normativo'!$AI$5:$AI$1000,$N102),""),IF(INDEX('Cronograma R. Normativo'!$J$5:$J$1000,$N102)="","",INDEX('Cronograma R. Normativo'!$J$5:$J$1000,$N102))))</f>
        <v/>
      </c>
      <c r="H102" s="61">
        <f>IF($N102="","",IF($P102&gt;0,IF(3&lt;=SemanaActual,INDEX('Cronograma R. Normativo'!$AJ$5:$AJ$1000,$N102),""),IF(INDEX('Cronograma R. Normativo'!$K$5:$K$1000,$N102)="","",INDEX('Cronograma R. Normativo'!$K$5:$K$1000,$N102))))</f>
        <v/>
      </c>
      <c r="I102" s="61">
        <f>IF($N102="","",IF($P102&gt;0,IF(4&lt;=SemanaActual,INDEX('Cronograma R. Normativo'!$AK$5:$AK$1000,$N102),""),IF(INDEX('Cronograma R. Normativo'!$L$5:$L$1000,$N102)="","",INDEX('Cronograma R. Normativo'!$L$5:$L$1000,$N102))))</f>
        <v/>
      </c>
      <c r="J102" s="61">
        <f>IF($N102="","",INDEX('Cronograma R. Normativo'!$M$5:$M$1000,$N102))</f>
        <v/>
      </c>
      <c r="K102" s="56">
        <f>IF($N102="","",IF(N($J102)&gt;=1,"Completado",IF(AND(ISNUMBER($D102),$D102&lt;FechaRef),"Vencida",IF(N($J102)&gt;0,"En curso","Pendiente"))))</f>
        <v/>
      </c>
      <c r="L102" s="56">
        <f>IF($N102="","",INDEX('Cronograma R. Normativo'!$O$5:$O$1000,$N102)&amp;"")</f>
        <v/>
      </c>
      <c r="M102" s="62">
        <f>IF($N102="","",INDEX('Cronograma R. Normativo'!$Q$5:$Q$1000,$N102)&amp;"")</f>
        <v/>
      </c>
      <c r="N102">
        <f>IFERROR(MATCH(ROW()-4,rOrden_RN,0),"")</f>
        <v/>
      </c>
      <c r="O102">
        <f>IF($N102="","",INDEX('Cronograma R. Normativo'!$V$5:$V$1000,$N102))</f>
        <v/>
      </c>
      <c r="P102">
        <f>IF($N102="","",N(INDEX('Cronograma R. Normativo'!$W$5:$W$1000,$N102)))</f>
        <v/>
      </c>
      <c r="Q102">
        <f>IF(OR(LEFT($L102,7)="Vencida",LEFT($L102,5)="Vence"),SUMPRODUCT(--(LEFT($L$5:$L102,7)="Vencida"))+SUMPRODUCT(--(LEFT($L$5:$L102,5)="Vence")),"")</f>
        <v/>
      </c>
    </row>
    <row r="103">
      <c r="A103" s="56">
        <f>IF($N103="","",INDEX('Cronograma R. Normativo'!$A$5:$A$1000,$N103))</f>
        <v/>
      </c>
      <c r="B103" s="62">
        <f>IF($N103="","",IF($O103="Sub","      ↳  "&amp;INDEX('Cronograma R. Normativo'!$C$5:$C$1000,$N103),INDEX('Cronograma R. Normativo'!$C$5:$C$1000,$N103)&amp;""))</f>
        <v/>
      </c>
      <c r="C103" s="79">
        <f>IF($N103="","",IF(INDEX('Cronograma R. Normativo'!$AR$5:$AR$1000,$N103)="","",INDEX('Cronograma R. Normativo'!$AR$5:$AR$1000,$N103)))</f>
        <v/>
      </c>
      <c r="D103" s="79">
        <f>IF($N103="","",IF(INDEX('Cronograma R. Normativo'!$AS$5:$AS$1000,$N103)="","",INDEX('Cronograma R. Normativo'!$AS$5:$AS$1000,$N103)))</f>
        <v/>
      </c>
      <c r="E103" s="56">
        <f>IF($N103="","",IF(NOT(ISNUMBER($D103)),"",IF($D103&lt;InicioCiclo,"Antes del ciclo",IF($D103&gt;=InicioCiclo+28,"Después del ciclo","Semana "&amp;(INT(($D103-InicioCiclo)/7)+1)))))</f>
        <v/>
      </c>
      <c r="F103" s="61">
        <f>IF($N103="","",IF($P103&gt;0,IF(1&lt;=SemanaActual,INDEX('Cronograma R. Normativo'!$AH$5:$AH$1000,$N103),""),IF(INDEX('Cronograma R. Normativo'!$I$5:$I$1000,$N103)="","",INDEX('Cronograma R. Normativo'!$I$5:$I$1000,$N103))))</f>
        <v/>
      </c>
      <c r="G103" s="61">
        <f>IF($N103="","",IF($P103&gt;0,IF(2&lt;=SemanaActual,INDEX('Cronograma R. Normativo'!$AI$5:$AI$1000,$N103),""),IF(INDEX('Cronograma R. Normativo'!$J$5:$J$1000,$N103)="","",INDEX('Cronograma R. Normativo'!$J$5:$J$1000,$N103))))</f>
        <v/>
      </c>
      <c r="H103" s="61">
        <f>IF($N103="","",IF($P103&gt;0,IF(3&lt;=SemanaActual,INDEX('Cronograma R. Normativo'!$AJ$5:$AJ$1000,$N103),""),IF(INDEX('Cronograma R. Normativo'!$K$5:$K$1000,$N103)="","",INDEX('Cronograma R. Normativo'!$K$5:$K$1000,$N103))))</f>
        <v/>
      </c>
      <c r="I103" s="61">
        <f>IF($N103="","",IF($P103&gt;0,IF(4&lt;=SemanaActual,INDEX('Cronograma R. Normativo'!$AK$5:$AK$1000,$N103),""),IF(INDEX('Cronograma R. Normativo'!$L$5:$L$1000,$N103)="","",INDEX('Cronograma R. Normativo'!$L$5:$L$1000,$N103))))</f>
        <v/>
      </c>
      <c r="J103" s="61">
        <f>IF($N103="","",INDEX('Cronograma R. Normativo'!$M$5:$M$1000,$N103))</f>
        <v/>
      </c>
      <c r="K103" s="56">
        <f>IF($N103="","",IF(N($J103)&gt;=1,"Completado",IF(AND(ISNUMBER($D103),$D103&lt;FechaRef),"Vencida",IF(N($J103)&gt;0,"En curso","Pendiente"))))</f>
        <v/>
      </c>
      <c r="L103" s="56">
        <f>IF($N103="","",INDEX('Cronograma R. Normativo'!$O$5:$O$1000,$N103)&amp;"")</f>
        <v/>
      </c>
      <c r="M103" s="62">
        <f>IF($N103="","",INDEX('Cronograma R. Normativo'!$Q$5:$Q$1000,$N103)&amp;"")</f>
        <v/>
      </c>
      <c r="N103">
        <f>IFERROR(MATCH(ROW()-4,rOrden_RN,0),"")</f>
        <v/>
      </c>
      <c r="O103">
        <f>IF($N103="","",INDEX('Cronograma R. Normativo'!$V$5:$V$1000,$N103))</f>
        <v/>
      </c>
      <c r="P103">
        <f>IF($N103="","",N(INDEX('Cronograma R. Normativo'!$W$5:$W$1000,$N103)))</f>
        <v/>
      </c>
      <c r="Q103">
        <f>IF(OR(LEFT($L103,7)="Vencida",LEFT($L103,5)="Vence"),SUMPRODUCT(--(LEFT($L$5:$L103,7)="Vencida"))+SUMPRODUCT(--(LEFT($L$5:$L103,5)="Vence")),"")</f>
        <v/>
      </c>
    </row>
    <row r="104">
      <c r="A104" s="56">
        <f>IF($N104="","",INDEX('Cronograma R. Normativo'!$A$5:$A$1000,$N104))</f>
        <v/>
      </c>
      <c r="B104" s="62">
        <f>IF($N104="","",IF($O104="Sub","      ↳  "&amp;INDEX('Cronograma R. Normativo'!$C$5:$C$1000,$N104),INDEX('Cronograma R. Normativo'!$C$5:$C$1000,$N104)&amp;""))</f>
        <v/>
      </c>
      <c r="C104" s="79">
        <f>IF($N104="","",IF(INDEX('Cronograma R. Normativo'!$AR$5:$AR$1000,$N104)="","",INDEX('Cronograma R. Normativo'!$AR$5:$AR$1000,$N104)))</f>
        <v/>
      </c>
      <c r="D104" s="79">
        <f>IF($N104="","",IF(INDEX('Cronograma R. Normativo'!$AS$5:$AS$1000,$N104)="","",INDEX('Cronograma R. Normativo'!$AS$5:$AS$1000,$N104)))</f>
        <v/>
      </c>
      <c r="E104" s="56">
        <f>IF($N104="","",IF(NOT(ISNUMBER($D104)),"",IF($D104&lt;InicioCiclo,"Antes del ciclo",IF($D104&gt;=InicioCiclo+28,"Después del ciclo","Semana "&amp;(INT(($D104-InicioCiclo)/7)+1)))))</f>
        <v/>
      </c>
      <c r="F104" s="61">
        <f>IF($N104="","",IF($P104&gt;0,IF(1&lt;=SemanaActual,INDEX('Cronograma R. Normativo'!$AH$5:$AH$1000,$N104),""),IF(INDEX('Cronograma R. Normativo'!$I$5:$I$1000,$N104)="","",INDEX('Cronograma R. Normativo'!$I$5:$I$1000,$N104))))</f>
        <v/>
      </c>
      <c r="G104" s="61">
        <f>IF($N104="","",IF($P104&gt;0,IF(2&lt;=SemanaActual,INDEX('Cronograma R. Normativo'!$AI$5:$AI$1000,$N104),""),IF(INDEX('Cronograma R. Normativo'!$J$5:$J$1000,$N104)="","",INDEX('Cronograma R. Normativo'!$J$5:$J$1000,$N104))))</f>
        <v/>
      </c>
      <c r="H104" s="61">
        <f>IF($N104="","",IF($P104&gt;0,IF(3&lt;=SemanaActual,INDEX('Cronograma R. Normativo'!$AJ$5:$AJ$1000,$N104),""),IF(INDEX('Cronograma R. Normativo'!$K$5:$K$1000,$N104)="","",INDEX('Cronograma R. Normativo'!$K$5:$K$1000,$N104))))</f>
        <v/>
      </c>
      <c r="I104" s="61">
        <f>IF($N104="","",IF($P104&gt;0,IF(4&lt;=SemanaActual,INDEX('Cronograma R. Normativo'!$AK$5:$AK$1000,$N104),""),IF(INDEX('Cronograma R. Normativo'!$L$5:$L$1000,$N104)="","",INDEX('Cronograma R. Normativo'!$L$5:$L$1000,$N104))))</f>
        <v/>
      </c>
      <c r="J104" s="61">
        <f>IF($N104="","",INDEX('Cronograma R. Normativo'!$M$5:$M$1000,$N104))</f>
        <v/>
      </c>
      <c r="K104" s="56">
        <f>IF($N104="","",IF(N($J104)&gt;=1,"Completado",IF(AND(ISNUMBER($D104),$D104&lt;FechaRef),"Vencida",IF(N($J104)&gt;0,"En curso","Pendiente"))))</f>
        <v/>
      </c>
      <c r="L104" s="56">
        <f>IF($N104="","",INDEX('Cronograma R. Normativo'!$O$5:$O$1000,$N104)&amp;"")</f>
        <v/>
      </c>
      <c r="M104" s="62">
        <f>IF($N104="","",INDEX('Cronograma R. Normativo'!$Q$5:$Q$1000,$N104)&amp;"")</f>
        <v/>
      </c>
      <c r="N104">
        <f>IFERROR(MATCH(ROW()-4,rOrden_RN,0),"")</f>
        <v/>
      </c>
      <c r="O104">
        <f>IF($N104="","",INDEX('Cronograma R. Normativo'!$V$5:$V$1000,$N104))</f>
        <v/>
      </c>
      <c r="P104">
        <f>IF($N104="","",N(INDEX('Cronograma R. Normativo'!$W$5:$W$1000,$N104)))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3">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4"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rgb="00548235"/>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82" t="inlineStr">
        <is>
          <t>Cronograma – Riesgo Financiero</t>
        </is>
      </c>
      <c r="B1" s="82" t="n"/>
      <c r="C1" s="82" t="n"/>
      <c r="D1" s="82" t="n"/>
      <c r="E1" s="82" t="n"/>
      <c r="F1" s="82" t="n"/>
      <c r="G1" s="82" t="n"/>
      <c r="H1" s="82" t="n"/>
      <c r="I1" s="82" t="n"/>
      <c r="J1" s="82" t="n"/>
      <c r="K1" s="82" t="n"/>
      <c r="L1" s="82" t="n"/>
      <c r="M1" s="82" t="n"/>
      <c r="N1" s="82" t="n"/>
      <c r="O1" s="82" t="n"/>
      <c r="P1" s="82" t="n"/>
      <c r="Q1" s="82" t="n"/>
      <c r="R1" s="82" t="n"/>
      <c r="S1" s="82"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83"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IF(COUNTIFS('Administración'!$D$5:$D$1000,"Riesgo Financiero",'Administración'!$S$5:$S$1000,MesCiclo,'Administración'!$V$5:$V$1000,"Macro")=0,"Sin actividades delegadas por la jefatura este mes","★ La jefatura le delegó "&amp;COUNTIFS('Administración'!$D$5:$D$1000,"Riesgo Financiero",'Administración'!$S$5:$S$1000,MesCiclo,'Administración'!$V$5:$V$1000,"Macro")&amp;" actividad(es) este mes · "&amp;(COUNTIFS('Administración'!$D$5:$D$1000,"Riesgo Financiero",'Administración'!$S$5:$S$1000,MesCiclo,'Administración'!$V$5:$V$1000,"Macro")-COUNTIFS('Administración'!$D$5:$D$1000,"Riesgo Financiero",'Administración'!$S$5:$S$1000,MesCiclo,'Administración'!$V$5:$V$1000,"Macro",'Administración'!$AM$5:$AM$1000,"&gt;0"))&amp;" pendiente(s) de agregar (elíjalas en la lista de «Actividad»). Cuentan en su avance del mes.")</f>
        <v/>
      </c>
      <c r="R3" s="45" t="n"/>
      <c r="S3" s="45" t="n"/>
    </row>
    <row r="4" ht="42" customHeight="1">
      <c r="A4" s="54" t="inlineStr">
        <is>
          <t>N°</t>
        </is>
      </c>
      <c r="B4" s="69" t="inlineStr">
        <is>
          <t>Tipo</t>
        </is>
      </c>
      <c r="C4" s="69" t="inlineStr">
        <is>
          <t>Actividad</t>
        </is>
      </c>
      <c r="D4" s="69" t="inlineStr">
        <is>
          <t>Delegar a</t>
        </is>
      </c>
      <c r="E4" s="69" t="inlineStr">
        <is>
          <t>Fecha de inicio</t>
        </is>
      </c>
      <c r="F4" s="69" t="inlineStr">
        <is>
          <t>Fecha límite</t>
        </is>
      </c>
      <c r="G4" s="69" t="inlineStr">
        <is>
          <t>Fecha de cumplimiento</t>
        </is>
      </c>
      <c r="H4" s="69" t="inlineStr">
        <is>
          <t>Peso / % de la subactividad</t>
        </is>
      </c>
      <c r="I4" s="69" t="inlineStr">
        <is>
          <t>Avance Semana 1 (%)</t>
        </is>
      </c>
      <c r="J4" s="69" t="inlineStr">
        <is>
          <t>Avance Semana 2 (%)</t>
        </is>
      </c>
      <c r="K4" s="69" t="inlineStr">
        <is>
          <t>Avance Semana 3 (%)</t>
        </is>
      </c>
      <c r="L4" s="69" t="inlineStr">
        <is>
          <t>Avance Semana 4 (%)</t>
        </is>
      </c>
      <c r="M4" s="54" t="inlineStr">
        <is>
          <t>% de Avance Total Actual</t>
        </is>
      </c>
      <c r="N4" s="54" t="inlineStr">
        <is>
          <t>Estado</t>
        </is>
      </c>
      <c r="O4" s="54" t="inlineStr">
        <is>
          <t>Alerta de plazo</t>
        </is>
      </c>
      <c r="P4" s="54" t="inlineStr">
        <is>
          <t>Seguimiento de la delegación</t>
        </is>
      </c>
      <c r="Q4" s="69"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inlineStr">
        <is>
          <t>Macroactividad</t>
        </is>
      </c>
      <c r="C5" s="58" t="inlineStr">
        <is>
          <t>Riesgo Crediticio</t>
        </is>
      </c>
      <c r="D5" s="58" t="n"/>
      <c r="E5" s="59" t="n">
        <v>46296</v>
      </c>
      <c r="F5" s="59">
        <f>IF(N($AQ5)&gt;0,INDEX(rLim_ADM,$AQ5),"")</f>
        <v/>
      </c>
      <c r="G5" s="59" t="n"/>
      <c r="H5" s="60" t="n"/>
      <c r="I5" s="60">
        <f>IF(N($W5)=0,"",IF(AND($S5=MesCiclo,1&gt;SemanaActual),"",MIN(1,SUMIFS(OFFSET($A$1,ROW(),29,1000-ROW(),1),OFFSET($A$1,ROW(),20,1000-ROW(),1),ROW(),OFFSET($A$1,ROW(),21,1000-ROW(),1),"Sub"))))</f>
        <v/>
      </c>
      <c r="J5" s="60">
        <f>IF(N($W5)=0,"",IF(AND($S5=MesCiclo,2&gt;SemanaActual),"",MIN(1,SUMIFS(OFFSET($A$1,ROW(),30,1000-ROW(),1),OFFSET($A$1,ROW(),20,1000-ROW(),1),ROW(),OFFSET($A$1,ROW(),21,1000-ROW(),1),"Sub"))))</f>
        <v/>
      </c>
      <c r="K5" s="60">
        <f>IF(N($W5)=0,"",IF(AND($S5=MesCiclo,3&gt;SemanaActual),"",MIN(1,SUMIFS(OFFSET($A$1,ROW(),31,1000-ROW(),1),OFFSET($A$1,ROW(),20,1000-ROW(),1),ROW(),OFFSET($A$1,ROW(),21,1000-ROW(),1),"Sub"))))</f>
        <v/>
      </c>
      <c r="L5" s="60">
        <f>IF(N($W5)=0,"",IF(AND($S5=MesCiclo,4&gt;SemanaActual),"",MIN(1,SUMIFS(OFFSET($A$1,ROW(),32,1000-ROW(),1),OFFSET($A$1,ROW(),20,1000-ROW(),1),ROW(),OFFSET($A$1,ROW(),21,1000-ROW(),1),"Sub"))))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IF($V5&lt;&gt;"Sub","",N($X5)*IF(AND(ISNUMBER($G5),$G5&lt;=IF($S5=MesCiclo,InicioCiclo,$S5+MOD(2-WEEKDAY($S5),7))+6),1,MIN(1,MAX(0,IF(ISNUMBER(OFFSET($A$1,ROW()-1,8)),OFFSET($A$1,ROW()-1,8),0)))))</f>
        <v/>
      </c>
      <c r="AE5" s="62">
        <f>IF($V5&lt;&gt;"Sub","",N($X5)*IF(AND(ISNUMBER($G5),$G5&lt;=IF($S5=MesCiclo,InicioCiclo,$S5+MOD(2-WEEKDAY($S5),7))+13),1,MIN(1,MAX(0,IF(ISNUMBER(OFFSET($A$1,ROW()-1,9)),OFFSET($A$1,ROW()-1,9),IF(ISNUMBER(OFFSET($A$1,ROW()-1,8)),OFFSET($A$1,ROW()-1,8),0))))))</f>
        <v/>
      </c>
      <c r="AF5" s="62">
        <f>IF($V5&lt;&gt;"Sub","",N($X5)*IF(AND(ISNUMBER($G5),$G5&lt;=IF($S5=MesCiclo,InicioCiclo,$S5+MOD(2-WEEKDAY($S5),7))+20),1,MIN(1,MAX(0,IF(ISNUMBER(OFFSET($A$1,ROW()-1,10)),OFFSET($A$1,ROW()-1,10),IF(ISNUMBER(OFFSET($A$1,ROW()-1,9)),OFFSET($A$1,ROW()-1,9),IF(ISNUMBER(OFFSET($A$1,ROW()-1,8)),OFFSET($A$1,ROW()-1,8),0)))))))</f>
        <v/>
      </c>
      <c r="AG5" s="62">
        <f>IF($V5&lt;&gt;"Sub","",N($X5)*IF(AND(ISNUMBER($G5),$G5&lt;=IF($S5=MesCiclo,InicioCiclo,$S5+MOD(2-WEEKDAY($S5),7))+27),1,MIN(1,MAX(0,IF(ISNUMBER(OFFSET($A$1,ROW()-1,11)),OFFSET($A$1,ROW()-1,11),IF(ISNUMBER(OFFSET($A$1,ROW()-1,10)),OFFSET($A$1,ROW()-1,10),IF(ISNUMBER(OFFSET($A$1,ROW()-1,9)),OFFSET($A$1,ROW()-1,9),IF(ISNUMBER(OFFSET($A$1,ROW()-1,8)),OFFSET($A$1,ROW()-1,8),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",IFERROR(MATCH("Riesgo Financiero|"&amp;MID($C5,12,500),rDname_ADM,0),0),"")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inlineStr">
        <is>
          <t>Subactividad</t>
        </is>
      </c>
      <c r="C6" s="58" t="inlineStr">
        <is>
          <t>Elaboración de informe para el Comité de Riesgos sobre modelos de medición del riesgo crediticio: pérdidas esperadas, matrices de transición, modelo de cosechas, etc.</t>
        </is>
      </c>
      <c r="D6" s="58" t="n"/>
      <c r="E6" s="59" t="n">
        <v>46296</v>
      </c>
      <c r="F6" s="59">
        <f>IF(N($AQ6)&gt;0,INDEX(rLim_ADM,$AQ6),"")</f>
        <v/>
      </c>
      <c r="G6" s="59" t="n"/>
      <c r="H6" s="60" t="n"/>
      <c r="I6" s="60">
        <f>IF(N($W6)=0,"",IF(AND($S6=MesCiclo,1&gt;SemanaActual),"",MIN(1,SUMIFS(OFFSET($A$1,ROW(),29,1000-ROW(),1),OFFSET($A$1,ROW(),20,1000-ROW(),1),ROW(),OFFSET($A$1,ROW(),21,1000-ROW(),1),"Sub"))))</f>
        <v/>
      </c>
      <c r="J6" s="60" t="n">
        <v>0.6</v>
      </c>
      <c r="K6" s="60">
        <f>IF(N($W6)=0,"",IF(AND($S6=MesCiclo,3&gt;SemanaActual),"",MIN(1,SUMIFS(OFFSET($A$1,ROW(),31,1000-ROW(),1),OFFSET($A$1,ROW(),20,1000-ROW(),1),ROW(),OFFSET($A$1,ROW(),21,1000-ROW(),1),"Sub"))))</f>
        <v/>
      </c>
      <c r="L6" s="60">
        <f>IF(N($W6)=0,"",IF(AND($S6=MesCiclo,4&gt;SemanaActual),"",MIN(1,SUMIFS(OFFSET($A$1,ROW(),32,1000-ROW(),1),OFFSET($A$1,ROW(),20,1000-ROW(),1),ROW(),OFFSET($A$1,ROW(),21,1000-ROW(),1),"Sub"))))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IF($V6&lt;&gt;"Sub","",N($X6)*IF(AND(ISNUMBER($G6),$G6&lt;=IF($S6=MesCiclo,InicioCiclo,$S6+MOD(2-WEEKDAY($S6),7))+6),1,MIN(1,MAX(0,IF(ISNUMBER(OFFSET($A$1,ROW()-1,8)),OFFSET($A$1,ROW()-1,8),0)))))</f>
        <v/>
      </c>
      <c r="AE6" s="62">
        <f>IF($V6&lt;&gt;"Sub","",N($X6)*IF(AND(ISNUMBER($G6),$G6&lt;=IF($S6=MesCiclo,InicioCiclo,$S6+MOD(2-WEEKDAY($S6),7))+13),1,MIN(1,MAX(0,IF(ISNUMBER(OFFSET($A$1,ROW()-1,9)),OFFSET($A$1,ROW()-1,9),IF(ISNUMBER(OFFSET($A$1,ROW()-1,8)),OFFSET($A$1,ROW()-1,8),0))))))</f>
        <v/>
      </c>
      <c r="AF6" s="62">
        <f>IF($V6&lt;&gt;"Sub","",N($X6)*IF(AND(ISNUMBER($G6),$G6&lt;=IF($S6=MesCiclo,InicioCiclo,$S6+MOD(2-WEEKDAY($S6),7))+20),1,MIN(1,MAX(0,IF(ISNUMBER(OFFSET($A$1,ROW()-1,10)),OFFSET($A$1,ROW()-1,10),IF(ISNUMBER(OFFSET($A$1,ROW()-1,9)),OFFSET($A$1,ROW()-1,9),IF(ISNUMBER(OFFSET($A$1,ROW()-1,8)),OFFSET($A$1,ROW()-1,8),0)))))))</f>
        <v/>
      </c>
      <c r="AG6" s="62">
        <f>IF($V6&lt;&gt;"Sub","",N($X6)*IF(AND(ISNUMBER($G6),$G6&lt;=IF($S6=MesCiclo,InicioCiclo,$S6+MOD(2-WEEKDAY($S6),7))+27),1,MIN(1,MAX(0,IF(ISNUMBER(OFFSET($A$1,ROW()-1,11)),OFFSET($A$1,ROW()-1,11),IF(ISNUMBER(OFFSET($A$1,ROW()-1,10)),OFFSET($A$1,ROW()-1,10),IF(ISNUMBER(OFFSET($A$1,ROW()-1,9)),OFFSET($A$1,ROW()-1,9),IF(ISNUMBER(OFFSET($A$1,ROW()-1,8)),OFFSET($A$1,ROW()-1,8),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",IFERROR(MATCH("Riesgo Financiero|"&amp;MID($C6,12,500),rDname_ADM,0),0),"")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inlineStr">
        <is>
          <t>Macroactividad</t>
        </is>
      </c>
      <c r="C7" s="58" t="inlineStr">
        <is>
          <t>Riesgo de Liquidez y Mercado</t>
        </is>
      </c>
      <c r="D7" s="58" t="n"/>
      <c r="E7" s="59" t="n">
        <v>46296</v>
      </c>
      <c r="F7" s="59">
        <f>IF(N($AQ7)&gt;0,INDEX(rLim_ADM,$AQ7),"")</f>
        <v/>
      </c>
      <c r="G7" s="59" t="n"/>
      <c r="H7" s="60" t="n"/>
      <c r="I7" s="60">
        <f>IF(N($W7)=0,"",IF(AND($S7=MesCiclo,1&gt;SemanaActual),"",MIN(1,SUMIFS(OFFSET($A$1,ROW(),29,1000-ROW(),1),OFFSET($A$1,ROW(),20,1000-ROW(),1),ROW(),OFFSET($A$1,ROW(),21,1000-ROW(),1),"Sub"))))</f>
        <v/>
      </c>
      <c r="J7" s="60">
        <f>IF(N($W7)=0,"",IF(AND($S7=MesCiclo,2&gt;SemanaActual),"",MIN(1,SUMIFS(OFFSET($A$1,ROW(),30,1000-ROW(),1),OFFSET($A$1,ROW(),20,1000-ROW(),1),ROW(),OFFSET($A$1,ROW(),21,1000-ROW(),1),"Sub"))))</f>
        <v/>
      </c>
      <c r="K7" s="60">
        <f>IF(N($W7)=0,"",IF(AND($S7=MesCiclo,3&gt;SemanaActual),"",MIN(1,SUMIFS(OFFSET($A$1,ROW(),31,1000-ROW(),1),OFFSET($A$1,ROW(),20,1000-ROW(),1),ROW(),OFFSET($A$1,ROW(),21,1000-ROW(),1),"Sub"))))</f>
        <v/>
      </c>
      <c r="L7" s="60">
        <f>IF(N($W7)=0,"",IF(AND($S7=MesCiclo,4&gt;SemanaActual),"",MIN(1,SUMIFS(OFFSET($A$1,ROW(),32,1000-ROW(),1),OFFSET($A$1,ROW(),20,1000-ROW(),1),ROW(),OFFSET($A$1,ROW(),21,1000-ROW(),1),"Sub"))))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IF($V7&lt;&gt;"Sub","",N($X7)*IF(AND(ISNUMBER($G7),$G7&lt;=IF($S7=MesCiclo,InicioCiclo,$S7+MOD(2-WEEKDAY($S7),7))+6),1,MIN(1,MAX(0,IF(ISNUMBER(OFFSET($A$1,ROW()-1,8)),OFFSET($A$1,ROW()-1,8),0)))))</f>
        <v/>
      </c>
      <c r="AE7" s="62">
        <f>IF($V7&lt;&gt;"Sub","",N($X7)*IF(AND(ISNUMBER($G7),$G7&lt;=IF($S7=MesCiclo,InicioCiclo,$S7+MOD(2-WEEKDAY($S7),7))+13),1,MIN(1,MAX(0,IF(ISNUMBER(OFFSET($A$1,ROW()-1,9)),OFFSET($A$1,ROW()-1,9),IF(ISNUMBER(OFFSET($A$1,ROW()-1,8)),OFFSET($A$1,ROW()-1,8),0))))))</f>
        <v/>
      </c>
      <c r="AF7" s="62">
        <f>IF($V7&lt;&gt;"Sub","",N($X7)*IF(AND(ISNUMBER($G7),$G7&lt;=IF($S7=MesCiclo,InicioCiclo,$S7+MOD(2-WEEKDAY($S7),7))+20),1,MIN(1,MAX(0,IF(ISNUMBER(OFFSET($A$1,ROW()-1,10)),OFFSET($A$1,ROW()-1,10),IF(ISNUMBER(OFFSET($A$1,ROW()-1,9)),OFFSET($A$1,ROW()-1,9),IF(ISNUMBER(OFFSET($A$1,ROW()-1,8)),OFFSET($A$1,ROW()-1,8),0)))))))</f>
        <v/>
      </c>
      <c r="AG7" s="62">
        <f>IF($V7&lt;&gt;"Sub","",N($X7)*IF(AND(ISNUMBER($G7),$G7&lt;=IF($S7=MesCiclo,InicioCiclo,$S7+MOD(2-WEEKDAY($S7),7))+27),1,MIN(1,MAX(0,IF(ISNUMBER(OFFSET($A$1,ROW()-1,11)),OFFSET($A$1,ROW()-1,11),IF(ISNUMBER(OFFSET($A$1,ROW()-1,10)),OFFSET($A$1,ROW()-1,10),IF(ISNUMBER(OFFSET($A$1,ROW()-1,9)),OFFSET($A$1,ROW()-1,9),IF(ISNUMBER(OFFSET($A$1,ROW()-1,8)),OFFSET($A$1,ROW()-1,8),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",IFERROR(MATCH("Riesgo Financiero|"&amp;MID($C7,12,500),rDname_ADM,0),0),"")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inlineStr">
        <is>
          <t>Subactividad</t>
        </is>
      </c>
      <c r="C8" s="58" t="inlineStr">
        <is>
          <t>Elaboración de informe para el Comité de Riesgos sobre modelos de medición del riesgo de mercado y de liquidez: volatilidad de las captaciones y tasas de interés, etc.</t>
        </is>
      </c>
      <c r="D8" s="58" t="n"/>
      <c r="E8" s="59" t="n">
        <v>46296</v>
      </c>
      <c r="F8" s="59">
        <f>IF(N($AQ8)&gt;0,INDEX(rLim_ADM,$AQ8),"")</f>
        <v/>
      </c>
      <c r="G8" s="59" t="n"/>
      <c r="H8" s="60" t="n"/>
      <c r="I8" s="60">
        <f>IF(N($W8)=0,"",IF(AND($S8=MesCiclo,1&gt;SemanaActual),"",MIN(1,SUMIFS(OFFSET($A$1,ROW(),29,1000-ROW(),1),OFFSET($A$1,ROW(),20,1000-ROW(),1),ROW(),OFFSET($A$1,ROW(),21,1000-ROW(),1),"Sub"))))</f>
        <v/>
      </c>
      <c r="J8" s="60" t="n">
        <v>0.6</v>
      </c>
      <c r="K8" s="60">
        <f>IF(N($W8)=0,"",IF(AND($S8=MesCiclo,3&gt;SemanaActual),"",MIN(1,SUMIFS(OFFSET($A$1,ROW(),31,1000-ROW(),1),OFFSET($A$1,ROW(),20,1000-ROW(),1),ROW(),OFFSET($A$1,ROW(),21,1000-ROW(),1),"Sub"))))</f>
        <v/>
      </c>
      <c r="L8" s="60">
        <f>IF(N($W8)=0,"",IF(AND($S8=MesCiclo,4&gt;SemanaActual),"",MIN(1,SUMIFS(OFFSET($A$1,ROW(),32,1000-ROW(),1),OFFSET($A$1,ROW(),20,1000-ROW(),1),ROW(),OFFSET($A$1,ROW(),21,1000-ROW(),1),"Sub"))))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IF($V8&lt;&gt;"Sub","",N($X8)*IF(AND(ISNUMBER($G8),$G8&lt;=IF($S8=MesCiclo,InicioCiclo,$S8+MOD(2-WEEKDAY($S8),7))+6),1,MIN(1,MAX(0,IF(ISNUMBER(OFFSET($A$1,ROW()-1,8)),OFFSET($A$1,ROW()-1,8),0)))))</f>
        <v/>
      </c>
      <c r="AE8" s="62">
        <f>IF($V8&lt;&gt;"Sub","",N($X8)*IF(AND(ISNUMBER($G8),$G8&lt;=IF($S8=MesCiclo,InicioCiclo,$S8+MOD(2-WEEKDAY($S8),7))+13),1,MIN(1,MAX(0,IF(ISNUMBER(OFFSET($A$1,ROW()-1,9)),OFFSET($A$1,ROW()-1,9),IF(ISNUMBER(OFFSET($A$1,ROW()-1,8)),OFFSET($A$1,ROW()-1,8),0))))))</f>
        <v/>
      </c>
      <c r="AF8" s="62">
        <f>IF($V8&lt;&gt;"Sub","",N($X8)*IF(AND(ISNUMBER($G8),$G8&lt;=IF($S8=MesCiclo,InicioCiclo,$S8+MOD(2-WEEKDAY($S8),7))+20),1,MIN(1,MAX(0,IF(ISNUMBER(OFFSET($A$1,ROW()-1,10)),OFFSET($A$1,ROW()-1,10),IF(ISNUMBER(OFFSET($A$1,ROW()-1,9)),OFFSET($A$1,ROW()-1,9),IF(ISNUMBER(OFFSET($A$1,ROW()-1,8)),OFFSET($A$1,ROW()-1,8),0)))))))</f>
        <v/>
      </c>
      <c r="AG8" s="62">
        <f>IF($V8&lt;&gt;"Sub","",N($X8)*IF(AND(ISNUMBER($G8),$G8&lt;=IF($S8=MesCiclo,InicioCiclo,$S8+MOD(2-WEEKDAY($S8),7))+27),1,MIN(1,MAX(0,IF(ISNUMBER(OFFSET($A$1,ROW()-1,11)),OFFSET($A$1,ROW()-1,11),IF(ISNUMBER(OFFSET($A$1,ROW()-1,10)),OFFSET($A$1,ROW()-1,10),IF(ISNUMBER(OFFSET($A$1,ROW()-1,9)),OFFSET($A$1,ROW()-1,9),IF(ISNUMBER(OFFSET($A$1,ROW()-1,8)),OFFSET($A$1,ROW()-1,8),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",IFERROR(MATCH("Riesgo Financiero|"&amp;MID($C8,12,500),rDname_ADM,0),0),"")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inlineStr">
        <is>
          <t>Subactividad</t>
        </is>
      </c>
      <c r="C9" s="58" t="inlineStr">
        <is>
          <t>Envío a la SSF del anexo 03 de la normativa NRP-05</t>
        </is>
      </c>
      <c r="D9" s="58" t="n"/>
      <c r="E9" s="59" t="n">
        <v>46296</v>
      </c>
      <c r="F9" s="59">
        <f>IF(N($AQ9)&gt;0,INDEX(rLim_ADM,$AQ9),"")</f>
        <v/>
      </c>
      <c r="G9" s="59" t="n"/>
      <c r="H9" s="60" t="n"/>
      <c r="I9" s="60">
        <f>IF(N($W9)=0,"",IF(AND($S9=MesCiclo,1&gt;SemanaActual),"",MIN(1,SUMIFS(OFFSET($A$1,ROW(),29,1000-ROW(),1),OFFSET($A$1,ROW(),20,1000-ROW(),1),ROW(),OFFSET($A$1,ROW(),21,1000-ROW(),1),"Sub"))))</f>
        <v/>
      </c>
      <c r="J9" s="60" t="n">
        <v>0.05</v>
      </c>
      <c r="K9" s="60">
        <f>IF(N($W9)=0,"",IF(AND($S9=MesCiclo,3&gt;SemanaActual),"",MIN(1,SUMIFS(OFFSET($A$1,ROW(),31,1000-ROW(),1),OFFSET($A$1,ROW(),20,1000-ROW(),1),ROW(),OFFSET($A$1,ROW(),21,1000-ROW(),1),"Sub"))))</f>
        <v/>
      </c>
      <c r="L9" s="60">
        <f>IF(N($W9)=0,"",IF(AND($S9=MesCiclo,4&gt;SemanaActual),"",MIN(1,SUMIFS(OFFSET($A$1,ROW(),32,1000-ROW(),1),OFFSET($A$1,ROW(),20,1000-ROW(),1),ROW(),OFFSET($A$1,ROW(),21,1000-ROW(),1),"Sub"))))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IF($V9&lt;&gt;"Sub","",N($X9)*IF(AND(ISNUMBER($G9),$G9&lt;=IF($S9=MesCiclo,InicioCiclo,$S9+MOD(2-WEEKDAY($S9),7))+6),1,MIN(1,MAX(0,IF(ISNUMBER(OFFSET($A$1,ROW()-1,8)),OFFSET($A$1,ROW()-1,8),0)))))</f>
        <v/>
      </c>
      <c r="AE9" s="62">
        <f>IF($V9&lt;&gt;"Sub","",N($X9)*IF(AND(ISNUMBER($G9),$G9&lt;=IF($S9=MesCiclo,InicioCiclo,$S9+MOD(2-WEEKDAY($S9),7))+13),1,MIN(1,MAX(0,IF(ISNUMBER(OFFSET($A$1,ROW()-1,9)),OFFSET($A$1,ROW()-1,9),IF(ISNUMBER(OFFSET($A$1,ROW()-1,8)),OFFSET($A$1,ROW()-1,8),0))))))</f>
        <v/>
      </c>
      <c r="AF9" s="62">
        <f>IF($V9&lt;&gt;"Sub","",N($X9)*IF(AND(ISNUMBER($G9),$G9&lt;=IF($S9=MesCiclo,InicioCiclo,$S9+MOD(2-WEEKDAY($S9),7))+20),1,MIN(1,MAX(0,IF(ISNUMBER(OFFSET($A$1,ROW()-1,10)),OFFSET($A$1,ROW()-1,10),IF(ISNUMBER(OFFSET($A$1,ROW()-1,9)),OFFSET($A$1,ROW()-1,9),IF(ISNUMBER(OFFSET($A$1,ROW()-1,8)),OFFSET($A$1,ROW()-1,8),0)))))))</f>
        <v/>
      </c>
      <c r="AG9" s="62">
        <f>IF($V9&lt;&gt;"Sub","",N($X9)*IF(AND(ISNUMBER($G9),$G9&lt;=IF($S9=MesCiclo,InicioCiclo,$S9+MOD(2-WEEKDAY($S9),7))+27),1,MIN(1,MAX(0,IF(ISNUMBER(OFFSET($A$1,ROW()-1,11)),OFFSET($A$1,ROW()-1,11),IF(ISNUMBER(OFFSET($A$1,ROW()-1,10)),OFFSET($A$1,ROW()-1,10),IF(ISNUMBER(OFFSET($A$1,ROW()-1,9)),OFFSET($A$1,ROW()-1,9),IF(ISNUMBER(OFFSET($A$1,ROW()-1,8)),OFFSET($A$1,ROW()-1,8),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",IFERROR(MATCH("Riesgo Financiero|"&amp;MID($C9,12,500),rDname_ADM,0),0),"")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inlineStr">
        <is>
          <t>Subactividad</t>
        </is>
      </c>
      <c r="C10" s="58" t="inlineStr">
        <is>
          <t>Elaboración del informe sobre escenarios regulatorios del riesgo de liquidez</t>
        </is>
      </c>
      <c r="D10" s="58" t="n"/>
      <c r="E10" s="59" t="n">
        <v>46296</v>
      </c>
      <c r="F10" s="59">
        <f>IF(N($AQ10)&gt;0,INDEX(rLim_ADM,$AQ10),"")</f>
        <v/>
      </c>
      <c r="G10" s="59" t="n"/>
      <c r="H10" s="60" t="n"/>
      <c r="I10" s="60">
        <f>IF(N($W10)=0,"",IF(AND($S10=MesCiclo,1&gt;SemanaActual),"",MIN(1,SUMIFS(OFFSET($A$1,ROW(),29,1000-ROW(),1),OFFSET($A$1,ROW(),20,1000-ROW(),1),ROW(),OFFSET($A$1,ROW(),21,1000-ROW(),1),"Sub"))))</f>
        <v/>
      </c>
      <c r="J10" s="60" t="n">
        <v>0.05</v>
      </c>
      <c r="K10" s="60">
        <f>IF(N($W10)=0,"",IF(AND($S10=MesCiclo,3&gt;SemanaActual),"",MIN(1,SUMIFS(OFFSET($A$1,ROW(),31,1000-ROW(),1),OFFSET($A$1,ROW(),20,1000-ROW(),1),ROW(),OFFSET($A$1,ROW(),21,1000-ROW(),1),"Sub"))))</f>
        <v/>
      </c>
      <c r="L10" s="60">
        <f>IF(N($W10)=0,"",IF(AND($S10=MesCiclo,4&gt;SemanaActual),"",MIN(1,SUMIFS(OFFSET($A$1,ROW(),32,1000-ROW(),1),OFFSET($A$1,ROW(),20,1000-ROW(),1),ROW(),OFFSET($A$1,ROW(),21,1000-ROW(),1),"Sub"))))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IF($V10&lt;&gt;"Sub","",N($X10)*IF(AND(ISNUMBER($G10),$G10&lt;=IF($S10=MesCiclo,InicioCiclo,$S10+MOD(2-WEEKDAY($S10),7))+6),1,MIN(1,MAX(0,IF(ISNUMBER(OFFSET($A$1,ROW()-1,8)),OFFSET($A$1,ROW()-1,8),0)))))</f>
        <v/>
      </c>
      <c r="AE10" s="62">
        <f>IF($V10&lt;&gt;"Sub","",N($X10)*IF(AND(ISNUMBER($G10),$G10&lt;=IF($S10=MesCiclo,InicioCiclo,$S10+MOD(2-WEEKDAY($S10),7))+13),1,MIN(1,MAX(0,IF(ISNUMBER(OFFSET($A$1,ROW()-1,9)),OFFSET($A$1,ROW()-1,9),IF(ISNUMBER(OFFSET($A$1,ROW()-1,8)),OFFSET($A$1,ROW()-1,8),0))))))</f>
        <v/>
      </c>
      <c r="AF10" s="62">
        <f>IF($V10&lt;&gt;"Sub","",N($X10)*IF(AND(ISNUMBER($G10),$G10&lt;=IF($S10=MesCiclo,InicioCiclo,$S10+MOD(2-WEEKDAY($S10),7))+20),1,MIN(1,MAX(0,IF(ISNUMBER(OFFSET($A$1,ROW()-1,10)),OFFSET($A$1,ROW()-1,10),IF(ISNUMBER(OFFSET($A$1,ROW()-1,9)),OFFSET($A$1,ROW()-1,9),IF(ISNUMBER(OFFSET($A$1,ROW()-1,8)),OFFSET($A$1,ROW()-1,8),0)))))))</f>
        <v/>
      </c>
      <c r="AG10" s="62">
        <f>IF($V10&lt;&gt;"Sub","",N($X10)*IF(AND(ISNUMBER($G10),$G10&lt;=IF($S10=MesCiclo,InicioCiclo,$S10+MOD(2-WEEKDAY($S10),7))+27),1,MIN(1,MAX(0,IF(ISNUMBER(OFFSET($A$1,ROW()-1,11)),OFFSET($A$1,ROW()-1,11),IF(ISNUMBER(OFFSET($A$1,ROW()-1,10)),OFFSET($A$1,ROW()-1,10),IF(ISNUMBER(OFFSET($A$1,ROW()-1,9)),OFFSET($A$1,ROW()-1,9),IF(ISNUMBER(OFFSET($A$1,ROW()-1,8)),OFFSET($A$1,ROW()-1,8),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",IFERROR(MATCH("Riesgo Financiero|"&amp;MID($C10,12,500),rDname_ADM,0),0),"")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inlineStr">
        <is>
          <t>Macroactividad</t>
        </is>
      </c>
      <c r="C11" s="58" t="inlineStr">
        <is>
          <t>Activos de Riesgo</t>
        </is>
      </c>
      <c r="D11" s="58" t="n"/>
      <c r="E11" s="59" t="n">
        <v>46296</v>
      </c>
      <c r="F11" s="59">
        <f>IF(N($AQ11)&gt;0,INDEX(rLim_ADM,$AQ11),"")</f>
        <v/>
      </c>
      <c r="G11" s="59" t="n"/>
      <c r="H11" s="60" t="n"/>
      <c r="I11" s="60">
        <f>IF(N($W11)=0,"",IF(AND($S11=MesCiclo,1&gt;SemanaActual),"",MIN(1,SUMIFS(OFFSET($A$1,ROW(),29,1000-ROW(),1),OFFSET($A$1,ROW(),20,1000-ROW(),1),ROW(),OFFSET($A$1,ROW(),21,1000-ROW(),1),"Sub"))))</f>
        <v/>
      </c>
      <c r="J11" s="60">
        <f>IF(N($W11)=0,"",IF(AND($S11=MesCiclo,2&gt;SemanaActual),"",MIN(1,SUMIFS(OFFSET($A$1,ROW(),30,1000-ROW(),1),OFFSET($A$1,ROW(),20,1000-ROW(),1),ROW(),OFFSET($A$1,ROW(),21,1000-ROW(),1),"Sub"))))</f>
        <v/>
      </c>
      <c r="K11" s="60">
        <f>IF(N($W11)=0,"",IF(AND($S11=MesCiclo,3&gt;SemanaActual),"",MIN(1,SUMIFS(OFFSET($A$1,ROW(),31,1000-ROW(),1),OFFSET($A$1,ROW(),20,1000-ROW(),1),ROW(),OFFSET($A$1,ROW(),21,1000-ROW(),1),"Sub"))))</f>
        <v/>
      </c>
      <c r="L11" s="60">
        <f>IF(N($W11)=0,"",IF(AND($S11=MesCiclo,4&gt;SemanaActual),"",MIN(1,SUMIFS(OFFSET($A$1,ROW(),32,1000-ROW(),1),OFFSET($A$1,ROW(),20,1000-ROW(),1),ROW(),OFFSET($A$1,ROW(),21,1000-ROW(),1),"Sub"))))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IF($V11&lt;&gt;"Sub","",N($X11)*IF(AND(ISNUMBER($G11),$G11&lt;=IF($S11=MesCiclo,InicioCiclo,$S11+MOD(2-WEEKDAY($S11),7))+6),1,MIN(1,MAX(0,IF(ISNUMBER(OFFSET($A$1,ROW()-1,8)),OFFSET($A$1,ROW()-1,8),0)))))</f>
        <v/>
      </c>
      <c r="AE11" s="62">
        <f>IF($V11&lt;&gt;"Sub","",N($X11)*IF(AND(ISNUMBER($G11),$G11&lt;=IF($S11=MesCiclo,InicioCiclo,$S11+MOD(2-WEEKDAY($S11),7))+13),1,MIN(1,MAX(0,IF(ISNUMBER(OFFSET($A$1,ROW()-1,9)),OFFSET($A$1,ROW()-1,9),IF(ISNUMBER(OFFSET($A$1,ROW()-1,8)),OFFSET($A$1,ROW()-1,8),0))))))</f>
        <v/>
      </c>
      <c r="AF11" s="62">
        <f>IF($V11&lt;&gt;"Sub","",N($X11)*IF(AND(ISNUMBER($G11),$G11&lt;=IF($S11=MesCiclo,InicioCiclo,$S11+MOD(2-WEEKDAY($S11),7))+20),1,MIN(1,MAX(0,IF(ISNUMBER(OFFSET($A$1,ROW()-1,10)),OFFSET($A$1,ROW()-1,10),IF(ISNUMBER(OFFSET($A$1,ROW()-1,9)),OFFSET($A$1,ROW()-1,9),IF(ISNUMBER(OFFSET($A$1,ROW()-1,8)),OFFSET($A$1,ROW()-1,8),0)))))))</f>
        <v/>
      </c>
      <c r="AG11" s="62">
        <f>IF($V11&lt;&gt;"Sub","",N($X11)*IF(AND(ISNUMBER($G11),$G11&lt;=IF($S11=MesCiclo,InicioCiclo,$S11+MOD(2-WEEKDAY($S11),7))+27),1,MIN(1,MAX(0,IF(ISNUMBER(OFFSET($A$1,ROW()-1,11)),OFFSET($A$1,ROW()-1,11),IF(ISNUMBER(OFFSET($A$1,ROW()-1,10)),OFFSET($A$1,ROW()-1,10),IF(ISNUMBER(OFFSET($A$1,ROW()-1,9)),OFFSET($A$1,ROW()-1,9),IF(ISNUMBER(OFFSET($A$1,ROW()-1,8)),OFFSET($A$1,ROW()-1,8),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",IFERROR(MATCH("Riesgo Financiero|"&amp;MID($C11,12,500),rDname_ADM,0),0),"")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inlineStr">
        <is>
          <t>Subactividad</t>
        </is>
      </c>
      <c r="C12" s="58" t="inlineStr">
        <is>
          <t>Envíos regulatorios de la normativa NCB-022</t>
        </is>
      </c>
      <c r="D12" s="58" t="n"/>
      <c r="E12" s="59" t="n">
        <v>46296</v>
      </c>
      <c r="F12" s="59">
        <f>IF(N($AQ12)&gt;0,INDEX(rLim_ADM,$AQ12),"")</f>
        <v/>
      </c>
      <c r="G12" s="59" t="n"/>
      <c r="H12" s="60" t="n"/>
      <c r="I12" s="60">
        <f>IF(N($W12)=0,"",IF(AND($S12=MesCiclo,1&gt;SemanaActual),"",MIN(1,SUMIFS(OFFSET($A$1,ROW(),29,1000-ROW(),1),OFFSET($A$1,ROW(),20,1000-ROW(),1),ROW(),OFFSET($A$1,ROW(),21,1000-ROW(),1),"Sub"))))</f>
        <v/>
      </c>
      <c r="J12" s="60" t="n">
        <v>1</v>
      </c>
      <c r="K12" s="60">
        <f>IF(N($W12)=0,"",IF(AND($S12=MesCiclo,3&gt;SemanaActual),"",MIN(1,SUMIFS(OFFSET($A$1,ROW(),31,1000-ROW(),1),OFFSET($A$1,ROW(),20,1000-ROW(),1),ROW(),OFFSET($A$1,ROW(),21,1000-ROW(),1),"Sub"))))</f>
        <v/>
      </c>
      <c r="L12" s="60">
        <f>IF(N($W12)=0,"",IF(AND($S12=MesCiclo,4&gt;SemanaActual),"",MIN(1,SUMIFS(OFFSET($A$1,ROW(),32,1000-ROW(),1),OFFSET($A$1,ROW(),20,1000-ROW(),1),ROW(),OFFSET($A$1,ROW(),21,1000-ROW(),1),"Sub"))))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IF($V12&lt;&gt;"Sub","",N($X12)*IF(AND(ISNUMBER($G12),$G12&lt;=IF($S12=MesCiclo,InicioCiclo,$S12+MOD(2-WEEKDAY($S12),7))+6),1,MIN(1,MAX(0,IF(ISNUMBER(OFFSET($A$1,ROW()-1,8)),OFFSET($A$1,ROW()-1,8),0)))))</f>
        <v/>
      </c>
      <c r="AE12" s="62">
        <f>IF($V12&lt;&gt;"Sub","",N($X12)*IF(AND(ISNUMBER($G12),$G12&lt;=IF($S12=MesCiclo,InicioCiclo,$S12+MOD(2-WEEKDAY($S12),7))+13),1,MIN(1,MAX(0,IF(ISNUMBER(OFFSET($A$1,ROW()-1,9)),OFFSET($A$1,ROW()-1,9),IF(ISNUMBER(OFFSET($A$1,ROW()-1,8)),OFFSET($A$1,ROW()-1,8),0))))))</f>
        <v/>
      </c>
      <c r="AF12" s="62">
        <f>IF($V12&lt;&gt;"Sub","",N($X12)*IF(AND(ISNUMBER($G12),$G12&lt;=IF($S12=MesCiclo,InicioCiclo,$S12+MOD(2-WEEKDAY($S12),7))+20),1,MIN(1,MAX(0,IF(ISNUMBER(OFFSET($A$1,ROW()-1,10)),OFFSET($A$1,ROW()-1,10),IF(ISNUMBER(OFFSET($A$1,ROW()-1,9)),OFFSET($A$1,ROW()-1,9),IF(ISNUMBER(OFFSET($A$1,ROW()-1,8)),OFFSET($A$1,ROW()-1,8),0)))))))</f>
        <v/>
      </c>
      <c r="AG12" s="62">
        <f>IF($V12&lt;&gt;"Sub","",N($X12)*IF(AND(ISNUMBER($G12),$G12&lt;=IF($S12=MesCiclo,InicioCiclo,$S12+MOD(2-WEEKDAY($S12),7))+27),1,MIN(1,MAX(0,IF(ISNUMBER(OFFSET($A$1,ROW()-1,11)),OFFSET($A$1,ROW()-1,11),IF(ISNUMBER(OFFSET($A$1,ROW()-1,10)),OFFSET($A$1,ROW()-1,10),IF(ISNUMBER(OFFSET($A$1,ROW()-1,9)),OFFSET($A$1,ROW()-1,9),IF(ISNUMBER(OFFSET($A$1,ROW()-1,8)),OFFSET($A$1,ROW()-1,8),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",IFERROR(MATCH("Riesgo Financiero|"&amp;MID($C12,12,500),rDname_ADM,0),0),"")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inlineStr">
        <is>
          <t>Subactividad</t>
        </is>
      </c>
      <c r="C13" s="58" t="inlineStr">
        <is>
          <t>Envío de información a la Central de Riesgo (NRP-41)</t>
        </is>
      </c>
      <c r="D13" s="58" t="n"/>
      <c r="E13" s="59" t="n">
        <v>46296</v>
      </c>
      <c r="F13" s="59">
        <f>IF(N($AQ13)&gt;0,INDEX(rLim_ADM,$AQ13),"")</f>
        <v/>
      </c>
      <c r="G13" s="59" t="n"/>
      <c r="H13" s="60" t="n"/>
      <c r="I13" s="60">
        <f>IF(N($W13)=0,"",IF(AND($S13=MesCiclo,1&gt;SemanaActual),"",MIN(1,SUMIFS(OFFSET($A$1,ROW(),29,1000-ROW(),1),OFFSET($A$1,ROW(),20,1000-ROW(),1),ROW(),OFFSET($A$1,ROW(),21,1000-ROW(),1),"Sub"))))</f>
        <v/>
      </c>
      <c r="J13" s="60" t="n">
        <v>1</v>
      </c>
      <c r="K13" s="60">
        <f>IF(N($W13)=0,"",IF(AND($S13=MesCiclo,3&gt;SemanaActual),"",MIN(1,SUMIFS(OFFSET($A$1,ROW(),31,1000-ROW(),1),OFFSET($A$1,ROW(),20,1000-ROW(),1),ROW(),OFFSET($A$1,ROW(),21,1000-ROW(),1),"Sub"))))</f>
        <v/>
      </c>
      <c r="L13" s="60">
        <f>IF(N($W13)=0,"",IF(AND($S13=MesCiclo,4&gt;SemanaActual),"",MIN(1,SUMIFS(OFFSET($A$1,ROW(),32,1000-ROW(),1),OFFSET($A$1,ROW(),20,1000-ROW(),1),ROW(),OFFSET($A$1,ROW(),21,1000-ROW(),1),"Sub"))))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IF($V13&lt;&gt;"Sub","",N($X13)*IF(AND(ISNUMBER($G13),$G13&lt;=IF($S13=MesCiclo,InicioCiclo,$S13+MOD(2-WEEKDAY($S13),7))+6),1,MIN(1,MAX(0,IF(ISNUMBER(OFFSET($A$1,ROW()-1,8)),OFFSET($A$1,ROW()-1,8),0)))))</f>
        <v/>
      </c>
      <c r="AE13" s="62">
        <f>IF($V13&lt;&gt;"Sub","",N($X13)*IF(AND(ISNUMBER($G13),$G13&lt;=IF($S13=MesCiclo,InicioCiclo,$S13+MOD(2-WEEKDAY($S13),7))+13),1,MIN(1,MAX(0,IF(ISNUMBER(OFFSET($A$1,ROW()-1,9)),OFFSET($A$1,ROW()-1,9),IF(ISNUMBER(OFFSET($A$1,ROW()-1,8)),OFFSET($A$1,ROW()-1,8),0))))))</f>
        <v/>
      </c>
      <c r="AF13" s="62">
        <f>IF($V13&lt;&gt;"Sub","",N($X13)*IF(AND(ISNUMBER($G13),$G13&lt;=IF($S13=MesCiclo,InicioCiclo,$S13+MOD(2-WEEKDAY($S13),7))+20),1,MIN(1,MAX(0,IF(ISNUMBER(OFFSET($A$1,ROW()-1,10)),OFFSET($A$1,ROW()-1,10),IF(ISNUMBER(OFFSET($A$1,ROW()-1,9)),OFFSET($A$1,ROW()-1,9),IF(ISNUMBER(OFFSET($A$1,ROW()-1,8)),OFFSET($A$1,ROW()-1,8),0)))))))</f>
        <v/>
      </c>
      <c r="AG13" s="62">
        <f>IF($V13&lt;&gt;"Sub","",N($X13)*IF(AND(ISNUMBER($G13),$G13&lt;=IF($S13=MesCiclo,InicioCiclo,$S13+MOD(2-WEEKDAY($S13),7))+27),1,MIN(1,MAX(0,IF(ISNUMBER(OFFSET($A$1,ROW()-1,11)),OFFSET($A$1,ROW()-1,11),IF(ISNUMBER(OFFSET($A$1,ROW()-1,10)),OFFSET($A$1,ROW()-1,10),IF(ISNUMBER(OFFSET($A$1,ROW()-1,9)),OFFSET($A$1,ROW()-1,9),IF(ISNUMBER(OFFSET($A$1,ROW()-1,8)),OFFSET($A$1,ROW()-1,8),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",IFERROR(MATCH("Riesgo Financiero|"&amp;MID($C13,12,500),rDname_ADM,0),0),"")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inlineStr">
        <is>
          <t>Subactividad</t>
        </is>
      </c>
      <c r="C14" s="58" t="inlineStr">
        <is>
          <t>Envío a la SSF del archivo CTRI-RECR (recuperaciones de activos de riesgo)</t>
        </is>
      </c>
      <c r="D14" s="58" t="n"/>
      <c r="E14" s="59" t="n">
        <v>46296</v>
      </c>
      <c r="F14" s="59">
        <f>IF(N($AQ14)&gt;0,INDEX(rLim_ADM,$AQ14),"")</f>
        <v/>
      </c>
      <c r="G14" s="59" t="n"/>
      <c r="H14" s="60" t="n"/>
      <c r="I14" s="60">
        <f>IF(N($W14)=0,"",IF(AND($S14=MesCiclo,1&gt;SemanaActual),"",MIN(1,SUMIFS(OFFSET($A$1,ROW(),29,1000-ROW(),1),OFFSET($A$1,ROW(),20,1000-ROW(),1),ROW(),OFFSET($A$1,ROW(),21,1000-ROW(),1),"Sub"))))</f>
        <v/>
      </c>
      <c r="J14" s="60" t="n">
        <v>1</v>
      </c>
      <c r="K14" s="60">
        <f>IF(N($W14)=0,"",IF(AND($S14=MesCiclo,3&gt;SemanaActual),"",MIN(1,SUMIFS(OFFSET($A$1,ROW(),31,1000-ROW(),1),OFFSET($A$1,ROW(),20,1000-ROW(),1),ROW(),OFFSET($A$1,ROW(),21,1000-ROW(),1),"Sub"))))</f>
        <v/>
      </c>
      <c r="L14" s="60">
        <f>IF(N($W14)=0,"",IF(AND($S14=MesCiclo,4&gt;SemanaActual),"",MIN(1,SUMIFS(OFFSET($A$1,ROW(),32,1000-ROW(),1),OFFSET($A$1,ROW(),20,1000-ROW(),1),ROW(),OFFSET($A$1,ROW(),21,1000-ROW(),1),"Sub"))))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IF($V14&lt;&gt;"Sub","",N($X14)*IF(AND(ISNUMBER($G14),$G14&lt;=IF($S14=MesCiclo,InicioCiclo,$S14+MOD(2-WEEKDAY($S14),7))+6),1,MIN(1,MAX(0,IF(ISNUMBER(OFFSET($A$1,ROW()-1,8)),OFFSET($A$1,ROW()-1,8),0)))))</f>
        <v/>
      </c>
      <c r="AE14" s="62">
        <f>IF($V14&lt;&gt;"Sub","",N($X14)*IF(AND(ISNUMBER($G14),$G14&lt;=IF($S14=MesCiclo,InicioCiclo,$S14+MOD(2-WEEKDAY($S14),7))+13),1,MIN(1,MAX(0,IF(ISNUMBER(OFFSET($A$1,ROW()-1,9)),OFFSET($A$1,ROW()-1,9),IF(ISNUMBER(OFFSET($A$1,ROW()-1,8)),OFFSET($A$1,ROW()-1,8),0))))))</f>
        <v/>
      </c>
      <c r="AF14" s="62">
        <f>IF($V14&lt;&gt;"Sub","",N($X14)*IF(AND(ISNUMBER($G14),$G14&lt;=IF($S14=MesCiclo,InicioCiclo,$S14+MOD(2-WEEKDAY($S14),7))+20),1,MIN(1,MAX(0,IF(ISNUMBER(OFFSET($A$1,ROW()-1,10)),OFFSET($A$1,ROW()-1,10),IF(ISNUMBER(OFFSET($A$1,ROW()-1,9)),OFFSET($A$1,ROW()-1,9),IF(ISNUMBER(OFFSET($A$1,ROW()-1,8)),OFFSET($A$1,ROW()-1,8),0)))))))</f>
        <v/>
      </c>
      <c r="AG14" s="62">
        <f>IF($V14&lt;&gt;"Sub","",N($X14)*IF(AND(ISNUMBER($G14),$G14&lt;=IF($S14=MesCiclo,InicioCiclo,$S14+MOD(2-WEEKDAY($S14),7))+27),1,MIN(1,MAX(0,IF(ISNUMBER(OFFSET($A$1,ROW()-1,11)),OFFSET($A$1,ROW()-1,11),IF(ISNUMBER(OFFSET($A$1,ROW()-1,10)),OFFSET($A$1,ROW()-1,10),IF(ISNUMBER(OFFSET($A$1,ROW()-1,9)),OFFSET($A$1,ROW()-1,9),IF(ISNUMBER(OFFSET($A$1,ROW()-1,8)),OFFSET($A$1,ROW()-1,8),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",IFERROR(MATCH("Riesgo Financiero|"&amp;MID($C14,12,500),rDname_ADM,0),0),"")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inlineStr">
        <is>
          <t>Subactividad</t>
        </is>
      </c>
      <c r="C15" s="58" t="inlineStr">
        <is>
          <t>Envío a la SSF del detalle de los créditos relacionados</t>
        </is>
      </c>
      <c r="D15" s="58" t="n"/>
      <c r="E15" s="59" t="n">
        <v>46296</v>
      </c>
      <c r="F15" s="59">
        <f>IF(N($AQ15)&gt;0,INDEX(rLim_ADM,$AQ15),"")</f>
        <v/>
      </c>
      <c r="G15" s="59" t="n"/>
      <c r="H15" s="60" t="n"/>
      <c r="I15" s="60">
        <f>IF(N($W15)=0,"",IF(AND($S15=MesCiclo,1&gt;SemanaActual),"",MIN(1,SUMIFS(OFFSET($A$1,ROW(),29,1000-ROW(),1),OFFSET($A$1,ROW(),20,1000-ROW(),1),ROW(),OFFSET($A$1,ROW(),21,1000-ROW(),1),"Sub"))))</f>
        <v/>
      </c>
      <c r="J15" s="60" t="n">
        <v>1</v>
      </c>
      <c r="K15" s="60">
        <f>IF(N($W15)=0,"",IF(AND($S15=MesCiclo,3&gt;SemanaActual),"",MIN(1,SUMIFS(OFFSET($A$1,ROW(),31,1000-ROW(),1),OFFSET($A$1,ROW(),20,1000-ROW(),1),ROW(),OFFSET($A$1,ROW(),21,1000-ROW(),1),"Sub"))))</f>
        <v/>
      </c>
      <c r="L15" s="60">
        <f>IF(N($W15)=0,"",IF(AND($S15=MesCiclo,4&gt;SemanaActual),"",MIN(1,SUMIFS(OFFSET($A$1,ROW(),32,1000-ROW(),1),OFFSET($A$1,ROW(),20,1000-ROW(),1),ROW(),OFFSET($A$1,ROW(),21,1000-ROW(),1),"Sub"))))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IF($V15&lt;&gt;"Sub","",N($X15)*IF(AND(ISNUMBER($G15),$G15&lt;=IF($S15=MesCiclo,InicioCiclo,$S15+MOD(2-WEEKDAY($S15),7))+6),1,MIN(1,MAX(0,IF(ISNUMBER(OFFSET($A$1,ROW()-1,8)),OFFSET($A$1,ROW()-1,8),0)))))</f>
        <v/>
      </c>
      <c r="AE15" s="62">
        <f>IF($V15&lt;&gt;"Sub","",N($X15)*IF(AND(ISNUMBER($G15),$G15&lt;=IF($S15=MesCiclo,InicioCiclo,$S15+MOD(2-WEEKDAY($S15),7))+13),1,MIN(1,MAX(0,IF(ISNUMBER(OFFSET($A$1,ROW()-1,9)),OFFSET($A$1,ROW()-1,9),IF(ISNUMBER(OFFSET($A$1,ROW()-1,8)),OFFSET($A$1,ROW()-1,8),0))))))</f>
        <v/>
      </c>
      <c r="AF15" s="62">
        <f>IF($V15&lt;&gt;"Sub","",N($X15)*IF(AND(ISNUMBER($G15),$G15&lt;=IF($S15=MesCiclo,InicioCiclo,$S15+MOD(2-WEEKDAY($S15),7))+20),1,MIN(1,MAX(0,IF(ISNUMBER(OFFSET($A$1,ROW()-1,10)),OFFSET($A$1,ROW()-1,10),IF(ISNUMBER(OFFSET($A$1,ROW()-1,9)),OFFSET($A$1,ROW()-1,9),IF(ISNUMBER(OFFSET($A$1,ROW()-1,8)),OFFSET($A$1,ROW()-1,8),0)))))))</f>
        <v/>
      </c>
      <c r="AG15" s="62">
        <f>IF($V15&lt;&gt;"Sub","",N($X15)*IF(AND(ISNUMBER($G15),$G15&lt;=IF($S15=MesCiclo,InicioCiclo,$S15+MOD(2-WEEKDAY($S15),7))+27),1,MIN(1,MAX(0,IF(ISNUMBER(OFFSET($A$1,ROW()-1,11)),OFFSET($A$1,ROW()-1,11),IF(ISNUMBER(OFFSET($A$1,ROW()-1,10)),OFFSET($A$1,ROW()-1,10),IF(ISNUMBER(OFFSET($A$1,ROW()-1,9)),OFFSET($A$1,ROW()-1,9),IF(ISNUMBER(OFFSET($A$1,ROW()-1,8)),OFFSET($A$1,ROW()-1,8),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",IFERROR(MATCH("Riesgo Financiero|"&amp;MID($C15,12,500),rDname_ADM,0),0),"")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inlineStr">
        <is>
          <t>Subactividad</t>
        </is>
      </c>
      <c r="C16" s="58" t="inlineStr">
        <is>
          <t>Revisión, cuadratura y envío a Contabilidad de la cartera de tarjeta de crédito y de la reserva de saneamiento</t>
        </is>
      </c>
      <c r="D16" s="58" t="n"/>
      <c r="E16" s="59" t="n">
        <v>46296</v>
      </c>
      <c r="F16" s="59">
        <f>IF(N($AQ16)&gt;0,INDEX(rLim_ADM,$AQ16),"")</f>
        <v/>
      </c>
      <c r="G16" s="59" t="n"/>
      <c r="H16" s="60" t="n"/>
      <c r="I16" s="60">
        <f>IF(N($W16)=0,"",IF(AND($S16=MesCiclo,1&gt;SemanaActual),"",MIN(1,SUMIFS(OFFSET($A$1,ROW(),29,1000-ROW(),1),OFFSET($A$1,ROW(),20,1000-ROW(),1),ROW(),OFFSET($A$1,ROW(),21,1000-ROW(),1),"Sub"))))</f>
        <v/>
      </c>
      <c r="J16" s="60" t="n">
        <v>1</v>
      </c>
      <c r="K16" s="60">
        <f>IF(N($W16)=0,"",IF(AND($S16=MesCiclo,3&gt;SemanaActual),"",MIN(1,SUMIFS(OFFSET($A$1,ROW(),31,1000-ROW(),1),OFFSET($A$1,ROW(),20,1000-ROW(),1),ROW(),OFFSET($A$1,ROW(),21,1000-ROW(),1),"Sub"))))</f>
        <v/>
      </c>
      <c r="L16" s="60">
        <f>IF(N($W16)=0,"",IF(AND($S16=MesCiclo,4&gt;SemanaActual),"",MIN(1,SUMIFS(OFFSET($A$1,ROW(),32,1000-ROW(),1),OFFSET($A$1,ROW(),20,1000-ROW(),1),ROW(),OFFSET($A$1,ROW(),21,1000-ROW(),1),"Sub"))))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IF($V16&lt;&gt;"Sub","",N($X16)*IF(AND(ISNUMBER($G16),$G16&lt;=IF($S16=MesCiclo,InicioCiclo,$S16+MOD(2-WEEKDAY($S16),7))+6),1,MIN(1,MAX(0,IF(ISNUMBER(OFFSET($A$1,ROW()-1,8)),OFFSET($A$1,ROW()-1,8),0)))))</f>
        <v/>
      </c>
      <c r="AE16" s="62">
        <f>IF($V16&lt;&gt;"Sub","",N($X16)*IF(AND(ISNUMBER($G16),$G16&lt;=IF($S16=MesCiclo,InicioCiclo,$S16+MOD(2-WEEKDAY($S16),7))+13),1,MIN(1,MAX(0,IF(ISNUMBER(OFFSET($A$1,ROW()-1,9)),OFFSET($A$1,ROW()-1,9),IF(ISNUMBER(OFFSET($A$1,ROW()-1,8)),OFFSET($A$1,ROW()-1,8),0))))))</f>
        <v/>
      </c>
      <c r="AF16" s="62">
        <f>IF($V16&lt;&gt;"Sub","",N($X16)*IF(AND(ISNUMBER($G16),$G16&lt;=IF($S16=MesCiclo,InicioCiclo,$S16+MOD(2-WEEKDAY($S16),7))+20),1,MIN(1,MAX(0,IF(ISNUMBER(OFFSET($A$1,ROW()-1,10)),OFFSET($A$1,ROW()-1,10),IF(ISNUMBER(OFFSET($A$1,ROW()-1,9)),OFFSET($A$1,ROW()-1,9),IF(ISNUMBER(OFFSET($A$1,ROW()-1,8)),OFFSET($A$1,ROW()-1,8),0)))))))</f>
        <v/>
      </c>
      <c r="AG16" s="62">
        <f>IF($V16&lt;&gt;"Sub","",N($X16)*IF(AND(ISNUMBER($G16),$G16&lt;=IF($S16=MesCiclo,InicioCiclo,$S16+MOD(2-WEEKDAY($S16),7))+27),1,MIN(1,MAX(0,IF(ISNUMBER(OFFSET($A$1,ROW()-1,11)),OFFSET($A$1,ROW()-1,11),IF(ISNUMBER(OFFSET($A$1,ROW()-1,10)),OFFSET($A$1,ROW()-1,10),IF(ISNUMBER(OFFSET($A$1,ROW()-1,9)),OFFSET($A$1,ROW()-1,9),IF(ISNUMBER(OFFSET($A$1,ROW()-1,8)),OFFSET($A$1,ROW()-1,8),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",IFERROR(MATCH("Riesgo Financiero|"&amp;MID($C16,12,500),rDname_ADM,0),0),"")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inlineStr">
        <is>
          <t>Subactividad</t>
        </is>
      </c>
      <c r="C17" s="58" t="inlineStr">
        <is>
          <t>Elaboración del informe de evaluación de los activos de riesgo</t>
        </is>
      </c>
      <c r="D17" s="58" t="n"/>
      <c r="E17" s="59" t="n">
        <v>46296</v>
      </c>
      <c r="F17" s="59">
        <f>IF(N($AQ17)&gt;0,INDEX(rLim_ADM,$AQ17),"")</f>
        <v/>
      </c>
      <c r="G17" s="59" t="n"/>
      <c r="H17" s="60" t="n"/>
      <c r="I17" s="60">
        <f>IF(N($W17)=0,"",IF(AND($S17=MesCiclo,1&gt;SemanaActual),"",MIN(1,SUMIFS(OFFSET($A$1,ROW(),29,1000-ROW(),1),OFFSET($A$1,ROW(),20,1000-ROW(),1),ROW(),OFFSET($A$1,ROW(),21,1000-ROW(),1),"Sub"))))</f>
        <v/>
      </c>
      <c r="J17" s="60" t="n">
        <v>1</v>
      </c>
      <c r="K17" s="60">
        <f>IF(N($W17)=0,"",IF(AND($S17=MesCiclo,3&gt;SemanaActual),"",MIN(1,SUMIFS(OFFSET($A$1,ROW(),31,1000-ROW(),1),OFFSET($A$1,ROW(),20,1000-ROW(),1),ROW(),OFFSET($A$1,ROW(),21,1000-ROW(),1),"Sub"))))</f>
        <v/>
      </c>
      <c r="L17" s="60">
        <f>IF(N($W17)=0,"",IF(AND($S17=MesCiclo,4&gt;SemanaActual),"",MIN(1,SUMIFS(OFFSET($A$1,ROW(),32,1000-ROW(),1),OFFSET($A$1,ROW(),20,1000-ROW(),1),ROW(),OFFSET($A$1,ROW(),21,1000-ROW(),1),"Sub"))))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IF($V17&lt;&gt;"Sub","",N($X17)*IF(AND(ISNUMBER($G17),$G17&lt;=IF($S17=MesCiclo,InicioCiclo,$S17+MOD(2-WEEKDAY($S17),7))+6),1,MIN(1,MAX(0,IF(ISNUMBER(OFFSET($A$1,ROW()-1,8)),OFFSET($A$1,ROW()-1,8),0)))))</f>
        <v/>
      </c>
      <c r="AE17" s="62">
        <f>IF($V17&lt;&gt;"Sub","",N($X17)*IF(AND(ISNUMBER($G17),$G17&lt;=IF($S17=MesCiclo,InicioCiclo,$S17+MOD(2-WEEKDAY($S17),7))+13),1,MIN(1,MAX(0,IF(ISNUMBER(OFFSET($A$1,ROW()-1,9)),OFFSET($A$1,ROW()-1,9),IF(ISNUMBER(OFFSET($A$1,ROW()-1,8)),OFFSET($A$1,ROW()-1,8),0))))))</f>
        <v/>
      </c>
      <c r="AF17" s="62">
        <f>IF($V17&lt;&gt;"Sub","",N($X17)*IF(AND(ISNUMBER($G17),$G17&lt;=IF($S17=MesCiclo,InicioCiclo,$S17+MOD(2-WEEKDAY($S17),7))+20),1,MIN(1,MAX(0,IF(ISNUMBER(OFFSET($A$1,ROW()-1,10)),OFFSET($A$1,ROW()-1,10),IF(ISNUMBER(OFFSET($A$1,ROW()-1,9)),OFFSET($A$1,ROW()-1,9),IF(ISNUMBER(OFFSET($A$1,ROW()-1,8)),OFFSET($A$1,ROW()-1,8),0)))))))</f>
        <v/>
      </c>
      <c r="AG17" s="62">
        <f>IF($V17&lt;&gt;"Sub","",N($X17)*IF(AND(ISNUMBER($G17),$G17&lt;=IF($S17=MesCiclo,InicioCiclo,$S17+MOD(2-WEEKDAY($S17),7))+27),1,MIN(1,MAX(0,IF(ISNUMBER(OFFSET($A$1,ROW()-1,11)),OFFSET($A$1,ROW()-1,11),IF(ISNUMBER(OFFSET($A$1,ROW()-1,10)),OFFSET($A$1,ROW()-1,10),IF(ISNUMBER(OFFSET($A$1,ROW()-1,9)),OFFSET($A$1,ROW()-1,9),IF(ISNUMBER(OFFSET($A$1,ROW()-1,8)),OFFSET($A$1,ROW()-1,8),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",IFERROR(MATCH("Riesgo Financiero|"&amp;MID($C17,12,500),rDname_ADM,0),0),"")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inlineStr">
        <is>
          <t>Subactividad</t>
        </is>
      </c>
      <c r="C18" s="58" t="inlineStr">
        <is>
          <t>Elaboración del informe de evaluación de los créditos relacionados</t>
        </is>
      </c>
      <c r="D18" s="58" t="n"/>
      <c r="E18" s="59" t="n">
        <v>46296</v>
      </c>
      <c r="F18" s="59">
        <f>IF(N($AQ18)&gt;0,INDEX(rLim_ADM,$AQ18),"")</f>
        <v/>
      </c>
      <c r="G18" s="59" t="n"/>
      <c r="H18" s="60" t="n"/>
      <c r="I18" s="60">
        <f>IF(N($W18)=0,"",IF(AND($S18=MesCiclo,1&gt;SemanaActual),"",MIN(1,SUMIFS(OFFSET($A$1,ROW(),29,1000-ROW(),1),OFFSET($A$1,ROW(),20,1000-ROW(),1),ROW(),OFFSET($A$1,ROW(),21,1000-ROW(),1),"Sub"))))</f>
        <v/>
      </c>
      <c r="J18" s="60" t="n">
        <v>1</v>
      </c>
      <c r="K18" s="60">
        <f>IF(N($W18)=0,"",IF(AND($S18=MesCiclo,3&gt;SemanaActual),"",MIN(1,SUMIFS(OFFSET($A$1,ROW(),31,1000-ROW(),1),OFFSET($A$1,ROW(),20,1000-ROW(),1),ROW(),OFFSET($A$1,ROW(),21,1000-ROW(),1),"Sub"))))</f>
        <v/>
      </c>
      <c r="L18" s="60">
        <f>IF(N($W18)=0,"",IF(AND($S18=MesCiclo,4&gt;SemanaActual),"",MIN(1,SUMIFS(OFFSET($A$1,ROW(),32,1000-ROW(),1),OFFSET($A$1,ROW(),20,1000-ROW(),1),ROW(),OFFSET($A$1,ROW(),21,1000-ROW(),1),"Sub"))))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IF($V18&lt;&gt;"Sub","",N($X18)*IF(AND(ISNUMBER($G18),$G18&lt;=IF($S18=MesCiclo,InicioCiclo,$S18+MOD(2-WEEKDAY($S18),7))+6),1,MIN(1,MAX(0,IF(ISNUMBER(OFFSET($A$1,ROW()-1,8)),OFFSET($A$1,ROW()-1,8),0)))))</f>
        <v/>
      </c>
      <c r="AE18" s="62">
        <f>IF($V18&lt;&gt;"Sub","",N($X18)*IF(AND(ISNUMBER($G18),$G18&lt;=IF($S18=MesCiclo,InicioCiclo,$S18+MOD(2-WEEKDAY($S18),7))+13),1,MIN(1,MAX(0,IF(ISNUMBER(OFFSET($A$1,ROW()-1,9)),OFFSET($A$1,ROW()-1,9),IF(ISNUMBER(OFFSET($A$1,ROW()-1,8)),OFFSET($A$1,ROW()-1,8),0))))))</f>
        <v/>
      </c>
      <c r="AF18" s="62">
        <f>IF($V18&lt;&gt;"Sub","",N($X18)*IF(AND(ISNUMBER($G18),$G18&lt;=IF($S18=MesCiclo,InicioCiclo,$S18+MOD(2-WEEKDAY($S18),7))+20),1,MIN(1,MAX(0,IF(ISNUMBER(OFFSET($A$1,ROW()-1,10)),OFFSET($A$1,ROW()-1,10),IF(ISNUMBER(OFFSET($A$1,ROW()-1,9)),OFFSET($A$1,ROW()-1,9),IF(ISNUMBER(OFFSET($A$1,ROW()-1,8)),OFFSET($A$1,ROW()-1,8),0)))))))</f>
        <v/>
      </c>
      <c r="AG18" s="62">
        <f>IF($V18&lt;&gt;"Sub","",N($X18)*IF(AND(ISNUMBER($G18),$G18&lt;=IF($S18=MesCiclo,InicioCiclo,$S18+MOD(2-WEEKDAY($S18),7))+27),1,MIN(1,MAX(0,IF(ISNUMBER(OFFSET($A$1,ROW()-1,11)),OFFSET($A$1,ROW()-1,11),IF(ISNUMBER(OFFSET($A$1,ROW()-1,10)),OFFSET($A$1,ROW()-1,10),IF(ISNUMBER(OFFSET($A$1,ROW()-1,9)),OFFSET($A$1,ROW()-1,9),IF(ISNUMBER(OFFSET($A$1,ROW()-1,8)),OFFSET($A$1,ROW()-1,8),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",IFERROR(MATCH("Riesgo Financiero|"&amp;MID($C18,12,500),rDname_ADM,0),0),"")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inlineStr">
        <is>
          <t>Macroactividad</t>
        </is>
      </c>
      <c r="C19" s="58" t="inlineStr">
        <is>
          <t>Otros</t>
        </is>
      </c>
      <c r="D19" s="58" t="n"/>
      <c r="E19" s="59" t="n">
        <v>46296</v>
      </c>
      <c r="F19" s="59">
        <f>IF(N($AQ19)&gt;0,INDEX(rLim_ADM,$AQ19),"")</f>
        <v/>
      </c>
      <c r="G19" s="59" t="n"/>
      <c r="H19" s="60" t="n"/>
      <c r="I19" s="60">
        <f>IF(N($W19)=0,"",IF(AND($S19=MesCiclo,1&gt;SemanaActual),"",MIN(1,SUMIFS(OFFSET($A$1,ROW(),29,1000-ROW(),1),OFFSET($A$1,ROW(),20,1000-ROW(),1),ROW(),OFFSET($A$1,ROW(),21,1000-ROW(),1),"Sub"))))</f>
        <v/>
      </c>
      <c r="J19" s="60">
        <f>IF(N($W19)=0,"",IF(AND($S19=MesCiclo,2&gt;SemanaActual),"",MIN(1,SUMIFS(OFFSET($A$1,ROW(),30,1000-ROW(),1),OFFSET($A$1,ROW(),20,1000-ROW(),1),ROW(),OFFSET($A$1,ROW(),21,1000-ROW(),1),"Sub"))))</f>
        <v/>
      </c>
      <c r="K19" s="60">
        <f>IF(N($W19)=0,"",IF(AND($S19=MesCiclo,3&gt;SemanaActual),"",MIN(1,SUMIFS(OFFSET($A$1,ROW(),31,1000-ROW(),1),OFFSET($A$1,ROW(),20,1000-ROW(),1),ROW(),OFFSET($A$1,ROW(),21,1000-ROW(),1),"Sub"))))</f>
        <v/>
      </c>
      <c r="L19" s="60">
        <f>IF(N($W19)=0,"",IF(AND($S19=MesCiclo,4&gt;SemanaActual),"",MIN(1,SUMIFS(OFFSET($A$1,ROW(),32,1000-ROW(),1),OFFSET($A$1,ROW(),20,1000-ROW(),1),ROW(),OFFSET($A$1,ROW(),21,1000-ROW(),1),"Sub"))))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IF($V19&lt;&gt;"Sub","",N($X19)*IF(AND(ISNUMBER($G19),$G19&lt;=IF($S19=MesCiclo,InicioCiclo,$S19+MOD(2-WEEKDAY($S19),7))+6),1,MIN(1,MAX(0,IF(ISNUMBER(OFFSET($A$1,ROW()-1,8)),OFFSET($A$1,ROW()-1,8),0)))))</f>
        <v/>
      </c>
      <c r="AE19" s="62">
        <f>IF($V19&lt;&gt;"Sub","",N($X19)*IF(AND(ISNUMBER($G19),$G19&lt;=IF($S19=MesCiclo,InicioCiclo,$S19+MOD(2-WEEKDAY($S19),7))+13),1,MIN(1,MAX(0,IF(ISNUMBER(OFFSET($A$1,ROW()-1,9)),OFFSET($A$1,ROW()-1,9),IF(ISNUMBER(OFFSET($A$1,ROW()-1,8)),OFFSET($A$1,ROW()-1,8),0))))))</f>
        <v/>
      </c>
      <c r="AF19" s="62">
        <f>IF($V19&lt;&gt;"Sub","",N($X19)*IF(AND(ISNUMBER($G19),$G19&lt;=IF($S19=MesCiclo,InicioCiclo,$S19+MOD(2-WEEKDAY($S19),7))+20),1,MIN(1,MAX(0,IF(ISNUMBER(OFFSET($A$1,ROW()-1,10)),OFFSET($A$1,ROW()-1,10),IF(ISNUMBER(OFFSET($A$1,ROW()-1,9)),OFFSET($A$1,ROW()-1,9),IF(ISNUMBER(OFFSET($A$1,ROW()-1,8)),OFFSET($A$1,ROW()-1,8),0)))))))</f>
        <v/>
      </c>
      <c r="AG19" s="62">
        <f>IF($V19&lt;&gt;"Sub","",N($X19)*IF(AND(ISNUMBER($G19),$G19&lt;=IF($S19=MesCiclo,InicioCiclo,$S19+MOD(2-WEEKDAY($S19),7))+27),1,MIN(1,MAX(0,IF(ISNUMBER(OFFSET($A$1,ROW()-1,11)),OFFSET($A$1,ROW()-1,11),IF(ISNUMBER(OFFSET($A$1,ROW()-1,10)),OFFSET($A$1,ROW()-1,10),IF(ISNUMBER(OFFSET($A$1,ROW()-1,9)),OFFSET($A$1,ROW()-1,9),IF(ISNUMBER(OFFSET($A$1,ROW()-1,8)),OFFSET($A$1,ROW()-1,8),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",IFERROR(MATCH("Riesgo Financiero|"&amp;MID($C19,12,500),rDname_ADM,0),0),"")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inlineStr">
        <is>
          <t>Subactividad</t>
        </is>
      </c>
      <c r="C20" s="58" t="inlineStr">
        <is>
          <t>Elaboración del informe de segmentación de los productos de COMEDICA</t>
        </is>
      </c>
      <c r="D20" s="58" t="n"/>
      <c r="E20" s="59" t="n">
        <v>46296</v>
      </c>
      <c r="F20" s="59">
        <f>IF(N($AQ20)&gt;0,INDEX(rLim_ADM,$AQ20),"")</f>
        <v/>
      </c>
      <c r="G20" s="59" t="n"/>
      <c r="H20" s="60" t="n"/>
      <c r="I20" s="60">
        <f>IF(N($W20)=0,"",IF(AND($S20=MesCiclo,1&gt;SemanaActual),"",MIN(1,SUMIFS(OFFSET($A$1,ROW(),29,1000-ROW(),1),OFFSET($A$1,ROW(),20,1000-ROW(),1),ROW(),OFFSET($A$1,ROW(),21,1000-ROW(),1),"Sub"))))</f>
        <v/>
      </c>
      <c r="J20" s="60" t="n">
        <v>1</v>
      </c>
      <c r="K20" s="60">
        <f>IF(N($W20)=0,"",IF(AND($S20=MesCiclo,3&gt;SemanaActual),"",MIN(1,SUMIFS(OFFSET($A$1,ROW(),31,1000-ROW(),1),OFFSET($A$1,ROW(),20,1000-ROW(),1),ROW(),OFFSET($A$1,ROW(),21,1000-ROW(),1),"Sub"))))</f>
        <v/>
      </c>
      <c r="L20" s="60">
        <f>IF(N($W20)=0,"",IF(AND($S20=MesCiclo,4&gt;SemanaActual),"",MIN(1,SUMIFS(OFFSET($A$1,ROW(),32,1000-ROW(),1),OFFSET($A$1,ROW(),20,1000-ROW(),1),ROW(),OFFSET($A$1,ROW(),21,1000-ROW(),1),"Sub"))))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IF($V20&lt;&gt;"Sub","",N($X20)*IF(AND(ISNUMBER($G20),$G20&lt;=IF($S20=MesCiclo,InicioCiclo,$S20+MOD(2-WEEKDAY($S20),7))+6),1,MIN(1,MAX(0,IF(ISNUMBER(OFFSET($A$1,ROW()-1,8)),OFFSET($A$1,ROW()-1,8),0)))))</f>
        <v/>
      </c>
      <c r="AE20" s="62">
        <f>IF($V20&lt;&gt;"Sub","",N($X20)*IF(AND(ISNUMBER($G20),$G20&lt;=IF($S20=MesCiclo,InicioCiclo,$S20+MOD(2-WEEKDAY($S20),7))+13),1,MIN(1,MAX(0,IF(ISNUMBER(OFFSET($A$1,ROW()-1,9)),OFFSET($A$1,ROW()-1,9),IF(ISNUMBER(OFFSET($A$1,ROW()-1,8)),OFFSET($A$1,ROW()-1,8),0))))))</f>
        <v/>
      </c>
      <c r="AF20" s="62">
        <f>IF($V20&lt;&gt;"Sub","",N($X20)*IF(AND(ISNUMBER($G20),$G20&lt;=IF($S20=MesCiclo,InicioCiclo,$S20+MOD(2-WEEKDAY($S20),7))+20),1,MIN(1,MAX(0,IF(ISNUMBER(OFFSET($A$1,ROW()-1,10)),OFFSET($A$1,ROW()-1,10),IF(ISNUMBER(OFFSET($A$1,ROW()-1,9)),OFFSET($A$1,ROW()-1,9),IF(ISNUMBER(OFFSET($A$1,ROW()-1,8)),OFFSET($A$1,ROW()-1,8),0)))))))</f>
        <v/>
      </c>
      <c r="AG20" s="62">
        <f>IF($V20&lt;&gt;"Sub","",N($X20)*IF(AND(ISNUMBER($G20),$G20&lt;=IF($S20=MesCiclo,InicioCiclo,$S20+MOD(2-WEEKDAY($S20),7))+27),1,MIN(1,MAX(0,IF(ISNUMBER(OFFSET($A$1,ROW()-1,11)),OFFSET($A$1,ROW()-1,11),IF(ISNUMBER(OFFSET($A$1,ROW()-1,10)),OFFSET($A$1,ROW()-1,10),IF(ISNUMBER(OFFSET($A$1,ROW()-1,9)),OFFSET($A$1,ROW()-1,9),IF(ISNUMBER(OFFSET($A$1,ROW()-1,8)),OFFSET($A$1,ROW()-1,8),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",IFERROR(MATCH("Riesgo Financiero|"&amp;MID($C20,12,500),rDname_ADM,0),0),"")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inlineStr">
        <is>
          <t>Subactividad</t>
        </is>
      </c>
      <c r="C21" s="58" t="inlineStr">
        <is>
          <t>Monitoreo semanal de la reserva de saneamiento</t>
        </is>
      </c>
      <c r="D21" s="58" t="n"/>
      <c r="E21" s="59" t="n">
        <v>46296</v>
      </c>
      <c r="F21" s="59">
        <f>IF(N($AQ21)&gt;0,INDEX(rLim_ADM,$AQ21),"")</f>
        <v/>
      </c>
      <c r="G21" s="59" t="n"/>
      <c r="H21" s="60" t="n"/>
      <c r="I21" s="60">
        <f>IF(N($W21)=0,"",IF(AND($S21=MesCiclo,1&gt;SemanaActual),"",MIN(1,SUMIFS(OFFSET($A$1,ROW(),29,1000-ROW(),1),OFFSET($A$1,ROW(),20,1000-ROW(),1),ROW(),OFFSET($A$1,ROW(),21,1000-ROW(),1),"Sub"))))</f>
        <v/>
      </c>
      <c r="J21" s="60" t="n">
        <v>0.5</v>
      </c>
      <c r="K21" s="60">
        <f>IF(N($W21)=0,"",IF(AND($S21=MesCiclo,3&gt;SemanaActual),"",MIN(1,SUMIFS(OFFSET($A$1,ROW(),31,1000-ROW(),1),OFFSET($A$1,ROW(),20,1000-ROW(),1),ROW(),OFFSET($A$1,ROW(),21,1000-ROW(),1),"Sub"))))</f>
        <v/>
      </c>
      <c r="L21" s="60">
        <f>IF(N($W21)=0,"",IF(AND($S21=MesCiclo,4&gt;SemanaActual),"",MIN(1,SUMIFS(OFFSET($A$1,ROW(),32,1000-ROW(),1),OFFSET($A$1,ROW(),20,1000-ROW(),1),ROW(),OFFSET($A$1,ROW(),21,1000-ROW(),1),"Sub"))))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IF($V21&lt;&gt;"Sub","",N($X21)*IF(AND(ISNUMBER($G21),$G21&lt;=IF($S21=MesCiclo,InicioCiclo,$S21+MOD(2-WEEKDAY($S21),7))+6),1,MIN(1,MAX(0,IF(ISNUMBER(OFFSET($A$1,ROW()-1,8)),OFFSET($A$1,ROW()-1,8),0)))))</f>
        <v/>
      </c>
      <c r="AE21" s="62">
        <f>IF($V21&lt;&gt;"Sub","",N($X21)*IF(AND(ISNUMBER($G21),$G21&lt;=IF($S21=MesCiclo,InicioCiclo,$S21+MOD(2-WEEKDAY($S21),7))+13),1,MIN(1,MAX(0,IF(ISNUMBER(OFFSET($A$1,ROW()-1,9)),OFFSET($A$1,ROW()-1,9),IF(ISNUMBER(OFFSET($A$1,ROW()-1,8)),OFFSET($A$1,ROW()-1,8),0))))))</f>
        <v/>
      </c>
      <c r="AF21" s="62">
        <f>IF($V21&lt;&gt;"Sub","",N($X21)*IF(AND(ISNUMBER($G21),$G21&lt;=IF($S21=MesCiclo,InicioCiclo,$S21+MOD(2-WEEKDAY($S21),7))+20),1,MIN(1,MAX(0,IF(ISNUMBER(OFFSET($A$1,ROW()-1,10)),OFFSET($A$1,ROW()-1,10),IF(ISNUMBER(OFFSET($A$1,ROW()-1,9)),OFFSET($A$1,ROW()-1,9),IF(ISNUMBER(OFFSET($A$1,ROW()-1,8)),OFFSET($A$1,ROW()-1,8),0)))))))</f>
        <v/>
      </c>
      <c r="AG21" s="62">
        <f>IF($V21&lt;&gt;"Sub","",N($X21)*IF(AND(ISNUMBER($G21),$G21&lt;=IF($S21=MesCiclo,InicioCiclo,$S21+MOD(2-WEEKDAY($S21),7))+27),1,MIN(1,MAX(0,IF(ISNUMBER(OFFSET($A$1,ROW()-1,11)),OFFSET($A$1,ROW()-1,11),IF(ISNUMBER(OFFSET($A$1,ROW()-1,10)),OFFSET($A$1,ROW()-1,10),IF(ISNUMBER(OFFSET($A$1,ROW()-1,9)),OFFSET($A$1,ROW()-1,9),IF(ISNUMBER(OFFSET($A$1,ROW()-1,8)),OFFSET($A$1,ROW()-1,8),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",IFERROR(MATCH("Riesgo Financiero|"&amp;MID($C21,12,500),rDname_ADM,0),0),"")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inlineStr">
        <is>
          <t>Subactividad</t>
        </is>
      </c>
      <c r="C22" s="58" t="inlineStr">
        <is>
          <t>Proyección mensual de los incrementos en la reserva de saneamiento</t>
        </is>
      </c>
      <c r="D22" s="58" t="n"/>
      <c r="E22" s="59" t="n">
        <v>46296</v>
      </c>
      <c r="F22" s="59">
        <f>IF(N($AQ22)&gt;0,INDEX(rLim_ADM,$AQ22),"")</f>
        <v/>
      </c>
      <c r="G22" s="59" t="n"/>
      <c r="H22" s="60" t="n"/>
      <c r="I22" s="60">
        <f>IF(N($W22)=0,"",IF(AND($S22=MesCiclo,1&gt;SemanaActual),"",MIN(1,SUMIFS(OFFSET($A$1,ROW(),29,1000-ROW(),1),OFFSET($A$1,ROW(),20,1000-ROW(),1),ROW(),OFFSET($A$1,ROW(),21,1000-ROW(),1),"Sub"))))</f>
        <v/>
      </c>
      <c r="J22" s="60" t="n">
        <v>1</v>
      </c>
      <c r="K22" s="60">
        <f>IF(N($W22)=0,"",IF(AND($S22=MesCiclo,3&gt;SemanaActual),"",MIN(1,SUMIFS(OFFSET($A$1,ROW(),31,1000-ROW(),1),OFFSET($A$1,ROW(),20,1000-ROW(),1),ROW(),OFFSET($A$1,ROW(),21,1000-ROW(),1),"Sub"))))</f>
        <v/>
      </c>
      <c r="L22" s="60">
        <f>IF(N($W22)=0,"",IF(AND($S22=MesCiclo,4&gt;SemanaActual),"",MIN(1,SUMIFS(OFFSET($A$1,ROW(),32,1000-ROW(),1),OFFSET($A$1,ROW(),20,1000-ROW(),1),ROW(),OFFSET($A$1,ROW(),21,1000-ROW(),1),"Sub"))))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IF($V22&lt;&gt;"Sub","",N($X22)*IF(AND(ISNUMBER($G22),$G22&lt;=IF($S22=MesCiclo,InicioCiclo,$S22+MOD(2-WEEKDAY($S22),7))+6),1,MIN(1,MAX(0,IF(ISNUMBER(OFFSET($A$1,ROW()-1,8)),OFFSET($A$1,ROW()-1,8),0)))))</f>
        <v/>
      </c>
      <c r="AE22" s="62">
        <f>IF($V22&lt;&gt;"Sub","",N($X22)*IF(AND(ISNUMBER($G22),$G22&lt;=IF($S22=MesCiclo,InicioCiclo,$S22+MOD(2-WEEKDAY($S22),7))+13),1,MIN(1,MAX(0,IF(ISNUMBER(OFFSET($A$1,ROW()-1,9)),OFFSET($A$1,ROW()-1,9),IF(ISNUMBER(OFFSET($A$1,ROW()-1,8)),OFFSET($A$1,ROW()-1,8),0))))))</f>
        <v/>
      </c>
      <c r="AF22" s="62">
        <f>IF($V22&lt;&gt;"Sub","",N($X22)*IF(AND(ISNUMBER($G22),$G22&lt;=IF($S22=MesCiclo,InicioCiclo,$S22+MOD(2-WEEKDAY($S22),7))+20),1,MIN(1,MAX(0,IF(ISNUMBER(OFFSET($A$1,ROW()-1,10)),OFFSET($A$1,ROW()-1,10),IF(ISNUMBER(OFFSET($A$1,ROW()-1,9)),OFFSET($A$1,ROW()-1,9),IF(ISNUMBER(OFFSET($A$1,ROW()-1,8)),OFFSET($A$1,ROW()-1,8),0)))))))</f>
        <v/>
      </c>
      <c r="AG22" s="62">
        <f>IF($V22&lt;&gt;"Sub","",N($X22)*IF(AND(ISNUMBER($G22),$G22&lt;=IF($S22=MesCiclo,InicioCiclo,$S22+MOD(2-WEEKDAY($S22),7))+27),1,MIN(1,MAX(0,IF(ISNUMBER(OFFSET($A$1,ROW()-1,11)),OFFSET($A$1,ROW()-1,11),IF(ISNUMBER(OFFSET($A$1,ROW()-1,10)),OFFSET($A$1,ROW()-1,10),IF(ISNUMBER(OFFSET($A$1,ROW()-1,9)),OFFSET($A$1,ROW()-1,9),IF(ISNUMBER(OFFSET($A$1,ROW()-1,8)),OFFSET($A$1,ROW()-1,8),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",IFERROR(MATCH("Riesgo Financiero|"&amp;MID($C22,12,500),rDname_ADM,0),0),"")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inlineStr">
        <is>
          <t>Subactividad</t>
        </is>
      </c>
      <c r="C23" s="58" t="inlineStr">
        <is>
          <t>Consulta en la Central de Riesgos de los aspirantes a empleados</t>
        </is>
      </c>
      <c r="D23" s="58" t="n"/>
      <c r="E23" s="59" t="n">
        <v>46296</v>
      </c>
      <c r="F23" s="59">
        <f>IF(N($AQ23)&gt;0,INDEX(rLim_ADM,$AQ23),"")</f>
        <v/>
      </c>
      <c r="G23" s="59" t="n"/>
      <c r="H23" s="60" t="n"/>
      <c r="I23" s="60">
        <f>IF(N($W23)=0,"",IF(AND($S23=MesCiclo,1&gt;SemanaActual),"",MIN(1,SUMIFS(OFFSET($A$1,ROW(),29,1000-ROW(),1),OFFSET($A$1,ROW(),20,1000-ROW(),1),ROW(),OFFSET($A$1,ROW(),21,1000-ROW(),1),"Sub"))))</f>
        <v/>
      </c>
      <c r="J23" s="60" t="n">
        <v>0.5</v>
      </c>
      <c r="K23" s="60">
        <f>IF(N($W23)=0,"",IF(AND($S23=MesCiclo,3&gt;SemanaActual),"",MIN(1,SUMIFS(OFFSET($A$1,ROW(),31,1000-ROW(),1),OFFSET($A$1,ROW(),20,1000-ROW(),1),ROW(),OFFSET($A$1,ROW(),21,1000-ROW(),1),"Sub"))))</f>
        <v/>
      </c>
      <c r="L23" s="60">
        <f>IF(N($W23)=0,"",IF(AND($S23=MesCiclo,4&gt;SemanaActual),"",MIN(1,SUMIFS(OFFSET($A$1,ROW(),32,1000-ROW(),1),OFFSET($A$1,ROW(),20,1000-ROW(),1),ROW(),OFFSET($A$1,ROW(),21,1000-ROW(),1),"Sub"))))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IF($V23&lt;&gt;"Sub","",N($X23)*IF(AND(ISNUMBER($G23),$G23&lt;=IF($S23=MesCiclo,InicioCiclo,$S23+MOD(2-WEEKDAY($S23),7))+6),1,MIN(1,MAX(0,IF(ISNUMBER(OFFSET($A$1,ROW()-1,8)),OFFSET($A$1,ROW()-1,8),0)))))</f>
        <v/>
      </c>
      <c r="AE23" s="62">
        <f>IF($V23&lt;&gt;"Sub","",N($X23)*IF(AND(ISNUMBER($G23),$G23&lt;=IF($S23=MesCiclo,InicioCiclo,$S23+MOD(2-WEEKDAY($S23),7))+13),1,MIN(1,MAX(0,IF(ISNUMBER(OFFSET($A$1,ROW()-1,9)),OFFSET($A$1,ROW()-1,9),IF(ISNUMBER(OFFSET($A$1,ROW()-1,8)),OFFSET($A$1,ROW()-1,8),0))))))</f>
        <v/>
      </c>
      <c r="AF23" s="62">
        <f>IF($V23&lt;&gt;"Sub","",N($X23)*IF(AND(ISNUMBER($G23),$G23&lt;=IF($S23=MesCiclo,InicioCiclo,$S23+MOD(2-WEEKDAY($S23),7))+20),1,MIN(1,MAX(0,IF(ISNUMBER(OFFSET($A$1,ROW()-1,10)),OFFSET($A$1,ROW()-1,10),IF(ISNUMBER(OFFSET($A$1,ROW()-1,9)),OFFSET($A$1,ROW()-1,9),IF(ISNUMBER(OFFSET($A$1,ROW()-1,8)),OFFSET($A$1,ROW()-1,8),0)))))))</f>
        <v/>
      </c>
      <c r="AG23" s="62">
        <f>IF($V23&lt;&gt;"Sub","",N($X23)*IF(AND(ISNUMBER($G23),$G23&lt;=IF($S23=MesCiclo,InicioCiclo,$S23+MOD(2-WEEKDAY($S23),7))+27),1,MIN(1,MAX(0,IF(ISNUMBER(OFFSET($A$1,ROW()-1,11)),OFFSET($A$1,ROW()-1,11),IF(ISNUMBER(OFFSET($A$1,ROW()-1,10)),OFFSET($A$1,ROW()-1,10),IF(ISNUMBER(OFFSET($A$1,ROW()-1,9)),OFFSET($A$1,ROW()-1,9),IF(ISNUMBER(OFFSET($A$1,ROW()-1,8)),OFFSET($A$1,ROW()-1,8),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",IFERROR(MATCH("Riesgo Financiero|"&amp;MID($C23,12,500),rDname_ADM,0),0),"")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inlineStr">
        <is>
          <t>Subactividad</t>
        </is>
      </c>
      <c r="C24" s="58" t="inlineStr">
        <is>
          <t>Registro permanente de los traslados de deuda</t>
        </is>
      </c>
      <c r="D24" s="58" t="n"/>
      <c r="E24" s="59" t="n">
        <v>46296</v>
      </c>
      <c r="F24" s="59">
        <f>IF(N($AQ24)&gt;0,INDEX(rLim_ADM,$AQ24),"")</f>
        <v/>
      </c>
      <c r="G24" s="59" t="n"/>
      <c r="H24" s="60" t="n"/>
      <c r="I24" s="60">
        <f>IF(N($W24)=0,"",IF(AND($S24=MesCiclo,1&gt;SemanaActual),"",MIN(1,SUMIFS(OFFSET($A$1,ROW(),29,1000-ROW(),1),OFFSET($A$1,ROW(),20,1000-ROW(),1),ROW(),OFFSET($A$1,ROW(),21,1000-ROW(),1),"Sub"))))</f>
        <v/>
      </c>
      <c r="J24" s="60" t="n">
        <v>0.5</v>
      </c>
      <c r="K24" s="60">
        <f>IF(N($W24)=0,"",IF(AND($S24=MesCiclo,3&gt;SemanaActual),"",MIN(1,SUMIFS(OFFSET($A$1,ROW(),31,1000-ROW(),1),OFFSET($A$1,ROW(),20,1000-ROW(),1),ROW(),OFFSET($A$1,ROW(),21,1000-ROW(),1),"Sub"))))</f>
        <v/>
      </c>
      <c r="L24" s="60">
        <f>IF(N($W24)=0,"",IF(AND($S24=MesCiclo,4&gt;SemanaActual),"",MIN(1,SUMIFS(OFFSET($A$1,ROW(),32,1000-ROW(),1),OFFSET($A$1,ROW(),20,1000-ROW(),1),ROW(),OFFSET($A$1,ROW(),21,1000-ROW(),1),"Sub"))))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IF($V24&lt;&gt;"Sub","",N($X24)*IF(AND(ISNUMBER($G24),$G24&lt;=IF($S24=MesCiclo,InicioCiclo,$S24+MOD(2-WEEKDAY($S24),7))+6),1,MIN(1,MAX(0,IF(ISNUMBER(OFFSET($A$1,ROW()-1,8)),OFFSET($A$1,ROW()-1,8),0)))))</f>
        <v/>
      </c>
      <c r="AE24" s="62">
        <f>IF($V24&lt;&gt;"Sub","",N($X24)*IF(AND(ISNUMBER($G24),$G24&lt;=IF($S24=MesCiclo,InicioCiclo,$S24+MOD(2-WEEKDAY($S24),7))+13),1,MIN(1,MAX(0,IF(ISNUMBER(OFFSET($A$1,ROW()-1,9)),OFFSET($A$1,ROW()-1,9),IF(ISNUMBER(OFFSET($A$1,ROW()-1,8)),OFFSET($A$1,ROW()-1,8),0))))))</f>
        <v/>
      </c>
      <c r="AF24" s="62">
        <f>IF($V24&lt;&gt;"Sub","",N($X24)*IF(AND(ISNUMBER($G24),$G24&lt;=IF($S24=MesCiclo,InicioCiclo,$S24+MOD(2-WEEKDAY($S24),7))+20),1,MIN(1,MAX(0,IF(ISNUMBER(OFFSET($A$1,ROW()-1,10)),OFFSET($A$1,ROW()-1,10),IF(ISNUMBER(OFFSET($A$1,ROW()-1,9)),OFFSET($A$1,ROW()-1,9),IF(ISNUMBER(OFFSET($A$1,ROW()-1,8)),OFFSET($A$1,ROW()-1,8),0)))))))</f>
        <v/>
      </c>
      <c r="AG24" s="62">
        <f>IF($V24&lt;&gt;"Sub","",N($X24)*IF(AND(ISNUMBER($G24),$G24&lt;=IF($S24=MesCiclo,InicioCiclo,$S24+MOD(2-WEEKDAY($S24),7))+27),1,MIN(1,MAX(0,IF(ISNUMBER(OFFSET($A$1,ROW()-1,11)),OFFSET($A$1,ROW()-1,11),IF(ISNUMBER(OFFSET($A$1,ROW()-1,10)),OFFSET($A$1,ROW()-1,10),IF(ISNUMBER(OFFSET($A$1,ROW()-1,9)),OFFSET($A$1,ROW()-1,9),IF(ISNUMBER(OFFSET($A$1,ROW()-1,8)),OFFSET($A$1,ROW()-1,8),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",IFERROR(MATCH("Riesgo Financiero|"&amp;MID($C24,12,500),rDname_ADM,0),0),"")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inlineStr">
        <is>
          <t>Macroactividad</t>
        </is>
      </c>
      <c r="C25" s="58" t="inlineStr">
        <is>
          <t>Proyectos a largo plazo</t>
        </is>
      </c>
      <c r="D25" s="58" t="n"/>
      <c r="E25" s="59" t="n">
        <v>46296</v>
      </c>
      <c r="F25" s="59">
        <f>IF(N($AQ25)&gt;0,INDEX(rLim_ADM,$AQ25),"")</f>
        <v/>
      </c>
      <c r="G25" s="59" t="n"/>
      <c r="H25" s="60" t="n"/>
      <c r="I25" s="60">
        <f>IF(N($W25)=0,"",IF(AND($S25=MesCiclo,1&gt;SemanaActual),"",MIN(1,SUMIFS(OFFSET($A$1,ROW(),29,1000-ROW(),1),OFFSET($A$1,ROW(),20,1000-ROW(),1),ROW(),OFFSET($A$1,ROW(),21,1000-ROW(),1),"Sub"))))</f>
        <v/>
      </c>
      <c r="J25" s="60">
        <f>IF(N($W25)=0,"",IF(AND($S25=MesCiclo,2&gt;SemanaActual),"",MIN(1,SUMIFS(OFFSET($A$1,ROW(),30,1000-ROW(),1),OFFSET($A$1,ROW(),20,1000-ROW(),1),ROW(),OFFSET($A$1,ROW(),21,1000-ROW(),1),"Sub"))))</f>
        <v/>
      </c>
      <c r="K25" s="60">
        <f>IF(N($W25)=0,"",IF(AND($S25=MesCiclo,3&gt;SemanaActual),"",MIN(1,SUMIFS(OFFSET($A$1,ROW(),31,1000-ROW(),1),OFFSET($A$1,ROW(),20,1000-ROW(),1),ROW(),OFFSET($A$1,ROW(),21,1000-ROW(),1),"Sub"))))</f>
        <v/>
      </c>
      <c r="L25" s="60">
        <f>IF(N($W25)=0,"",IF(AND($S25=MesCiclo,4&gt;SemanaActual),"",MIN(1,SUMIFS(OFFSET($A$1,ROW(),32,1000-ROW(),1),OFFSET($A$1,ROW(),20,1000-ROW(),1),ROW(),OFFSET($A$1,ROW(),21,1000-ROW(),1),"Sub"))))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IF($V25&lt;&gt;"Sub","",N($X25)*IF(AND(ISNUMBER($G25),$G25&lt;=IF($S25=MesCiclo,InicioCiclo,$S25+MOD(2-WEEKDAY($S25),7))+6),1,MIN(1,MAX(0,IF(ISNUMBER(OFFSET($A$1,ROW()-1,8)),OFFSET($A$1,ROW()-1,8),0)))))</f>
        <v/>
      </c>
      <c r="AE25" s="62">
        <f>IF($V25&lt;&gt;"Sub","",N($X25)*IF(AND(ISNUMBER($G25),$G25&lt;=IF($S25=MesCiclo,InicioCiclo,$S25+MOD(2-WEEKDAY($S25),7))+13),1,MIN(1,MAX(0,IF(ISNUMBER(OFFSET($A$1,ROW()-1,9)),OFFSET($A$1,ROW()-1,9),IF(ISNUMBER(OFFSET($A$1,ROW()-1,8)),OFFSET($A$1,ROW()-1,8),0))))))</f>
        <v/>
      </c>
      <c r="AF25" s="62">
        <f>IF($V25&lt;&gt;"Sub","",N($X25)*IF(AND(ISNUMBER($G25),$G25&lt;=IF($S25=MesCiclo,InicioCiclo,$S25+MOD(2-WEEKDAY($S25),7))+20),1,MIN(1,MAX(0,IF(ISNUMBER(OFFSET($A$1,ROW()-1,10)),OFFSET($A$1,ROW()-1,10),IF(ISNUMBER(OFFSET($A$1,ROW()-1,9)),OFFSET($A$1,ROW()-1,9),IF(ISNUMBER(OFFSET($A$1,ROW()-1,8)),OFFSET($A$1,ROW()-1,8),0)))))))</f>
        <v/>
      </c>
      <c r="AG25" s="62">
        <f>IF($V25&lt;&gt;"Sub","",N($X25)*IF(AND(ISNUMBER($G25),$G25&lt;=IF($S25=MesCiclo,InicioCiclo,$S25+MOD(2-WEEKDAY($S25),7))+27),1,MIN(1,MAX(0,IF(ISNUMBER(OFFSET($A$1,ROW()-1,11)),OFFSET($A$1,ROW()-1,11),IF(ISNUMBER(OFFSET($A$1,ROW()-1,10)),OFFSET($A$1,ROW()-1,10),IF(ISNUMBER(OFFSET($A$1,ROW()-1,9)),OFFSET($A$1,ROW()-1,9),IF(ISNUMBER(OFFSET($A$1,ROW()-1,8)),OFFSET($A$1,ROW()-1,8),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",IFERROR(MATCH("Riesgo Financiero|"&amp;MID($C25,12,500),rDname_ADM,0),0),"")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inlineStr">
        <is>
          <t>Subactividad</t>
        </is>
      </c>
      <c r="C26" s="58" t="inlineStr">
        <is>
          <t>Adecuación del sistema de créditos para dar cumplimiento a las reformas de la normativa NRP-41</t>
        </is>
      </c>
      <c r="D26" s="58" t="n"/>
      <c r="E26" s="59" t="n">
        <v>46296</v>
      </c>
      <c r="F26" s="59">
        <f>IF(N($AQ26)&gt;0,INDEX(rLim_ADM,$AQ26),"")</f>
        <v/>
      </c>
      <c r="G26" s="59" t="n"/>
      <c r="H26" s="60" t="n"/>
      <c r="I26" s="60">
        <f>IF(N($W26)=0,"",IF(AND($S26=MesCiclo,1&gt;SemanaActual),"",MIN(1,SUMIFS(OFFSET($A$1,ROW(),29,1000-ROW(),1),OFFSET($A$1,ROW(),20,1000-ROW(),1),ROW(),OFFSET($A$1,ROW(),21,1000-ROW(),1),"Sub"))))</f>
        <v/>
      </c>
      <c r="J26" s="60" t="n">
        <v>0.1</v>
      </c>
      <c r="K26" s="60">
        <f>IF(N($W26)=0,"",IF(AND($S26=MesCiclo,3&gt;SemanaActual),"",MIN(1,SUMIFS(OFFSET($A$1,ROW(),31,1000-ROW(),1),OFFSET($A$1,ROW(),20,1000-ROW(),1),ROW(),OFFSET($A$1,ROW(),21,1000-ROW(),1),"Sub"))))</f>
        <v/>
      </c>
      <c r="L26" s="60">
        <f>IF(N($W26)=0,"",IF(AND($S26=MesCiclo,4&gt;SemanaActual),"",MIN(1,SUMIFS(OFFSET($A$1,ROW(),32,1000-ROW(),1),OFFSET($A$1,ROW(),20,1000-ROW(),1),ROW(),OFFSET($A$1,ROW(),21,1000-ROW(),1),"Sub"))))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IF($V26&lt;&gt;"Sub","",N($X26)*IF(AND(ISNUMBER($G26),$G26&lt;=IF($S26=MesCiclo,InicioCiclo,$S26+MOD(2-WEEKDAY($S26),7))+6),1,MIN(1,MAX(0,IF(ISNUMBER(OFFSET($A$1,ROW()-1,8)),OFFSET($A$1,ROW()-1,8),0)))))</f>
        <v/>
      </c>
      <c r="AE26" s="62">
        <f>IF($V26&lt;&gt;"Sub","",N($X26)*IF(AND(ISNUMBER($G26),$G26&lt;=IF($S26=MesCiclo,InicioCiclo,$S26+MOD(2-WEEKDAY($S26),7))+13),1,MIN(1,MAX(0,IF(ISNUMBER(OFFSET($A$1,ROW()-1,9)),OFFSET($A$1,ROW()-1,9),IF(ISNUMBER(OFFSET($A$1,ROW()-1,8)),OFFSET($A$1,ROW()-1,8),0))))))</f>
        <v/>
      </c>
      <c r="AF26" s="62">
        <f>IF($V26&lt;&gt;"Sub","",N($X26)*IF(AND(ISNUMBER($G26),$G26&lt;=IF($S26=MesCiclo,InicioCiclo,$S26+MOD(2-WEEKDAY($S26),7))+20),1,MIN(1,MAX(0,IF(ISNUMBER(OFFSET($A$1,ROW()-1,10)),OFFSET($A$1,ROW()-1,10),IF(ISNUMBER(OFFSET($A$1,ROW()-1,9)),OFFSET($A$1,ROW()-1,9),IF(ISNUMBER(OFFSET($A$1,ROW()-1,8)),OFFSET($A$1,ROW()-1,8),0)))))))</f>
        <v/>
      </c>
      <c r="AG26" s="62">
        <f>IF($V26&lt;&gt;"Sub","",N($X26)*IF(AND(ISNUMBER($G26),$G26&lt;=IF($S26=MesCiclo,InicioCiclo,$S26+MOD(2-WEEKDAY($S26),7))+27),1,MIN(1,MAX(0,IF(ISNUMBER(OFFSET($A$1,ROW()-1,11)),OFFSET($A$1,ROW()-1,11),IF(ISNUMBER(OFFSET($A$1,ROW()-1,10)),OFFSET($A$1,ROW()-1,10),IF(ISNUMBER(OFFSET($A$1,ROW()-1,9)),OFFSET($A$1,ROW()-1,9),IF(ISNUMBER(OFFSET($A$1,ROW()-1,8)),OFFSET($A$1,ROW()-1,8),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",IFERROR(MATCH("Riesgo Financiero|"&amp;MID($C26,12,500),rDname_ADM,0),0),"")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inlineStr">
        <is>
          <t>Subactividad</t>
        </is>
      </c>
      <c r="C27" s="58" t="inlineStr">
        <is>
          <t>Revisión de expedientes de tarjetahabientes de alto riesgo, a solicitud del Consejo de Admón.</t>
        </is>
      </c>
      <c r="D27" s="58" t="n"/>
      <c r="E27" s="59" t="n">
        <v>46296</v>
      </c>
      <c r="F27" s="59">
        <f>IF(N($AQ27)&gt;0,INDEX(rLim_ADM,$AQ27),"")</f>
        <v/>
      </c>
      <c r="G27" s="59" t="n"/>
      <c r="H27" s="60" t="n"/>
      <c r="I27" s="60">
        <f>IF(N($W27)=0,"",IF(AND($S27=MesCiclo,1&gt;SemanaActual),"",MIN(1,SUMIFS(OFFSET($A$1,ROW(),29,1000-ROW(),1),OFFSET($A$1,ROW(),20,1000-ROW(),1),ROW(),OFFSET($A$1,ROW(),21,1000-ROW(),1),"Sub"))))</f>
        <v/>
      </c>
      <c r="J27" s="60" t="n">
        <v>1</v>
      </c>
      <c r="K27" s="60">
        <f>IF(N($W27)=0,"",IF(AND($S27=MesCiclo,3&gt;SemanaActual),"",MIN(1,SUMIFS(OFFSET($A$1,ROW(),31,1000-ROW(),1),OFFSET($A$1,ROW(),20,1000-ROW(),1),ROW(),OFFSET($A$1,ROW(),21,1000-ROW(),1),"Sub"))))</f>
        <v/>
      </c>
      <c r="L27" s="60">
        <f>IF(N($W27)=0,"",IF(AND($S27=MesCiclo,4&gt;SemanaActual),"",MIN(1,SUMIFS(OFFSET($A$1,ROW(),32,1000-ROW(),1),OFFSET($A$1,ROW(),20,1000-ROW(),1),ROW(),OFFSET($A$1,ROW(),21,1000-ROW(),1),"Sub"))))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inlineStr">
        <is>
          <t>En el documento: 100% con estado «Proceso»</t>
        </is>
      </c>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IF($V27&lt;&gt;"Sub","",N($X27)*IF(AND(ISNUMBER($G27),$G27&lt;=IF($S27=MesCiclo,InicioCiclo,$S27+MOD(2-WEEKDAY($S27),7))+6),1,MIN(1,MAX(0,IF(ISNUMBER(OFFSET($A$1,ROW()-1,8)),OFFSET($A$1,ROW()-1,8),0)))))</f>
        <v/>
      </c>
      <c r="AE27" s="62">
        <f>IF($V27&lt;&gt;"Sub","",N($X27)*IF(AND(ISNUMBER($G27),$G27&lt;=IF($S27=MesCiclo,InicioCiclo,$S27+MOD(2-WEEKDAY($S27),7))+13),1,MIN(1,MAX(0,IF(ISNUMBER(OFFSET($A$1,ROW()-1,9)),OFFSET($A$1,ROW()-1,9),IF(ISNUMBER(OFFSET($A$1,ROW()-1,8)),OFFSET($A$1,ROW()-1,8),0))))))</f>
        <v/>
      </c>
      <c r="AF27" s="62">
        <f>IF($V27&lt;&gt;"Sub","",N($X27)*IF(AND(ISNUMBER($G27),$G27&lt;=IF($S27=MesCiclo,InicioCiclo,$S27+MOD(2-WEEKDAY($S27),7))+20),1,MIN(1,MAX(0,IF(ISNUMBER(OFFSET($A$1,ROW()-1,10)),OFFSET($A$1,ROW()-1,10),IF(ISNUMBER(OFFSET($A$1,ROW()-1,9)),OFFSET($A$1,ROW()-1,9),IF(ISNUMBER(OFFSET($A$1,ROW()-1,8)),OFFSET($A$1,ROW()-1,8),0)))))))</f>
        <v/>
      </c>
      <c r="AG27" s="62">
        <f>IF($V27&lt;&gt;"Sub","",N($X27)*IF(AND(ISNUMBER($G27),$G27&lt;=IF($S27=MesCiclo,InicioCiclo,$S27+MOD(2-WEEKDAY($S27),7))+27),1,MIN(1,MAX(0,IF(ISNUMBER(OFFSET($A$1,ROW()-1,11)),OFFSET($A$1,ROW()-1,11),IF(ISNUMBER(OFFSET($A$1,ROW()-1,10)),OFFSET($A$1,ROW()-1,10),IF(ISNUMBER(OFFSET($A$1,ROW()-1,9)),OFFSET($A$1,ROW()-1,9),IF(ISNUMBER(OFFSET($A$1,ROW()-1,8)),OFFSET($A$1,ROW()-1,8),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",IFERROR(MATCH("Riesgo Financiero|"&amp;MID($C27,12,500),rDname_ADM,0),0),"")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inlineStr">
        <is>
          <t>Subactividad</t>
        </is>
      </c>
      <c r="C28" s="58" t="inlineStr">
        <is>
          <t>Actualización de Políticas de Tarjeta de Crédito</t>
        </is>
      </c>
      <c r="D28" s="58" t="n"/>
      <c r="E28" s="59" t="n">
        <v>46296</v>
      </c>
      <c r="F28" s="59">
        <f>IF(N($AQ28)&gt;0,INDEX(rLim_ADM,$AQ28),"")</f>
        <v/>
      </c>
      <c r="G28" s="59" t="n"/>
      <c r="H28" s="60" t="n"/>
      <c r="I28" s="60">
        <f>IF(N($W28)=0,"",IF(AND($S28=MesCiclo,1&gt;SemanaActual),"",MIN(1,SUMIFS(OFFSET($A$1,ROW(),29,1000-ROW(),1),OFFSET($A$1,ROW(),20,1000-ROW(),1),ROW(),OFFSET($A$1,ROW(),21,1000-ROW(),1),"Sub"))))</f>
        <v/>
      </c>
      <c r="J28" s="60" t="n">
        <v>0.8</v>
      </c>
      <c r="K28" s="60">
        <f>IF(N($W28)=0,"",IF(AND($S28=MesCiclo,3&gt;SemanaActual),"",MIN(1,SUMIFS(OFFSET($A$1,ROW(),31,1000-ROW(),1),OFFSET($A$1,ROW(),20,1000-ROW(),1),ROW(),OFFSET($A$1,ROW(),21,1000-ROW(),1),"Sub"))))</f>
        <v/>
      </c>
      <c r="L28" s="60">
        <f>IF(N($W28)=0,"",IF(AND($S28=MesCiclo,4&gt;SemanaActual),"",MIN(1,SUMIFS(OFFSET($A$1,ROW(),32,1000-ROW(),1),OFFSET($A$1,ROW(),20,1000-ROW(),1),ROW(),OFFSET($A$1,ROW(),21,1000-ROW(),1),"Sub"))))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IF($V28&lt;&gt;"Sub","",N($X28)*IF(AND(ISNUMBER($G28),$G28&lt;=IF($S28=MesCiclo,InicioCiclo,$S28+MOD(2-WEEKDAY($S28),7))+6),1,MIN(1,MAX(0,IF(ISNUMBER(OFFSET($A$1,ROW()-1,8)),OFFSET($A$1,ROW()-1,8),0)))))</f>
        <v/>
      </c>
      <c r="AE28" s="62">
        <f>IF($V28&lt;&gt;"Sub","",N($X28)*IF(AND(ISNUMBER($G28),$G28&lt;=IF($S28=MesCiclo,InicioCiclo,$S28+MOD(2-WEEKDAY($S28),7))+13),1,MIN(1,MAX(0,IF(ISNUMBER(OFFSET($A$1,ROW()-1,9)),OFFSET($A$1,ROW()-1,9),IF(ISNUMBER(OFFSET($A$1,ROW()-1,8)),OFFSET($A$1,ROW()-1,8),0))))))</f>
        <v/>
      </c>
      <c r="AF28" s="62">
        <f>IF($V28&lt;&gt;"Sub","",N($X28)*IF(AND(ISNUMBER($G28),$G28&lt;=IF($S28=MesCiclo,InicioCiclo,$S28+MOD(2-WEEKDAY($S28),7))+20),1,MIN(1,MAX(0,IF(ISNUMBER(OFFSET($A$1,ROW()-1,10)),OFFSET($A$1,ROW()-1,10),IF(ISNUMBER(OFFSET($A$1,ROW()-1,9)),OFFSET($A$1,ROW()-1,9),IF(ISNUMBER(OFFSET($A$1,ROW()-1,8)),OFFSET($A$1,ROW()-1,8),0)))))))</f>
        <v/>
      </c>
      <c r="AG28" s="62">
        <f>IF($V28&lt;&gt;"Sub","",N($X28)*IF(AND(ISNUMBER($G28),$G28&lt;=IF($S28=MesCiclo,InicioCiclo,$S28+MOD(2-WEEKDAY($S28),7))+27),1,MIN(1,MAX(0,IF(ISNUMBER(OFFSET($A$1,ROW()-1,11)),OFFSET($A$1,ROW()-1,11),IF(ISNUMBER(OFFSET($A$1,ROW()-1,10)),OFFSET($A$1,ROW()-1,10),IF(ISNUMBER(OFFSET($A$1,ROW()-1,9)),OFFSET($A$1,ROW()-1,9),IF(ISNUMBER(OFFSET($A$1,ROW()-1,8)),OFFSET($A$1,ROW()-1,8),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",IFERROR(MATCH("Riesgo Financiero|"&amp;MID($C28,12,500),rDname_ADM,0),0),"")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IF(N($W29)=0,"",IF(AND($S29=MesCiclo,1&gt;SemanaActual),"",MIN(1,SUMIFS(OFFSET($A$1,ROW(),29,1000-ROW(),1),OFFSET($A$1,ROW(),20,1000-ROW(),1),ROW(),OFFSET($A$1,ROW(),21,1000-ROW(),1),"Sub"))))</f>
        <v/>
      </c>
      <c r="J29" s="60">
        <f>IF(N($W29)=0,"",IF(AND($S29=MesCiclo,2&gt;SemanaActual),"",MIN(1,SUMIFS(OFFSET($A$1,ROW(),30,1000-ROW(),1),OFFSET($A$1,ROW(),20,1000-ROW(),1),ROW(),OFFSET($A$1,ROW(),21,1000-ROW(),1),"Sub"))))</f>
        <v/>
      </c>
      <c r="K29" s="60">
        <f>IF(N($W29)=0,"",IF(AND($S29=MesCiclo,3&gt;SemanaActual),"",MIN(1,SUMIFS(OFFSET($A$1,ROW(),31,1000-ROW(),1),OFFSET($A$1,ROW(),20,1000-ROW(),1),ROW(),OFFSET($A$1,ROW(),21,1000-ROW(),1),"Sub"))))</f>
        <v/>
      </c>
      <c r="L29" s="60">
        <f>IF(N($W29)=0,"",IF(AND($S29=MesCiclo,4&gt;SemanaActual),"",MIN(1,SUMIFS(OFFSET($A$1,ROW(),32,1000-ROW(),1),OFFSET($A$1,ROW(),20,1000-ROW(),1),ROW(),OFFSET($A$1,ROW(),21,1000-ROW(),1),"Sub"))))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IF($V29&lt;&gt;"Sub","",N($X29)*IF(AND(ISNUMBER($G29),$G29&lt;=IF($S29=MesCiclo,InicioCiclo,$S29+MOD(2-WEEKDAY($S29),7))+6),1,MIN(1,MAX(0,IF(ISNUMBER(OFFSET($A$1,ROW()-1,8)),OFFSET($A$1,ROW()-1,8),0)))))</f>
        <v/>
      </c>
      <c r="AE29" s="62">
        <f>IF($V29&lt;&gt;"Sub","",N($X29)*IF(AND(ISNUMBER($G29),$G29&lt;=IF($S29=MesCiclo,InicioCiclo,$S29+MOD(2-WEEKDAY($S29),7))+13),1,MIN(1,MAX(0,IF(ISNUMBER(OFFSET($A$1,ROW()-1,9)),OFFSET($A$1,ROW()-1,9),IF(ISNUMBER(OFFSET($A$1,ROW()-1,8)),OFFSET($A$1,ROW()-1,8),0))))))</f>
        <v/>
      </c>
      <c r="AF29" s="62">
        <f>IF($V29&lt;&gt;"Sub","",N($X29)*IF(AND(ISNUMBER($G29),$G29&lt;=IF($S29=MesCiclo,InicioCiclo,$S29+MOD(2-WEEKDAY($S29),7))+20),1,MIN(1,MAX(0,IF(ISNUMBER(OFFSET($A$1,ROW()-1,10)),OFFSET($A$1,ROW()-1,10),IF(ISNUMBER(OFFSET($A$1,ROW()-1,9)),OFFSET($A$1,ROW()-1,9),IF(ISNUMBER(OFFSET($A$1,ROW()-1,8)),OFFSET($A$1,ROW()-1,8),0)))))))</f>
        <v/>
      </c>
      <c r="AG29" s="62">
        <f>IF($V29&lt;&gt;"Sub","",N($X29)*IF(AND(ISNUMBER($G29),$G29&lt;=IF($S29=MesCiclo,InicioCiclo,$S29+MOD(2-WEEKDAY($S29),7))+27),1,MIN(1,MAX(0,IF(ISNUMBER(OFFSET($A$1,ROW()-1,11)),OFFSET($A$1,ROW()-1,11),IF(ISNUMBER(OFFSET($A$1,ROW()-1,10)),OFFSET($A$1,ROW()-1,10),IF(ISNUMBER(OFFSET($A$1,ROW()-1,9)),OFFSET($A$1,ROW()-1,9),IF(ISNUMBER(OFFSET($A$1,ROW()-1,8)),OFFSET($A$1,ROW()-1,8),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",IFERROR(MATCH("Riesgo Financiero|"&amp;MID($C29,12,500),rDname_ADM,0),0),"")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IF(N($W30)=0,"",IF(AND($S30=MesCiclo,1&gt;SemanaActual),"",MIN(1,SUMIFS(OFFSET($A$1,ROW(),29,1000-ROW(),1),OFFSET($A$1,ROW(),20,1000-ROW(),1),ROW(),OFFSET($A$1,ROW(),21,1000-ROW(),1),"Sub"))))</f>
        <v/>
      </c>
      <c r="J30" s="60">
        <f>IF(N($W30)=0,"",IF(AND($S30=MesCiclo,2&gt;SemanaActual),"",MIN(1,SUMIFS(OFFSET($A$1,ROW(),30,1000-ROW(),1),OFFSET($A$1,ROW(),20,1000-ROW(),1),ROW(),OFFSET($A$1,ROW(),21,1000-ROW(),1),"Sub"))))</f>
        <v/>
      </c>
      <c r="K30" s="60">
        <f>IF(N($W30)=0,"",IF(AND($S30=MesCiclo,3&gt;SemanaActual),"",MIN(1,SUMIFS(OFFSET($A$1,ROW(),31,1000-ROW(),1),OFFSET($A$1,ROW(),20,1000-ROW(),1),ROW(),OFFSET($A$1,ROW(),21,1000-ROW(),1),"Sub"))))</f>
        <v/>
      </c>
      <c r="L30" s="60">
        <f>IF(N($W30)=0,"",IF(AND($S30=MesCiclo,4&gt;SemanaActual),"",MIN(1,SUMIFS(OFFSET($A$1,ROW(),32,1000-ROW(),1),OFFSET($A$1,ROW(),20,1000-ROW(),1),ROW(),OFFSET($A$1,ROW(),21,1000-ROW(),1),"Sub"))))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IF($V30&lt;&gt;"Sub","",N($X30)*IF(AND(ISNUMBER($G30),$G30&lt;=IF($S30=MesCiclo,InicioCiclo,$S30+MOD(2-WEEKDAY($S30),7))+6),1,MIN(1,MAX(0,IF(ISNUMBER(OFFSET($A$1,ROW()-1,8)),OFFSET($A$1,ROW()-1,8),0)))))</f>
        <v/>
      </c>
      <c r="AE30" s="62">
        <f>IF($V30&lt;&gt;"Sub","",N($X30)*IF(AND(ISNUMBER($G30),$G30&lt;=IF($S30=MesCiclo,InicioCiclo,$S30+MOD(2-WEEKDAY($S30),7))+13),1,MIN(1,MAX(0,IF(ISNUMBER(OFFSET($A$1,ROW()-1,9)),OFFSET($A$1,ROW()-1,9),IF(ISNUMBER(OFFSET($A$1,ROW()-1,8)),OFFSET($A$1,ROW()-1,8),0))))))</f>
        <v/>
      </c>
      <c r="AF30" s="62">
        <f>IF($V30&lt;&gt;"Sub","",N($X30)*IF(AND(ISNUMBER($G30),$G30&lt;=IF($S30=MesCiclo,InicioCiclo,$S30+MOD(2-WEEKDAY($S30),7))+20),1,MIN(1,MAX(0,IF(ISNUMBER(OFFSET($A$1,ROW()-1,10)),OFFSET($A$1,ROW()-1,10),IF(ISNUMBER(OFFSET($A$1,ROW()-1,9)),OFFSET($A$1,ROW()-1,9),IF(ISNUMBER(OFFSET($A$1,ROW()-1,8)),OFFSET($A$1,ROW()-1,8),0)))))))</f>
        <v/>
      </c>
      <c r="AG30" s="62">
        <f>IF($V30&lt;&gt;"Sub","",N($X30)*IF(AND(ISNUMBER($G30),$G30&lt;=IF($S30=MesCiclo,InicioCiclo,$S30+MOD(2-WEEKDAY($S30),7))+27),1,MIN(1,MAX(0,IF(ISNUMBER(OFFSET($A$1,ROW()-1,11)),OFFSET($A$1,ROW()-1,11),IF(ISNUMBER(OFFSET($A$1,ROW()-1,10)),OFFSET($A$1,ROW()-1,10),IF(ISNUMBER(OFFSET($A$1,ROW()-1,9)),OFFSET($A$1,ROW()-1,9),IF(ISNUMBER(OFFSET($A$1,ROW()-1,8)),OFFSET($A$1,ROW()-1,8),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",IFERROR(MATCH("Riesgo Financiero|"&amp;MID($C30,12,500),rDname_ADM,0),0),"")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IF(N($W31)=0,"",IF(AND($S31=MesCiclo,1&gt;SemanaActual),"",MIN(1,SUMIFS(OFFSET($A$1,ROW(),29,1000-ROW(),1),OFFSET($A$1,ROW(),20,1000-ROW(),1),ROW(),OFFSET($A$1,ROW(),21,1000-ROW(),1),"Sub"))))</f>
        <v/>
      </c>
      <c r="J31" s="60">
        <f>IF(N($W31)=0,"",IF(AND($S31=MesCiclo,2&gt;SemanaActual),"",MIN(1,SUMIFS(OFFSET($A$1,ROW(),30,1000-ROW(),1),OFFSET($A$1,ROW(),20,1000-ROW(),1),ROW(),OFFSET($A$1,ROW(),21,1000-ROW(),1),"Sub"))))</f>
        <v/>
      </c>
      <c r="K31" s="60">
        <f>IF(N($W31)=0,"",IF(AND($S31=MesCiclo,3&gt;SemanaActual),"",MIN(1,SUMIFS(OFFSET($A$1,ROW(),31,1000-ROW(),1),OFFSET($A$1,ROW(),20,1000-ROW(),1),ROW(),OFFSET($A$1,ROW(),21,1000-ROW(),1),"Sub"))))</f>
        <v/>
      </c>
      <c r="L31" s="60">
        <f>IF(N($W31)=0,"",IF(AND($S31=MesCiclo,4&gt;SemanaActual),"",MIN(1,SUMIFS(OFFSET($A$1,ROW(),32,1000-ROW(),1),OFFSET($A$1,ROW(),20,1000-ROW(),1),ROW(),OFFSET($A$1,ROW(),21,1000-ROW(),1),"Sub"))))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IF($V31&lt;&gt;"Sub","",N($X31)*IF(AND(ISNUMBER($G31),$G31&lt;=IF($S31=MesCiclo,InicioCiclo,$S31+MOD(2-WEEKDAY($S31),7))+6),1,MIN(1,MAX(0,IF(ISNUMBER(OFFSET($A$1,ROW()-1,8)),OFFSET($A$1,ROW()-1,8),0)))))</f>
        <v/>
      </c>
      <c r="AE31" s="62">
        <f>IF($V31&lt;&gt;"Sub","",N($X31)*IF(AND(ISNUMBER($G31),$G31&lt;=IF($S31=MesCiclo,InicioCiclo,$S31+MOD(2-WEEKDAY($S31),7))+13),1,MIN(1,MAX(0,IF(ISNUMBER(OFFSET($A$1,ROW()-1,9)),OFFSET($A$1,ROW()-1,9),IF(ISNUMBER(OFFSET($A$1,ROW()-1,8)),OFFSET($A$1,ROW()-1,8),0))))))</f>
        <v/>
      </c>
      <c r="AF31" s="62">
        <f>IF($V31&lt;&gt;"Sub","",N($X31)*IF(AND(ISNUMBER($G31),$G31&lt;=IF($S31=MesCiclo,InicioCiclo,$S31+MOD(2-WEEKDAY($S31),7))+20),1,MIN(1,MAX(0,IF(ISNUMBER(OFFSET($A$1,ROW()-1,10)),OFFSET($A$1,ROW()-1,10),IF(ISNUMBER(OFFSET($A$1,ROW()-1,9)),OFFSET($A$1,ROW()-1,9),IF(ISNUMBER(OFFSET($A$1,ROW()-1,8)),OFFSET($A$1,ROW()-1,8),0)))))))</f>
        <v/>
      </c>
      <c r="AG31" s="62">
        <f>IF($V31&lt;&gt;"Sub","",N($X31)*IF(AND(ISNUMBER($G31),$G31&lt;=IF($S31=MesCiclo,InicioCiclo,$S31+MOD(2-WEEKDAY($S31),7))+27),1,MIN(1,MAX(0,IF(ISNUMBER(OFFSET($A$1,ROW()-1,11)),OFFSET($A$1,ROW()-1,11),IF(ISNUMBER(OFFSET($A$1,ROW()-1,10)),OFFSET($A$1,ROW()-1,10),IF(ISNUMBER(OFFSET($A$1,ROW()-1,9)),OFFSET($A$1,ROW()-1,9),IF(ISNUMBER(OFFSET($A$1,ROW()-1,8)),OFFSET($A$1,ROW()-1,8),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",IFERROR(MATCH("Riesgo Financiero|"&amp;MID($C31,12,500),rDname_ADM,0),0),"")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IF(N($W32)=0,"",IF(AND($S32=MesCiclo,1&gt;SemanaActual),"",MIN(1,SUMIFS(OFFSET($A$1,ROW(),29,1000-ROW(),1),OFFSET($A$1,ROW(),20,1000-ROW(),1),ROW(),OFFSET($A$1,ROW(),21,1000-ROW(),1),"Sub"))))</f>
        <v/>
      </c>
      <c r="J32" s="60">
        <f>IF(N($W32)=0,"",IF(AND($S32=MesCiclo,2&gt;SemanaActual),"",MIN(1,SUMIFS(OFFSET($A$1,ROW(),30,1000-ROW(),1),OFFSET($A$1,ROW(),20,1000-ROW(),1),ROW(),OFFSET($A$1,ROW(),21,1000-ROW(),1),"Sub"))))</f>
        <v/>
      </c>
      <c r="K32" s="60">
        <f>IF(N($W32)=0,"",IF(AND($S32=MesCiclo,3&gt;SemanaActual),"",MIN(1,SUMIFS(OFFSET($A$1,ROW(),31,1000-ROW(),1),OFFSET($A$1,ROW(),20,1000-ROW(),1),ROW(),OFFSET($A$1,ROW(),21,1000-ROW(),1),"Sub"))))</f>
        <v/>
      </c>
      <c r="L32" s="60">
        <f>IF(N($W32)=0,"",IF(AND($S32=MesCiclo,4&gt;SemanaActual),"",MIN(1,SUMIFS(OFFSET($A$1,ROW(),32,1000-ROW(),1),OFFSET($A$1,ROW(),20,1000-ROW(),1),ROW(),OFFSET($A$1,ROW(),21,1000-ROW(),1),"Sub"))))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IF($V32&lt;&gt;"Sub","",N($X32)*IF(AND(ISNUMBER($G32),$G32&lt;=IF($S32=MesCiclo,InicioCiclo,$S32+MOD(2-WEEKDAY($S32),7))+6),1,MIN(1,MAX(0,IF(ISNUMBER(OFFSET($A$1,ROW()-1,8)),OFFSET($A$1,ROW()-1,8),0)))))</f>
        <v/>
      </c>
      <c r="AE32" s="62">
        <f>IF($V32&lt;&gt;"Sub","",N($X32)*IF(AND(ISNUMBER($G32),$G32&lt;=IF($S32=MesCiclo,InicioCiclo,$S32+MOD(2-WEEKDAY($S32),7))+13),1,MIN(1,MAX(0,IF(ISNUMBER(OFFSET($A$1,ROW()-1,9)),OFFSET($A$1,ROW()-1,9),IF(ISNUMBER(OFFSET($A$1,ROW()-1,8)),OFFSET($A$1,ROW()-1,8),0))))))</f>
        <v/>
      </c>
      <c r="AF32" s="62">
        <f>IF($V32&lt;&gt;"Sub","",N($X32)*IF(AND(ISNUMBER($G32),$G32&lt;=IF($S32=MesCiclo,InicioCiclo,$S32+MOD(2-WEEKDAY($S32),7))+20),1,MIN(1,MAX(0,IF(ISNUMBER(OFFSET($A$1,ROW()-1,10)),OFFSET($A$1,ROW()-1,10),IF(ISNUMBER(OFFSET($A$1,ROW()-1,9)),OFFSET($A$1,ROW()-1,9),IF(ISNUMBER(OFFSET($A$1,ROW()-1,8)),OFFSET($A$1,ROW()-1,8),0)))))))</f>
        <v/>
      </c>
      <c r="AG32" s="62">
        <f>IF($V32&lt;&gt;"Sub","",N($X32)*IF(AND(ISNUMBER($G32),$G32&lt;=IF($S32=MesCiclo,InicioCiclo,$S32+MOD(2-WEEKDAY($S32),7))+27),1,MIN(1,MAX(0,IF(ISNUMBER(OFFSET($A$1,ROW()-1,11)),OFFSET($A$1,ROW()-1,11),IF(ISNUMBER(OFFSET($A$1,ROW()-1,10)),OFFSET($A$1,ROW()-1,10),IF(ISNUMBER(OFFSET($A$1,ROW()-1,9)),OFFSET($A$1,ROW()-1,9),IF(ISNUMBER(OFFSET($A$1,ROW()-1,8)),OFFSET($A$1,ROW()-1,8),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",IFERROR(MATCH("Riesgo Financiero|"&amp;MID($C32,12,500),rDname_ADM,0),0),"")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IF(N($W33)=0,"",IF(AND($S33=MesCiclo,1&gt;SemanaActual),"",MIN(1,SUMIFS(OFFSET($A$1,ROW(),29,1000-ROW(),1),OFFSET($A$1,ROW(),20,1000-ROW(),1),ROW(),OFFSET($A$1,ROW(),21,1000-ROW(),1),"Sub"))))</f>
        <v/>
      </c>
      <c r="J33" s="60">
        <f>IF(N($W33)=0,"",IF(AND($S33=MesCiclo,2&gt;SemanaActual),"",MIN(1,SUMIFS(OFFSET($A$1,ROW(),30,1000-ROW(),1),OFFSET($A$1,ROW(),20,1000-ROW(),1),ROW(),OFFSET($A$1,ROW(),21,1000-ROW(),1),"Sub"))))</f>
        <v/>
      </c>
      <c r="K33" s="60">
        <f>IF(N($W33)=0,"",IF(AND($S33=MesCiclo,3&gt;SemanaActual),"",MIN(1,SUMIFS(OFFSET($A$1,ROW(),31,1000-ROW(),1),OFFSET($A$1,ROW(),20,1000-ROW(),1),ROW(),OFFSET($A$1,ROW(),21,1000-ROW(),1),"Sub"))))</f>
        <v/>
      </c>
      <c r="L33" s="60">
        <f>IF(N($W33)=0,"",IF(AND($S33=MesCiclo,4&gt;SemanaActual),"",MIN(1,SUMIFS(OFFSET($A$1,ROW(),32,1000-ROW(),1),OFFSET($A$1,ROW(),20,1000-ROW(),1),ROW(),OFFSET($A$1,ROW(),21,1000-ROW(),1),"Sub"))))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IF($V33&lt;&gt;"Sub","",N($X33)*IF(AND(ISNUMBER($G33),$G33&lt;=IF($S33=MesCiclo,InicioCiclo,$S33+MOD(2-WEEKDAY($S33),7))+6),1,MIN(1,MAX(0,IF(ISNUMBER(OFFSET($A$1,ROW()-1,8)),OFFSET($A$1,ROW()-1,8),0)))))</f>
        <v/>
      </c>
      <c r="AE33" s="62">
        <f>IF($V33&lt;&gt;"Sub","",N($X33)*IF(AND(ISNUMBER($G33),$G33&lt;=IF($S33=MesCiclo,InicioCiclo,$S33+MOD(2-WEEKDAY($S33),7))+13),1,MIN(1,MAX(0,IF(ISNUMBER(OFFSET($A$1,ROW()-1,9)),OFFSET($A$1,ROW()-1,9),IF(ISNUMBER(OFFSET($A$1,ROW()-1,8)),OFFSET($A$1,ROW()-1,8),0))))))</f>
        <v/>
      </c>
      <c r="AF33" s="62">
        <f>IF($V33&lt;&gt;"Sub","",N($X33)*IF(AND(ISNUMBER($G33),$G33&lt;=IF($S33=MesCiclo,InicioCiclo,$S33+MOD(2-WEEKDAY($S33),7))+20),1,MIN(1,MAX(0,IF(ISNUMBER(OFFSET($A$1,ROW()-1,10)),OFFSET($A$1,ROW()-1,10),IF(ISNUMBER(OFFSET($A$1,ROW()-1,9)),OFFSET($A$1,ROW()-1,9),IF(ISNUMBER(OFFSET($A$1,ROW()-1,8)),OFFSET($A$1,ROW()-1,8),0)))))))</f>
        <v/>
      </c>
      <c r="AG33" s="62">
        <f>IF($V33&lt;&gt;"Sub","",N($X33)*IF(AND(ISNUMBER($G33),$G33&lt;=IF($S33=MesCiclo,InicioCiclo,$S33+MOD(2-WEEKDAY($S33),7))+27),1,MIN(1,MAX(0,IF(ISNUMBER(OFFSET($A$1,ROW()-1,11)),OFFSET($A$1,ROW()-1,11),IF(ISNUMBER(OFFSET($A$1,ROW()-1,10)),OFFSET($A$1,ROW()-1,10),IF(ISNUMBER(OFFSET($A$1,ROW()-1,9)),OFFSET($A$1,ROW()-1,9),IF(ISNUMBER(OFFSET($A$1,ROW()-1,8)),OFFSET($A$1,ROW()-1,8),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",IFERROR(MATCH("Riesgo Financiero|"&amp;MID($C33,12,500),rDname_ADM,0),0),"")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IF(N($W34)=0,"",IF(AND($S34=MesCiclo,1&gt;SemanaActual),"",MIN(1,SUMIFS(OFFSET($A$1,ROW(),29,1000-ROW(),1),OFFSET($A$1,ROW(),20,1000-ROW(),1),ROW(),OFFSET($A$1,ROW(),21,1000-ROW(),1),"Sub"))))</f>
        <v/>
      </c>
      <c r="J34" s="60">
        <f>IF(N($W34)=0,"",IF(AND($S34=MesCiclo,2&gt;SemanaActual),"",MIN(1,SUMIFS(OFFSET($A$1,ROW(),30,1000-ROW(),1),OFFSET($A$1,ROW(),20,1000-ROW(),1),ROW(),OFFSET($A$1,ROW(),21,1000-ROW(),1),"Sub"))))</f>
        <v/>
      </c>
      <c r="K34" s="60">
        <f>IF(N($W34)=0,"",IF(AND($S34=MesCiclo,3&gt;SemanaActual),"",MIN(1,SUMIFS(OFFSET($A$1,ROW(),31,1000-ROW(),1),OFFSET($A$1,ROW(),20,1000-ROW(),1),ROW(),OFFSET($A$1,ROW(),21,1000-ROW(),1),"Sub"))))</f>
        <v/>
      </c>
      <c r="L34" s="60">
        <f>IF(N($W34)=0,"",IF(AND($S34=MesCiclo,4&gt;SemanaActual),"",MIN(1,SUMIFS(OFFSET($A$1,ROW(),32,1000-ROW(),1),OFFSET($A$1,ROW(),20,1000-ROW(),1),ROW(),OFFSET($A$1,ROW(),21,1000-ROW(),1),"Sub"))))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IF($V34&lt;&gt;"Sub","",N($X34)*IF(AND(ISNUMBER($G34),$G34&lt;=IF($S34=MesCiclo,InicioCiclo,$S34+MOD(2-WEEKDAY($S34),7))+6),1,MIN(1,MAX(0,IF(ISNUMBER(OFFSET($A$1,ROW()-1,8)),OFFSET($A$1,ROW()-1,8),0)))))</f>
        <v/>
      </c>
      <c r="AE34" s="62">
        <f>IF($V34&lt;&gt;"Sub","",N($X34)*IF(AND(ISNUMBER($G34),$G34&lt;=IF($S34=MesCiclo,InicioCiclo,$S34+MOD(2-WEEKDAY($S34),7))+13),1,MIN(1,MAX(0,IF(ISNUMBER(OFFSET($A$1,ROW()-1,9)),OFFSET($A$1,ROW()-1,9),IF(ISNUMBER(OFFSET($A$1,ROW()-1,8)),OFFSET($A$1,ROW()-1,8),0))))))</f>
        <v/>
      </c>
      <c r="AF34" s="62">
        <f>IF($V34&lt;&gt;"Sub","",N($X34)*IF(AND(ISNUMBER($G34),$G34&lt;=IF($S34=MesCiclo,InicioCiclo,$S34+MOD(2-WEEKDAY($S34),7))+20),1,MIN(1,MAX(0,IF(ISNUMBER(OFFSET($A$1,ROW()-1,10)),OFFSET($A$1,ROW()-1,10),IF(ISNUMBER(OFFSET($A$1,ROW()-1,9)),OFFSET($A$1,ROW()-1,9),IF(ISNUMBER(OFFSET($A$1,ROW()-1,8)),OFFSET($A$1,ROW()-1,8),0)))))))</f>
        <v/>
      </c>
      <c r="AG34" s="62">
        <f>IF($V34&lt;&gt;"Sub","",N($X34)*IF(AND(ISNUMBER($G34),$G34&lt;=IF($S34=MesCiclo,InicioCiclo,$S34+MOD(2-WEEKDAY($S34),7))+27),1,MIN(1,MAX(0,IF(ISNUMBER(OFFSET($A$1,ROW()-1,11)),OFFSET($A$1,ROW()-1,11),IF(ISNUMBER(OFFSET($A$1,ROW()-1,10)),OFFSET($A$1,ROW()-1,10),IF(ISNUMBER(OFFSET($A$1,ROW()-1,9)),OFFSET($A$1,ROW()-1,9),IF(ISNUMBER(OFFSET($A$1,ROW()-1,8)),OFFSET($A$1,ROW()-1,8),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",IFERROR(MATCH("Riesgo Financiero|"&amp;MID($C34,12,500),rDname_ADM,0),0),"")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IF(N($W35)=0,"",IF(AND($S35=MesCiclo,1&gt;SemanaActual),"",MIN(1,SUMIFS(OFFSET($A$1,ROW(),29,1000-ROW(),1),OFFSET($A$1,ROW(),20,1000-ROW(),1),ROW(),OFFSET($A$1,ROW(),21,1000-ROW(),1),"Sub"))))</f>
        <v/>
      </c>
      <c r="J35" s="60">
        <f>IF(N($W35)=0,"",IF(AND($S35=MesCiclo,2&gt;SemanaActual),"",MIN(1,SUMIFS(OFFSET($A$1,ROW(),30,1000-ROW(),1),OFFSET($A$1,ROW(),20,1000-ROW(),1),ROW(),OFFSET($A$1,ROW(),21,1000-ROW(),1),"Sub"))))</f>
        <v/>
      </c>
      <c r="K35" s="60">
        <f>IF(N($W35)=0,"",IF(AND($S35=MesCiclo,3&gt;SemanaActual),"",MIN(1,SUMIFS(OFFSET($A$1,ROW(),31,1000-ROW(),1),OFFSET($A$1,ROW(),20,1000-ROW(),1),ROW(),OFFSET($A$1,ROW(),21,1000-ROW(),1),"Sub"))))</f>
        <v/>
      </c>
      <c r="L35" s="60">
        <f>IF(N($W35)=0,"",IF(AND($S35=MesCiclo,4&gt;SemanaActual),"",MIN(1,SUMIFS(OFFSET($A$1,ROW(),32,1000-ROW(),1),OFFSET($A$1,ROW(),20,1000-ROW(),1),ROW(),OFFSET($A$1,ROW(),21,1000-ROW(),1),"Sub"))))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IF($V35&lt;&gt;"Sub","",N($X35)*IF(AND(ISNUMBER($G35),$G35&lt;=IF($S35=MesCiclo,InicioCiclo,$S35+MOD(2-WEEKDAY($S35),7))+6),1,MIN(1,MAX(0,IF(ISNUMBER(OFFSET($A$1,ROW()-1,8)),OFFSET($A$1,ROW()-1,8),0)))))</f>
        <v/>
      </c>
      <c r="AE35" s="62">
        <f>IF($V35&lt;&gt;"Sub","",N($X35)*IF(AND(ISNUMBER($G35),$G35&lt;=IF($S35=MesCiclo,InicioCiclo,$S35+MOD(2-WEEKDAY($S35),7))+13),1,MIN(1,MAX(0,IF(ISNUMBER(OFFSET($A$1,ROW()-1,9)),OFFSET($A$1,ROW()-1,9),IF(ISNUMBER(OFFSET($A$1,ROW()-1,8)),OFFSET($A$1,ROW()-1,8),0))))))</f>
        <v/>
      </c>
      <c r="AF35" s="62">
        <f>IF($V35&lt;&gt;"Sub","",N($X35)*IF(AND(ISNUMBER($G35),$G35&lt;=IF($S35=MesCiclo,InicioCiclo,$S35+MOD(2-WEEKDAY($S35),7))+20),1,MIN(1,MAX(0,IF(ISNUMBER(OFFSET($A$1,ROW()-1,10)),OFFSET($A$1,ROW()-1,10),IF(ISNUMBER(OFFSET($A$1,ROW()-1,9)),OFFSET($A$1,ROW()-1,9),IF(ISNUMBER(OFFSET($A$1,ROW()-1,8)),OFFSET($A$1,ROW()-1,8),0)))))))</f>
        <v/>
      </c>
      <c r="AG35" s="62">
        <f>IF($V35&lt;&gt;"Sub","",N($X35)*IF(AND(ISNUMBER($G35),$G35&lt;=IF($S35=MesCiclo,InicioCiclo,$S35+MOD(2-WEEKDAY($S35),7))+27),1,MIN(1,MAX(0,IF(ISNUMBER(OFFSET($A$1,ROW()-1,11)),OFFSET($A$1,ROW()-1,11),IF(ISNUMBER(OFFSET($A$1,ROW()-1,10)),OFFSET($A$1,ROW()-1,10),IF(ISNUMBER(OFFSET($A$1,ROW()-1,9)),OFFSET($A$1,ROW()-1,9),IF(ISNUMBER(OFFSET($A$1,ROW()-1,8)),OFFSET($A$1,ROW()-1,8),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",IFERROR(MATCH("Riesgo Financiero|"&amp;MID($C35,12,500),rDname_ADM,0),0),"")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IF(N($W36)=0,"",IF(AND($S36=MesCiclo,1&gt;SemanaActual),"",MIN(1,SUMIFS(OFFSET($A$1,ROW(),29,1000-ROW(),1),OFFSET($A$1,ROW(),20,1000-ROW(),1),ROW(),OFFSET($A$1,ROW(),21,1000-ROW(),1),"Sub"))))</f>
        <v/>
      </c>
      <c r="J36" s="60">
        <f>IF(N($W36)=0,"",IF(AND($S36=MesCiclo,2&gt;SemanaActual),"",MIN(1,SUMIFS(OFFSET($A$1,ROW(),30,1000-ROW(),1),OFFSET($A$1,ROW(),20,1000-ROW(),1),ROW(),OFFSET($A$1,ROW(),21,1000-ROW(),1),"Sub"))))</f>
        <v/>
      </c>
      <c r="K36" s="60">
        <f>IF(N($W36)=0,"",IF(AND($S36=MesCiclo,3&gt;SemanaActual),"",MIN(1,SUMIFS(OFFSET($A$1,ROW(),31,1000-ROW(),1),OFFSET($A$1,ROW(),20,1000-ROW(),1),ROW(),OFFSET($A$1,ROW(),21,1000-ROW(),1),"Sub"))))</f>
        <v/>
      </c>
      <c r="L36" s="60">
        <f>IF(N($W36)=0,"",IF(AND($S36=MesCiclo,4&gt;SemanaActual),"",MIN(1,SUMIFS(OFFSET($A$1,ROW(),32,1000-ROW(),1),OFFSET($A$1,ROW(),20,1000-ROW(),1),ROW(),OFFSET($A$1,ROW(),21,1000-ROW(),1),"Sub"))))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IF($V36&lt;&gt;"Sub","",N($X36)*IF(AND(ISNUMBER($G36),$G36&lt;=IF($S36=MesCiclo,InicioCiclo,$S36+MOD(2-WEEKDAY($S36),7))+6),1,MIN(1,MAX(0,IF(ISNUMBER(OFFSET($A$1,ROW()-1,8)),OFFSET($A$1,ROW()-1,8),0)))))</f>
        <v/>
      </c>
      <c r="AE36" s="62">
        <f>IF($V36&lt;&gt;"Sub","",N($X36)*IF(AND(ISNUMBER($G36),$G36&lt;=IF($S36=MesCiclo,InicioCiclo,$S36+MOD(2-WEEKDAY($S36),7))+13),1,MIN(1,MAX(0,IF(ISNUMBER(OFFSET($A$1,ROW()-1,9)),OFFSET($A$1,ROW()-1,9),IF(ISNUMBER(OFFSET($A$1,ROW()-1,8)),OFFSET($A$1,ROW()-1,8),0))))))</f>
        <v/>
      </c>
      <c r="AF36" s="62">
        <f>IF($V36&lt;&gt;"Sub","",N($X36)*IF(AND(ISNUMBER($G36),$G36&lt;=IF($S36=MesCiclo,InicioCiclo,$S36+MOD(2-WEEKDAY($S36),7))+20),1,MIN(1,MAX(0,IF(ISNUMBER(OFFSET($A$1,ROW()-1,10)),OFFSET($A$1,ROW()-1,10),IF(ISNUMBER(OFFSET($A$1,ROW()-1,9)),OFFSET($A$1,ROW()-1,9),IF(ISNUMBER(OFFSET($A$1,ROW()-1,8)),OFFSET($A$1,ROW()-1,8),0)))))))</f>
        <v/>
      </c>
      <c r="AG36" s="62">
        <f>IF($V36&lt;&gt;"Sub","",N($X36)*IF(AND(ISNUMBER($G36),$G36&lt;=IF($S36=MesCiclo,InicioCiclo,$S36+MOD(2-WEEKDAY($S36),7))+27),1,MIN(1,MAX(0,IF(ISNUMBER(OFFSET($A$1,ROW()-1,11)),OFFSET($A$1,ROW()-1,11),IF(ISNUMBER(OFFSET($A$1,ROW()-1,10)),OFFSET($A$1,ROW()-1,10),IF(ISNUMBER(OFFSET($A$1,ROW()-1,9)),OFFSET($A$1,ROW()-1,9),IF(ISNUMBER(OFFSET($A$1,ROW()-1,8)),OFFSET($A$1,ROW()-1,8),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",IFERROR(MATCH("Riesgo Financiero|"&amp;MID($C36,12,500),rDname_ADM,0),0),"")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IF(N($W37)=0,"",IF(AND($S37=MesCiclo,1&gt;SemanaActual),"",MIN(1,SUMIFS(OFFSET($A$1,ROW(),29,1000-ROW(),1),OFFSET($A$1,ROW(),20,1000-ROW(),1),ROW(),OFFSET($A$1,ROW(),21,1000-ROW(),1),"Sub"))))</f>
        <v/>
      </c>
      <c r="J37" s="60">
        <f>IF(N($W37)=0,"",IF(AND($S37=MesCiclo,2&gt;SemanaActual),"",MIN(1,SUMIFS(OFFSET($A$1,ROW(),30,1000-ROW(),1),OFFSET($A$1,ROW(),20,1000-ROW(),1),ROW(),OFFSET($A$1,ROW(),21,1000-ROW(),1),"Sub"))))</f>
        <v/>
      </c>
      <c r="K37" s="60">
        <f>IF(N($W37)=0,"",IF(AND($S37=MesCiclo,3&gt;SemanaActual),"",MIN(1,SUMIFS(OFFSET($A$1,ROW(),31,1000-ROW(),1),OFFSET($A$1,ROW(),20,1000-ROW(),1),ROW(),OFFSET($A$1,ROW(),21,1000-ROW(),1),"Sub"))))</f>
        <v/>
      </c>
      <c r="L37" s="60">
        <f>IF(N($W37)=0,"",IF(AND($S37=MesCiclo,4&gt;SemanaActual),"",MIN(1,SUMIFS(OFFSET($A$1,ROW(),32,1000-ROW(),1),OFFSET($A$1,ROW(),20,1000-ROW(),1),ROW(),OFFSET($A$1,ROW(),21,1000-ROW(),1),"Sub"))))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IF($V37&lt;&gt;"Sub","",N($X37)*IF(AND(ISNUMBER($G37),$G37&lt;=IF($S37=MesCiclo,InicioCiclo,$S37+MOD(2-WEEKDAY($S37),7))+6),1,MIN(1,MAX(0,IF(ISNUMBER(OFFSET($A$1,ROW()-1,8)),OFFSET($A$1,ROW()-1,8),0)))))</f>
        <v/>
      </c>
      <c r="AE37" s="62">
        <f>IF($V37&lt;&gt;"Sub","",N($X37)*IF(AND(ISNUMBER($G37),$G37&lt;=IF($S37=MesCiclo,InicioCiclo,$S37+MOD(2-WEEKDAY($S37),7))+13),1,MIN(1,MAX(0,IF(ISNUMBER(OFFSET($A$1,ROW()-1,9)),OFFSET($A$1,ROW()-1,9),IF(ISNUMBER(OFFSET($A$1,ROW()-1,8)),OFFSET($A$1,ROW()-1,8),0))))))</f>
        <v/>
      </c>
      <c r="AF37" s="62">
        <f>IF($V37&lt;&gt;"Sub","",N($X37)*IF(AND(ISNUMBER($G37),$G37&lt;=IF($S37=MesCiclo,InicioCiclo,$S37+MOD(2-WEEKDAY($S37),7))+20),1,MIN(1,MAX(0,IF(ISNUMBER(OFFSET($A$1,ROW()-1,10)),OFFSET($A$1,ROW()-1,10),IF(ISNUMBER(OFFSET($A$1,ROW()-1,9)),OFFSET($A$1,ROW()-1,9),IF(ISNUMBER(OFFSET($A$1,ROW()-1,8)),OFFSET($A$1,ROW()-1,8),0)))))))</f>
        <v/>
      </c>
      <c r="AG37" s="62">
        <f>IF($V37&lt;&gt;"Sub","",N($X37)*IF(AND(ISNUMBER($G37),$G37&lt;=IF($S37=MesCiclo,InicioCiclo,$S37+MOD(2-WEEKDAY($S37),7))+27),1,MIN(1,MAX(0,IF(ISNUMBER(OFFSET($A$1,ROW()-1,11)),OFFSET($A$1,ROW()-1,11),IF(ISNUMBER(OFFSET($A$1,ROW()-1,10)),OFFSET($A$1,ROW()-1,10),IF(ISNUMBER(OFFSET($A$1,ROW()-1,9)),OFFSET($A$1,ROW()-1,9),IF(ISNUMBER(OFFSET($A$1,ROW()-1,8)),OFFSET($A$1,ROW()-1,8),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",IFERROR(MATCH("Riesgo Financiero|"&amp;MID($C37,12,500),rDname_ADM,0),0),"")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IF(N($W38)=0,"",IF(AND($S38=MesCiclo,1&gt;SemanaActual),"",MIN(1,SUMIFS(OFFSET($A$1,ROW(),29,1000-ROW(),1),OFFSET($A$1,ROW(),20,1000-ROW(),1),ROW(),OFFSET($A$1,ROW(),21,1000-ROW(),1),"Sub"))))</f>
        <v/>
      </c>
      <c r="J38" s="60">
        <f>IF(N($W38)=0,"",IF(AND($S38=MesCiclo,2&gt;SemanaActual),"",MIN(1,SUMIFS(OFFSET($A$1,ROW(),30,1000-ROW(),1),OFFSET($A$1,ROW(),20,1000-ROW(),1),ROW(),OFFSET($A$1,ROW(),21,1000-ROW(),1),"Sub"))))</f>
        <v/>
      </c>
      <c r="K38" s="60">
        <f>IF(N($W38)=0,"",IF(AND($S38=MesCiclo,3&gt;SemanaActual),"",MIN(1,SUMIFS(OFFSET($A$1,ROW(),31,1000-ROW(),1),OFFSET($A$1,ROW(),20,1000-ROW(),1),ROW(),OFFSET($A$1,ROW(),21,1000-ROW(),1),"Sub"))))</f>
        <v/>
      </c>
      <c r="L38" s="60">
        <f>IF(N($W38)=0,"",IF(AND($S38=MesCiclo,4&gt;SemanaActual),"",MIN(1,SUMIFS(OFFSET($A$1,ROW(),32,1000-ROW(),1),OFFSET($A$1,ROW(),20,1000-ROW(),1),ROW(),OFFSET($A$1,ROW(),21,1000-ROW(),1),"Sub"))))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IF($V38&lt;&gt;"Sub","",N($X38)*IF(AND(ISNUMBER($G38),$G38&lt;=IF($S38=MesCiclo,InicioCiclo,$S38+MOD(2-WEEKDAY($S38),7))+6),1,MIN(1,MAX(0,IF(ISNUMBER(OFFSET($A$1,ROW()-1,8)),OFFSET($A$1,ROW()-1,8),0)))))</f>
        <v/>
      </c>
      <c r="AE38" s="62">
        <f>IF($V38&lt;&gt;"Sub","",N($X38)*IF(AND(ISNUMBER($G38),$G38&lt;=IF($S38=MesCiclo,InicioCiclo,$S38+MOD(2-WEEKDAY($S38),7))+13),1,MIN(1,MAX(0,IF(ISNUMBER(OFFSET($A$1,ROW()-1,9)),OFFSET($A$1,ROW()-1,9),IF(ISNUMBER(OFFSET($A$1,ROW()-1,8)),OFFSET($A$1,ROW()-1,8),0))))))</f>
        <v/>
      </c>
      <c r="AF38" s="62">
        <f>IF($V38&lt;&gt;"Sub","",N($X38)*IF(AND(ISNUMBER($G38),$G38&lt;=IF($S38=MesCiclo,InicioCiclo,$S38+MOD(2-WEEKDAY($S38),7))+20),1,MIN(1,MAX(0,IF(ISNUMBER(OFFSET($A$1,ROW()-1,10)),OFFSET($A$1,ROW()-1,10),IF(ISNUMBER(OFFSET($A$1,ROW()-1,9)),OFFSET($A$1,ROW()-1,9),IF(ISNUMBER(OFFSET($A$1,ROW()-1,8)),OFFSET($A$1,ROW()-1,8),0)))))))</f>
        <v/>
      </c>
      <c r="AG38" s="62">
        <f>IF($V38&lt;&gt;"Sub","",N($X38)*IF(AND(ISNUMBER($G38),$G38&lt;=IF($S38=MesCiclo,InicioCiclo,$S38+MOD(2-WEEKDAY($S38),7))+27),1,MIN(1,MAX(0,IF(ISNUMBER(OFFSET($A$1,ROW()-1,11)),OFFSET($A$1,ROW()-1,11),IF(ISNUMBER(OFFSET($A$1,ROW()-1,10)),OFFSET($A$1,ROW()-1,10),IF(ISNUMBER(OFFSET($A$1,ROW()-1,9)),OFFSET($A$1,ROW()-1,9),IF(ISNUMBER(OFFSET($A$1,ROW()-1,8)),OFFSET($A$1,ROW()-1,8),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",IFERROR(MATCH("Riesgo Financiero|"&amp;MID($C38,12,500),rDname_ADM,0),0),"")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IF(N($W39)=0,"",IF(AND($S39=MesCiclo,1&gt;SemanaActual),"",MIN(1,SUMIFS(OFFSET($A$1,ROW(),29,1000-ROW(),1),OFFSET($A$1,ROW(),20,1000-ROW(),1),ROW(),OFFSET($A$1,ROW(),21,1000-ROW(),1),"Sub"))))</f>
        <v/>
      </c>
      <c r="J39" s="60">
        <f>IF(N($W39)=0,"",IF(AND($S39=MesCiclo,2&gt;SemanaActual),"",MIN(1,SUMIFS(OFFSET($A$1,ROW(),30,1000-ROW(),1),OFFSET($A$1,ROW(),20,1000-ROW(),1),ROW(),OFFSET($A$1,ROW(),21,1000-ROW(),1),"Sub"))))</f>
        <v/>
      </c>
      <c r="K39" s="60">
        <f>IF(N($W39)=0,"",IF(AND($S39=MesCiclo,3&gt;SemanaActual),"",MIN(1,SUMIFS(OFFSET($A$1,ROW(),31,1000-ROW(),1),OFFSET($A$1,ROW(),20,1000-ROW(),1),ROW(),OFFSET($A$1,ROW(),21,1000-ROW(),1),"Sub"))))</f>
        <v/>
      </c>
      <c r="L39" s="60">
        <f>IF(N($W39)=0,"",IF(AND($S39=MesCiclo,4&gt;SemanaActual),"",MIN(1,SUMIFS(OFFSET($A$1,ROW(),32,1000-ROW(),1),OFFSET($A$1,ROW(),20,1000-ROW(),1),ROW(),OFFSET($A$1,ROW(),21,1000-ROW(),1),"Sub"))))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IF($V39&lt;&gt;"Sub","",N($X39)*IF(AND(ISNUMBER($G39),$G39&lt;=IF($S39=MesCiclo,InicioCiclo,$S39+MOD(2-WEEKDAY($S39),7))+6),1,MIN(1,MAX(0,IF(ISNUMBER(OFFSET($A$1,ROW()-1,8)),OFFSET($A$1,ROW()-1,8),0)))))</f>
        <v/>
      </c>
      <c r="AE39" s="62">
        <f>IF($V39&lt;&gt;"Sub","",N($X39)*IF(AND(ISNUMBER($G39),$G39&lt;=IF($S39=MesCiclo,InicioCiclo,$S39+MOD(2-WEEKDAY($S39),7))+13),1,MIN(1,MAX(0,IF(ISNUMBER(OFFSET($A$1,ROW()-1,9)),OFFSET($A$1,ROW()-1,9),IF(ISNUMBER(OFFSET($A$1,ROW()-1,8)),OFFSET($A$1,ROW()-1,8),0))))))</f>
        <v/>
      </c>
      <c r="AF39" s="62">
        <f>IF($V39&lt;&gt;"Sub","",N($X39)*IF(AND(ISNUMBER($G39),$G39&lt;=IF($S39=MesCiclo,InicioCiclo,$S39+MOD(2-WEEKDAY($S39),7))+20),1,MIN(1,MAX(0,IF(ISNUMBER(OFFSET($A$1,ROW()-1,10)),OFFSET($A$1,ROW()-1,10),IF(ISNUMBER(OFFSET($A$1,ROW()-1,9)),OFFSET($A$1,ROW()-1,9),IF(ISNUMBER(OFFSET($A$1,ROW()-1,8)),OFFSET($A$1,ROW()-1,8),0)))))))</f>
        <v/>
      </c>
      <c r="AG39" s="62">
        <f>IF($V39&lt;&gt;"Sub","",N($X39)*IF(AND(ISNUMBER($G39),$G39&lt;=IF($S39=MesCiclo,InicioCiclo,$S39+MOD(2-WEEKDAY($S39),7))+27),1,MIN(1,MAX(0,IF(ISNUMBER(OFFSET($A$1,ROW()-1,11)),OFFSET($A$1,ROW()-1,11),IF(ISNUMBER(OFFSET($A$1,ROW()-1,10)),OFFSET($A$1,ROW()-1,10),IF(ISNUMBER(OFFSET($A$1,ROW()-1,9)),OFFSET($A$1,ROW()-1,9),IF(ISNUMBER(OFFSET($A$1,ROW()-1,8)),OFFSET($A$1,ROW()-1,8),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",IFERROR(MATCH("Riesgo Financiero|"&amp;MID($C39,12,500),rDname_ADM,0),0),"")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IF(N($W40)=0,"",IF(AND($S40=MesCiclo,1&gt;SemanaActual),"",MIN(1,SUMIFS(OFFSET($A$1,ROW(),29,1000-ROW(),1),OFFSET($A$1,ROW(),20,1000-ROW(),1),ROW(),OFFSET($A$1,ROW(),21,1000-ROW(),1),"Sub"))))</f>
        <v/>
      </c>
      <c r="J40" s="60">
        <f>IF(N($W40)=0,"",IF(AND($S40=MesCiclo,2&gt;SemanaActual),"",MIN(1,SUMIFS(OFFSET($A$1,ROW(),30,1000-ROW(),1),OFFSET($A$1,ROW(),20,1000-ROW(),1),ROW(),OFFSET($A$1,ROW(),21,1000-ROW(),1),"Sub"))))</f>
        <v/>
      </c>
      <c r="K40" s="60">
        <f>IF(N($W40)=0,"",IF(AND($S40=MesCiclo,3&gt;SemanaActual),"",MIN(1,SUMIFS(OFFSET($A$1,ROW(),31,1000-ROW(),1),OFFSET($A$1,ROW(),20,1000-ROW(),1),ROW(),OFFSET($A$1,ROW(),21,1000-ROW(),1),"Sub"))))</f>
        <v/>
      </c>
      <c r="L40" s="60">
        <f>IF(N($W40)=0,"",IF(AND($S40=MesCiclo,4&gt;SemanaActual),"",MIN(1,SUMIFS(OFFSET($A$1,ROW(),32,1000-ROW(),1),OFFSET($A$1,ROW(),20,1000-ROW(),1),ROW(),OFFSET($A$1,ROW(),21,1000-ROW(),1),"Sub"))))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IF($V40&lt;&gt;"Sub","",N($X40)*IF(AND(ISNUMBER($G40),$G40&lt;=IF($S40=MesCiclo,InicioCiclo,$S40+MOD(2-WEEKDAY($S40),7))+6),1,MIN(1,MAX(0,IF(ISNUMBER(OFFSET($A$1,ROW()-1,8)),OFFSET($A$1,ROW()-1,8),0)))))</f>
        <v/>
      </c>
      <c r="AE40" s="62">
        <f>IF($V40&lt;&gt;"Sub","",N($X40)*IF(AND(ISNUMBER($G40),$G40&lt;=IF($S40=MesCiclo,InicioCiclo,$S40+MOD(2-WEEKDAY($S40),7))+13),1,MIN(1,MAX(0,IF(ISNUMBER(OFFSET($A$1,ROW()-1,9)),OFFSET($A$1,ROW()-1,9),IF(ISNUMBER(OFFSET($A$1,ROW()-1,8)),OFFSET($A$1,ROW()-1,8),0))))))</f>
        <v/>
      </c>
      <c r="AF40" s="62">
        <f>IF($V40&lt;&gt;"Sub","",N($X40)*IF(AND(ISNUMBER($G40),$G40&lt;=IF($S40=MesCiclo,InicioCiclo,$S40+MOD(2-WEEKDAY($S40),7))+20),1,MIN(1,MAX(0,IF(ISNUMBER(OFFSET($A$1,ROW()-1,10)),OFFSET($A$1,ROW()-1,10),IF(ISNUMBER(OFFSET($A$1,ROW()-1,9)),OFFSET($A$1,ROW()-1,9),IF(ISNUMBER(OFFSET($A$1,ROW()-1,8)),OFFSET($A$1,ROW()-1,8),0)))))))</f>
        <v/>
      </c>
      <c r="AG40" s="62">
        <f>IF($V40&lt;&gt;"Sub","",N($X40)*IF(AND(ISNUMBER($G40),$G40&lt;=IF($S40=MesCiclo,InicioCiclo,$S40+MOD(2-WEEKDAY($S40),7))+27),1,MIN(1,MAX(0,IF(ISNUMBER(OFFSET($A$1,ROW()-1,11)),OFFSET($A$1,ROW()-1,11),IF(ISNUMBER(OFFSET($A$1,ROW()-1,10)),OFFSET($A$1,ROW()-1,10),IF(ISNUMBER(OFFSET($A$1,ROW()-1,9)),OFFSET($A$1,ROW()-1,9),IF(ISNUMBER(OFFSET($A$1,ROW()-1,8)),OFFSET($A$1,ROW()-1,8),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",IFERROR(MATCH("Riesgo Financiero|"&amp;MID($C40,12,500),rDname_ADM,0),0),"")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IF(N($W41)=0,"",IF(AND($S41=MesCiclo,1&gt;SemanaActual),"",MIN(1,SUMIFS(OFFSET($A$1,ROW(),29,1000-ROW(),1),OFFSET($A$1,ROW(),20,1000-ROW(),1),ROW(),OFFSET($A$1,ROW(),21,1000-ROW(),1),"Sub"))))</f>
        <v/>
      </c>
      <c r="J41" s="60">
        <f>IF(N($W41)=0,"",IF(AND($S41=MesCiclo,2&gt;SemanaActual),"",MIN(1,SUMIFS(OFFSET($A$1,ROW(),30,1000-ROW(),1),OFFSET($A$1,ROW(),20,1000-ROW(),1),ROW(),OFFSET($A$1,ROW(),21,1000-ROW(),1),"Sub"))))</f>
        <v/>
      </c>
      <c r="K41" s="60">
        <f>IF(N($W41)=0,"",IF(AND($S41=MesCiclo,3&gt;SemanaActual),"",MIN(1,SUMIFS(OFFSET($A$1,ROW(),31,1000-ROW(),1),OFFSET($A$1,ROW(),20,1000-ROW(),1),ROW(),OFFSET($A$1,ROW(),21,1000-ROW(),1),"Sub"))))</f>
        <v/>
      </c>
      <c r="L41" s="60">
        <f>IF(N($W41)=0,"",IF(AND($S41=MesCiclo,4&gt;SemanaActual),"",MIN(1,SUMIFS(OFFSET($A$1,ROW(),32,1000-ROW(),1),OFFSET($A$1,ROW(),20,1000-ROW(),1),ROW(),OFFSET($A$1,ROW(),21,1000-ROW(),1),"Sub"))))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IF($V41&lt;&gt;"Sub","",N($X41)*IF(AND(ISNUMBER($G41),$G41&lt;=IF($S41=MesCiclo,InicioCiclo,$S41+MOD(2-WEEKDAY($S41),7))+6),1,MIN(1,MAX(0,IF(ISNUMBER(OFFSET($A$1,ROW()-1,8)),OFFSET($A$1,ROW()-1,8),0)))))</f>
        <v/>
      </c>
      <c r="AE41" s="62">
        <f>IF($V41&lt;&gt;"Sub","",N($X41)*IF(AND(ISNUMBER($G41),$G41&lt;=IF($S41=MesCiclo,InicioCiclo,$S41+MOD(2-WEEKDAY($S41),7))+13),1,MIN(1,MAX(0,IF(ISNUMBER(OFFSET($A$1,ROW()-1,9)),OFFSET($A$1,ROW()-1,9),IF(ISNUMBER(OFFSET($A$1,ROW()-1,8)),OFFSET($A$1,ROW()-1,8),0))))))</f>
        <v/>
      </c>
      <c r="AF41" s="62">
        <f>IF($V41&lt;&gt;"Sub","",N($X41)*IF(AND(ISNUMBER($G41),$G41&lt;=IF($S41=MesCiclo,InicioCiclo,$S41+MOD(2-WEEKDAY($S41),7))+20),1,MIN(1,MAX(0,IF(ISNUMBER(OFFSET($A$1,ROW()-1,10)),OFFSET($A$1,ROW()-1,10),IF(ISNUMBER(OFFSET($A$1,ROW()-1,9)),OFFSET($A$1,ROW()-1,9),IF(ISNUMBER(OFFSET($A$1,ROW()-1,8)),OFFSET($A$1,ROW()-1,8),0)))))))</f>
        <v/>
      </c>
      <c r="AG41" s="62">
        <f>IF($V41&lt;&gt;"Sub","",N($X41)*IF(AND(ISNUMBER($G41),$G41&lt;=IF($S41=MesCiclo,InicioCiclo,$S41+MOD(2-WEEKDAY($S41),7))+27),1,MIN(1,MAX(0,IF(ISNUMBER(OFFSET($A$1,ROW()-1,11)),OFFSET($A$1,ROW()-1,11),IF(ISNUMBER(OFFSET($A$1,ROW()-1,10)),OFFSET($A$1,ROW()-1,10),IF(ISNUMBER(OFFSET($A$1,ROW()-1,9)),OFFSET($A$1,ROW()-1,9),IF(ISNUMBER(OFFSET($A$1,ROW()-1,8)),OFFSET($A$1,ROW()-1,8),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",IFERROR(MATCH("Riesgo Financiero|"&amp;MID($C41,12,500),rDname_ADM,0),0),"")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IF(N($W42)=0,"",IF(AND($S42=MesCiclo,1&gt;SemanaActual),"",MIN(1,SUMIFS(OFFSET($A$1,ROW(),29,1000-ROW(),1),OFFSET($A$1,ROW(),20,1000-ROW(),1),ROW(),OFFSET($A$1,ROW(),21,1000-ROW(),1),"Sub"))))</f>
        <v/>
      </c>
      <c r="J42" s="60">
        <f>IF(N($W42)=0,"",IF(AND($S42=MesCiclo,2&gt;SemanaActual),"",MIN(1,SUMIFS(OFFSET($A$1,ROW(),30,1000-ROW(),1),OFFSET($A$1,ROW(),20,1000-ROW(),1),ROW(),OFFSET($A$1,ROW(),21,1000-ROW(),1),"Sub"))))</f>
        <v/>
      </c>
      <c r="K42" s="60">
        <f>IF(N($W42)=0,"",IF(AND($S42=MesCiclo,3&gt;SemanaActual),"",MIN(1,SUMIFS(OFFSET($A$1,ROW(),31,1000-ROW(),1),OFFSET($A$1,ROW(),20,1000-ROW(),1),ROW(),OFFSET($A$1,ROW(),21,1000-ROW(),1),"Sub"))))</f>
        <v/>
      </c>
      <c r="L42" s="60">
        <f>IF(N($W42)=0,"",IF(AND($S42=MesCiclo,4&gt;SemanaActual),"",MIN(1,SUMIFS(OFFSET($A$1,ROW(),32,1000-ROW(),1),OFFSET($A$1,ROW(),20,1000-ROW(),1),ROW(),OFFSET($A$1,ROW(),21,1000-ROW(),1),"Sub"))))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IF($V42&lt;&gt;"Sub","",N($X42)*IF(AND(ISNUMBER($G42),$G42&lt;=IF($S42=MesCiclo,InicioCiclo,$S42+MOD(2-WEEKDAY($S42),7))+6),1,MIN(1,MAX(0,IF(ISNUMBER(OFFSET($A$1,ROW()-1,8)),OFFSET($A$1,ROW()-1,8),0)))))</f>
        <v/>
      </c>
      <c r="AE42" s="62">
        <f>IF($V42&lt;&gt;"Sub","",N($X42)*IF(AND(ISNUMBER($G42),$G42&lt;=IF($S42=MesCiclo,InicioCiclo,$S42+MOD(2-WEEKDAY($S42),7))+13),1,MIN(1,MAX(0,IF(ISNUMBER(OFFSET($A$1,ROW()-1,9)),OFFSET($A$1,ROW()-1,9),IF(ISNUMBER(OFFSET($A$1,ROW()-1,8)),OFFSET($A$1,ROW()-1,8),0))))))</f>
        <v/>
      </c>
      <c r="AF42" s="62">
        <f>IF($V42&lt;&gt;"Sub","",N($X42)*IF(AND(ISNUMBER($G42),$G42&lt;=IF($S42=MesCiclo,InicioCiclo,$S42+MOD(2-WEEKDAY($S42),7))+20),1,MIN(1,MAX(0,IF(ISNUMBER(OFFSET($A$1,ROW()-1,10)),OFFSET($A$1,ROW()-1,10),IF(ISNUMBER(OFFSET($A$1,ROW()-1,9)),OFFSET($A$1,ROW()-1,9),IF(ISNUMBER(OFFSET($A$1,ROW()-1,8)),OFFSET($A$1,ROW()-1,8),0)))))))</f>
        <v/>
      </c>
      <c r="AG42" s="62">
        <f>IF($V42&lt;&gt;"Sub","",N($X42)*IF(AND(ISNUMBER($G42),$G42&lt;=IF($S42=MesCiclo,InicioCiclo,$S42+MOD(2-WEEKDAY($S42),7))+27),1,MIN(1,MAX(0,IF(ISNUMBER(OFFSET($A$1,ROW()-1,11)),OFFSET($A$1,ROW()-1,11),IF(ISNUMBER(OFFSET($A$1,ROW()-1,10)),OFFSET($A$1,ROW()-1,10),IF(ISNUMBER(OFFSET($A$1,ROW()-1,9)),OFFSET($A$1,ROW()-1,9),IF(ISNUMBER(OFFSET($A$1,ROW()-1,8)),OFFSET($A$1,ROW()-1,8),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",IFERROR(MATCH("Riesgo Financiero|"&amp;MID($C42,12,500),rDname_ADM,0),0),"")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IF(N($W43)=0,"",IF(AND($S43=MesCiclo,1&gt;SemanaActual),"",MIN(1,SUMIFS(OFFSET($A$1,ROW(),29,1000-ROW(),1),OFFSET($A$1,ROW(),20,1000-ROW(),1),ROW(),OFFSET($A$1,ROW(),21,1000-ROW(),1),"Sub"))))</f>
        <v/>
      </c>
      <c r="J43" s="60">
        <f>IF(N($W43)=0,"",IF(AND($S43=MesCiclo,2&gt;SemanaActual),"",MIN(1,SUMIFS(OFFSET($A$1,ROW(),30,1000-ROW(),1),OFFSET($A$1,ROW(),20,1000-ROW(),1),ROW(),OFFSET($A$1,ROW(),21,1000-ROW(),1),"Sub"))))</f>
        <v/>
      </c>
      <c r="K43" s="60">
        <f>IF(N($W43)=0,"",IF(AND($S43=MesCiclo,3&gt;SemanaActual),"",MIN(1,SUMIFS(OFFSET($A$1,ROW(),31,1000-ROW(),1),OFFSET($A$1,ROW(),20,1000-ROW(),1),ROW(),OFFSET($A$1,ROW(),21,1000-ROW(),1),"Sub"))))</f>
        <v/>
      </c>
      <c r="L43" s="60">
        <f>IF(N($W43)=0,"",IF(AND($S43=MesCiclo,4&gt;SemanaActual),"",MIN(1,SUMIFS(OFFSET($A$1,ROW(),32,1000-ROW(),1),OFFSET($A$1,ROW(),20,1000-ROW(),1),ROW(),OFFSET($A$1,ROW(),21,1000-ROW(),1),"Sub"))))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IF($V43&lt;&gt;"Sub","",N($X43)*IF(AND(ISNUMBER($G43),$G43&lt;=IF($S43=MesCiclo,InicioCiclo,$S43+MOD(2-WEEKDAY($S43),7))+6),1,MIN(1,MAX(0,IF(ISNUMBER(OFFSET($A$1,ROW()-1,8)),OFFSET($A$1,ROW()-1,8),0)))))</f>
        <v/>
      </c>
      <c r="AE43" s="62">
        <f>IF($V43&lt;&gt;"Sub","",N($X43)*IF(AND(ISNUMBER($G43),$G43&lt;=IF($S43=MesCiclo,InicioCiclo,$S43+MOD(2-WEEKDAY($S43),7))+13),1,MIN(1,MAX(0,IF(ISNUMBER(OFFSET($A$1,ROW()-1,9)),OFFSET($A$1,ROW()-1,9),IF(ISNUMBER(OFFSET($A$1,ROW()-1,8)),OFFSET($A$1,ROW()-1,8),0))))))</f>
        <v/>
      </c>
      <c r="AF43" s="62">
        <f>IF($V43&lt;&gt;"Sub","",N($X43)*IF(AND(ISNUMBER($G43),$G43&lt;=IF($S43=MesCiclo,InicioCiclo,$S43+MOD(2-WEEKDAY($S43),7))+20),1,MIN(1,MAX(0,IF(ISNUMBER(OFFSET($A$1,ROW()-1,10)),OFFSET($A$1,ROW()-1,10),IF(ISNUMBER(OFFSET($A$1,ROW()-1,9)),OFFSET($A$1,ROW()-1,9),IF(ISNUMBER(OFFSET($A$1,ROW()-1,8)),OFFSET($A$1,ROW()-1,8),0)))))))</f>
        <v/>
      </c>
      <c r="AG43" s="62">
        <f>IF($V43&lt;&gt;"Sub","",N($X43)*IF(AND(ISNUMBER($G43),$G43&lt;=IF($S43=MesCiclo,InicioCiclo,$S43+MOD(2-WEEKDAY($S43),7))+27),1,MIN(1,MAX(0,IF(ISNUMBER(OFFSET($A$1,ROW()-1,11)),OFFSET($A$1,ROW()-1,11),IF(ISNUMBER(OFFSET($A$1,ROW()-1,10)),OFFSET($A$1,ROW()-1,10),IF(ISNUMBER(OFFSET($A$1,ROW()-1,9)),OFFSET($A$1,ROW()-1,9),IF(ISNUMBER(OFFSET($A$1,ROW()-1,8)),OFFSET($A$1,ROW()-1,8),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",IFERROR(MATCH("Riesgo Financiero|"&amp;MID($C43,12,500),rDname_ADM,0),0),"")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IF(N($W44)=0,"",IF(AND($S44=MesCiclo,1&gt;SemanaActual),"",MIN(1,SUMIFS(OFFSET($A$1,ROW(),29,1000-ROW(),1),OFFSET($A$1,ROW(),20,1000-ROW(),1),ROW(),OFFSET($A$1,ROW(),21,1000-ROW(),1),"Sub"))))</f>
        <v/>
      </c>
      <c r="J44" s="60">
        <f>IF(N($W44)=0,"",IF(AND($S44=MesCiclo,2&gt;SemanaActual),"",MIN(1,SUMIFS(OFFSET($A$1,ROW(),30,1000-ROW(),1),OFFSET($A$1,ROW(),20,1000-ROW(),1),ROW(),OFFSET($A$1,ROW(),21,1000-ROW(),1),"Sub"))))</f>
        <v/>
      </c>
      <c r="K44" s="60">
        <f>IF(N($W44)=0,"",IF(AND($S44=MesCiclo,3&gt;SemanaActual),"",MIN(1,SUMIFS(OFFSET($A$1,ROW(),31,1000-ROW(),1),OFFSET($A$1,ROW(),20,1000-ROW(),1),ROW(),OFFSET($A$1,ROW(),21,1000-ROW(),1),"Sub"))))</f>
        <v/>
      </c>
      <c r="L44" s="60">
        <f>IF(N($W44)=0,"",IF(AND($S44=MesCiclo,4&gt;SemanaActual),"",MIN(1,SUMIFS(OFFSET($A$1,ROW(),32,1000-ROW(),1),OFFSET($A$1,ROW(),20,1000-ROW(),1),ROW(),OFFSET($A$1,ROW(),21,1000-ROW(),1),"Sub"))))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IF($V44&lt;&gt;"Sub","",N($X44)*IF(AND(ISNUMBER($G44),$G44&lt;=IF($S44=MesCiclo,InicioCiclo,$S44+MOD(2-WEEKDAY($S44),7))+6),1,MIN(1,MAX(0,IF(ISNUMBER(OFFSET($A$1,ROW()-1,8)),OFFSET($A$1,ROW()-1,8),0)))))</f>
        <v/>
      </c>
      <c r="AE44" s="62">
        <f>IF($V44&lt;&gt;"Sub","",N($X44)*IF(AND(ISNUMBER($G44),$G44&lt;=IF($S44=MesCiclo,InicioCiclo,$S44+MOD(2-WEEKDAY($S44),7))+13),1,MIN(1,MAX(0,IF(ISNUMBER(OFFSET($A$1,ROW()-1,9)),OFFSET($A$1,ROW()-1,9),IF(ISNUMBER(OFFSET($A$1,ROW()-1,8)),OFFSET($A$1,ROW()-1,8),0))))))</f>
        <v/>
      </c>
      <c r="AF44" s="62">
        <f>IF($V44&lt;&gt;"Sub","",N($X44)*IF(AND(ISNUMBER($G44),$G44&lt;=IF($S44=MesCiclo,InicioCiclo,$S44+MOD(2-WEEKDAY($S44),7))+20),1,MIN(1,MAX(0,IF(ISNUMBER(OFFSET($A$1,ROW()-1,10)),OFFSET($A$1,ROW()-1,10),IF(ISNUMBER(OFFSET($A$1,ROW()-1,9)),OFFSET($A$1,ROW()-1,9),IF(ISNUMBER(OFFSET($A$1,ROW()-1,8)),OFFSET($A$1,ROW()-1,8),0)))))))</f>
        <v/>
      </c>
      <c r="AG44" s="62">
        <f>IF($V44&lt;&gt;"Sub","",N($X44)*IF(AND(ISNUMBER($G44),$G44&lt;=IF($S44=MesCiclo,InicioCiclo,$S44+MOD(2-WEEKDAY($S44),7))+27),1,MIN(1,MAX(0,IF(ISNUMBER(OFFSET($A$1,ROW()-1,11)),OFFSET($A$1,ROW()-1,11),IF(ISNUMBER(OFFSET($A$1,ROW()-1,10)),OFFSET($A$1,ROW()-1,10),IF(ISNUMBER(OFFSET($A$1,ROW()-1,9)),OFFSET($A$1,ROW()-1,9),IF(ISNUMBER(OFFSET($A$1,ROW()-1,8)),OFFSET($A$1,ROW()-1,8),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",IFERROR(MATCH("Riesgo Financiero|"&amp;MID($C44,12,500),rDname_ADM,0),0),"")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IF(N($W45)=0,"",IF(AND($S45=MesCiclo,1&gt;SemanaActual),"",MIN(1,SUMIFS(OFFSET($A$1,ROW(),29,1000-ROW(),1),OFFSET($A$1,ROW(),20,1000-ROW(),1),ROW(),OFFSET($A$1,ROW(),21,1000-ROW(),1),"Sub"))))</f>
        <v/>
      </c>
      <c r="J45" s="60">
        <f>IF(N($W45)=0,"",IF(AND($S45=MesCiclo,2&gt;SemanaActual),"",MIN(1,SUMIFS(OFFSET($A$1,ROW(),30,1000-ROW(),1),OFFSET($A$1,ROW(),20,1000-ROW(),1),ROW(),OFFSET($A$1,ROW(),21,1000-ROW(),1),"Sub"))))</f>
        <v/>
      </c>
      <c r="K45" s="60">
        <f>IF(N($W45)=0,"",IF(AND($S45=MesCiclo,3&gt;SemanaActual),"",MIN(1,SUMIFS(OFFSET($A$1,ROW(),31,1000-ROW(),1),OFFSET($A$1,ROW(),20,1000-ROW(),1),ROW(),OFFSET($A$1,ROW(),21,1000-ROW(),1),"Sub"))))</f>
        <v/>
      </c>
      <c r="L45" s="60">
        <f>IF(N($W45)=0,"",IF(AND($S45=MesCiclo,4&gt;SemanaActual),"",MIN(1,SUMIFS(OFFSET($A$1,ROW(),32,1000-ROW(),1),OFFSET($A$1,ROW(),20,1000-ROW(),1),ROW(),OFFSET($A$1,ROW(),21,1000-ROW(),1),"Sub"))))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IF($V45&lt;&gt;"Sub","",N($X45)*IF(AND(ISNUMBER($G45),$G45&lt;=IF($S45=MesCiclo,InicioCiclo,$S45+MOD(2-WEEKDAY($S45),7))+6),1,MIN(1,MAX(0,IF(ISNUMBER(OFFSET($A$1,ROW()-1,8)),OFFSET($A$1,ROW()-1,8),0)))))</f>
        <v/>
      </c>
      <c r="AE45" s="62">
        <f>IF($V45&lt;&gt;"Sub","",N($X45)*IF(AND(ISNUMBER($G45),$G45&lt;=IF($S45=MesCiclo,InicioCiclo,$S45+MOD(2-WEEKDAY($S45),7))+13),1,MIN(1,MAX(0,IF(ISNUMBER(OFFSET($A$1,ROW()-1,9)),OFFSET($A$1,ROW()-1,9),IF(ISNUMBER(OFFSET($A$1,ROW()-1,8)),OFFSET($A$1,ROW()-1,8),0))))))</f>
        <v/>
      </c>
      <c r="AF45" s="62">
        <f>IF($V45&lt;&gt;"Sub","",N($X45)*IF(AND(ISNUMBER($G45),$G45&lt;=IF($S45=MesCiclo,InicioCiclo,$S45+MOD(2-WEEKDAY($S45),7))+20),1,MIN(1,MAX(0,IF(ISNUMBER(OFFSET($A$1,ROW()-1,10)),OFFSET($A$1,ROW()-1,10),IF(ISNUMBER(OFFSET($A$1,ROW()-1,9)),OFFSET($A$1,ROW()-1,9),IF(ISNUMBER(OFFSET($A$1,ROW()-1,8)),OFFSET($A$1,ROW()-1,8),0)))))))</f>
        <v/>
      </c>
      <c r="AG45" s="62">
        <f>IF($V45&lt;&gt;"Sub","",N($X45)*IF(AND(ISNUMBER($G45),$G45&lt;=IF($S45=MesCiclo,InicioCiclo,$S45+MOD(2-WEEKDAY($S45),7))+27),1,MIN(1,MAX(0,IF(ISNUMBER(OFFSET($A$1,ROW()-1,11)),OFFSET($A$1,ROW()-1,11),IF(ISNUMBER(OFFSET($A$1,ROW()-1,10)),OFFSET($A$1,ROW()-1,10),IF(ISNUMBER(OFFSET($A$1,ROW()-1,9)),OFFSET($A$1,ROW()-1,9),IF(ISNUMBER(OFFSET($A$1,ROW()-1,8)),OFFSET($A$1,ROW()-1,8),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",IFERROR(MATCH("Riesgo Financiero|"&amp;MID($C45,12,500),rDname_ADM,0),0),"")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IF(N($W46)=0,"",IF(AND($S46=MesCiclo,1&gt;SemanaActual),"",MIN(1,SUMIFS(OFFSET($A$1,ROW(),29,1000-ROW(),1),OFFSET($A$1,ROW(),20,1000-ROW(),1),ROW(),OFFSET($A$1,ROW(),21,1000-ROW(),1),"Sub"))))</f>
        <v/>
      </c>
      <c r="J46" s="60">
        <f>IF(N($W46)=0,"",IF(AND($S46=MesCiclo,2&gt;SemanaActual),"",MIN(1,SUMIFS(OFFSET($A$1,ROW(),30,1000-ROW(),1),OFFSET($A$1,ROW(),20,1000-ROW(),1),ROW(),OFFSET($A$1,ROW(),21,1000-ROW(),1),"Sub"))))</f>
        <v/>
      </c>
      <c r="K46" s="60">
        <f>IF(N($W46)=0,"",IF(AND($S46=MesCiclo,3&gt;SemanaActual),"",MIN(1,SUMIFS(OFFSET($A$1,ROW(),31,1000-ROW(),1),OFFSET($A$1,ROW(),20,1000-ROW(),1),ROW(),OFFSET($A$1,ROW(),21,1000-ROW(),1),"Sub"))))</f>
        <v/>
      </c>
      <c r="L46" s="60">
        <f>IF(N($W46)=0,"",IF(AND($S46=MesCiclo,4&gt;SemanaActual),"",MIN(1,SUMIFS(OFFSET($A$1,ROW(),32,1000-ROW(),1),OFFSET($A$1,ROW(),20,1000-ROW(),1),ROW(),OFFSET($A$1,ROW(),21,1000-ROW(),1),"Sub"))))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IF($V46&lt;&gt;"Sub","",N($X46)*IF(AND(ISNUMBER($G46),$G46&lt;=IF($S46=MesCiclo,InicioCiclo,$S46+MOD(2-WEEKDAY($S46),7))+6),1,MIN(1,MAX(0,IF(ISNUMBER(OFFSET($A$1,ROW()-1,8)),OFFSET($A$1,ROW()-1,8),0)))))</f>
        <v/>
      </c>
      <c r="AE46" s="62">
        <f>IF($V46&lt;&gt;"Sub","",N($X46)*IF(AND(ISNUMBER($G46),$G46&lt;=IF($S46=MesCiclo,InicioCiclo,$S46+MOD(2-WEEKDAY($S46),7))+13),1,MIN(1,MAX(0,IF(ISNUMBER(OFFSET($A$1,ROW()-1,9)),OFFSET($A$1,ROW()-1,9),IF(ISNUMBER(OFFSET($A$1,ROW()-1,8)),OFFSET($A$1,ROW()-1,8),0))))))</f>
        <v/>
      </c>
      <c r="AF46" s="62">
        <f>IF($V46&lt;&gt;"Sub","",N($X46)*IF(AND(ISNUMBER($G46),$G46&lt;=IF($S46=MesCiclo,InicioCiclo,$S46+MOD(2-WEEKDAY($S46),7))+20),1,MIN(1,MAX(0,IF(ISNUMBER(OFFSET($A$1,ROW()-1,10)),OFFSET($A$1,ROW()-1,10),IF(ISNUMBER(OFFSET($A$1,ROW()-1,9)),OFFSET($A$1,ROW()-1,9),IF(ISNUMBER(OFFSET($A$1,ROW()-1,8)),OFFSET($A$1,ROW()-1,8),0)))))))</f>
        <v/>
      </c>
      <c r="AG46" s="62">
        <f>IF($V46&lt;&gt;"Sub","",N($X46)*IF(AND(ISNUMBER($G46),$G46&lt;=IF($S46=MesCiclo,InicioCiclo,$S46+MOD(2-WEEKDAY($S46),7))+27),1,MIN(1,MAX(0,IF(ISNUMBER(OFFSET($A$1,ROW()-1,11)),OFFSET($A$1,ROW()-1,11),IF(ISNUMBER(OFFSET($A$1,ROW()-1,10)),OFFSET($A$1,ROW()-1,10),IF(ISNUMBER(OFFSET($A$1,ROW()-1,9)),OFFSET($A$1,ROW()-1,9),IF(ISNUMBER(OFFSET($A$1,ROW()-1,8)),OFFSET($A$1,ROW()-1,8),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",IFERROR(MATCH("Riesgo Financiero|"&amp;MID($C46,12,500),rDname_ADM,0),0),"")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IF(N($W47)=0,"",IF(AND($S47=MesCiclo,1&gt;SemanaActual),"",MIN(1,SUMIFS(OFFSET($A$1,ROW(),29,1000-ROW(),1),OFFSET($A$1,ROW(),20,1000-ROW(),1),ROW(),OFFSET($A$1,ROW(),21,1000-ROW(),1),"Sub"))))</f>
        <v/>
      </c>
      <c r="J47" s="60">
        <f>IF(N($W47)=0,"",IF(AND($S47=MesCiclo,2&gt;SemanaActual),"",MIN(1,SUMIFS(OFFSET($A$1,ROW(),30,1000-ROW(),1),OFFSET($A$1,ROW(),20,1000-ROW(),1),ROW(),OFFSET($A$1,ROW(),21,1000-ROW(),1),"Sub"))))</f>
        <v/>
      </c>
      <c r="K47" s="60">
        <f>IF(N($W47)=0,"",IF(AND($S47=MesCiclo,3&gt;SemanaActual),"",MIN(1,SUMIFS(OFFSET($A$1,ROW(),31,1000-ROW(),1),OFFSET($A$1,ROW(),20,1000-ROW(),1),ROW(),OFFSET($A$1,ROW(),21,1000-ROW(),1),"Sub"))))</f>
        <v/>
      </c>
      <c r="L47" s="60">
        <f>IF(N($W47)=0,"",IF(AND($S47=MesCiclo,4&gt;SemanaActual),"",MIN(1,SUMIFS(OFFSET($A$1,ROW(),32,1000-ROW(),1),OFFSET($A$1,ROW(),20,1000-ROW(),1),ROW(),OFFSET($A$1,ROW(),21,1000-ROW(),1),"Sub"))))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IF($V47&lt;&gt;"Sub","",N($X47)*IF(AND(ISNUMBER($G47),$G47&lt;=IF($S47=MesCiclo,InicioCiclo,$S47+MOD(2-WEEKDAY($S47),7))+6),1,MIN(1,MAX(0,IF(ISNUMBER(OFFSET($A$1,ROW()-1,8)),OFFSET($A$1,ROW()-1,8),0)))))</f>
        <v/>
      </c>
      <c r="AE47" s="62">
        <f>IF($V47&lt;&gt;"Sub","",N($X47)*IF(AND(ISNUMBER($G47),$G47&lt;=IF($S47=MesCiclo,InicioCiclo,$S47+MOD(2-WEEKDAY($S47),7))+13),1,MIN(1,MAX(0,IF(ISNUMBER(OFFSET($A$1,ROW()-1,9)),OFFSET($A$1,ROW()-1,9),IF(ISNUMBER(OFFSET($A$1,ROW()-1,8)),OFFSET($A$1,ROW()-1,8),0))))))</f>
        <v/>
      </c>
      <c r="AF47" s="62">
        <f>IF($V47&lt;&gt;"Sub","",N($X47)*IF(AND(ISNUMBER($G47),$G47&lt;=IF($S47=MesCiclo,InicioCiclo,$S47+MOD(2-WEEKDAY($S47),7))+20),1,MIN(1,MAX(0,IF(ISNUMBER(OFFSET($A$1,ROW()-1,10)),OFFSET($A$1,ROW()-1,10),IF(ISNUMBER(OFFSET($A$1,ROW()-1,9)),OFFSET($A$1,ROW()-1,9),IF(ISNUMBER(OFFSET($A$1,ROW()-1,8)),OFFSET($A$1,ROW()-1,8),0)))))))</f>
        <v/>
      </c>
      <c r="AG47" s="62">
        <f>IF($V47&lt;&gt;"Sub","",N($X47)*IF(AND(ISNUMBER($G47),$G47&lt;=IF($S47=MesCiclo,InicioCiclo,$S47+MOD(2-WEEKDAY($S47),7))+27),1,MIN(1,MAX(0,IF(ISNUMBER(OFFSET($A$1,ROW()-1,11)),OFFSET($A$1,ROW()-1,11),IF(ISNUMBER(OFFSET($A$1,ROW()-1,10)),OFFSET($A$1,ROW()-1,10),IF(ISNUMBER(OFFSET($A$1,ROW()-1,9)),OFFSET($A$1,ROW()-1,9),IF(ISNUMBER(OFFSET($A$1,ROW()-1,8)),OFFSET($A$1,ROW()-1,8),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",IFERROR(MATCH("Riesgo Financiero|"&amp;MID($C47,12,500),rDname_ADM,0),0),"")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IF(N($W48)=0,"",IF(AND($S48=MesCiclo,1&gt;SemanaActual),"",MIN(1,SUMIFS(OFFSET($A$1,ROW(),29,1000-ROW(),1),OFFSET($A$1,ROW(),20,1000-ROW(),1),ROW(),OFFSET($A$1,ROW(),21,1000-ROW(),1),"Sub"))))</f>
        <v/>
      </c>
      <c r="J48" s="60">
        <f>IF(N($W48)=0,"",IF(AND($S48=MesCiclo,2&gt;SemanaActual),"",MIN(1,SUMIFS(OFFSET($A$1,ROW(),30,1000-ROW(),1),OFFSET($A$1,ROW(),20,1000-ROW(),1),ROW(),OFFSET($A$1,ROW(),21,1000-ROW(),1),"Sub"))))</f>
        <v/>
      </c>
      <c r="K48" s="60">
        <f>IF(N($W48)=0,"",IF(AND($S48=MesCiclo,3&gt;SemanaActual),"",MIN(1,SUMIFS(OFFSET($A$1,ROW(),31,1000-ROW(),1),OFFSET($A$1,ROW(),20,1000-ROW(),1),ROW(),OFFSET($A$1,ROW(),21,1000-ROW(),1),"Sub"))))</f>
        <v/>
      </c>
      <c r="L48" s="60">
        <f>IF(N($W48)=0,"",IF(AND($S48=MesCiclo,4&gt;SemanaActual),"",MIN(1,SUMIFS(OFFSET($A$1,ROW(),32,1000-ROW(),1),OFFSET($A$1,ROW(),20,1000-ROW(),1),ROW(),OFFSET($A$1,ROW(),21,1000-ROW(),1),"Sub"))))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IF($V48&lt;&gt;"Sub","",N($X48)*IF(AND(ISNUMBER($G48),$G48&lt;=IF($S48=MesCiclo,InicioCiclo,$S48+MOD(2-WEEKDAY($S48),7))+6),1,MIN(1,MAX(0,IF(ISNUMBER(OFFSET($A$1,ROW()-1,8)),OFFSET($A$1,ROW()-1,8),0)))))</f>
        <v/>
      </c>
      <c r="AE48" s="62">
        <f>IF($V48&lt;&gt;"Sub","",N($X48)*IF(AND(ISNUMBER($G48),$G48&lt;=IF($S48=MesCiclo,InicioCiclo,$S48+MOD(2-WEEKDAY($S48),7))+13),1,MIN(1,MAX(0,IF(ISNUMBER(OFFSET($A$1,ROW()-1,9)),OFFSET($A$1,ROW()-1,9),IF(ISNUMBER(OFFSET($A$1,ROW()-1,8)),OFFSET($A$1,ROW()-1,8),0))))))</f>
        <v/>
      </c>
      <c r="AF48" s="62">
        <f>IF($V48&lt;&gt;"Sub","",N($X48)*IF(AND(ISNUMBER($G48),$G48&lt;=IF($S48=MesCiclo,InicioCiclo,$S48+MOD(2-WEEKDAY($S48),7))+20),1,MIN(1,MAX(0,IF(ISNUMBER(OFFSET($A$1,ROW()-1,10)),OFFSET($A$1,ROW()-1,10),IF(ISNUMBER(OFFSET($A$1,ROW()-1,9)),OFFSET($A$1,ROW()-1,9),IF(ISNUMBER(OFFSET($A$1,ROW()-1,8)),OFFSET($A$1,ROW()-1,8),0)))))))</f>
        <v/>
      </c>
      <c r="AG48" s="62">
        <f>IF($V48&lt;&gt;"Sub","",N($X48)*IF(AND(ISNUMBER($G48),$G48&lt;=IF($S48=MesCiclo,InicioCiclo,$S48+MOD(2-WEEKDAY($S48),7))+27),1,MIN(1,MAX(0,IF(ISNUMBER(OFFSET($A$1,ROW()-1,11)),OFFSET($A$1,ROW()-1,11),IF(ISNUMBER(OFFSET($A$1,ROW()-1,10)),OFFSET($A$1,ROW()-1,10),IF(ISNUMBER(OFFSET($A$1,ROW()-1,9)),OFFSET($A$1,ROW()-1,9),IF(ISNUMBER(OFFSET($A$1,ROW()-1,8)),OFFSET($A$1,ROW()-1,8),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",IFERROR(MATCH("Riesgo Financiero|"&amp;MID($C48,12,500),rDname_ADM,0),0),"")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IF(N($W49)=0,"",IF(AND($S49=MesCiclo,1&gt;SemanaActual),"",MIN(1,SUMIFS(OFFSET($A$1,ROW(),29,1000-ROW(),1),OFFSET($A$1,ROW(),20,1000-ROW(),1),ROW(),OFFSET($A$1,ROW(),21,1000-ROW(),1),"Sub"))))</f>
        <v/>
      </c>
      <c r="J49" s="60">
        <f>IF(N($W49)=0,"",IF(AND($S49=MesCiclo,2&gt;SemanaActual),"",MIN(1,SUMIFS(OFFSET($A$1,ROW(),30,1000-ROW(),1),OFFSET($A$1,ROW(),20,1000-ROW(),1),ROW(),OFFSET($A$1,ROW(),21,1000-ROW(),1),"Sub"))))</f>
        <v/>
      </c>
      <c r="K49" s="60">
        <f>IF(N($W49)=0,"",IF(AND($S49=MesCiclo,3&gt;SemanaActual),"",MIN(1,SUMIFS(OFFSET($A$1,ROW(),31,1000-ROW(),1),OFFSET($A$1,ROW(),20,1000-ROW(),1),ROW(),OFFSET($A$1,ROW(),21,1000-ROW(),1),"Sub"))))</f>
        <v/>
      </c>
      <c r="L49" s="60">
        <f>IF(N($W49)=0,"",IF(AND($S49=MesCiclo,4&gt;SemanaActual),"",MIN(1,SUMIFS(OFFSET($A$1,ROW(),32,1000-ROW(),1),OFFSET($A$1,ROW(),20,1000-ROW(),1),ROW(),OFFSET($A$1,ROW(),21,1000-ROW(),1),"Sub"))))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IF($V49&lt;&gt;"Sub","",N($X49)*IF(AND(ISNUMBER($G49),$G49&lt;=IF($S49=MesCiclo,InicioCiclo,$S49+MOD(2-WEEKDAY($S49),7))+6),1,MIN(1,MAX(0,IF(ISNUMBER(OFFSET($A$1,ROW()-1,8)),OFFSET($A$1,ROW()-1,8),0)))))</f>
        <v/>
      </c>
      <c r="AE49" s="62">
        <f>IF($V49&lt;&gt;"Sub","",N($X49)*IF(AND(ISNUMBER($G49),$G49&lt;=IF($S49=MesCiclo,InicioCiclo,$S49+MOD(2-WEEKDAY($S49),7))+13),1,MIN(1,MAX(0,IF(ISNUMBER(OFFSET($A$1,ROW()-1,9)),OFFSET($A$1,ROW()-1,9),IF(ISNUMBER(OFFSET($A$1,ROW()-1,8)),OFFSET($A$1,ROW()-1,8),0))))))</f>
        <v/>
      </c>
      <c r="AF49" s="62">
        <f>IF($V49&lt;&gt;"Sub","",N($X49)*IF(AND(ISNUMBER($G49),$G49&lt;=IF($S49=MesCiclo,InicioCiclo,$S49+MOD(2-WEEKDAY($S49),7))+20),1,MIN(1,MAX(0,IF(ISNUMBER(OFFSET($A$1,ROW()-1,10)),OFFSET($A$1,ROW()-1,10),IF(ISNUMBER(OFFSET($A$1,ROW()-1,9)),OFFSET($A$1,ROW()-1,9),IF(ISNUMBER(OFFSET($A$1,ROW()-1,8)),OFFSET($A$1,ROW()-1,8),0)))))))</f>
        <v/>
      </c>
      <c r="AG49" s="62">
        <f>IF($V49&lt;&gt;"Sub","",N($X49)*IF(AND(ISNUMBER($G49),$G49&lt;=IF($S49=MesCiclo,InicioCiclo,$S49+MOD(2-WEEKDAY($S49),7))+27),1,MIN(1,MAX(0,IF(ISNUMBER(OFFSET($A$1,ROW()-1,11)),OFFSET($A$1,ROW()-1,11),IF(ISNUMBER(OFFSET($A$1,ROW()-1,10)),OFFSET($A$1,ROW()-1,10),IF(ISNUMBER(OFFSET($A$1,ROW()-1,9)),OFFSET($A$1,ROW()-1,9),IF(ISNUMBER(OFFSET($A$1,ROW()-1,8)),OFFSET($A$1,ROW()-1,8),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",IFERROR(MATCH("Riesgo Financiero|"&amp;MID($C49,12,500),rDname_ADM,0),0),"")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IF(N($W50)=0,"",IF(AND($S50=MesCiclo,1&gt;SemanaActual),"",MIN(1,SUMIFS(OFFSET($A$1,ROW(),29,1000-ROW(),1),OFFSET($A$1,ROW(),20,1000-ROW(),1),ROW(),OFFSET($A$1,ROW(),21,1000-ROW(),1),"Sub"))))</f>
        <v/>
      </c>
      <c r="J50" s="60">
        <f>IF(N($W50)=0,"",IF(AND($S50=MesCiclo,2&gt;SemanaActual),"",MIN(1,SUMIFS(OFFSET($A$1,ROW(),30,1000-ROW(),1),OFFSET($A$1,ROW(),20,1000-ROW(),1),ROW(),OFFSET($A$1,ROW(),21,1000-ROW(),1),"Sub"))))</f>
        <v/>
      </c>
      <c r="K50" s="60">
        <f>IF(N($W50)=0,"",IF(AND($S50=MesCiclo,3&gt;SemanaActual),"",MIN(1,SUMIFS(OFFSET($A$1,ROW(),31,1000-ROW(),1),OFFSET($A$1,ROW(),20,1000-ROW(),1),ROW(),OFFSET($A$1,ROW(),21,1000-ROW(),1),"Sub"))))</f>
        <v/>
      </c>
      <c r="L50" s="60">
        <f>IF(N($W50)=0,"",IF(AND($S50=MesCiclo,4&gt;SemanaActual),"",MIN(1,SUMIFS(OFFSET($A$1,ROW(),32,1000-ROW(),1),OFFSET($A$1,ROW(),20,1000-ROW(),1),ROW(),OFFSET($A$1,ROW(),21,1000-ROW(),1),"Sub"))))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IF($V50&lt;&gt;"Sub","",N($X50)*IF(AND(ISNUMBER($G50),$G50&lt;=IF($S50=MesCiclo,InicioCiclo,$S50+MOD(2-WEEKDAY($S50),7))+6),1,MIN(1,MAX(0,IF(ISNUMBER(OFFSET($A$1,ROW()-1,8)),OFFSET($A$1,ROW()-1,8),0)))))</f>
        <v/>
      </c>
      <c r="AE50" s="62">
        <f>IF($V50&lt;&gt;"Sub","",N($X50)*IF(AND(ISNUMBER($G50),$G50&lt;=IF($S50=MesCiclo,InicioCiclo,$S50+MOD(2-WEEKDAY($S50),7))+13),1,MIN(1,MAX(0,IF(ISNUMBER(OFFSET($A$1,ROW()-1,9)),OFFSET($A$1,ROW()-1,9),IF(ISNUMBER(OFFSET($A$1,ROW()-1,8)),OFFSET($A$1,ROW()-1,8),0))))))</f>
        <v/>
      </c>
      <c r="AF50" s="62">
        <f>IF($V50&lt;&gt;"Sub","",N($X50)*IF(AND(ISNUMBER($G50),$G50&lt;=IF($S50=MesCiclo,InicioCiclo,$S50+MOD(2-WEEKDAY($S50),7))+20),1,MIN(1,MAX(0,IF(ISNUMBER(OFFSET($A$1,ROW()-1,10)),OFFSET($A$1,ROW()-1,10),IF(ISNUMBER(OFFSET($A$1,ROW()-1,9)),OFFSET($A$1,ROW()-1,9),IF(ISNUMBER(OFFSET($A$1,ROW()-1,8)),OFFSET($A$1,ROW()-1,8),0)))))))</f>
        <v/>
      </c>
      <c r="AG50" s="62">
        <f>IF($V50&lt;&gt;"Sub","",N($X50)*IF(AND(ISNUMBER($G50),$G50&lt;=IF($S50=MesCiclo,InicioCiclo,$S50+MOD(2-WEEKDAY($S50),7))+27),1,MIN(1,MAX(0,IF(ISNUMBER(OFFSET($A$1,ROW()-1,11)),OFFSET($A$1,ROW()-1,11),IF(ISNUMBER(OFFSET($A$1,ROW()-1,10)),OFFSET($A$1,ROW()-1,10),IF(ISNUMBER(OFFSET($A$1,ROW()-1,9)),OFFSET($A$1,ROW()-1,9),IF(ISNUMBER(OFFSET($A$1,ROW()-1,8)),OFFSET($A$1,ROW()-1,8),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",IFERROR(MATCH("Riesgo Financiero|"&amp;MID($C50,12,500),rDname_ADM,0),0),"")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IF(N($W51)=0,"",IF(AND($S51=MesCiclo,1&gt;SemanaActual),"",MIN(1,SUMIFS(OFFSET($A$1,ROW(),29,1000-ROW(),1),OFFSET($A$1,ROW(),20,1000-ROW(),1),ROW(),OFFSET($A$1,ROW(),21,1000-ROW(),1),"Sub"))))</f>
        <v/>
      </c>
      <c r="J51" s="60">
        <f>IF(N($W51)=0,"",IF(AND($S51=MesCiclo,2&gt;SemanaActual),"",MIN(1,SUMIFS(OFFSET($A$1,ROW(),30,1000-ROW(),1),OFFSET($A$1,ROW(),20,1000-ROW(),1),ROW(),OFFSET($A$1,ROW(),21,1000-ROW(),1),"Sub"))))</f>
        <v/>
      </c>
      <c r="K51" s="60">
        <f>IF(N($W51)=0,"",IF(AND($S51=MesCiclo,3&gt;SemanaActual),"",MIN(1,SUMIFS(OFFSET($A$1,ROW(),31,1000-ROW(),1),OFFSET($A$1,ROW(),20,1000-ROW(),1),ROW(),OFFSET($A$1,ROW(),21,1000-ROW(),1),"Sub"))))</f>
        <v/>
      </c>
      <c r="L51" s="60">
        <f>IF(N($W51)=0,"",IF(AND($S51=MesCiclo,4&gt;SemanaActual),"",MIN(1,SUMIFS(OFFSET($A$1,ROW(),32,1000-ROW(),1),OFFSET($A$1,ROW(),20,1000-ROW(),1),ROW(),OFFSET($A$1,ROW(),21,1000-ROW(),1),"Sub"))))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IF($V51&lt;&gt;"Sub","",N($X51)*IF(AND(ISNUMBER($G51),$G51&lt;=IF($S51=MesCiclo,InicioCiclo,$S51+MOD(2-WEEKDAY($S51),7))+6),1,MIN(1,MAX(0,IF(ISNUMBER(OFFSET($A$1,ROW()-1,8)),OFFSET($A$1,ROW()-1,8),0)))))</f>
        <v/>
      </c>
      <c r="AE51" s="62">
        <f>IF($V51&lt;&gt;"Sub","",N($X51)*IF(AND(ISNUMBER($G51),$G51&lt;=IF($S51=MesCiclo,InicioCiclo,$S51+MOD(2-WEEKDAY($S51),7))+13),1,MIN(1,MAX(0,IF(ISNUMBER(OFFSET($A$1,ROW()-1,9)),OFFSET($A$1,ROW()-1,9),IF(ISNUMBER(OFFSET($A$1,ROW()-1,8)),OFFSET($A$1,ROW()-1,8),0))))))</f>
        <v/>
      </c>
      <c r="AF51" s="62">
        <f>IF($V51&lt;&gt;"Sub","",N($X51)*IF(AND(ISNUMBER($G51),$G51&lt;=IF($S51=MesCiclo,InicioCiclo,$S51+MOD(2-WEEKDAY($S51),7))+20),1,MIN(1,MAX(0,IF(ISNUMBER(OFFSET($A$1,ROW()-1,10)),OFFSET($A$1,ROW()-1,10),IF(ISNUMBER(OFFSET($A$1,ROW()-1,9)),OFFSET($A$1,ROW()-1,9),IF(ISNUMBER(OFFSET($A$1,ROW()-1,8)),OFFSET($A$1,ROW()-1,8),0)))))))</f>
        <v/>
      </c>
      <c r="AG51" s="62">
        <f>IF($V51&lt;&gt;"Sub","",N($X51)*IF(AND(ISNUMBER($G51),$G51&lt;=IF($S51=MesCiclo,InicioCiclo,$S51+MOD(2-WEEKDAY($S51),7))+27),1,MIN(1,MAX(0,IF(ISNUMBER(OFFSET($A$1,ROW()-1,11)),OFFSET($A$1,ROW()-1,11),IF(ISNUMBER(OFFSET($A$1,ROW()-1,10)),OFFSET($A$1,ROW()-1,10),IF(ISNUMBER(OFFSET($A$1,ROW()-1,9)),OFFSET($A$1,ROW()-1,9),IF(ISNUMBER(OFFSET($A$1,ROW()-1,8)),OFFSET($A$1,ROW()-1,8),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",IFERROR(MATCH("Riesgo Financiero|"&amp;MID($C51,12,500),rDname_ADM,0),0),"")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IF(N($W52)=0,"",IF(AND($S52=MesCiclo,1&gt;SemanaActual),"",MIN(1,SUMIFS(OFFSET($A$1,ROW(),29,1000-ROW(),1),OFFSET($A$1,ROW(),20,1000-ROW(),1),ROW(),OFFSET($A$1,ROW(),21,1000-ROW(),1),"Sub"))))</f>
        <v/>
      </c>
      <c r="J52" s="60">
        <f>IF(N($W52)=0,"",IF(AND($S52=MesCiclo,2&gt;SemanaActual),"",MIN(1,SUMIFS(OFFSET($A$1,ROW(),30,1000-ROW(),1),OFFSET($A$1,ROW(),20,1000-ROW(),1),ROW(),OFFSET($A$1,ROW(),21,1000-ROW(),1),"Sub"))))</f>
        <v/>
      </c>
      <c r="K52" s="60">
        <f>IF(N($W52)=0,"",IF(AND($S52=MesCiclo,3&gt;SemanaActual),"",MIN(1,SUMIFS(OFFSET($A$1,ROW(),31,1000-ROW(),1),OFFSET($A$1,ROW(),20,1000-ROW(),1),ROW(),OFFSET($A$1,ROW(),21,1000-ROW(),1),"Sub"))))</f>
        <v/>
      </c>
      <c r="L52" s="60">
        <f>IF(N($W52)=0,"",IF(AND($S52=MesCiclo,4&gt;SemanaActual),"",MIN(1,SUMIFS(OFFSET($A$1,ROW(),32,1000-ROW(),1),OFFSET($A$1,ROW(),20,1000-ROW(),1),ROW(),OFFSET($A$1,ROW(),21,1000-ROW(),1),"Sub"))))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IF($V52&lt;&gt;"Sub","",N($X52)*IF(AND(ISNUMBER($G52),$G52&lt;=IF($S52=MesCiclo,InicioCiclo,$S52+MOD(2-WEEKDAY($S52),7))+6),1,MIN(1,MAX(0,IF(ISNUMBER(OFFSET($A$1,ROW()-1,8)),OFFSET($A$1,ROW()-1,8),0)))))</f>
        <v/>
      </c>
      <c r="AE52" s="62">
        <f>IF($V52&lt;&gt;"Sub","",N($X52)*IF(AND(ISNUMBER($G52),$G52&lt;=IF($S52=MesCiclo,InicioCiclo,$S52+MOD(2-WEEKDAY($S52),7))+13),1,MIN(1,MAX(0,IF(ISNUMBER(OFFSET($A$1,ROW()-1,9)),OFFSET($A$1,ROW()-1,9),IF(ISNUMBER(OFFSET($A$1,ROW()-1,8)),OFFSET($A$1,ROW()-1,8),0))))))</f>
        <v/>
      </c>
      <c r="AF52" s="62">
        <f>IF($V52&lt;&gt;"Sub","",N($X52)*IF(AND(ISNUMBER($G52),$G52&lt;=IF($S52=MesCiclo,InicioCiclo,$S52+MOD(2-WEEKDAY($S52),7))+20),1,MIN(1,MAX(0,IF(ISNUMBER(OFFSET($A$1,ROW()-1,10)),OFFSET($A$1,ROW()-1,10),IF(ISNUMBER(OFFSET($A$1,ROW()-1,9)),OFFSET($A$1,ROW()-1,9),IF(ISNUMBER(OFFSET($A$1,ROW()-1,8)),OFFSET($A$1,ROW()-1,8),0)))))))</f>
        <v/>
      </c>
      <c r="AG52" s="62">
        <f>IF($V52&lt;&gt;"Sub","",N($X52)*IF(AND(ISNUMBER($G52),$G52&lt;=IF($S52=MesCiclo,InicioCiclo,$S52+MOD(2-WEEKDAY($S52),7))+27),1,MIN(1,MAX(0,IF(ISNUMBER(OFFSET($A$1,ROW()-1,11)),OFFSET($A$1,ROW()-1,11),IF(ISNUMBER(OFFSET($A$1,ROW()-1,10)),OFFSET($A$1,ROW()-1,10),IF(ISNUMBER(OFFSET($A$1,ROW()-1,9)),OFFSET($A$1,ROW()-1,9),IF(ISNUMBER(OFFSET($A$1,ROW()-1,8)),OFFSET($A$1,ROW()-1,8),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",IFERROR(MATCH("Riesgo Financiero|"&amp;MID($C52,12,500),rDname_ADM,0),0),"")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IF(N($W53)=0,"",IF(AND($S53=MesCiclo,1&gt;SemanaActual),"",MIN(1,SUMIFS(OFFSET($A$1,ROW(),29,1000-ROW(),1),OFFSET($A$1,ROW(),20,1000-ROW(),1),ROW(),OFFSET($A$1,ROW(),21,1000-ROW(),1),"Sub"))))</f>
        <v/>
      </c>
      <c r="J53" s="60">
        <f>IF(N($W53)=0,"",IF(AND($S53=MesCiclo,2&gt;SemanaActual),"",MIN(1,SUMIFS(OFFSET($A$1,ROW(),30,1000-ROW(),1),OFFSET($A$1,ROW(),20,1000-ROW(),1),ROW(),OFFSET($A$1,ROW(),21,1000-ROW(),1),"Sub"))))</f>
        <v/>
      </c>
      <c r="K53" s="60">
        <f>IF(N($W53)=0,"",IF(AND($S53=MesCiclo,3&gt;SemanaActual),"",MIN(1,SUMIFS(OFFSET($A$1,ROW(),31,1000-ROW(),1),OFFSET($A$1,ROW(),20,1000-ROW(),1),ROW(),OFFSET($A$1,ROW(),21,1000-ROW(),1),"Sub"))))</f>
        <v/>
      </c>
      <c r="L53" s="60">
        <f>IF(N($W53)=0,"",IF(AND($S53=MesCiclo,4&gt;SemanaActual),"",MIN(1,SUMIFS(OFFSET($A$1,ROW(),32,1000-ROW(),1),OFFSET($A$1,ROW(),20,1000-ROW(),1),ROW(),OFFSET($A$1,ROW(),21,1000-ROW(),1),"Sub"))))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IF($V53&lt;&gt;"Sub","",N($X53)*IF(AND(ISNUMBER($G53),$G53&lt;=IF($S53=MesCiclo,InicioCiclo,$S53+MOD(2-WEEKDAY($S53),7))+6),1,MIN(1,MAX(0,IF(ISNUMBER(OFFSET($A$1,ROW()-1,8)),OFFSET($A$1,ROW()-1,8),0)))))</f>
        <v/>
      </c>
      <c r="AE53" s="62">
        <f>IF($V53&lt;&gt;"Sub","",N($X53)*IF(AND(ISNUMBER($G53),$G53&lt;=IF($S53=MesCiclo,InicioCiclo,$S53+MOD(2-WEEKDAY($S53),7))+13),1,MIN(1,MAX(0,IF(ISNUMBER(OFFSET($A$1,ROW()-1,9)),OFFSET($A$1,ROW()-1,9),IF(ISNUMBER(OFFSET($A$1,ROW()-1,8)),OFFSET($A$1,ROW()-1,8),0))))))</f>
        <v/>
      </c>
      <c r="AF53" s="62">
        <f>IF($V53&lt;&gt;"Sub","",N($X53)*IF(AND(ISNUMBER($G53),$G53&lt;=IF($S53=MesCiclo,InicioCiclo,$S53+MOD(2-WEEKDAY($S53),7))+20),1,MIN(1,MAX(0,IF(ISNUMBER(OFFSET($A$1,ROW()-1,10)),OFFSET($A$1,ROW()-1,10),IF(ISNUMBER(OFFSET($A$1,ROW()-1,9)),OFFSET($A$1,ROW()-1,9),IF(ISNUMBER(OFFSET($A$1,ROW()-1,8)),OFFSET($A$1,ROW()-1,8),0)))))))</f>
        <v/>
      </c>
      <c r="AG53" s="62">
        <f>IF($V53&lt;&gt;"Sub","",N($X53)*IF(AND(ISNUMBER($G53),$G53&lt;=IF($S53=MesCiclo,InicioCiclo,$S53+MOD(2-WEEKDAY($S53),7))+27),1,MIN(1,MAX(0,IF(ISNUMBER(OFFSET($A$1,ROW()-1,11)),OFFSET($A$1,ROW()-1,11),IF(ISNUMBER(OFFSET($A$1,ROW()-1,10)),OFFSET($A$1,ROW()-1,10),IF(ISNUMBER(OFFSET($A$1,ROW()-1,9)),OFFSET($A$1,ROW()-1,9),IF(ISNUMBER(OFFSET($A$1,ROW()-1,8)),OFFSET($A$1,ROW()-1,8),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",IFERROR(MATCH("Riesgo Financiero|"&amp;MID($C53,12,500),rDname_ADM,0),0),"")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IF(N($W54)=0,"",IF(AND($S54=MesCiclo,1&gt;SemanaActual),"",MIN(1,SUMIFS(OFFSET($A$1,ROW(),29,1000-ROW(),1),OFFSET($A$1,ROW(),20,1000-ROW(),1),ROW(),OFFSET($A$1,ROW(),21,1000-ROW(),1),"Sub"))))</f>
        <v/>
      </c>
      <c r="J54" s="60">
        <f>IF(N($W54)=0,"",IF(AND($S54=MesCiclo,2&gt;SemanaActual),"",MIN(1,SUMIFS(OFFSET($A$1,ROW(),30,1000-ROW(),1),OFFSET($A$1,ROW(),20,1000-ROW(),1),ROW(),OFFSET($A$1,ROW(),21,1000-ROW(),1),"Sub"))))</f>
        <v/>
      </c>
      <c r="K54" s="60">
        <f>IF(N($W54)=0,"",IF(AND($S54=MesCiclo,3&gt;SemanaActual),"",MIN(1,SUMIFS(OFFSET($A$1,ROW(),31,1000-ROW(),1),OFFSET($A$1,ROW(),20,1000-ROW(),1),ROW(),OFFSET($A$1,ROW(),21,1000-ROW(),1),"Sub"))))</f>
        <v/>
      </c>
      <c r="L54" s="60">
        <f>IF(N($W54)=0,"",IF(AND($S54=MesCiclo,4&gt;SemanaActual),"",MIN(1,SUMIFS(OFFSET($A$1,ROW(),32,1000-ROW(),1),OFFSET($A$1,ROW(),20,1000-ROW(),1),ROW(),OFFSET($A$1,ROW(),21,1000-ROW(),1),"Sub"))))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IF($V54&lt;&gt;"Sub","",N($X54)*IF(AND(ISNUMBER($G54),$G54&lt;=IF($S54=MesCiclo,InicioCiclo,$S54+MOD(2-WEEKDAY($S54),7))+6),1,MIN(1,MAX(0,IF(ISNUMBER(OFFSET($A$1,ROW()-1,8)),OFFSET($A$1,ROW()-1,8),0)))))</f>
        <v/>
      </c>
      <c r="AE54" s="62">
        <f>IF($V54&lt;&gt;"Sub","",N($X54)*IF(AND(ISNUMBER($G54),$G54&lt;=IF($S54=MesCiclo,InicioCiclo,$S54+MOD(2-WEEKDAY($S54),7))+13),1,MIN(1,MAX(0,IF(ISNUMBER(OFFSET($A$1,ROW()-1,9)),OFFSET($A$1,ROW()-1,9),IF(ISNUMBER(OFFSET($A$1,ROW()-1,8)),OFFSET($A$1,ROW()-1,8),0))))))</f>
        <v/>
      </c>
      <c r="AF54" s="62">
        <f>IF($V54&lt;&gt;"Sub","",N($X54)*IF(AND(ISNUMBER($G54),$G54&lt;=IF($S54=MesCiclo,InicioCiclo,$S54+MOD(2-WEEKDAY($S54),7))+20),1,MIN(1,MAX(0,IF(ISNUMBER(OFFSET($A$1,ROW()-1,10)),OFFSET($A$1,ROW()-1,10),IF(ISNUMBER(OFFSET($A$1,ROW()-1,9)),OFFSET($A$1,ROW()-1,9),IF(ISNUMBER(OFFSET($A$1,ROW()-1,8)),OFFSET($A$1,ROW()-1,8),0)))))))</f>
        <v/>
      </c>
      <c r="AG54" s="62">
        <f>IF($V54&lt;&gt;"Sub","",N($X54)*IF(AND(ISNUMBER($G54),$G54&lt;=IF($S54=MesCiclo,InicioCiclo,$S54+MOD(2-WEEKDAY($S54),7))+27),1,MIN(1,MAX(0,IF(ISNUMBER(OFFSET($A$1,ROW()-1,11)),OFFSET($A$1,ROW()-1,11),IF(ISNUMBER(OFFSET($A$1,ROW()-1,10)),OFFSET($A$1,ROW()-1,10),IF(ISNUMBER(OFFSET($A$1,ROW()-1,9)),OFFSET($A$1,ROW()-1,9),IF(ISNUMBER(OFFSET($A$1,ROW()-1,8)),OFFSET($A$1,ROW()-1,8),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",IFERROR(MATCH("Riesgo Financiero|"&amp;MID($C54,12,500),rDname_ADM,0),0),"")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IF(N($W55)=0,"",IF(AND($S55=MesCiclo,1&gt;SemanaActual),"",MIN(1,SUMIFS(OFFSET($A$1,ROW(),29,1000-ROW(),1),OFFSET($A$1,ROW(),20,1000-ROW(),1),ROW(),OFFSET($A$1,ROW(),21,1000-ROW(),1),"Sub"))))</f>
        <v/>
      </c>
      <c r="J55" s="60">
        <f>IF(N($W55)=0,"",IF(AND($S55=MesCiclo,2&gt;SemanaActual),"",MIN(1,SUMIFS(OFFSET($A$1,ROW(),30,1000-ROW(),1),OFFSET($A$1,ROW(),20,1000-ROW(),1),ROW(),OFFSET($A$1,ROW(),21,1000-ROW(),1),"Sub"))))</f>
        <v/>
      </c>
      <c r="K55" s="60">
        <f>IF(N($W55)=0,"",IF(AND($S55=MesCiclo,3&gt;SemanaActual),"",MIN(1,SUMIFS(OFFSET($A$1,ROW(),31,1000-ROW(),1),OFFSET($A$1,ROW(),20,1000-ROW(),1),ROW(),OFFSET($A$1,ROW(),21,1000-ROW(),1),"Sub"))))</f>
        <v/>
      </c>
      <c r="L55" s="60">
        <f>IF(N($W55)=0,"",IF(AND($S55=MesCiclo,4&gt;SemanaActual),"",MIN(1,SUMIFS(OFFSET($A$1,ROW(),32,1000-ROW(),1),OFFSET($A$1,ROW(),20,1000-ROW(),1),ROW(),OFFSET($A$1,ROW(),21,1000-ROW(),1),"Sub"))))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IF($V55&lt;&gt;"Sub","",N($X55)*IF(AND(ISNUMBER($G55),$G55&lt;=IF($S55=MesCiclo,InicioCiclo,$S55+MOD(2-WEEKDAY($S55),7))+6),1,MIN(1,MAX(0,IF(ISNUMBER(OFFSET($A$1,ROW()-1,8)),OFFSET($A$1,ROW()-1,8),0)))))</f>
        <v/>
      </c>
      <c r="AE55" s="62">
        <f>IF($V55&lt;&gt;"Sub","",N($X55)*IF(AND(ISNUMBER($G55),$G55&lt;=IF($S55=MesCiclo,InicioCiclo,$S55+MOD(2-WEEKDAY($S55),7))+13),1,MIN(1,MAX(0,IF(ISNUMBER(OFFSET($A$1,ROW()-1,9)),OFFSET($A$1,ROW()-1,9),IF(ISNUMBER(OFFSET($A$1,ROW()-1,8)),OFFSET($A$1,ROW()-1,8),0))))))</f>
        <v/>
      </c>
      <c r="AF55" s="62">
        <f>IF($V55&lt;&gt;"Sub","",N($X55)*IF(AND(ISNUMBER($G55),$G55&lt;=IF($S55=MesCiclo,InicioCiclo,$S55+MOD(2-WEEKDAY($S55),7))+20),1,MIN(1,MAX(0,IF(ISNUMBER(OFFSET($A$1,ROW()-1,10)),OFFSET($A$1,ROW()-1,10),IF(ISNUMBER(OFFSET($A$1,ROW()-1,9)),OFFSET($A$1,ROW()-1,9),IF(ISNUMBER(OFFSET($A$1,ROW()-1,8)),OFFSET($A$1,ROW()-1,8),0)))))))</f>
        <v/>
      </c>
      <c r="AG55" s="62">
        <f>IF($V55&lt;&gt;"Sub","",N($X55)*IF(AND(ISNUMBER($G55),$G55&lt;=IF($S55=MesCiclo,InicioCiclo,$S55+MOD(2-WEEKDAY($S55),7))+27),1,MIN(1,MAX(0,IF(ISNUMBER(OFFSET($A$1,ROW()-1,11)),OFFSET($A$1,ROW()-1,11),IF(ISNUMBER(OFFSET($A$1,ROW()-1,10)),OFFSET($A$1,ROW()-1,10),IF(ISNUMBER(OFFSET($A$1,ROW()-1,9)),OFFSET($A$1,ROW()-1,9),IF(ISNUMBER(OFFSET($A$1,ROW()-1,8)),OFFSET($A$1,ROW()-1,8),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",IFERROR(MATCH("Riesgo Financiero|"&amp;MID($C55,12,500),rDname_ADM,0),0),"")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IF(N($W56)=0,"",IF(AND($S56=MesCiclo,1&gt;SemanaActual),"",MIN(1,SUMIFS(OFFSET($A$1,ROW(),29,1000-ROW(),1),OFFSET($A$1,ROW(),20,1000-ROW(),1),ROW(),OFFSET($A$1,ROW(),21,1000-ROW(),1),"Sub"))))</f>
        <v/>
      </c>
      <c r="J56" s="60">
        <f>IF(N($W56)=0,"",IF(AND($S56=MesCiclo,2&gt;SemanaActual),"",MIN(1,SUMIFS(OFFSET($A$1,ROW(),30,1000-ROW(),1),OFFSET($A$1,ROW(),20,1000-ROW(),1),ROW(),OFFSET($A$1,ROW(),21,1000-ROW(),1),"Sub"))))</f>
        <v/>
      </c>
      <c r="K56" s="60">
        <f>IF(N($W56)=0,"",IF(AND($S56=MesCiclo,3&gt;SemanaActual),"",MIN(1,SUMIFS(OFFSET($A$1,ROW(),31,1000-ROW(),1),OFFSET($A$1,ROW(),20,1000-ROW(),1),ROW(),OFFSET($A$1,ROW(),21,1000-ROW(),1),"Sub"))))</f>
        <v/>
      </c>
      <c r="L56" s="60">
        <f>IF(N($W56)=0,"",IF(AND($S56=MesCiclo,4&gt;SemanaActual),"",MIN(1,SUMIFS(OFFSET($A$1,ROW(),32,1000-ROW(),1),OFFSET($A$1,ROW(),20,1000-ROW(),1),ROW(),OFFSET($A$1,ROW(),21,1000-ROW(),1),"Sub"))))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IF($V56&lt;&gt;"Sub","",N($X56)*IF(AND(ISNUMBER($G56),$G56&lt;=IF($S56=MesCiclo,InicioCiclo,$S56+MOD(2-WEEKDAY($S56),7))+6),1,MIN(1,MAX(0,IF(ISNUMBER(OFFSET($A$1,ROW()-1,8)),OFFSET($A$1,ROW()-1,8),0)))))</f>
        <v/>
      </c>
      <c r="AE56" s="62">
        <f>IF($V56&lt;&gt;"Sub","",N($X56)*IF(AND(ISNUMBER($G56),$G56&lt;=IF($S56=MesCiclo,InicioCiclo,$S56+MOD(2-WEEKDAY($S56),7))+13),1,MIN(1,MAX(0,IF(ISNUMBER(OFFSET($A$1,ROW()-1,9)),OFFSET($A$1,ROW()-1,9),IF(ISNUMBER(OFFSET($A$1,ROW()-1,8)),OFFSET($A$1,ROW()-1,8),0))))))</f>
        <v/>
      </c>
      <c r="AF56" s="62">
        <f>IF($V56&lt;&gt;"Sub","",N($X56)*IF(AND(ISNUMBER($G56),$G56&lt;=IF($S56=MesCiclo,InicioCiclo,$S56+MOD(2-WEEKDAY($S56),7))+20),1,MIN(1,MAX(0,IF(ISNUMBER(OFFSET($A$1,ROW()-1,10)),OFFSET($A$1,ROW()-1,10),IF(ISNUMBER(OFFSET($A$1,ROW()-1,9)),OFFSET($A$1,ROW()-1,9),IF(ISNUMBER(OFFSET($A$1,ROW()-1,8)),OFFSET($A$1,ROW()-1,8),0)))))))</f>
        <v/>
      </c>
      <c r="AG56" s="62">
        <f>IF($V56&lt;&gt;"Sub","",N($X56)*IF(AND(ISNUMBER($G56),$G56&lt;=IF($S56=MesCiclo,InicioCiclo,$S56+MOD(2-WEEKDAY($S56),7))+27),1,MIN(1,MAX(0,IF(ISNUMBER(OFFSET($A$1,ROW()-1,11)),OFFSET($A$1,ROW()-1,11),IF(ISNUMBER(OFFSET($A$1,ROW()-1,10)),OFFSET($A$1,ROW()-1,10),IF(ISNUMBER(OFFSET($A$1,ROW()-1,9)),OFFSET($A$1,ROW()-1,9),IF(ISNUMBER(OFFSET($A$1,ROW()-1,8)),OFFSET($A$1,ROW()-1,8),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",IFERROR(MATCH("Riesgo Financiero|"&amp;MID($C56,12,500),rDname_ADM,0),0),"")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IF(N($W57)=0,"",IF(AND($S57=MesCiclo,1&gt;SemanaActual),"",MIN(1,SUMIFS(OFFSET($A$1,ROW(),29,1000-ROW(),1),OFFSET($A$1,ROW(),20,1000-ROW(),1),ROW(),OFFSET($A$1,ROW(),21,1000-ROW(),1),"Sub"))))</f>
        <v/>
      </c>
      <c r="J57" s="60">
        <f>IF(N($W57)=0,"",IF(AND($S57=MesCiclo,2&gt;SemanaActual),"",MIN(1,SUMIFS(OFFSET($A$1,ROW(),30,1000-ROW(),1),OFFSET($A$1,ROW(),20,1000-ROW(),1),ROW(),OFFSET($A$1,ROW(),21,1000-ROW(),1),"Sub"))))</f>
        <v/>
      </c>
      <c r="K57" s="60">
        <f>IF(N($W57)=0,"",IF(AND($S57=MesCiclo,3&gt;SemanaActual),"",MIN(1,SUMIFS(OFFSET($A$1,ROW(),31,1000-ROW(),1),OFFSET($A$1,ROW(),20,1000-ROW(),1),ROW(),OFFSET($A$1,ROW(),21,1000-ROW(),1),"Sub"))))</f>
        <v/>
      </c>
      <c r="L57" s="60">
        <f>IF(N($W57)=0,"",IF(AND($S57=MesCiclo,4&gt;SemanaActual),"",MIN(1,SUMIFS(OFFSET($A$1,ROW(),32,1000-ROW(),1),OFFSET($A$1,ROW(),20,1000-ROW(),1),ROW(),OFFSET($A$1,ROW(),21,1000-ROW(),1),"Sub"))))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IF($V57&lt;&gt;"Sub","",N($X57)*IF(AND(ISNUMBER($G57),$G57&lt;=IF($S57=MesCiclo,InicioCiclo,$S57+MOD(2-WEEKDAY($S57),7))+6),1,MIN(1,MAX(0,IF(ISNUMBER(OFFSET($A$1,ROW()-1,8)),OFFSET($A$1,ROW()-1,8),0)))))</f>
        <v/>
      </c>
      <c r="AE57" s="62">
        <f>IF($V57&lt;&gt;"Sub","",N($X57)*IF(AND(ISNUMBER($G57),$G57&lt;=IF($S57=MesCiclo,InicioCiclo,$S57+MOD(2-WEEKDAY($S57),7))+13),1,MIN(1,MAX(0,IF(ISNUMBER(OFFSET($A$1,ROW()-1,9)),OFFSET($A$1,ROW()-1,9),IF(ISNUMBER(OFFSET($A$1,ROW()-1,8)),OFFSET($A$1,ROW()-1,8),0))))))</f>
        <v/>
      </c>
      <c r="AF57" s="62">
        <f>IF($V57&lt;&gt;"Sub","",N($X57)*IF(AND(ISNUMBER($G57),$G57&lt;=IF($S57=MesCiclo,InicioCiclo,$S57+MOD(2-WEEKDAY($S57),7))+20),1,MIN(1,MAX(0,IF(ISNUMBER(OFFSET($A$1,ROW()-1,10)),OFFSET($A$1,ROW()-1,10),IF(ISNUMBER(OFFSET($A$1,ROW()-1,9)),OFFSET($A$1,ROW()-1,9),IF(ISNUMBER(OFFSET($A$1,ROW()-1,8)),OFFSET($A$1,ROW()-1,8),0)))))))</f>
        <v/>
      </c>
      <c r="AG57" s="62">
        <f>IF($V57&lt;&gt;"Sub","",N($X57)*IF(AND(ISNUMBER($G57),$G57&lt;=IF($S57=MesCiclo,InicioCiclo,$S57+MOD(2-WEEKDAY($S57),7))+27),1,MIN(1,MAX(0,IF(ISNUMBER(OFFSET($A$1,ROW()-1,11)),OFFSET($A$1,ROW()-1,11),IF(ISNUMBER(OFFSET($A$1,ROW()-1,10)),OFFSET($A$1,ROW()-1,10),IF(ISNUMBER(OFFSET($A$1,ROW()-1,9)),OFFSET($A$1,ROW()-1,9),IF(ISNUMBER(OFFSET($A$1,ROW()-1,8)),OFFSET($A$1,ROW()-1,8),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",IFERROR(MATCH("Riesgo Financiero|"&amp;MID($C57,12,500),rDname_ADM,0),0),"")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IF(N($W58)=0,"",IF(AND($S58=MesCiclo,1&gt;SemanaActual),"",MIN(1,SUMIFS(OFFSET($A$1,ROW(),29,1000-ROW(),1),OFFSET($A$1,ROW(),20,1000-ROW(),1),ROW(),OFFSET($A$1,ROW(),21,1000-ROW(),1),"Sub"))))</f>
        <v/>
      </c>
      <c r="J58" s="60">
        <f>IF(N($W58)=0,"",IF(AND($S58=MesCiclo,2&gt;SemanaActual),"",MIN(1,SUMIFS(OFFSET($A$1,ROW(),30,1000-ROW(),1),OFFSET($A$1,ROW(),20,1000-ROW(),1),ROW(),OFFSET($A$1,ROW(),21,1000-ROW(),1),"Sub"))))</f>
        <v/>
      </c>
      <c r="K58" s="60">
        <f>IF(N($W58)=0,"",IF(AND($S58=MesCiclo,3&gt;SemanaActual),"",MIN(1,SUMIFS(OFFSET($A$1,ROW(),31,1000-ROW(),1),OFFSET($A$1,ROW(),20,1000-ROW(),1),ROW(),OFFSET($A$1,ROW(),21,1000-ROW(),1),"Sub"))))</f>
        <v/>
      </c>
      <c r="L58" s="60">
        <f>IF(N($W58)=0,"",IF(AND($S58=MesCiclo,4&gt;SemanaActual),"",MIN(1,SUMIFS(OFFSET($A$1,ROW(),32,1000-ROW(),1),OFFSET($A$1,ROW(),20,1000-ROW(),1),ROW(),OFFSET($A$1,ROW(),21,1000-ROW(),1),"Sub"))))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IF($V58&lt;&gt;"Sub","",N($X58)*IF(AND(ISNUMBER($G58),$G58&lt;=IF($S58=MesCiclo,InicioCiclo,$S58+MOD(2-WEEKDAY($S58),7))+6),1,MIN(1,MAX(0,IF(ISNUMBER(OFFSET($A$1,ROW()-1,8)),OFFSET($A$1,ROW()-1,8),0)))))</f>
        <v/>
      </c>
      <c r="AE58" s="62">
        <f>IF($V58&lt;&gt;"Sub","",N($X58)*IF(AND(ISNUMBER($G58),$G58&lt;=IF($S58=MesCiclo,InicioCiclo,$S58+MOD(2-WEEKDAY($S58),7))+13),1,MIN(1,MAX(0,IF(ISNUMBER(OFFSET($A$1,ROW()-1,9)),OFFSET($A$1,ROW()-1,9),IF(ISNUMBER(OFFSET($A$1,ROW()-1,8)),OFFSET($A$1,ROW()-1,8),0))))))</f>
        <v/>
      </c>
      <c r="AF58" s="62">
        <f>IF($V58&lt;&gt;"Sub","",N($X58)*IF(AND(ISNUMBER($G58),$G58&lt;=IF($S58=MesCiclo,InicioCiclo,$S58+MOD(2-WEEKDAY($S58),7))+20),1,MIN(1,MAX(0,IF(ISNUMBER(OFFSET($A$1,ROW()-1,10)),OFFSET($A$1,ROW()-1,10),IF(ISNUMBER(OFFSET($A$1,ROW()-1,9)),OFFSET($A$1,ROW()-1,9),IF(ISNUMBER(OFFSET($A$1,ROW()-1,8)),OFFSET($A$1,ROW()-1,8),0)))))))</f>
        <v/>
      </c>
      <c r="AG58" s="62">
        <f>IF($V58&lt;&gt;"Sub","",N($X58)*IF(AND(ISNUMBER($G58),$G58&lt;=IF($S58=MesCiclo,InicioCiclo,$S58+MOD(2-WEEKDAY($S58),7))+27),1,MIN(1,MAX(0,IF(ISNUMBER(OFFSET($A$1,ROW()-1,11)),OFFSET($A$1,ROW()-1,11),IF(ISNUMBER(OFFSET($A$1,ROW()-1,10)),OFFSET($A$1,ROW()-1,10),IF(ISNUMBER(OFFSET($A$1,ROW()-1,9)),OFFSET($A$1,ROW()-1,9),IF(ISNUMBER(OFFSET($A$1,ROW()-1,8)),OFFSET($A$1,ROW()-1,8),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",IFERROR(MATCH("Riesgo Financiero|"&amp;MID($C58,12,500),rDname_ADM,0),0),"")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IF(N($W59)=0,"",IF(AND($S59=MesCiclo,1&gt;SemanaActual),"",MIN(1,SUMIFS(OFFSET($A$1,ROW(),29,1000-ROW(),1),OFFSET($A$1,ROW(),20,1000-ROW(),1),ROW(),OFFSET($A$1,ROW(),21,1000-ROW(),1),"Sub"))))</f>
        <v/>
      </c>
      <c r="J59" s="60">
        <f>IF(N($W59)=0,"",IF(AND($S59=MesCiclo,2&gt;SemanaActual),"",MIN(1,SUMIFS(OFFSET($A$1,ROW(),30,1000-ROW(),1),OFFSET($A$1,ROW(),20,1000-ROW(),1),ROW(),OFFSET($A$1,ROW(),21,1000-ROW(),1),"Sub"))))</f>
        <v/>
      </c>
      <c r="K59" s="60">
        <f>IF(N($W59)=0,"",IF(AND($S59=MesCiclo,3&gt;SemanaActual),"",MIN(1,SUMIFS(OFFSET($A$1,ROW(),31,1000-ROW(),1),OFFSET($A$1,ROW(),20,1000-ROW(),1),ROW(),OFFSET($A$1,ROW(),21,1000-ROW(),1),"Sub"))))</f>
        <v/>
      </c>
      <c r="L59" s="60">
        <f>IF(N($W59)=0,"",IF(AND($S59=MesCiclo,4&gt;SemanaActual),"",MIN(1,SUMIFS(OFFSET($A$1,ROW(),32,1000-ROW(),1),OFFSET($A$1,ROW(),20,1000-ROW(),1),ROW(),OFFSET($A$1,ROW(),21,1000-ROW(),1),"Sub"))))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IF($V59&lt;&gt;"Sub","",N($X59)*IF(AND(ISNUMBER($G59),$G59&lt;=IF($S59=MesCiclo,InicioCiclo,$S59+MOD(2-WEEKDAY($S59),7))+6),1,MIN(1,MAX(0,IF(ISNUMBER(OFFSET($A$1,ROW()-1,8)),OFFSET($A$1,ROW()-1,8),0)))))</f>
        <v/>
      </c>
      <c r="AE59" s="62">
        <f>IF($V59&lt;&gt;"Sub","",N($X59)*IF(AND(ISNUMBER($G59),$G59&lt;=IF($S59=MesCiclo,InicioCiclo,$S59+MOD(2-WEEKDAY($S59),7))+13),1,MIN(1,MAX(0,IF(ISNUMBER(OFFSET($A$1,ROW()-1,9)),OFFSET($A$1,ROW()-1,9),IF(ISNUMBER(OFFSET($A$1,ROW()-1,8)),OFFSET($A$1,ROW()-1,8),0))))))</f>
        <v/>
      </c>
      <c r="AF59" s="62">
        <f>IF($V59&lt;&gt;"Sub","",N($X59)*IF(AND(ISNUMBER($G59),$G59&lt;=IF($S59=MesCiclo,InicioCiclo,$S59+MOD(2-WEEKDAY($S59),7))+20),1,MIN(1,MAX(0,IF(ISNUMBER(OFFSET($A$1,ROW()-1,10)),OFFSET($A$1,ROW()-1,10),IF(ISNUMBER(OFFSET($A$1,ROW()-1,9)),OFFSET($A$1,ROW()-1,9),IF(ISNUMBER(OFFSET($A$1,ROW()-1,8)),OFFSET($A$1,ROW()-1,8),0)))))))</f>
        <v/>
      </c>
      <c r="AG59" s="62">
        <f>IF($V59&lt;&gt;"Sub","",N($X59)*IF(AND(ISNUMBER($G59),$G59&lt;=IF($S59=MesCiclo,InicioCiclo,$S59+MOD(2-WEEKDAY($S59),7))+27),1,MIN(1,MAX(0,IF(ISNUMBER(OFFSET($A$1,ROW()-1,11)),OFFSET($A$1,ROW()-1,11),IF(ISNUMBER(OFFSET($A$1,ROW()-1,10)),OFFSET($A$1,ROW()-1,10),IF(ISNUMBER(OFFSET($A$1,ROW()-1,9)),OFFSET($A$1,ROW()-1,9),IF(ISNUMBER(OFFSET($A$1,ROW()-1,8)),OFFSET($A$1,ROW()-1,8),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",IFERROR(MATCH("Riesgo Financiero|"&amp;MID($C59,12,500),rDname_ADM,0),0),"")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IF(N($W60)=0,"",IF(AND($S60=MesCiclo,1&gt;SemanaActual),"",MIN(1,SUMIFS(OFFSET($A$1,ROW(),29,1000-ROW(),1),OFFSET($A$1,ROW(),20,1000-ROW(),1),ROW(),OFFSET($A$1,ROW(),21,1000-ROW(),1),"Sub"))))</f>
        <v/>
      </c>
      <c r="J60" s="60">
        <f>IF(N($W60)=0,"",IF(AND($S60=MesCiclo,2&gt;SemanaActual),"",MIN(1,SUMIFS(OFFSET($A$1,ROW(),30,1000-ROW(),1),OFFSET($A$1,ROW(),20,1000-ROW(),1),ROW(),OFFSET($A$1,ROW(),21,1000-ROW(),1),"Sub"))))</f>
        <v/>
      </c>
      <c r="K60" s="60">
        <f>IF(N($W60)=0,"",IF(AND($S60=MesCiclo,3&gt;SemanaActual),"",MIN(1,SUMIFS(OFFSET($A$1,ROW(),31,1000-ROW(),1),OFFSET($A$1,ROW(),20,1000-ROW(),1),ROW(),OFFSET($A$1,ROW(),21,1000-ROW(),1),"Sub"))))</f>
        <v/>
      </c>
      <c r="L60" s="60">
        <f>IF(N($W60)=0,"",IF(AND($S60=MesCiclo,4&gt;SemanaActual),"",MIN(1,SUMIFS(OFFSET($A$1,ROW(),32,1000-ROW(),1),OFFSET($A$1,ROW(),20,1000-ROW(),1),ROW(),OFFSET($A$1,ROW(),21,1000-ROW(),1),"Sub"))))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IF($V60&lt;&gt;"Sub","",N($X60)*IF(AND(ISNUMBER($G60),$G60&lt;=IF($S60=MesCiclo,InicioCiclo,$S60+MOD(2-WEEKDAY($S60),7))+6),1,MIN(1,MAX(0,IF(ISNUMBER(OFFSET($A$1,ROW()-1,8)),OFFSET($A$1,ROW()-1,8),0)))))</f>
        <v/>
      </c>
      <c r="AE60" s="62">
        <f>IF($V60&lt;&gt;"Sub","",N($X60)*IF(AND(ISNUMBER($G60),$G60&lt;=IF($S60=MesCiclo,InicioCiclo,$S60+MOD(2-WEEKDAY($S60),7))+13),1,MIN(1,MAX(0,IF(ISNUMBER(OFFSET($A$1,ROW()-1,9)),OFFSET($A$1,ROW()-1,9),IF(ISNUMBER(OFFSET($A$1,ROW()-1,8)),OFFSET($A$1,ROW()-1,8),0))))))</f>
        <v/>
      </c>
      <c r="AF60" s="62">
        <f>IF($V60&lt;&gt;"Sub","",N($X60)*IF(AND(ISNUMBER($G60),$G60&lt;=IF($S60=MesCiclo,InicioCiclo,$S60+MOD(2-WEEKDAY($S60),7))+20),1,MIN(1,MAX(0,IF(ISNUMBER(OFFSET($A$1,ROW()-1,10)),OFFSET($A$1,ROW()-1,10),IF(ISNUMBER(OFFSET($A$1,ROW()-1,9)),OFFSET($A$1,ROW()-1,9),IF(ISNUMBER(OFFSET($A$1,ROW()-1,8)),OFFSET($A$1,ROW()-1,8),0)))))))</f>
        <v/>
      </c>
      <c r="AG60" s="62">
        <f>IF($V60&lt;&gt;"Sub","",N($X60)*IF(AND(ISNUMBER($G60),$G60&lt;=IF($S60=MesCiclo,InicioCiclo,$S60+MOD(2-WEEKDAY($S60),7))+27),1,MIN(1,MAX(0,IF(ISNUMBER(OFFSET($A$1,ROW()-1,11)),OFFSET($A$1,ROW()-1,11),IF(ISNUMBER(OFFSET($A$1,ROW()-1,10)),OFFSET($A$1,ROW()-1,10),IF(ISNUMBER(OFFSET($A$1,ROW()-1,9)),OFFSET($A$1,ROW()-1,9),IF(ISNUMBER(OFFSET($A$1,ROW()-1,8)),OFFSET($A$1,ROW()-1,8),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",IFERROR(MATCH("Riesgo Financiero|"&amp;MID($C60,12,500),rDname_ADM,0),0),"")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IF(N($W61)=0,"",IF(AND($S61=MesCiclo,1&gt;SemanaActual),"",MIN(1,SUMIFS(OFFSET($A$1,ROW(),29,1000-ROW(),1),OFFSET($A$1,ROW(),20,1000-ROW(),1),ROW(),OFFSET($A$1,ROW(),21,1000-ROW(),1),"Sub"))))</f>
        <v/>
      </c>
      <c r="J61" s="60">
        <f>IF(N($W61)=0,"",IF(AND($S61=MesCiclo,2&gt;SemanaActual),"",MIN(1,SUMIFS(OFFSET($A$1,ROW(),30,1000-ROW(),1),OFFSET($A$1,ROW(),20,1000-ROW(),1),ROW(),OFFSET($A$1,ROW(),21,1000-ROW(),1),"Sub"))))</f>
        <v/>
      </c>
      <c r="K61" s="60">
        <f>IF(N($W61)=0,"",IF(AND($S61=MesCiclo,3&gt;SemanaActual),"",MIN(1,SUMIFS(OFFSET($A$1,ROW(),31,1000-ROW(),1),OFFSET($A$1,ROW(),20,1000-ROW(),1),ROW(),OFFSET($A$1,ROW(),21,1000-ROW(),1),"Sub"))))</f>
        <v/>
      </c>
      <c r="L61" s="60">
        <f>IF(N($W61)=0,"",IF(AND($S61=MesCiclo,4&gt;SemanaActual),"",MIN(1,SUMIFS(OFFSET($A$1,ROW(),32,1000-ROW(),1),OFFSET($A$1,ROW(),20,1000-ROW(),1),ROW(),OFFSET($A$1,ROW(),21,1000-ROW(),1),"Sub"))))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IF($V61&lt;&gt;"Sub","",N($X61)*IF(AND(ISNUMBER($G61),$G61&lt;=IF($S61=MesCiclo,InicioCiclo,$S61+MOD(2-WEEKDAY($S61),7))+6),1,MIN(1,MAX(0,IF(ISNUMBER(OFFSET($A$1,ROW()-1,8)),OFFSET($A$1,ROW()-1,8),0)))))</f>
        <v/>
      </c>
      <c r="AE61" s="62">
        <f>IF($V61&lt;&gt;"Sub","",N($X61)*IF(AND(ISNUMBER($G61),$G61&lt;=IF($S61=MesCiclo,InicioCiclo,$S61+MOD(2-WEEKDAY($S61),7))+13),1,MIN(1,MAX(0,IF(ISNUMBER(OFFSET($A$1,ROW()-1,9)),OFFSET($A$1,ROW()-1,9),IF(ISNUMBER(OFFSET($A$1,ROW()-1,8)),OFFSET($A$1,ROW()-1,8),0))))))</f>
        <v/>
      </c>
      <c r="AF61" s="62">
        <f>IF($V61&lt;&gt;"Sub","",N($X61)*IF(AND(ISNUMBER($G61),$G61&lt;=IF($S61=MesCiclo,InicioCiclo,$S61+MOD(2-WEEKDAY($S61),7))+20),1,MIN(1,MAX(0,IF(ISNUMBER(OFFSET($A$1,ROW()-1,10)),OFFSET($A$1,ROW()-1,10),IF(ISNUMBER(OFFSET($A$1,ROW()-1,9)),OFFSET($A$1,ROW()-1,9),IF(ISNUMBER(OFFSET($A$1,ROW()-1,8)),OFFSET($A$1,ROW()-1,8),0)))))))</f>
        <v/>
      </c>
      <c r="AG61" s="62">
        <f>IF($V61&lt;&gt;"Sub","",N($X61)*IF(AND(ISNUMBER($G61),$G61&lt;=IF($S61=MesCiclo,InicioCiclo,$S61+MOD(2-WEEKDAY($S61),7))+27),1,MIN(1,MAX(0,IF(ISNUMBER(OFFSET($A$1,ROW()-1,11)),OFFSET($A$1,ROW()-1,11),IF(ISNUMBER(OFFSET($A$1,ROW()-1,10)),OFFSET($A$1,ROW()-1,10),IF(ISNUMBER(OFFSET($A$1,ROW()-1,9)),OFFSET($A$1,ROW()-1,9),IF(ISNUMBER(OFFSET($A$1,ROW()-1,8)),OFFSET($A$1,ROW()-1,8),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",IFERROR(MATCH("Riesgo Financiero|"&amp;MID($C61,12,500),rDname_ADM,0),0),"")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IF(N($W62)=0,"",IF(AND($S62=MesCiclo,1&gt;SemanaActual),"",MIN(1,SUMIFS(OFFSET($A$1,ROW(),29,1000-ROW(),1),OFFSET($A$1,ROW(),20,1000-ROW(),1),ROW(),OFFSET($A$1,ROW(),21,1000-ROW(),1),"Sub"))))</f>
        <v/>
      </c>
      <c r="J62" s="60">
        <f>IF(N($W62)=0,"",IF(AND($S62=MesCiclo,2&gt;SemanaActual),"",MIN(1,SUMIFS(OFFSET($A$1,ROW(),30,1000-ROW(),1),OFFSET($A$1,ROW(),20,1000-ROW(),1),ROW(),OFFSET($A$1,ROW(),21,1000-ROW(),1),"Sub"))))</f>
        <v/>
      </c>
      <c r="K62" s="60">
        <f>IF(N($W62)=0,"",IF(AND($S62=MesCiclo,3&gt;SemanaActual),"",MIN(1,SUMIFS(OFFSET($A$1,ROW(),31,1000-ROW(),1),OFFSET($A$1,ROW(),20,1000-ROW(),1),ROW(),OFFSET($A$1,ROW(),21,1000-ROW(),1),"Sub"))))</f>
        <v/>
      </c>
      <c r="L62" s="60">
        <f>IF(N($W62)=0,"",IF(AND($S62=MesCiclo,4&gt;SemanaActual),"",MIN(1,SUMIFS(OFFSET($A$1,ROW(),32,1000-ROW(),1),OFFSET($A$1,ROW(),20,1000-ROW(),1),ROW(),OFFSET($A$1,ROW(),21,1000-ROW(),1),"Sub"))))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IF($V62&lt;&gt;"Sub","",N($X62)*IF(AND(ISNUMBER($G62),$G62&lt;=IF($S62=MesCiclo,InicioCiclo,$S62+MOD(2-WEEKDAY($S62),7))+6),1,MIN(1,MAX(0,IF(ISNUMBER(OFFSET($A$1,ROW()-1,8)),OFFSET($A$1,ROW()-1,8),0)))))</f>
        <v/>
      </c>
      <c r="AE62" s="62">
        <f>IF($V62&lt;&gt;"Sub","",N($X62)*IF(AND(ISNUMBER($G62),$G62&lt;=IF($S62=MesCiclo,InicioCiclo,$S62+MOD(2-WEEKDAY($S62),7))+13),1,MIN(1,MAX(0,IF(ISNUMBER(OFFSET($A$1,ROW()-1,9)),OFFSET($A$1,ROW()-1,9),IF(ISNUMBER(OFFSET($A$1,ROW()-1,8)),OFFSET($A$1,ROW()-1,8),0))))))</f>
        <v/>
      </c>
      <c r="AF62" s="62">
        <f>IF($V62&lt;&gt;"Sub","",N($X62)*IF(AND(ISNUMBER($G62),$G62&lt;=IF($S62=MesCiclo,InicioCiclo,$S62+MOD(2-WEEKDAY($S62),7))+20),1,MIN(1,MAX(0,IF(ISNUMBER(OFFSET($A$1,ROW()-1,10)),OFFSET($A$1,ROW()-1,10),IF(ISNUMBER(OFFSET($A$1,ROW()-1,9)),OFFSET($A$1,ROW()-1,9),IF(ISNUMBER(OFFSET($A$1,ROW()-1,8)),OFFSET($A$1,ROW()-1,8),0)))))))</f>
        <v/>
      </c>
      <c r="AG62" s="62">
        <f>IF($V62&lt;&gt;"Sub","",N($X62)*IF(AND(ISNUMBER($G62),$G62&lt;=IF($S62=MesCiclo,InicioCiclo,$S62+MOD(2-WEEKDAY($S62),7))+27),1,MIN(1,MAX(0,IF(ISNUMBER(OFFSET($A$1,ROW()-1,11)),OFFSET($A$1,ROW()-1,11),IF(ISNUMBER(OFFSET($A$1,ROW()-1,10)),OFFSET($A$1,ROW()-1,10),IF(ISNUMBER(OFFSET($A$1,ROW()-1,9)),OFFSET($A$1,ROW()-1,9),IF(ISNUMBER(OFFSET($A$1,ROW()-1,8)),OFFSET($A$1,ROW()-1,8),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",IFERROR(MATCH("Riesgo Financiero|"&amp;MID($C62,12,500),rDname_ADM,0),0),"")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IF(N($W63)=0,"",IF(AND($S63=MesCiclo,1&gt;SemanaActual),"",MIN(1,SUMIFS(OFFSET($A$1,ROW(),29,1000-ROW(),1),OFFSET($A$1,ROW(),20,1000-ROW(),1),ROW(),OFFSET($A$1,ROW(),21,1000-ROW(),1),"Sub"))))</f>
        <v/>
      </c>
      <c r="J63" s="60">
        <f>IF(N($W63)=0,"",IF(AND($S63=MesCiclo,2&gt;SemanaActual),"",MIN(1,SUMIFS(OFFSET($A$1,ROW(),30,1000-ROW(),1),OFFSET($A$1,ROW(),20,1000-ROW(),1),ROW(),OFFSET($A$1,ROW(),21,1000-ROW(),1),"Sub"))))</f>
        <v/>
      </c>
      <c r="K63" s="60">
        <f>IF(N($W63)=0,"",IF(AND($S63=MesCiclo,3&gt;SemanaActual),"",MIN(1,SUMIFS(OFFSET($A$1,ROW(),31,1000-ROW(),1),OFFSET($A$1,ROW(),20,1000-ROW(),1),ROW(),OFFSET($A$1,ROW(),21,1000-ROW(),1),"Sub"))))</f>
        <v/>
      </c>
      <c r="L63" s="60">
        <f>IF(N($W63)=0,"",IF(AND($S63=MesCiclo,4&gt;SemanaActual),"",MIN(1,SUMIFS(OFFSET($A$1,ROW(),32,1000-ROW(),1),OFFSET($A$1,ROW(),20,1000-ROW(),1),ROW(),OFFSET($A$1,ROW(),21,1000-ROW(),1),"Sub"))))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IF($V63&lt;&gt;"Sub","",N($X63)*IF(AND(ISNUMBER($G63),$G63&lt;=IF($S63=MesCiclo,InicioCiclo,$S63+MOD(2-WEEKDAY($S63),7))+6),1,MIN(1,MAX(0,IF(ISNUMBER(OFFSET($A$1,ROW()-1,8)),OFFSET($A$1,ROW()-1,8),0)))))</f>
        <v/>
      </c>
      <c r="AE63" s="62">
        <f>IF($V63&lt;&gt;"Sub","",N($X63)*IF(AND(ISNUMBER($G63),$G63&lt;=IF($S63=MesCiclo,InicioCiclo,$S63+MOD(2-WEEKDAY($S63),7))+13),1,MIN(1,MAX(0,IF(ISNUMBER(OFFSET($A$1,ROW()-1,9)),OFFSET($A$1,ROW()-1,9),IF(ISNUMBER(OFFSET($A$1,ROW()-1,8)),OFFSET($A$1,ROW()-1,8),0))))))</f>
        <v/>
      </c>
      <c r="AF63" s="62">
        <f>IF($V63&lt;&gt;"Sub","",N($X63)*IF(AND(ISNUMBER($G63),$G63&lt;=IF($S63=MesCiclo,InicioCiclo,$S63+MOD(2-WEEKDAY($S63),7))+20),1,MIN(1,MAX(0,IF(ISNUMBER(OFFSET($A$1,ROW()-1,10)),OFFSET($A$1,ROW()-1,10),IF(ISNUMBER(OFFSET($A$1,ROW()-1,9)),OFFSET($A$1,ROW()-1,9),IF(ISNUMBER(OFFSET($A$1,ROW()-1,8)),OFFSET($A$1,ROW()-1,8),0)))))))</f>
        <v/>
      </c>
      <c r="AG63" s="62">
        <f>IF($V63&lt;&gt;"Sub","",N($X63)*IF(AND(ISNUMBER($G63),$G63&lt;=IF($S63=MesCiclo,InicioCiclo,$S63+MOD(2-WEEKDAY($S63),7))+27),1,MIN(1,MAX(0,IF(ISNUMBER(OFFSET($A$1,ROW()-1,11)),OFFSET($A$1,ROW()-1,11),IF(ISNUMBER(OFFSET($A$1,ROW()-1,10)),OFFSET($A$1,ROW()-1,10),IF(ISNUMBER(OFFSET($A$1,ROW()-1,9)),OFFSET($A$1,ROW()-1,9),IF(ISNUMBER(OFFSET($A$1,ROW()-1,8)),OFFSET($A$1,ROW()-1,8),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",IFERROR(MATCH("Riesgo Financiero|"&amp;MID($C63,12,500),rDname_ADM,0),0),"")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IF(N($W64)=0,"",IF(AND($S64=MesCiclo,1&gt;SemanaActual),"",MIN(1,SUMIFS(OFFSET($A$1,ROW(),29,1000-ROW(),1),OFFSET($A$1,ROW(),20,1000-ROW(),1),ROW(),OFFSET($A$1,ROW(),21,1000-ROW(),1),"Sub"))))</f>
        <v/>
      </c>
      <c r="J64" s="60">
        <f>IF(N($W64)=0,"",IF(AND($S64=MesCiclo,2&gt;SemanaActual),"",MIN(1,SUMIFS(OFFSET($A$1,ROW(),30,1000-ROW(),1),OFFSET($A$1,ROW(),20,1000-ROW(),1),ROW(),OFFSET($A$1,ROW(),21,1000-ROW(),1),"Sub"))))</f>
        <v/>
      </c>
      <c r="K64" s="60">
        <f>IF(N($W64)=0,"",IF(AND($S64=MesCiclo,3&gt;SemanaActual),"",MIN(1,SUMIFS(OFFSET($A$1,ROW(),31,1000-ROW(),1),OFFSET($A$1,ROW(),20,1000-ROW(),1),ROW(),OFFSET($A$1,ROW(),21,1000-ROW(),1),"Sub"))))</f>
        <v/>
      </c>
      <c r="L64" s="60">
        <f>IF(N($W64)=0,"",IF(AND($S64=MesCiclo,4&gt;SemanaActual),"",MIN(1,SUMIFS(OFFSET($A$1,ROW(),32,1000-ROW(),1),OFFSET($A$1,ROW(),20,1000-ROW(),1),ROW(),OFFSET($A$1,ROW(),21,1000-ROW(),1),"Sub"))))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IF($V64&lt;&gt;"Sub","",N($X64)*IF(AND(ISNUMBER($G64),$G64&lt;=IF($S64=MesCiclo,InicioCiclo,$S64+MOD(2-WEEKDAY($S64),7))+6),1,MIN(1,MAX(0,IF(ISNUMBER(OFFSET($A$1,ROW()-1,8)),OFFSET($A$1,ROW()-1,8),0)))))</f>
        <v/>
      </c>
      <c r="AE64" s="62">
        <f>IF($V64&lt;&gt;"Sub","",N($X64)*IF(AND(ISNUMBER($G64),$G64&lt;=IF($S64=MesCiclo,InicioCiclo,$S64+MOD(2-WEEKDAY($S64),7))+13),1,MIN(1,MAX(0,IF(ISNUMBER(OFFSET($A$1,ROW()-1,9)),OFFSET($A$1,ROW()-1,9),IF(ISNUMBER(OFFSET($A$1,ROW()-1,8)),OFFSET($A$1,ROW()-1,8),0))))))</f>
        <v/>
      </c>
      <c r="AF64" s="62">
        <f>IF($V64&lt;&gt;"Sub","",N($X64)*IF(AND(ISNUMBER($G64),$G64&lt;=IF($S64=MesCiclo,InicioCiclo,$S64+MOD(2-WEEKDAY($S64),7))+20),1,MIN(1,MAX(0,IF(ISNUMBER(OFFSET($A$1,ROW()-1,10)),OFFSET($A$1,ROW()-1,10),IF(ISNUMBER(OFFSET($A$1,ROW()-1,9)),OFFSET($A$1,ROW()-1,9),IF(ISNUMBER(OFFSET($A$1,ROW()-1,8)),OFFSET($A$1,ROW()-1,8),0)))))))</f>
        <v/>
      </c>
      <c r="AG64" s="62">
        <f>IF($V64&lt;&gt;"Sub","",N($X64)*IF(AND(ISNUMBER($G64),$G64&lt;=IF($S64=MesCiclo,InicioCiclo,$S64+MOD(2-WEEKDAY($S64),7))+27),1,MIN(1,MAX(0,IF(ISNUMBER(OFFSET($A$1,ROW()-1,11)),OFFSET($A$1,ROW()-1,11),IF(ISNUMBER(OFFSET($A$1,ROW()-1,10)),OFFSET($A$1,ROW()-1,10),IF(ISNUMBER(OFFSET($A$1,ROW()-1,9)),OFFSET($A$1,ROW()-1,9),IF(ISNUMBER(OFFSET($A$1,ROW()-1,8)),OFFSET($A$1,ROW()-1,8),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",IFERROR(MATCH("Riesgo Financiero|"&amp;MID($C64,12,500),rDname_ADM,0),0),"")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IF(N($W65)=0,"",IF(AND($S65=MesCiclo,1&gt;SemanaActual),"",MIN(1,SUMIFS(OFFSET($A$1,ROW(),29,1000-ROW(),1),OFFSET($A$1,ROW(),20,1000-ROW(),1),ROW(),OFFSET($A$1,ROW(),21,1000-ROW(),1),"Sub"))))</f>
        <v/>
      </c>
      <c r="J65" s="60">
        <f>IF(N($W65)=0,"",IF(AND($S65=MesCiclo,2&gt;SemanaActual),"",MIN(1,SUMIFS(OFFSET($A$1,ROW(),30,1000-ROW(),1),OFFSET($A$1,ROW(),20,1000-ROW(),1),ROW(),OFFSET($A$1,ROW(),21,1000-ROW(),1),"Sub"))))</f>
        <v/>
      </c>
      <c r="K65" s="60">
        <f>IF(N($W65)=0,"",IF(AND($S65=MesCiclo,3&gt;SemanaActual),"",MIN(1,SUMIFS(OFFSET($A$1,ROW(),31,1000-ROW(),1),OFFSET($A$1,ROW(),20,1000-ROW(),1),ROW(),OFFSET($A$1,ROW(),21,1000-ROW(),1),"Sub"))))</f>
        <v/>
      </c>
      <c r="L65" s="60">
        <f>IF(N($W65)=0,"",IF(AND($S65=MesCiclo,4&gt;SemanaActual),"",MIN(1,SUMIFS(OFFSET($A$1,ROW(),32,1000-ROW(),1),OFFSET($A$1,ROW(),20,1000-ROW(),1),ROW(),OFFSET($A$1,ROW(),21,1000-ROW(),1),"Sub"))))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IF($V65&lt;&gt;"Sub","",N($X65)*IF(AND(ISNUMBER($G65),$G65&lt;=IF($S65=MesCiclo,InicioCiclo,$S65+MOD(2-WEEKDAY($S65),7))+6),1,MIN(1,MAX(0,IF(ISNUMBER(OFFSET($A$1,ROW()-1,8)),OFFSET($A$1,ROW()-1,8),0)))))</f>
        <v/>
      </c>
      <c r="AE65" s="62">
        <f>IF($V65&lt;&gt;"Sub","",N($X65)*IF(AND(ISNUMBER($G65),$G65&lt;=IF($S65=MesCiclo,InicioCiclo,$S65+MOD(2-WEEKDAY($S65),7))+13),1,MIN(1,MAX(0,IF(ISNUMBER(OFFSET($A$1,ROW()-1,9)),OFFSET($A$1,ROW()-1,9),IF(ISNUMBER(OFFSET($A$1,ROW()-1,8)),OFFSET($A$1,ROW()-1,8),0))))))</f>
        <v/>
      </c>
      <c r="AF65" s="62">
        <f>IF($V65&lt;&gt;"Sub","",N($X65)*IF(AND(ISNUMBER($G65),$G65&lt;=IF($S65=MesCiclo,InicioCiclo,$S65+MOD(2-WEEKDAY($S65),7))+20),1,MIN(1,MAX(0,IF(ISNUMBER(OFFSET($A$1,ROW()-1,10)),OFFSET($A$1,ROW()-1,10),IF(ISNUMBER(OFFSET($A$1,ROW()-1,9)),OFFSET($A$1,ROW()-1,9),IF(ISNUMBER(OFFSET($A$1,ROW()-1,8)),OFFSET($A$1,ROW()-1,8),0)))))))</f>
        <v/>
      </c>
      <c r="AG65" s="62">
        <f>IF($V65&lt;&gt;"Sub","",N($X65)*IF(AND(ISNUMBER($G65),$G65&lt;=IF($S65=MesCiclo,InicioCiclo,$S65+MOD(2-WEEKDAY($S65),7))+27),1,MIN(1,MAX(0,IF(ISNUMBER(OFFSET($A$1,ROW()-1,11)),OFFSET($A$1,ROW()-1,11),IF(ISNUMBER(OFFSET($A$1,ROW()-1,10)),OFFSET($A$1,ROW()-1,10),IF(ISNUMBER(OFFSET($A$1,ROW()-1,9)),OFFSET($A$1,ROW()-1,9),IF(ISNUMBER(OFFSET($A$1,ROW()-1,8)),OFFSET($A$1,ROW()-1,8),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",IFERROR(MATCH("Riesgo Financiero|"&amp;MID($C65,12,500),rDname_ADM,0),0),"")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IF(N($W66)=0,"",IF(AND($S66=MesCiclo,1&gt;SemanaActual),"",MIN(1,SUMIFS(OFFSET($A$1,ROW(),29,1000-ROW(),1),OFFSET($A$1,ROW(),20,1000-ROW(),1),ROW(),OFFSET($A$1,ROW(),21,1000-ROW(),1),"Sub"))))</f>
        <v/>
      </c>
      <c r="J66" s="60">
        <f>IF(N($W66)=0,"",IF(AND($S66=MesCiclo,2&gt;SemanaActual),"",MIN(1,SUMIFS(OFFSET($A$1,ROW(),30,1000-ROW(),1),OFFSET($A$1,ROW(),20,1000-ROW(),1),ROW(),OFFSET($A$1,ROW(),21,1000-ROW(),1),"Sub"))))</f>
        <v/>
      </c>
      <c r="K66" s="60">
        <f>IF(N($W66)=0,"",IF(AND($S66=MesCiclo,3&gt;SemanaActual),"",MIN(1,SUMIFS(OFFSET($A$1,ROW(),31,1000-ROW(),1),OFFSET($A$1,ROW(),20,1000-ROW(),1),ROW(),OFFSET($A$1,ROW(),21,1000-ROW(),1),"Sub"))))</f>
        <v/>
      </c>
      <c r="L66" s="60">
        <f>IF(N($W66)=0,"",IF(AND($S66=MesCiclo,4&gt;SemanaActual),"",MIN(1,SUMIFS(OFFSET($A$1,ROW(),32,1000-ROW(),1),OFFSET($A$1,ROW(),20,1000-ROW(),1),ROW(),OFFSET($A$1,ROW(),21,1000-ROW(),1),"Sub"))))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IF($V66&lt;&gt;"Sub","",N($X66)*IF(AND(ISNUMBER($G66),$G66&lt;=IF($S66=MesCiclo,InicioCiclo,$S66+MOD(2-WEEKDAY($S66),7))+6),1,MIN(1,MAX(0,IF(ISNUMBER(OFFSET($A$1,ROW()-1,8)),OFFSET($A$1,ROW()-1,8),0)))))</f>
        <v/>
      </c>
      <c r="AE66" s="62">
        <f>IF($V66&lt;&gt;"Sub","",N($X66)*IF(AND(ISNUMBER($G66),$G66&lt;=IF($S66=MesCiclo,InicioCiclo,$S66+MOD(2-WEEKDAY($S66),7))+13),1,MIN(1,MAX(0,IF(ISNUMBER(OFFSET($A$1,ROW()-1,9)),OFFSET($A$1,ROW()-1,9),IF(ISNUMBER(OFFSET($A$1,ROW()-1,8)),OFFSET($A$1,ROW()-1,8),0))))))</f>
        <v/>
      </c>
      <c r="AF66" s="62">
        <f>IF($V66&lt;&gt;"Sub","",N($X66)*IF(AND(ISNUMBER($G66),$G66&lt;=IF($S66=MesCiclo,InicioCiclo,$S66+MOD(2-WEEKDAY($S66),7))+20),1,MIN(1,MAX(0,IF(ISNUMBER(OFFSET($A$1,ROW()-1,10)),OFFSET($A$1,ROW()-1,10),IF(ISNUMBER(OFFSET($A$1,ROW()-1,9)),OFFSET($A$1,ROW()-1,9),IF(ISNUMBER(OFFSET($A$1,ROW()-1,8)),OFFSET($A$1,ROW()-1,8),0)))))))</f>
        <v/>
      </c>
      <c r="AG66" s="62">
        <f>IF($V66&lt;&gt;"Sub","",N($X66)*IF(AND(ISNUMBER($G66),$G66&lt;=IF($S66=MesCiclo,InicioCiclo,$S66+MOD(2-WEEKDAY($S66),7))+27),1,MIN(1,MAX(0,IF(ISNUMBER(OFFSET($A$1,ROW()-1,11)),OFFSET($A$1,ROW()-1,11),IF(ISNUMBER(OFFSET($A$1,ROW()-1,10)),OFFSET($A$1,ROW()-1,10),IF(ISNUMBER(OFFSET($A$1,ROW()-1,9)),OFFSET($A$1,ROW()-1,9),IF(ISNUMBER(OFFSET($A$1,ROW()-1,8)),OFFSET($A$1,ROW()-1,8),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",IFERROR(MATCH("Riesgo Financiero|"&amp;MID($C66,12,500),rDname_ADM,0),0),"")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IF(N($W67)=0,"",IF(AND($S67=MesCiclo,1&gt;SemanaActual),"",MIN(1,SUMIFS(OFFSET($A$1,ROW(),29,1000-ROW(),1),OFFSET($A$1,ROW(),20,1000-ROW(),1),ROW(),OFFSET($A$1,ROW(),21,1000-ROW(),1),"Sub"))))</f>
        <v/>
      </c>
      <c r="J67" s="60">
        <f>IF(N($W67)=0,"",IF(AND($S67=MesCiclo,2&gt;SemanaActual),"",MIN(1,SUMIFS(OFFSET($A$1,ROW(),30,1000-ROW(),1),OFFSET($A$1,ROW(),20,1000-ROW(),1),ROW(),OFFSET($A$1,ROW(),21,1000-ROW(),1),"Sub"))))</f>
        <v/>
      </c>
      <c r="K67" s="60">
        <f>IF(N($W67)=0,"",IF(AND($S67=MesCiclo,3&gt;SemanaActual),"",MIN(1,SUMIFS(OFFSET($A$1,ROW(),31,1000-ROW(),1),OFFSET($A$1,ROW(),20,1000-ROW(),1),ROW(),OFFSET($A$1,ROW(),21,1000-ROW(),1),"Sub"))))</f>
        <v/>
      </c>
      <c r="L67" s="60">
        <f>IF(N($W67)=0,"",IF(AND($S67=MesCiclo,4&gt;SemanaActual),"",MIN(1,SUMIFS(OFFSET($A$1,ROW(),32,1000-ROW(),1),OFFSET($A$1,ROW(),20,1000-ROW(),1),ROW(),OFFSET($A$1,ROW(),21,1000-ROW(),1),"Sub"))))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IF($V67&lt;&gt;"Sub","",N($X67)*IF(AND(ISNUMBER($G67),$G67&lt;=IF($S67=MesCiclo,InicioCiclo,$S67+MOD(2-WEEKDAY($S67),7))+6),1,MIN(1,MAX(0,IF(ISNUMBER(OFFSET($A$1,ROW()-1,8)),OFFSET($A$1,ROW()-1,8),0)))))</f>
        <v/>
      </c>
      <c r="AE67" s="62">
        <f>IF($V67&lt;&gt;"Sub","",N($X67)*IF(AND(ISNUMBER($G67),$G67&lt;=IF($S67=MesCiclo,InicioCiclo,$S67+MOD(2-WEEKDAY($S67),7))+13),1,MIN(1,MAX(0,IF(ISNUMBER(OFFSET($A$1,ROW()-1,9)),OFFSET($A$1,ROW()-1,9),IF(ISNUMBER(OFFSET($A$1,ROW()-1,8)),OFFSET($A$1,ROW()-1,8),0))))))</f>
        <v/>
      </c>
      <c r="AF67" s="62">
        <f>IF($V67&lt;&gt;"Sub","",N($X67)*IF(AND(ISNUMBER($G67),$G67&lt;=IF($S67=MesCiclo,InicioCiclo,$S67+MOD(2-WEEKDAY($S67),7))+20),1,MIN(1,MAX(0,IF(ISNUMBER(OFFSET($A$1,ROW()-1,10)),OFFSET($A$1,ROW()-1,10),IF(ISNUMBER(OFFSET($A$1,ROW()-1,9)),OFFSET($A$1,ROW()-1,9),IF(ISNUMBER(OFFSET($A$1,ROW()-1,8)),OFFSET($A$1,ROW()-1,8),0)))))))</f>
        <v/>
      </c>
      <c r="AG67" s="62">
        <f>IF($V67&lt;&gt;"Sub","",N($X67)*IF(AND(ISNUMBER($G67),$G67&lt;=IF($S67=MesCiclo,InicioCiclo,$S67+MOD(2-WEEKDAY($S67),7))+27),1,MIN(1,MAX(0,IF(ISNUMBER(OFFSET($A$1,ROW()-1,11)),OFFSET($A$1,ROW()-1,11),IF(ISNUMBER(OFFSET($A$1,ROW()-1,10)),OFFSET($A$1,ROW()-1,10),IF(ISNUMBER(OFFSET($A$1,ROW()-1,9)),OFFSET($A$1,ROW()-1,9),IF(ISNUMBER(OFFSET($A$1,ROW()-1,8)),OFFSET($A$1,ROW()-1,8),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",IFERROR(MATCH("Riesgo Financiero|"&amp;MID($C67,12,500),rDname_ADM,0),0),"")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IF(N($W68)=0,"",IF(AND($S68=MesCiclo,1&gt;SemanaActual),"",MIN(1,SUMIFS(OFFSET($A$1,ROW(),29,1000-ROW(),1),OFFSET($A$1,ROW(),20,1000-ROW(),1),ROW(),OFFSET($A$1,ROW(),21,1000-ROW(),1),"Sub"))))</f>
        <v/>
      </c>
      <c r="J68" s="60">
        <f>IF(N($W68)=0,"",IF(AND($S68=MesCiclo,2&gt;SemanaActual),"",MIN(1,SUMIFS(OFFSET($A$1,ROW(),30,1000-ROW(),1),OFFSET($A$1,ROW(),20,1000-ROW(),1),ROW(),OFFSET($A$1,ROW(),21,1000-ROW(),1),"Sub"))))</f>
        <v/>
      </c>
      <c r="K68" s="60">
        <f>IF(N($W68)=0,"",IF(AND($S68=MesCiclo,3&gt;SemanaActual),"",MIN(1,SUMIFS(OFFSET($A$1,ROW(),31,1000-ROW(),1),OFFSET($A$1,ROW(),20,1000-ROW(),1),ROW(),OFFSET($A$1,ROW(),21,1000-ROW(),1),"Sub"))))</f>
        <v/>
      </c>
      <c r="L68" s="60">
        <f>IF(N($W68)=0,"",IF(AND($S68=MesCiclo,4&gt;SemanaActual),"",MIN(1,SUMIFS(OFFSET($A$1,ROW(),32,1000-ROW(),1),OFFSET($A$1,ROW(),20,1000-ROW(),1),ROW(),OFFSET($A$1,ROW(),21,1000-ROW(),1),"Sub"))))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IF($V68&lt;&gt;"Sub","",N($X68)*IF(AND(ISNUMBER($G68),$G68&lt;=IF($S68=MesCiclo,InicioCiclo,$S68+MOD(2-WEEKDAY($S68),7))+6),1,MIN(1,MAX(0,IF(ISNUMBER(OFFSET($A$1,ROW()-1,8)),OFFSET($A$1,ROW()-1,8),0)))))</f>
        <v/>
      </c>
      <c r="AE68" s="62">
        <f>IF($V68&lt;&gt;"Sub","",N($X68)*IF(AND(ISNUMBER($G68),$G68&lt;=IF($S68=MesCiclo,InicioCiclo,$S68+MOD(2-WEEKDAY($S68),7))+13),1,MIN(1,MAX(0,IF(ISNUMBER(OFFSET($A$1,ROW()-1,9)),OFFSET($A$1,ROW()-1,9),IF(ISNUMBER(OFFSET($A$1,ROW()-1,8)),OFFSET($A$1,ROW()-1,8),0))))))</f>
        <v/>
      </c>
      <c r="AF68" s="62">
        <f>IF($V68&lt;&gt;"Sub","",N($X68)*IF(AND(ISNUMBER($G68),$G68&lt;=IF($S68=MesCiclo,InicioCiclo,$S68+MOD(2-WEEKDAY($S68),7))+20),1,MIN(1,MAX(0,IF(ISNUMBER(OFFSET($A$1,ROW()-1,10)),OFFSET($A$1,ROW()-1,10),IF(ISNUMBER(OFFSET($A$1,ROW()-1,9)),OFFSET($A$1,ROW()-1,9),IF(ISNUMBER(OFFSET($A$1,ROW()-1,8)),OFFSET($A$1,ROW()-1,8),0)))))))</f>
        <v/>
      </c>
      <c r="AG68" s="62">
        <f>IF($V68&lt;&gt;"Sub","",N($X68)*IF(AND(ISNUMBER($G68),$G68&lt;=IF($S68=MesCiclo,InicioCiclo,$S68+MOD(2-WEEKDAY($S68),7))+27),1,MIN(1,MAX(0,IF(ISNUMBER(OFFSET($A$1,ROW()-1,11)),OFFSET($A$1,ROW()-1,11),IF(ISNUMBER(OFFSET($A$1,ROW()-1,10)),OFFSET($A$1,ROW()-1,10),IF(ISNUMBER(OFFSET($A$1,ROW()-1,9)),OFFSET($A$1,ROW()-1,9),IF(ISNUMBER(OFFSET($A$1,ROW()-1,8)),OFFSET($A$1,ROW()-1,8),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",IFERROR(MATCH("Riesgo Financiero|"&amp;MID($C68,12,500),rDname_ADM,0),0),"")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IF(N($W69)=0,"",IF(AND($S69=MesCiclo,1&gt;SemanaActual),"",MIN(1,SUMIFS(OFFSET($A$1,ROW(),29,1000-ROW(),1),OFFSET($A$1,ROW(),20,1000-ROW(),1),ROW(),OFFSET($A$1,ROW(),21,1000-ROW(),1),"Sub"))))</f>
        <v/>
      </c>
      <c r="J69" s="60">
        <f>IF(N($W69)=0,"",IF(AND($S69=MesCiclo,2&gt;SemanaActual),"",MIN(1,SUMIFS(OFFSET($A$1,ROW(),30,1000-ROW(),1),OFFSET($A$1,ROW(),20,1000-ROW(),1),ROW(),OFFSET($A$1,ROW(),21,1000-ROW(),1),"Sub"))))</f>
        <v/>
      </c>
      <c r="K69" s="60">
        <f>IF(N($W69)=0,"",IF(AND($S69=MesCiclo,3&gt;SemanaActual),"",MIN(1,SUMIFS(OFFSET($A$1,ROW(),31,1000-ROW(),1),OFFSET($A$1,ROW(),20,1000-ROW(),1),ROW(),OFFSET($A$1,ROW(),21,1000-ROW(),1),"Sub"))))</f>
        <v/>
      </c>
      <c r="L69" s="60">
        <f>IF(N($W69)=0,"",IF(AND($S69=MesCiclo,4&gt;SemanaActual),"",MIN(1,SUMIFS(OFFSET($A$1,ROW(),32,1000-ROW(),1),OFFSET($A$1,ROW(),20,1000-ROW(),1),ROW(),OFFSET($A$1,ROW(),21,1000-ROW(),1),"Sub"))))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IF($V69&lt;&gt;"Sub","",N($X69)*IF(AND(ISNUMBER($G69),$G69&lt;=IF($S69=MesCiclo,InicioCiclo,$S69+MOD(2-WEEKDAY($S69),7))+6),1,MIN(1,MAX(0,IF(ISNUMBER(OFFSET($A$1,ROW()-1,8)),OFFSET($A$1,ROW()-1,8),0)))))</f>
        <v/>
      </c>
      <c r="AE69" s="62">
        <f>IF($V69&lt;&gt;"Sub","",N($X69)*IF(AND(ISNUMBER($G69),$G69&lt;=IF($S69=MesCiclo,InicioCiclo,$S69+MOD(2-WEEKDAY($S69),7))+13),1,MIN(1,MAX(0,IF(ISNUMBER(OFFSET($A$1,ROW()-1,9)),OFFSET($A$1,ROW()-1,9),IF(ISNUMBER(OFFSET($A$1,ROW()-1,8)),OFFSET($A$1,ROW()-1,8),0))))))</f>
        <v/>
      </c>
      <c r="AF69" s="62">
        <f>IF($V69&lt;&gt;"Sub","",N($X69)*IF(AND(ISNUMBER($G69),$G69&lt;=IF($S69=MesCiclo,InicioCiclo,$S69+MOD(2-WEEKDAY($S69),7))+20),1,MIN(1,MAX(0,IF(ISNUMBER(OFFSET($A$1,ROW()-1,10)),OFFSET($A$1,ROW()-1,10),IF(ISNUMBER(OFFSET($A$1,ROW()-1,9)),OFFSET($A$1,ROW()-1,9),IF(ISNUMBER(OFFSET($A$1,ROW()-1,8)),OFFSET($A$1,ROW()-1,8),0)))))))</f>
        <v/>
      </c>
      <c r="AG69" s="62">
        <f>IF($V69&lt;&gt;"Sub","",N($X69)*IF(AND(ISNUMBER($G69),$G69&lt;=IF($S69=MesCiclo,InicioCiclo,$S69+MOD(2-WEEKDAY($S69),7))+27),1,MIN(1,MAX(0,IF(ISNUMBER(OFFSET($A$1,ROW()-1,11)),OFFSET($A$1,ROW()-1,11),IF(ISNUMBER(OFFSET($A$1,ROW()-1,10)),OFFSET($A$1,ROW()-1,10),IF(ISNUMBER(OFFSET($A$1,ROW()-1,9)),OFFSET($A$1,ROW()-1,9),IF(ISNUMBER(OFFSET($A$1,ROW()-1,8)),OFFSET($A$1,ROW()-1,8),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",IFERROR(MATCH("Riesgo Financiero|"&amp;MID($C69,12,500),rDname_ADM,0),0),"")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IF(N($W70)=0,"",IF(AND($S70=MesCiclo,1&gt;SemanaActual),"",MIN(1,SUMIFS(OFFSET($A$1,ROW(),29,1000-ROW(),1),OFFSET($A$1,ROW(),20,1000-ROW(),1),ROW(),OFFSET($A$1,ROW(),21,1000-ROW(),1),"Sub"))))</f>
        <v/>
      </c>
      <c r="J70" s="60">
        <f>IF(N($W70)=0,"",IF(AND($S70=MesCiclo,2&gt;SemanaActual),"",MIN(1,SUMIFS(OFFSET($A$1,ROW(),30,1000-ROW(),1),OFFSET($A$1,ROW(),20,1000-ROW(),1),ROW(),OFFSET($A$1,ROW(),21,1000-ROW(),1),"Sub"))))</f>
        <v/>
      </c>
      <c r="K70" s="60">
        <f>IF(N($W70)=0,"",IF(AND($S70=MesCiclo,3&gt;SemanaActual),"",MIN(1,SUMIFS(OFFSET($A$1,ROW(),31,1000-ROW(),1),OFFSET($A$1,ROW(),20,1000-ROW(),1),ROW(),OFFSET($A$1,ROW(),21,1000-ROW(),1),"Sub"))))</f>
        <v/>
      </c>
      <c r="L70" s="60">
        <f>IF(N($W70)=0,"",IF(AND($S70=MesCiclo,4&gt;SemanaActual),"",MIN(1,SUMIFS(OFFSET($A$1,ROW(),32,1000-ROW(),1),OFFSET($A$1,ROW(),20,1000-ROW(),1),ROW(),OFFSET($A$1,ROW(),21,1000-ROW(),1),"Sub"))))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IF($V70&lt;&gt;"Sub","",N($X70)*IF(AND(ISNUMBER($G70),$G70&lt;=IF($S70=MesCiclo,InicioCiclo,$S70+MOD(2-WEEKDAY($S70),7))+6),1,MIN(1,MAX(0,IF(ISNUMBER(OFFSET($A$1,ROW()-1,8)),OFFSET($A$1,ROW()-1,8),0)))))</f>
        <v/>
      </c>
      <c r="AE70" s="62">
        <f>IF($V70&lt;&gt;"Sub","",N($X70)*IF(AND(ISNUMBER($G70),$G70&lt;=IF($S70=MesCiclo,InicioCiclo,$S70+MOD(2-WEEKDAY($S70),7))+13),1,MIN(1,MAX(0,IF(ISNUMBER(OFFSET($A$1,ROW()-1,9)),OFFSET($A$1,ROW()-1,9),IF(ISNUMBER(OFFSET($A$1,ROW()-1,8)),OFFSET($A$1,ROW()-1,8),0))))))</f>
        <v/>
      </c>
      <c r="AF70" s="62">
        <f>IF($V70&lt;&gt;"Sub","",N($X70)*IF(AND(ISNUMBER($G70),$G70&lt;=IF($S70=MesCiclo,InicioCiclo,$S70+MOD(2-WEEKDAY($S70),7))+20),1,MIN(1,MAX(0,IF(ISNUMBER(OFFSET($A$1,ROW()-1,10)),OFFSET($A$1,ROW()-1,10),IF(ISNUMBER(OFFSET($A$1,ROW()-1,9)),OFFSET($A$1,ROW()-1,9),IF(ISNUMBER(OFFSET($A$1,ROW()-1,8)),OFFSET($A$1,ROW()-1,8),0)))))))</f>
        <v/>
      </c>
      <c r="AG70" s="62">
        <f>IF($V70&lt;&gt;"Sub","",N($X70)*IF(AND(ISNUMBER($G70),$G70&lt;=IF($S70=MesCiclo,InicioCiclo,$S70+MOD(2-WEEKDAY($S70),7))+27),1,MIN(1,MAX(0,IF(ISNUMBER(OFFSET($A$1,ROW()-1,11)),OFFSET($A$1,ROW()-1,11),IF(ISNUMBER(OFFSET($A$1,ROW()-1,10)),OFFSET($A$1,ROW()-1,10),IF(ISNUMBER(OFFSET($A$1,ROW()-1,9)),OFFSET($A$1,ROW()-1,9),IF(ISNUMBER(OFFSET($A$1,ROW()-1,8)),OFFSET($A$1,ROW()-1,8),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",IFERROR(MATCH("Riesgo Financiero|"&amp;MID($C70,12,500),rDname_ADM,0),0),"")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IF(N($W71)=0,"",IF(AND($S71=MesCiclo,1&gt;SemanaActual),"",MIN(1,SUMIFS(OFFSET($A$1,ROW(),29,1000-ROW(),1),OFFSET($A$1,ROW(),20,1000-ROW(),1),ROW(),OFFSET($A$1,ROW(),21,1000-ROW(),1),"Sub"))))</f>
        <v/>
      </c>
      <c r="J71" s="60">
        <f>IF(N($W71)=0,"",IF(AND($S71=MesCiclo,2&gt;SemanaActual),"",MIN(1,SUMIFS(OFFSET($A$1,ROW(),30,1000-ROW(),1),OFFSET($A$1,ROW(),20,1000-ROW(),1),ROW(),OFFSET($A$1,ROW(),21,1000-ROW(),1),"Sub"))))</f>
        <v/>
      </c>
      <c r="K71" s="60">
        <f>IF(N($W71)=0,"",IF(AND($S71=MesCiclo,3&gt;SemanaActual),"",MIN(1,SUMIFS(OFFSET($A$1,ROW(),31,1000-ROW(),1),OFFSET($A$1,ROW(),20,1000-ROW(),1),ROW(),OFFSET($A$1,ROW(),21,1000-ROW(),1),"Sub"))))</f>
        <v/>
      </c>
      <c r="L71" s="60">
        <f>IF(N($W71)=0,"",IF(AND($S71=MesCiclo,4&gt;SemanaActual),"",MIN(1,SUMIFS(OFFSET($A$1,ROW(),32,1000-ROW(),1),OFFSET($A$1,ROW(),20,1000-ROW(),1),ROW(),OFFSET($A$1,ROW(),21,1000-ROW(),1),"Sub"))))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IF($V71&lt;&gt;"Sub","",N($X71)*IF(AND(ISNUMBER($G71),$G71&lt;=IF($S71=MesCiclo,InicioCiclo,$S71+MOD(2-WEEKDAY($S71),7))+6),1,MIN(1,MAX(0,IF(ISNUMBER(OFFSET($A$1,ROW()-1,8)),OFFSET($A$1,ROW()-1,8),0)))))</f>
        <v/>
      </c>
      <c r="AE71" s="62">
        <f>IF($V71&lt;&gt;"Sub","",N($X71)*IF(AND(ISNUMBER($G71),$G71&lt;=IF($S71=MesCiclo,InicioCiclo,$S71+MOD(2-WEEKDAY($S71),7))+13),1,MIN(1,MAX(0,IF(ISNUMBER(OFFSET($A$1,ROW()-1,9)),OFFSET($A$1,ROW()-1,9),IF(ISNUMBER(OFFSET($A$1,ROW()-1,8)),OFFSET($A$1,ROW()-1,8),0))))))</f>
        <v/>
      </c>
      <c r="AF71" s="62">
        <f>IF($V71&lt;&gt;"Sub","",N($X71)*IF(AND(ISNUMBER($G71),$G71&lt;=IF($S71=MesCiclo,InicioCiclo,$S71+MOD(2-WEEKDAY($S71),7))+20),1,MIN(1,MAX(0,IF(ISNUMBER(OFFSET($A$1,ROW()-1,10)),OFFSET($A$1,ROW()-1,10),IF(ISNUMBER(OFFSET($A$1,ROW()-1,9)),OFFSET($A$1,ROW()-1,9),IF(ISNUMBER(OFFSET($A$1,ROW()-1,8)),OFFSET($A$1,ROW()-1,8),0)))))))</f>
        <v/>
      </c>
      <c r="AG71" s="62">
        <f>IF($V71&lt;&gt;"Sub","",N($X71)*IF(AND(ISNUMBER($G71),$G71&lt;=IF($S71=MesCiclo,InicioCiclo,$S71+MOD(2-WEEKDAY($S71),7))+27),1,MIN(1,MAX(0,IF(ISNUMBER(OFFSET($A$1,ROW()-1,11)),OFFSET($A$1,ROW()-1,11),IF(ISNUMBER(OFFSET($A$1,ROW()-1,10)),OFFSET($A$1,ROW()-1,10),IF(ISNUMBER(OFFSET($A$1,ROW()-1,9)),OFFSET($A$1,ROW()-1,9),IF(ISNUMBER(OFFSET($A$1,ROW()-1,8)),OFFSET($A$1,ROW()-1,8),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",IFERROR(MATCH("Riesgo Financiero|"&amp;MID($C71,12,500),rDname_ADM,0),0),"")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IF(N($W72)=0,"",IF(AND($S72=MesCiclo,1&gt;SemanaActual),"",MIN(1,SUMIFS(OFFSET($A$1,ROW(),29,1000-ROW(),1),OFFSET($A$1,ROW(),20,1000-ROW(),1),ROW(),OFFSET($A$1,ROW(),21,1000-ROW(),1),"Sub"))))</f>
        <v/>
      </c>
      <c r="J72" s="60">
        <f>IF(N($W72)=0,"",IF(AND($S72=MesCiclo,2&gt;SemanaActual),"",MIN(1,SUMIFS(OFFSET($A$1,ROW(),30,1000-ROW(),1),OFFSET($A$1,ROW(),20,1000-ROW(),1),ROW(),OFFSET($A$1,ROW(),21,1000-ROW(),1),"Sub"))))</f>
        <v/>
      </c>
      <c r="K72" s="60">
        <f>IF(N($W72)=0,"",IF(AND($S72=MesCiclo,3&gt;SemanaActual),"",MIN(1,SUMIFS(OFFSET($A$1,ROW(),31,1000-ROW(),1),OFFSET($A$1,ROW(),20,1000-ROW(),1),ROW(),OFFSET($A$1,ROW(),21,1000-ROW(),1),"Sub"))))</f>
        <v/>
      </c>
      <c r="L72" s="60">
        <f>IF(N($W72)=0,"",IF(AND($S72=MesCiclo,4&gt;SemanaActual),"",MIN(1,SUMIFS(OFFSET($A$1,ROW(),32,1000-ROW(),1),OFFSET($A$1,ROW(),20,1000-ROW(),1),ROW(),OFFSET($A$1,ROW(),21,1000-ROW(),1),"Sub"))))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IF($V72&lt;&gt;"Sub","",N($X72)*IF(AND(ISNUMBER($G72),$G72&lt;=IF($S72=MesCiclo,InicioCiclo,$S72+MOD(2-WEEKDAY($S72),7))+6),1,MIN(1,MAX(0,IF(ISNUMBER(OFFSET($A$1,ROW()-1,8)),OFFSET($A$1,ROW()-1,8),0)))))</f>
        <v/>
      </c>
      <c r="AE72" s="62">
        <f>IF($V72&lt;&gt;"Sub","",N($X72)*IF(AND(ISNUMBER($G72),$G72&lt;=IF($S72=MesCiclo,InicioCiclo,$S72+MOD(2-WEEKDAY($S72),7))+13),1,MIN(1,MAX(0,IF(ISNUMBER(OFFSET($A$1,ROW()-1,9)),OFFSET($A$1,ROW()-1,9),IF(ISNUMBER(OFFSET($A$1,ROW()-1,8)),OFFSET($A$1,ROW()-1,8),0))))))</f>
        <v/>
      </c>
      <c r="AF72" s="62">
        <f>IF($V72&lt;&gt;"Sub","",N($X72)*IF(AND(ISNUMBER($G72),$G72&lt;=IF($S72=MesCiclo,InicioCiclo,$S72+MOD(2-WEEKDAY($S72),7))+20),1,MIN(1,MAX(0,IF(ISNUMBER(OFFSET($A$1,ROW()-1,10)),OFFSET($A$1,ROW()-1,10),IF(ISNUMBER(OFFSET($A$1,ROW()-1,9)),OFFSET($A$1,ROW()-1,9),IF(ISNUMBER(OFFSET($A$1,ROW()-1,8)),OFFSET($A$1,ROW()-1,8),0)))))))</f>
        <v/>
      </c>
      <c r="AG72" s="62">
        <f>IF($V72&lt;&gt;"Sub","",N($X72)*IF(AND(ISNUMBER($G72),$G72&lt;=IF($S72=MesCiclo,InicioCiclo,$S72+MOD(2-WEEKDAY($S72),7))+27),1,MIN(1,MAX(0,IF(ISNUMBER(OFFSET($A$1,ROW()-1,11)),OFFSET($A$1,ROW()-1,11),IF(ISNUMBER(OFFSET($A$1,ROW()-1,10)),OFFSET($A$1,ROW()-1,10),IF(ISNUMBER(OFFSET($A$1,ROW()-1,9)),OFFSET($A$1,ROW()-1,9),IF(ISNUMBER(OFFSET($A$1,ROW()-1,8)),OFFSET($A$1,ROW()-1,8),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",IFERROR(MATCH("Riesgo Financiero|"&amp;MID($C72,12,500),rDname_ADM,0),0),"")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IF(N($W73)=0,"",IF(AND($S73=MesCiclo,1&gt;SemanaActual),"",MIN(1,SUMIFS(OFFSET($A$1,ROW(),29,1000-ROW(),1),OFFSET($A$1,ROW(),20,1000-ROW(),1),ROW(),OFFSET($A$1,ROW(),21,1000-ROW(),1),"Sub"))))</f>
        <v/>
      </c>
      <c r="J73" s="60">
        <f>IF(N($W73)=0,"",IF(AND($S73=MesCiclo,2&gt;SemanaActual),"",MIN(1,SUMIFS(OFFSET($A$1,ROW(),30,1000-ROW(),1),OFFSET($A$1,ROW(),20,1000-ROW(),1),ROW(),OFFSET($A$1,ROW(),21,1000-ROW(),1),"Sub"))))</f>
        <v/>
      </c>
      <c r="K73" s="60">
        <f>IF(N($W73)=0,"",IF(AND($S73=MesCiclo,3&gt;SemanaActual),"",MIN(1,SUMIFS(OFFSET($A$1,ROW(),31,1000-ROW(),1),OFFSET($A$1,ROW(),20,1000-ROW(),1),ROW(),OFFSET($A$1,ROW(),21,1000-ROW(),1),"Sub"))))</f>
        <v/>
      </c>
      <c r="L73" s="60">
        <f>IF(N($W73)=0,"",IF(AND($S73=MesCiclo,4&gt;SemanaActual),"",MIN(1,SUMIFS(OFFSET($A$1,ROW(),32,1000-ROW(),1),OFFSET($A$1,ROW(),20,1000-ROW(),1),ROW(),OFFSET($A$1,ROW(),21,1000-ROW(),1),"Sub"))))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IF($V73&lt;&gt;"Sub","",N($X73)*IF(AND(ISNUMBER($G73),$G73&lt;=IF($S73=MesCiclo,InicioCiclo,$S73+MOD(2-WEEKDAY($S73),7))+6),1,MIN(1,MAX(0,IF(ISNUMBER(OFFSET($A$1,ROW()-1,8)),OFFSET($A$1,ROW()-1,8),0)))))</f>
        <v/>
      </c>
      <c r="AE73" s="62">
        <f>IF($V73&lt;&gt;"Sub","",N($X73)*IF(AND(ISNUMBER($G73),$G73&lt;=IF($S73=MesCiclo,InicioCiclo,$S73+MOD(2-WEEKDAY($S73),7))+13),1,MIN(1,MAX(0,IF(ISNUMBER(OFFSET($A$1,ROW()-1,9)),OFFSET($A$1,ROW()-1,9),IF(ISNUMBER(OFFSET($A$1,ROW()-1,8)),OFFSET($A$1,ROW()-1,8),0))))))</f>
        <v/>
      </c>
      <c r="AF73" s="62">
        <f>IF($V73&lt;&gt;"Sub","",N($X73)*IF(AND(ISNUMBER($G73),$G73&lt;=IF($S73=MesCiclo,InicioCiclo,$S73+MOD(2-WEEKDAY($S73),7))+20),1,MIN(1,MAX(0,IF(ISNUMBER(OFFSET($A$1,ROW()-1,10)),OFFSET($A$1,ROW()-1,10),IF(ISNUMBER(OFFSET($A$1,ROW()-1,9)),OFFSET($A$1,ROW()-1,9),IF(ISNUMBER(OFFSET($A$1,ROW()-1,8)),OFFSET($A$1,ROW()-1,8),0)))))))</f>
        <v/>
      </c>
      <c r="AG73" s="62">
        <f>IF($V73&lt;&gt;"Sub","",N($X73)*IF(AND(ISNUMBER($G73),$G73&lt;=IF($S73=MesCiclo,InicioCiclo,$S73+MOD(2-WEEKDAY($S73),7))+27),1,MIN(1,MAX(0,IF(ISNUMBER(OFFSET($A$1,ROW()-1,11)),OFFSET($A$1,ROW()-1,11),IF(ISNUMBER(OFFSET($A$1,ROW()-1,10)),OFFSET($A$1,ROW()-1,10),IF(ISNUMBER(OFFSET($A$1,ROW()-1,9)),OFFSET($A$1,ROW()-1,9),IF(ISNUMBER(OFFSET($A$1,ROW()-1,8)),OFFSET($A$1,ROW()-1,8),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",IFERROR(MATCH("Riesgo Financiero|"&amp;MID($C73,12,500),rDname_ADM,0),0),"")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IF(N($W74)=0,"",IF(AND($S74=MesCiclo,1&gt;SemanaActual),"",MIN(1,SUMIFS(OFFSET($A$1,ROW(),29,1000-ROW(),1),OFFSET($A$1,ROW(),20,1000-ROW(),1),ROW(),OFFSET($A$1,ROW(),21,1000-ROW(),1),"Sub"))))</f>
        <v/>
      </c>
      <c r="J74" s="60">
        <f>IF(N($W74)=0,"",IF(AND($S74=MesCiclo,2&gt;SemanaActual),"",MIN(1,SUMIFS(OFFSET($A$1,ROW(),30,1000-ROW(),1),OFFSET($A$1,ROW(),20,1000-ROW(),1),ROW(),OFFSET($A$1,ROW(),21,1000-ROW(),1),"Sub"))))</f>
        <v/>
      </c>
      <c r="K74" s="60">
        <f>IF(N($W74)=0,"",IF(AND($S74=MesCiclo,3&gt;SemanaActual),"",MIN(1,SUMIFS(OFFSET($A$1,ROW(),31,1000-ROW(),1),OFFSET($A$1,ROW(),20,1000-ROW(),1),ROW(),OFFSET($A$1,ROW(),21,1000-ROW(),1),"Sub"))))</f>
        <v/>
      </c>
      <c r="L74" s="60">
        <f>IF(N($W74)=0,"",IF(AND($S74=MesCiclo,4&gt;SemanaActual),"",MIN(1,SUMIFS(OFFSET($A$1,ROW(),32,1000-ROW(),1),OFFSET($A$1,ROW(),20,1000-ROW(),1),ROW(),OFFSET($A$1,ROW(),21,1000-ROW(),1),"Sub"))))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IF($V74&lt;&gt;"Sub","",N($X74)*IF(AND(ISNUMBER($G74),$G74&lt;=IF($S74=MesCiclo,InicioCiclo,$S74+MOD(2-WEEKDAY($S74),7))+6),1,MIN(1,MAX(0,IF(ISNUMBER(OFFSET($A$1,ROW()-1,8)),OFFSET($A$1,ROW()-1,8),0)))))</f>
        <v/>
      </c>
      <c r="AE74" s="62">
        <f>IF($V74&lt;&gt;"Sub","",N($X74)*IF(AND(ISNUMBER($G74),$G74&lt;=IF($S74=MesCiclo,InicioCiclo,$S74+MOD(2-WEEKDAY($S74),7))+13),1,MIN(1,MAX(0,IF(ISNUMBER(OFFSET($A$1,ROW()-1,9)),OFFSET($A$1,ROW()-1,9),IF(ISNUMBER(OFFSET($A$1,ROW()-1,8)),OFFSET($A$1,ROW()-1,8),0))))))</f>
        <v/>
      </c>
      <c r="AF74" s="62">
        <f>IF($V74&lt;&gt;"Sub","",N($X74)*IF(AND(ISNUMBER($G74),$G74&lt;=IF($S74=MesCiclo,InicioCiclo,$S74+MOD(2-WEEKDAY($S74),7))+20),1,MIN(1,MAX(0,IF(ISNUMBER(OFFSET($A$1,ROW()-1,10)),OFFSET($A$1,ROW()-1,10),IF(ISNUMBER(OFFSET($A$1,ROW()-1,9)),OFFSET($A$1,ROW()-1,9),IF(ISNUMBER(OFFSET($A$1,ROW()-1,8)),OFFSET($A$1,ROW()-1,8),0)))))))</f>
        <v/>
      </c>
      <c r="AG74" s="62">
        <f>IF($V74&lt;&gt;"Sub","",N($X74)*IF(AND(ISNUMBER($G74),$G74&lt;=IF($S74=MesCiclo,InicioCiclo,$S74+MOD(2-WEEKDAY($S74),7))+27),1,MIN(1,MAX(0,IF(ISNUMBER(OFFSET($A$1,ROW()-1,11)),OFFSET($A$1,ROW()-1,11),IF(ISNUMBER(OFFSET($A$1,ROW()-1,10)),OFFSET($A$1,ROW()-1,10),IF(ISNUMBER(OFFSET($A$1,ROW()-1,9)),OFFSET($A$1,ROW()-1,9),IF(ISNUMBER(OFFSET($A$1,ROW()-1,8)),OFFSET($A$1,ROW()-1,8),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",IFERROR(MATCH("Riesgo Financiero|"&amp;MID($C74,12,500),rDname_ADM,0),0),"")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IF(N($W75)=0,"",IF(AND($S75=MesCiclo,1&gt;SemanaActual),"",MIN(1,SUMIFS(OFFSET($A$1,ROW(),29,1000-ROW(),1),OFFSET($A$1,ROW(),20,1000-ROW(),1),ROW(),OFFSET($A$1,ROW(),21,1000-ROW(),1),"Sub"))))</f>
        <v/>
      </c>
      <c r="J75" s="60">
        <f>IF(N($W75)=0,"",IF(AND($S75=MesCiclo,2&gt;SemanaActual),"",MIN(1,SUMIFS(OFFSET($A$1,ROW(),30,1000-ROW(),1),OFFSET($A$1,ROW(),20,1000-ROW(),1),ROW(),OFFSET($A$1,ROW(),21,1000-ROW(),1),"Sub"))))</f>
        <v/>
      </c>
      <c r="K75" s="60">
        <f>IF(N($W75)=0,"",IF(AND($S75=MesCiclo,3&gt;SemanaActual),"",MIN(1,SUMIFS(OFFSET($A$1,ROW(),31,1000-ROW(),1),OFFSET($A$1,ROW(),20,1000-ROW(),1),ROW(),OFFSET($A$1,ROW(),21,1000-ROW(),1),"Sub"))))</f>
        <v/>
      </c>
      <c r="L75" s="60">
        <f>IF(N($W75)=0,"",IF(AND($S75=MesCiclo,4&gt;SemanaActual),"",MIN(1,SUMIFS(OFFSET($A$1,ROW(),32,1000-ROW(),1),OFFSET($A$1,ROW(),20,1000-ROW(),1),ROW(),OFFSET($A$1,ROW(),21,1000-ROW(),1),"Sub"))))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IF($V75&lt;&gt;"Sub","",N($X75)*IF(AND(ISNUMBER($G75),$G75&lt;=IF($S75=MesCiclo,InicioCiclo,$S75+MOD(2-WEEKDAY($S75),7))+6),1,MIN(1,MAX(0,IF(ISNUMBER(OFFSET($A$1,ROW()-1,8)),OFFSET($A$1,ROW()-1,8),0)))))</f>
        <v/>
      </c>
      <c r="AE75" s="62">
        <f>IF($V75&lt;&gt;"Sub","",N($X75)*IF(AND(ISNUMBER($G75),$G75&lt;=IF($S75=MesCiclo,InicioCiclo,$S75+MOD(2-WEEKDAY($S75),7))+13),1,MIN(1,MAX(0,IF(ISNUMBER(OFFSET($A$1,ROW()-1,9)),OFFSET($A$1,ROW()-1,9),IF(ISNUMBER(OFFSET($A$1,ROW()-1,8)),OFFSET($A$1,ROW()-1,8),0))))))</f>
        <v/>
      </c>
      <c r="AF75" s="62">
        <f>IF($V75&lt;&gt;"Sub","",N($X75)*IF(AND(ISNUMBER($G75),$G75&lt;=IF($S75=MesCiclo,InicioCiclo,$S75+MOD(2-WEEKDAY($S75),7))+20),1,MIN(1,MAX(0,IF(ISNUMBER(OFFSET($A$1,ROW()-1,10)),OFFSET($A$1,ROW()-1,10),IF(ISNUMBER(OFFSET($A$1,ROW()-1,9)),OFFSET($A$1,ROW()-1,9),IF(ISNUMBER(OFFSET($A$1,ROW()-1,8)),OFFSET($A$1,ROW()-1,8),0)))))))</f>
        <v/>
      </c>
      <c r="AG75" s="62">
        <f>IF($V75&lt;&gt;"Sub","",N($X75)*IF(AND(ISNUMBER($G75),$G75&lt;=IF($S75=MesCiclo,InicioCiclo,$S75+MOD(2-WEEKDAY($S75),7))+27),1,MIN(1,MAX(0,IF(ISNUMBER(OFFSET($A$1,ROW()-1,11)),OFFSET($A$1,ROW()-1,11),IF(ISNUMBER(OFFSET($A$1,ROW()-1,10)),OFFSET($A$1,ROW()-1,10),IF(ISNUMBER(OFFSET($A$1,ROW()-1,9)),OFFSET($A$1,ROW()-1,9),IF(ISNUMBER(OFFSET($A$1,ROW()-1,8)),OFFSET($A$1,ROW()-1,8),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",IFERROR(MATCH("Riesgo Financiero|"&amp;MID($C75,12,500),rDname_ADM,0),0),"")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IF(N($W76)=0,"",IF(AND($S76=MesCiclo,1&gt;SemanaActual),"",MIN(1,SUMIFS(OFFSET($A$1,ROW(),29,1000-ROW(),1),OFFSET($A$1,ROW(),20,1000-ROW(),1),ROW(),OFFSET($A$1,ROW(),21,1000-ROW(),1),"Sub"))))</f>
        <v/>
      </c>
      <c r="J76" s="60">
        <f>IF(N($W76)=0,"",IF(AND($S76=MesCiclo,2&gt;SemanaActual),"",MIN(1,SUMIFS(OFFSET($A$1,ROW(),30,1000-ROW(),1),OFFSET($A$1,ROW(),20,1000-ROW(),1),ROW(),OFFSET($A$1,ROW(),21,1000-ROW(),1),"Sub"))))</f>
        <v/>
      </c>
      <c r="K76" s="60">
        <f>IF(N($W76)=0,"",IF(AND($S76=MesCiclo,3&gt;SemanaActual),"",MIN(1,SUMIFS(OFFSET($A$1,ROW(),31,1000-ROW(),1),OFFSET($A$1,ROW(),20,1000-ROW(),1),ROW(),OFFSET($A$1,ROW(),21,1000-ROW(),1),"Sub"))))</f>
        <v/>
      </c>
      <c r="L76" s="60">
        <f>IF(N($W76)=0,"",IF(AND($S76=MesCiclo,4&gt;SemanaActual),"",MIN(1,SUMIFS(OFFSET($A$1,ROW(),32,1000-ROW(),1),OFFSET($A$1,ROW(),20,1000-ROW(),1),ROW(),OFFSET($A$1,ROW(),21,1000-ROW(),1),"Sub"))))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IF($V76&lt;&gt;"Sub","",N($X76)*IF(AND(ISNUMBER($G76),$G76&lt;=IF($S76=MesCiclo,InicioCiclo,$S76+MOD(2-WEEKDAY($S76),7))+6),1,MIN(1,MAX(0,IF(ISNUMBER(OFFSET($A$1,ROW()-1,8)),OFFSET($A$1,ROW()-1,8),0)))))</f>
        <v/>
      </c>
      <c r="AE76" s="62">
        <f>IF($V76&lt;&gt;"Sub","",N($X76)*IF(AND(ISNUMBER($G76),$G76&lt;=IF($S76=MesCiclo,InicioCiclo,$S76+MOD(2-WEEKDAY($S76),7))+13),1,MIN(1,MAX(0,IF(ISNUMBER(OFFSET($A$1,ROW()-1,9)),OFFSET($A$1,ROW()-1,9),IF(ISNUMBER(OFFSET($A$1,ROW()-1,8)),OFFSET($A$1,ROW()-1,8),0))))))</f>
        <v/>
      </c>
      <c r="AF76" s="62">
        <f>IF($V76&lt;&gt;"Sub","",N($X76)*IF(AND(ISNUMBER($G76),$G76&lt;=IF($S76=MesCiclo,InicioCiclo,$S76+MOD(2-WEEKDAY($S76),7))+20),1,MIN(1,MAX(0,IF(ISNUMBER(OFFSET($A$1,ROW()-1,10)),OFFSET($A$1,ROW()-1,10),IF(ISNUMBER(OFFSET($A$1,ROW()-1,9)),OFFSET($A$1,ROW()-1,9),IF(ISNUMBER(OFFSET($A$1,ROW()-1,8)),OFFSET($A$1,ROW()-1,8),0)))))))</f>
        <v/>
      </c>
      <c r="AG76" s="62">
        <f>IF($V76&lt;&gt;"Sub","",N($X76)*IF(AND(ISNUMBER($G76),$G76&lt;=IF($S76=MesCiclo,InicioCiclo,$S76+MOD(2-WEEKDAY($S76),7))+27),1,MIN(1,MAX(0,IF(ISNUMBER(OFFSET($A$1,ROW()-1,11)),OFFSET($A$1,ROW()-1,11),IF(ISNUMBER(OFFSET($A$1,ROW()-1,10)),OFFSET($A$1,ROW()-1,10),IF(ISNUMBER(OFFSET($A$1,ROW()-1,9)),OFFSET($A$1,ROW()-1,9),IF(ISNUMBER(OFFSET($A$1,ROW()-1,8)),OFFSET($A$1,ROW()-1,8),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",IFERROR(MATCH("Riesgo Financiero|"&amp;MID($C76,12,500),rDname_ADM,0),0),"")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IF(N($W77)=0,"",IF(AND($S77=MesCiclo,1&gt;SemanaActual),"",MIN(1,SUMIFS(OFFSET($A$1,ROW(),29,1000-ROW(),1),OFFSET($A$1,ROW(),20,1000-ROW(),1),ROW(),OFFSET($A$1,ROW(),21,1000-ROW(),1),"Sub"))))</f>
        <v/>
      </c>
      <c r="J77" s="60">
        <f>IF(N($W77)=0,"",IF(AND($S77=MesCiclo,2&gt;SemanaActual),"",MIN(1,SUMIFS(OFFSET($A$1,ROW(),30,1000-ROW(),1),OFFSET($A$1,ROW(),20,1000-ROW(),1),ROW(),OFFSET($A$1,ROW(),21,1000-ROW(),1),"Sub"))))</f>
        <v/>
      </c>
      <c r="K77" s="60">
        <f>IF(N($W77)=0,"",IF(AND($S77=MesCiclo,3&gt;SemanaActual),"",MIN(1,SUMIFS(OFFSET($A$1,ROW(),31,1000-ROW(),1),OFFSET($A$1,ROW(),20,1000-ROW(),1),ROW(),OFFSET($A$1,ROW(),21,1000-ROW(),1),"Sub"))))</f>
        <v/>
      </c>
      <c r="L77" s="60">
        <f>IF(N($W77)=0,"",IF(AND($S77=MesCiclo,4&gt;SemanaActual),"",MIN(1,SUMIFS(OFFSET($A$1,ROW(),32,1000-ROW(),1),OFFSET($A$1,ROW(),20,1000-ROW(),1),ROW(),OFFSET($A$1,ROW(),21,1000-ROW(),1),"Sub"))))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IF($V77&lt;&gt;"Sub","",N($X77)*IF(AND(ISNUMBER($G77),$G77&lt;=IF($S77=MesCiclo,InicioCiclo,$S77+MOD(2-WEEKDAY($S77),7))+6),1,MIN(1,MAX(0,IF(ISNUMBER(OFFSET($A$1,ROW()-1,8)),OFFSET($A$1,ROW()-1,8),0)))))</f>
        <v/>
      </c>
      <c r="AE77" s="62">
        <f>IF($V77&lt;&gt;"Sub","",N($X77)*IF(AND(ISNUMBER($G77),$G77&lt;=IF($S77=MesCiclo,InicioCiclo,$S77+MOD(2-WEEKDAY($S77),7))+13),1,MIN(1,MAX(0,IF(ISNUMBER(OFFSET($A$1,ROW()-1,9)),OFFSET($A$1,ROW()-1,9),IF(ISNUMBER(OFFSET($A$1,ROW()-1,8)),OFFSET($A$1,ROW()-1,8),0))))))</f>
        <v/>
      </c>
      <c r="AF77" s="62">
        <f>IF($V77&lt;&gt;"Sub","",N($X77)*IF(AND(ISNUMBER($G77),$G77&lt;=IF($S77=MesCiclo,InicioCiclo,$S77+MOD(2-WEEKDAY($S77),7))+20),1,MIN(1,MAX(0,IF(ISNUMBER(OFFSET($A$1,ROW()-1,10)),OFFSET($A$1,ROW()-1,10),IF(ISNUMBER(OFFSET($A$1,ROW()-1,9)),OFFSET($A$1,ROW()-1,9),IF(ISNUMBER(OFFSET($A$1,ROW()-1,8)),OFFSET($A$1,ROW()-1,8),0)))))))</f>
        <v/>
      </c>
      <c r="AG77" s="62">
        <f>IF($V77&lt;&gt;"Sub","",N($X77)*IF(AND(ISNUMBER($G77),$G77&lt;=IF($S77=MesCiclo,InicioCiclo,$S77+MOD(2-WEEKDAY($S77),7))+27),1,MIN(1,MAX(0,IF(ISNUMBER(OFFSET($A$1,ROW()-1,11)),OFFSET($A$1,ROW()-1,11),IF(ISNUMBER(OFFSET($A$1,ROW()-1,10)),OFFSET($A$1,ROW()-1,10),IF(ISNUMBER(OFFSET($A$1,ROW()-1,9)),OFFSET($A$1,ROW()-1,9),IF(ISNUMBER(OFFSET($A$1,ROW()-1,8)),OFFSET($A$1,ROW()-1,8),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",IFERROR(MATCH("Riesgo Financiero|"&amp;MID($C77,12,500),rDname_ADM,0),0),"")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IF(N($W78)=0,"",IF(AND($S78=MesCiclo,1&gt;SemanaActual),"",MIN(1,SUMIFS(OFFSET($A$1,ROW(),29,1000-ROW(),1),OFFSET($A$1,ROW(),20,1000-ROW(),1),ROW(),OFFSET($A$1,ROW(),21,1000-ROW(),1),"Sub"))))</f>
        <v/>
      </c>
      <c r="J78" s="60">
        <f>IF(N($W78)=0,"",IF(AND($S78=MesCiclo,2&gt;SemanaActual),"",MIN(1,SUMIFS(OFFSET($A$1,ROW(),30,1000-ROW(),1),OFFSET($A$1,ROW(),20,1000-ROW(),1),ROW(),OFFSET($A$1,ROW(),21,1000-ROW(),1),"Sub"))))</f>
        <v/>
      </c>
      <c r="K78" s="60">
        <f>IF(N($W78)=0,"",IF(AND($S78=MesCiclo,3&gt;SemanaActual),"",MIN(1,SUMIFS(OFFSET($A$1,ROW(),31,1000-ROW(),1),OFFSET($A$1,ROW(),20,1000-ROW(),1),ROW(),OFFSET($A$1,ROW(),21,1000-ROW(),1),"Sub"))))</f>
        <v/>
      </c>
      <c r="L78" s="60">
        <f>IF(N($W78)=0,"",IF(AND($S78=MesCiclo,4&gt;SemanaActual),"",MIN(1,SUMIFS(OFFSET($A$1,ROW(),32,1000-ROW(),1),OFFSET($A$1,ROW(),20,1000-ROW(),1),ROW(),OFFSET($A$1,ROW(),21,1000-ROW(),1),"Sub"))))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IF($V78&lt;&gt;"Sub","",N($X78)*IF(AND(ISNUMBER($G78),$G78&lt;=IF($S78=MesCiclo,InicioCiclo,$S78+MOD(2-WEEKDAY($S78),7))+6),1,MIN(1,MAX(0,IF(ISNUMBER(OFFSET($A$1,ROW()-1,8)),OFFSET($A$1,ROW()-1,8),0)))))</f>
        <v/>
      </c>
      <c r="AE78" s="62">
        <f>IF($V78&lt;&gt;"Sub","",N($X78)*IF(AND(ISNUMBER($G78),$G78&lt;=IF($S78=MesCiclo,InicioCiclo,$S78+MOD(2-WEEKDAY($S78),7))+13),1,MIN(1,MAX(0,IF(ISNUMBER(OFFSET($A$1,ROW()-1,9)),OFFSET($A$1,ROW()-1,9),IF(ISNUMBER(OFFSET($A$1,ROW()-1,8)),OFFSET($A$1,ROW()-1,8),0))))))</f>
        <v/>
      </c>
      <c r="AF78" s="62">
        <f>IF($V78&lt;&gt;"Sub","",N($X78)*IF(AND(ISNUMBER($G78),$G78&lt;=IF($S78=MesCiclo,InicioCiclo,$S78+MOD(2-WEEKDAY($S78),7))+20),1,MIN(1,MAX(0,IF(ISNUMBER(OFFSET($A$1,ROW()-1,10)),OFFSET($A$1,ROW()-1,10),IF(ISNUMBER(OFFSET($A$1,ROW()-1,9)),OFFSET($A$1,ROW()-1,9),IF(ISNUMBER(OFFSET($A$1,ROW()-1,8)),OFFSET($A$1,ROW()-1,8),0)))))))</f>
        <v/>
      </c>
      <c r="AG78" s="62">
        <f>IF($V78&lt;&gt;"Sub","",N($X78)*IF(AND(ISNUMBER($G78),$G78&lt;=IF($S78=MesCiclo,InicioCiclo,$S78+MOD(2-WEEKDAY($S78),7))+27),1,MIN(1,MAX(0,IF(ISNUMBER(OFFSET($A$1,ROW()-1,11)),OFFSET($A$1,ROW()-1,11),IF(ISNUMBER(OFFSET($A$1,ROW()-1,10)),OFFSET($A$1,ROW()-1,10),IF(ISNUMBER(OFFSET($A$1,ROW()-1,9)),OFFSET($A$1,ROW()-1,9),IF(ISNUMBER(OFFSET($A$1,ROW()-1,8)),OFFSET($A$1,ROW()-1,8),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",IFERROR(MATCH("Riesgo Financiero|"&amp;MID($C78,12,500),rDname_ADM,0),0),"")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IF(N($W79)=0,"",IF(AND($S79=MesCiclo,1&gt;SemanaActual),"",MIN(1,SUMIFS(OFFSET($A$1,ROW(),29,1000-ROW(),1),OFFSET($A$1,ROW(),20,1000-ROW(),1),ROW(),OFFSET($A$1,ROW(),21,1000-ROW(),1),"Sub"))))</f>
        <v/>
      </c>
      <c r="J79" s="60">
        <f>IF(N($W79)=0,"",IF(AND($S79=MesCiclo,2&gt;SemanaActual),"",MIN(1,SUMIFS(OFFSET($A$1,ROW(),30,1000-ROW(),1),OFFSET($A$1,ROW(),20,1000-ROW(),1),ROW(),OFFSET($A$1,ROW(),21,1000-ROW(),1),"Sub"))))</f>
        <v/>
      </c>
      <c r="K79" s="60">
        <f>IF(N($W79)=0,"",IF(AND($S79=MesCiclo,3&gt;SemanaActual),"",MIN(1,SUMIFS(OFFSET($A$1,ROW(),31,1000-ROW(),1),OFFSET($A$1,ROW(),20,1000-ROW(),1),ROW(),OFFSET($A$1,ROW(),21,1000-ROW(),1),"Sub"))))</f>
        <v/>
      </c>
      <c r="L79" s="60">
        <f>IF(N($W79)=0,"",IF(AND($S79=MesCiclo,4&gt;SemanaActual),"",MIN(1,SUMIFS(OFFSET($A$1,ROW(),32,1000-ROW(),1),OFFSET($A$1,ROW(),20,1000-ROW(),1),ROW(),OFFSET($A$1,ROW(),21,1000-ROW(),1),"Sub"))))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IF($V79&lt;&gt;"Sub","",N($X79)*IF(AND(ISNUMBER($G79),$G79&lt;=IF($S79=MesCiclo,InicioCiclo,$S79+MOD(2-WEEKDAY($S79),7))+6),1,MIN(1,MAX(0,IF(ISNUMBER(OFFSET($A$1,ROW()-1,8)),OFFSET($A$1,ROW()-1,8),0)))))</f>
        <v/>
      </c>
      <c r="AE79" s="62">
        <f>IF($V79&lt;&gt;"Sub","",N($X79)*IF(AND(ISNUMBER($G79),$G79&lt;=IF($S79=MesCiclo,InicioCiclo,$S79+MOD(2-WEEKDAY($S79),7))+13),1,MIN(1,MAX(0,IF(ISNUMBER(OFFSET($A$1,ROW()-1,9)),OFFSET($A$1,ROW()-1,9),IF(ISNUMBER(OFFSET($A$1,ROW()-1,8)),OFFSET($A$1,ROW()-1,8),0))))))</f>
        <v/>
      </c>
      <c r="AF79" s="62">
        <f>IF($V79&lt;&gt;"Sub","",N($X79)*IF(AND(ISNUMBER($G79),$G79&lt;=IF($S79=MesCiclo,InicioCiclo,$S79+MOD(2-WEEKDAY($S79),7))+20),1,MIN(1,MAX(0,IF(ISNUMBER(OFFSET($A$1,ROW()-1,10)),OFFSET($A$1,ROW()-1,10),IF(ISNUMBER(OFFSET($A$1,ROW()-1,9)),OFFSET($A$1,ROW()-1,9),IF(ISNUMBER(OFFSET($A$1,ROW()-1,8)),OFFSET($A$1,ROW()-1,8),0)))))))</f>
        <v/>
      </c>
      <c r="AG79" s="62">
        <f>IF($V79&lt;&gt;"Sub","",N($X79)*IF(AND(ISNUMBER($G79),$G79&lt;=IF($S79=MesCiclo,InicioCiclo,$S79+MOD(2-WEEKDAY($S79),7))+27),1,MIN(1,MAX(0,IF(ISNUMBER(OFFSET($A$1,ROW()-1,11)),OFFSET($A$1,ROW()-1,11),IF(ISNUMBER(OFFSET($A$1,ROW()-1,10)),OFFSET($A$1,ROW()-1,10),IF(ISNUMBER(OFFSET($A$1,ROW()-1,9)),OFFSET($A$1,ROW()-1,9),IF(ISNUMBER(OFFSET($A$1,ROW()-1,8)),OFFSET($A$1,ROW()-1,8),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",IFERROR(MATCH("Riesgo Financiero|"&amp;MID($C79,12,500),rDname_ADM,0),0),"")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IF(N($W80)=0,"",IF(AND($S80=MesCiclo,1&gt;SemanaActual),"",MIN(1,SUMIFS(OFFSET($A$1,ROW(),29,1000-ROW(),1),OFFSET($A$1,ROW(),20,1000-ROW(),1),ROW(),OFFSET($A$1,ROW(),21,1000-ROW(),1),"Sub"))))</f>
        <v/>
      </c>
      <c r="J80" s="60">
        <f>IF(N($W80)=0,"",IF(AND($S80=MesCiclo,2&gt;SemanaActual),"",MIN(1,SUMIFS(OFFSET($A$1,ROW(),30,1000-ROW(),1),OFFSET($A$1,ROW(),20,1000-ROW(),1),ROW(),OFFSET($A$1,ROW(),21,1000-ROW(),1),"Sub"))))</f>
        <v/>
      </c>
      <c r="K80" s="60">
        <f>IF(N($W80)=0,"",IF(AND($S80=MesCiclo,3&gt;SemanaActual),"",MIN(1,SUMIFS(OFFSET($A$1,ROW(),31,1000-ROW(),1),OFFSET($A$1,ROW(),20,1000-ROW(),1),ROW(),OFFSET($A$1,ROW(),21,1000-ROW(),1),"Sub"))))</f>
        <v/>
      </c>
      <c r="L80" s="60">
        <f>IF(N($W80)=0,"",IF(AND($S80=MesCiclo,4&gt;SemanaActual),"",MIN(1,SUMIFS(OFFSET($A$1,ROW(),32,1000-ROW(),1),OFFSET($A$1,ROW(),20,1000-ROW(),1),ROW(),OFFSET($A$1,ROW(),21,1000-ROW(),1),"Sub"))))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IF($V80&lt;&gt;"Sub","",N($X80)*IF(AND(ISNUMBER($G80),$G80&lt;=IF($S80=MesCiclo,InicioCiclo,$S80+MOD(2-WEEKDAY($S80),7))+6),1,MIN(1,MAX(0,IF(ISNUMBER(OFFSET($A$1,ROW()-1,8)),OFFSET($A$1,ROW()-1,8),0)))))</f>
        <v/>
      </c>
      <c r="AE80" s="62">
        <f>IF($V80&lt;&gt;"Sub","",N($X80)*IF(AND(ISNUMBER($G80),$G80&lt;=IF($S80=MesCiclo,InicioCiclo,$S80+MOD(2-WEEKDAY($S80),7))+13),1,MIN(1,MAX(0,IF(ISNUMBER(OFFSET($A$1,ROW()-1,9)),OFFSET($A$1,ROW()-1,9),IF(ISNUMBER(OFFSET($A$1,ROW()-1,8)),OFFSET($A$1,ROW()-1,8),0))))))</f>
        <v/>
      </c>
      <c r="AF80" s="62">
        <f>IF($V80&lt;&gt;"Sub","",N($X80)*IF(AND(ISNUMBER($G80),$G80&lt;=IF($S80=MesCiclo,InicioCiclo,$S80+MOD(2-WEEKDAY($S80),7))+20),1,MIN(1,MAX(0,IF(ISNUMBER(OFFSET($A$1,ROW()-1,10)),OFFSET($A$1,ROW()-1,10),IF(ISNUMBER(OFFSET($A$1,ROW()-1,9)),OFFSET($A$1,ROW()-1,9),IF(ISNUMBER(OFFSET($A$1,ROW()-1,8)),OFFSET($A$1,ROW()-1,8),0)))))))</f>
        <v/>
      </c>
      <c r="AG80" s="62">
        <f>IF($V80&lt;&gt;"Sub","",N($X80)*IF(AND(ISNUMBER($G80),$G80&lt;=IF($S80=MesCiclo,InicioCiclo,$S80+MOD(2-WEEKDAY($S80),7))+27),1,MIN(1,MAX(0,IF(ISNUMBER(OFFSET($A$1,ROW()-1,11)),OFFSET($A$1,ROW()-1,11),IF(ISNUMBER(OFFSET($A$1,ROW()-1,10)),OFFSET($A$1,ROW()-1,10),IF(ISNUMBER(OFFSET($A$1,ROW()-1,9)),OFFSET($A$1,ROW()-1,9),IF(ISNUMBER(OFFSET($A$1,ROW()-1,8)),OFFSET($A$1,ROW()-1,8),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",IFERROR(MATCH("Riesgo Financiero|"&amp;MID($C80,12,500),rDname_ADM,0),0),"")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IF(N($W81)=0,"",IF(AND($S81=MesCiclo,1&gt;SemanaActual),"",MIN(1,SUMIFS(OFFSET($A$1,ROW(),29,1000-ROW(),1),OFFSET($A$1,ROW(),20,1000-ROW(),1),ROW(),OFFSET($A$1,ROW(),21,1000-ROW(),1),"Sub"))))</f>
        <v/>
      </c>
      <c r="J81" s="60">
        <f>IF(N($W81)=0,"",IF(AND($S81=MesCiclo,2&gt;SemanaActual),"",MIN(1,SUMIFS(OFFSET($A$1,ROW(),30,1000-ROW(),1),OFFSET($A$1,ROW(),20,1000-ROW(),1),ROW(),OFFSET($A$1,ROW(),21,1000-ROW(),1),"Sub"))))</f>
        <v/>
      </c>
      <c r="K81" s="60">
        <f>IF(N($W81)=0,"",IF(AND($S81=MesCiclo,3&gt;SemanaActual),"",MIN(1,SUMIFS(OFFSET($A$1,ROW(),31,1000-ROW(),1),OFFSET($A$1,ROW(),20,1000-ROW(),1),ROW(),OFFSET($A$1,ROW(),21,1000-ROW(),1),"Sub"))))</f>
        <v/>
      </c>
      <c r="L81" s="60">
        <f>IF(N($W81)=0,"",IF(AND($S81=MesCiclo,4&gt;SemanaActual),"",MIN(1,SUMIFS(OFFSET($A$1,ROW(),32,1000-ROW(),1),OFFSET($A$1,ROW(),20,1000-ROW(),1),ROW(),OFFSET($A$1,ROW(),21,1000-ROW(),1),"Sub"))))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IF($V81&lt;&gt;"Sub","",N($X81)*IF(AND(ISNUMBER($G81),$G81&lt;=IF($S81=MesCiclo,InicioCiclo,$S81+MOD(2-WEEKDAY($S81),7))+6),1,MIN(1,MAX(0,IF(ISNUMBER(OFFSET($A$1,ROW()-1,8)),OFFSET($A$1,ROW()-1,8),0)))))</f>
        <v/>
      </c>
      <c r="AE81" s="62">
        <f>IF($V81&lt;&gt;"Sub","",N($X81)*IF(AND(ISNUMBER($G81),$G81&lt;=IF($S81=MesCiclo,InicioCiclo,$S81+MOD(2-WEEKDAY($S81),7))+13),1,MIN(1,MAX(0,IF(ISNUMBER(OFFSET($A$1,ROW()-1,9)),OFFSET($A$1,ROW()-1,9),IF(ISNUMBER(OFFSET($A$1,ROW()-1,8)),OFFSET($A$1,ROW()-1,8),0))))))</f>
        <v/>
      </c>
      <c r="AF81" s="62">
        <f>IF($V81&lt;&gt;"Sub","",N($X81)*IF(AND(ISNUMBER($G81),$G81&lt;=IF($S81=MesCiclo,InicioCiclo,$S81+MOD(2-WEEKDAY($S81),7))+20),1,MIN(1,MAX(0,IF(ISNUMBER(OFFSET($A$1,ROW()-1,10)),OFFSET($A$1,ROW()-1,10),IF(ISNUMBER(OFFSET($A$1,ROW()-1,9)),OFFSET($A$1,ROW()-1,9),IF(ISNUMBER(OFFSET($A$1,ROW()-1,8)),OFFSET($A$1,ROW()-1,8),0)))))))</f>
        <v/>
      </c>
      <c r="AG81" s="62">
        <f>IF($V81&lt;&gt;"Sub","",N($X81)*IF(AND(ISNUMBER($G81),$G81&lt;=IF($S81=MesCiclo,InicioCiclo,$S81+MOD(2-WEEKDAY($S81),7))+27),1,MIN(1,MAX(0,IF(ISNUMBER(OFFSET($A$1,ROW()-1,11)),OFFSET($A$1,ROW()-1,11),IF(ISNUMBER(OFFSET($A$1,ROW()-1,10)),OFFSET($A$1,ROW()-1,10),IF(ISNUMBER(OFFSET($A$1,ROW()-1,9)),OFFSET($A$1,ROW()-1,9),IF(ISNUMBER(OFFSET($A$1,ROW()-1,8)),OFFSET($A$1,ROW()-1,8),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",IFERROR(MATCH("Riesgo Financiero|"&amp;MID($C81,12,500),rDname_ADM,0),0),"")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IF(N($W82)=0,"",IF(AND($S82=MesCiclo,1&gt;SemanaActual),"",MIN(1,SUMIFS(OFFSET($A$1,ROW(),29,1000-ROW(),1),OFFSET($A$1,ROW(),20,1000-ROW(),1),ROW(),OFFSET($A$1,ROW(),21,1000-ROW(),1),"Sub"))))</f>
        <v/>
      </c>
      <c r="J82" s="60">
        <f>IF(N($W82)=0,"",IF(AND($S82=MesCiclo,2&gt;SemanaActual),"",MIN(1,SUMIFS(OFFSET($A$1,ROW(),30,1000-ROW(),1),OFFSET($A$1,ROW(),20,1000-ROW(),1),ROW(),OFFSET($A$1,ROW(),21,1000-ROW(),1),"Sub"))))</f>
        <v/>
      </c>
      <c r="K82" s="60">
        <f>IF(N($W82)=0,"",IF(AND($S82=MesCiclo,3&gt;SemanaActual),"",MIN(1,SUMIFS(OFFSET($A$1,ROW(),31,1000-ROW(),1),OFFSET($A$1,ROW(),20,1000-ROW(),1),ROW(),OFFSET($A$1,ROW(),21,1000-ROW(),1),"Sub"))))</f>
        <v/>
      </c>
      <c r="L82" s="60">
        <f>IF(N($W82)=0,"",IF(AND($S82=MesCiclo,4&gt;SemanaActual),"",MIN(1,SUMIFS(OFFSET($A$1,ROW(),32,1000-ROW(),1),OFFSET($A$1,ROW(),20,1000-ROW(),1),ROW(),OFFSET($A$1,ROW(),21,1000-ROW(),1),"Sub"))))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IF($V82&lt;&gt;"Sub","",N($X82)*IF(AND(ISNUMBER($G82),$G82&lt;=IF($S82=MesCiclo,InicioCiclo,$S82+MOD(2-WEEKDAY($S82),7))+6),1,MIN(1,MAX(0,IF(ISNUMBER(OFFSET($A$1,ROW()-1,8)),OFFSET($A$1,ROW()-1,8),0)))))</f>
        <v/>
      </c>
      <c r="AE82" s="62">
        <f>IF($V82&lt;&gt;"Sub","",N($X82)*IF(AND(ISNUMBER($G82),$G82&lt;=IF($S82=MesCiclo,InicioCiclo,$S82+MOD(2-WEEKDAY($S82),7))+13),1,MIN(1,MAX(0,IF(ISNUMBER(OFFSET($A$1,ROW()-1,9)),OFFSET($A$1,ROW()-1,9),IF(ISNUMBER(OFFSET($A$1,ROW()-1,8)),OFFSET($A$1,ROW()-1,8),0))))))</f>
        <v/>
      </c>
      <c r="AF82" s="62">
        <f>IF($V82&lt;&gt;"Sub","",N($X82)*IF(AND(ISNUMBER($G82),$G82&lt;=IF($S82=MesCiclo,InicioCiclo,$S82+MOD(2-WEEKDAY($S82),7))+20),1,MIN(1,MAX(0,IF(ISNUMBER(OFFSET($A$1,ROW()-1,10)),OFFSET($A$1,ROW()-1,10),IF(ISNUMBER(OFFSET($A$1,ROW()-1,9)),OFFSET($A$1,ROW()-1,9),IF(ISNUMBER(OFFSET($A$1,ROW()-1,8)),OFFSET($A$1,ROW()-1,8),0)))))))</f>
        <v/>
      </c>
      <c r="AG82" s="62">
        <f>IF($V82&lt;&gt;"Sub","",N($X82)*IF(AND(ISNUMBER($G82),$G82&lt;=IF($S82=MesCiclo,InicioCiclo,$S82+MOD(2-WEEKDAY($S82),7))+27),1,MIN(1,MAX(0,IF(ISNUMBER(OFFSET($A$1,ROW()-1,11)),OFFSET($A$1,ROW()-1,11),IF(ISNUMBER(OFFSET($A$1,ROW()-1,10)),OFFSET($A$1,ROW()-1,10),IF(ISNUMBER(OFFSET($A$1,ROW()-1,9)),OFFSET($A$1,ROW()-1,9),IF(ISNUMBER(OFFSET($A$1,ROW()-1,8)),OFFSET($A$1,ROW()-1,8),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",IFERROR(MATCH("Riesgo Financiero|"&amp;MID($C82,12,500),rDname_ADM,0),0),"")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IF(N($W83)=0,"",IF(AND($S83=MesCiclo,1&gt;SemanaActual),"",MIN(1,SUMIFS(OFFSET($A$1,ROW(),29,1000-ROW(),1),OFFSET($A$1,ROW(),20,1000-ROW(),1),ROW(),OFFSET($A$1,ROW(),21,1000-ROW(),1),"Sub"))))</f>
        <v/>
      </c>
      <c r="J83" s="60">
        <f>IF(N($W83)=0,"",IF(AND($S83=MesCiclo,2&gt;SemanaActual),"",MIN(1,SUMIFS(OFFSET($A$1,ROW(),30,1000-ROW(),1),OFFSET($A$1,ROW(),20,1000-ROW(),1),ROW(),OFFSET($A$1,ROW(),21,1000-ROW(),1),"Sub"))))</f>
        <v/>
      </c>
      <c r="K83" s="60">
        <f>IF(N($W83)=0,"",IF(AND($S83=MesCiclo,3&gt;SemanaActual),"",MIN(1,SUMIFS(OFFSET($A$1,ROW(),31,1000-ROW(),1),OFFSET($A$1,ROW(),20,1000-ROW(),1),ROW(),OFFSET($A$1,ROW(),21,1000-ROW(),1),"Sub"))))</f>
        <v/>
      </c>
      <c r="L83" s="60">
        <f>IF(N($W83)=0,"",IF(AND($S83=MesCiclo,4&gt;SemanaActual),"",MIN(1,SUMIFS(OFFSET($A$1,ROW(),32,1000-ROW(),1),OFFSET($A$1,ROW(),20,1000-ROW(),1),ROW(),OFFSET($A$1,ROW(),21,1000-ROW(),1),"Sub"))))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IF($V83&lt;&gt;"Sub","",N($X83)*IF(AND(ISNUMBER($G83),$G83&lt;=IF($S83=MesCiclo,InicioCiclo,$S83+MOD(2-WEEKDAY($S83),7))+6),1,MIN(1,MAX(0,IF(ISNUMBER(OFFSET($A$1,ROW()-1,8)),OFFSET($A$1,ROW()-1,8),0)))))</f>
        <v/>
      </c>
      <c r="AE83" s="62">
        <f>IF($V83&lt;&gt;"Sub","",N($X83)*IF(AND(ISNUMBER($G83),$G83&lt;=IF($S83=MesCiclo,InicioCiclo,$S83+MOD(2-WEEKDAY($S83),7))+13),1,MIN(1,MAX(0,IF(ISNUMBER(OFFSET($A$1,ROW()-1,9)),OFFSET($A$1,ROW()-1,9),IF(ISNUMBER(OFFSET($A$1,ROW()-1,8)),OFFSET($A$1,ROW()-1,8),0))))))</f>
        <v/>
      </c>
      <c r="AF83" s="62">
        <f>IF($V83&lt;&gt;"Sub","",N($X83)*IF(AND(ISNUMBER($G83),$G83&lt;=IF($S83=MesCiclo,InicioCiclo,$S83+MOD(2-WEEKDAY($S83),7))+20),1,MIN(1,MAX(0,IF(ISNUMBER(OFFSET($A$1,ROW()-1,10)),OFFSET($A$1,ROW()-1,10),IF(ISNUMBER(OFFSET($A$1,ROW()-1,9)),OFFSET($A$1,ROW()-1,9),IF(ISNUMBER(OFFSET($A$1,ROW()-1,8)),OFFSET($A$1,ROW()-1,8),0)))))))</f>
        <v/>
      </c>
      <c r="AG83" s="62">
        <f>IF($V83&lt;&gt;"Sub","",N($X83)*IF(AND(ISNUMBER($G83),$G83&lt;=IF($S83=MesCiclo,InicioCiclo,$S83+MOD(2-WEEKDAY($S83),7))+27),1,MIN(1,MAX(0,IF(ISNUMBER(OFFSET($A$1,ROW()-1,11)),OFFSET($A$1,ROW()-1,11),IF(ISNUMBER(OFFSET($A$1,ROW()-1,10)),OFFSET($A$1,ROW()-1,10),IF(ISNUMBER(OFFSET($A$1,ROW()-1,9)),OFFSET($A$1,ROW()-1,9),IF(ISNUMBER(OFFSET($A$1,ROW()-1,8)),OFFSET($A$1,ROW()-1,8),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",IFERROR(MATCH("Riesgo Financiero|"&amp;MID($C83,12,500),rDname_ADM,0),0),"")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IF(N($W84)=0,"",IF(AND($S84=MesCiclo,1&gt;SemanaActual),"",MIN(1,SUMIFS(OFFSET($A$1,ROW(),29,1000-ROW(),1),OFFSET($A$1,ROW(),20,1000-ROW(),1),ROW(),OFFSET($A$1,ROW(),21,1000-ROW(),1),"Sub"))))</f>
        <v/>
      </c>
      <c r="J84" s="60">
        <f>IF(N($W84)=0,"",IF(AND($S84=MesCiclo,2&gt;SemanaActual),"",MIN(1,SUMIFS(OFFSET($A$1,ROW(),30,1000-ROW(),1),OFFSET($A$1,ROW(),20,1000-ROW(),1),ROW(),OFFSET($A$1,ROW(),21,1000-ROW(),1),"Sub"))))</f>
        <v/>
      </c>
      <c r="K84" s="60">
        <f>IF(N($W84)=0,"",IF(AND($S84=MesCiclo,3&gt;SemanaActual),"",MIN(1,SUMIFS(OFFSET($A$1,ROW(),31,1000-ROW(),1),OFFSET($A$1,ROW(),20,1000-ROW(),1),ROW(),OFFSET($A$1,ROW(),21,1000-ROW(),1),"Sub"))))</f>
        <v/>
      </c>
      <c r="L84" s="60">
        <f>IF(N($W84)=0,"",IF(AND($S84=MesCiclo,4&gt;SemanaActual),"",MIN(1,SUMIFS(OFFSET($A$1,ROW(),32,1000-ROW(),1),OFFSET($A$1,ROW(),20,1000-ROW(),1),ROW(),OFFSET($A$1,ROW(),21,1000-ROW(),1),"Sub"))))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IF($V84&lt;&gt;"Sub","",N($X84)*IF(AND(ISNUMBER($G84),$G84&lt;=IF($S84=MesCiclo,InicioCiclo,$S84+MOD(2-WEEKDAY($S84),7))+6),1,MIN(1,MAX(0,IF(ISNUMBER(OFFSET($A$1,ROW()-1,8)),OFFSET($A$1,ROW()-1,8),0)))))</f>
        <v/>
      </c>
      <c r="AE84" s="62">
        <f>IF($V84&lt;&gt;"Sub","",N($X84)*IF(AND(ISNUMBER($G84),$G84&lt;=IF($S84=MesCiclo,InicioCiclo,$S84+MOD(2-WEEKDAY($S84),7))+13),1,MIN(1,MAX(0,IF(ISNUMBER(OFFSET($A$1,ROW()-1,9)),OFFSET($A$1,ROW()-1,9),IF(ISNUMBER(OFFSET($A$1,ROW()-1,8)),OFFSET($A$1,ROW()-1,8),0))))))</f>
        <v/>
      </c>
      <c r="AF84" s="62">
        <f>IF($V84&lt;&gt;"Sub","",N($X84)*IF(AND(ISNUMBER($G84),$G84&lt;=IF($S84=MesCiclo,InicioCiclo,$S84+MOD(2-WEEKDAY($S84),7))+20),1,MIN(1,MAX(0,IF(ISNUMBER(OFFSET($A$1,ROW()-1,10)),OFFSET($A$1,ROW()-1,10),IF(ISNUMBER(OFFSET($A$1,ROW()-1,9)),OFFSET($A$1,ROW()-1,9),IF(ISNUMBER(OFFSET($A$1,ROW()-1,8)),OFFSET($A$1,ROW()-1,8),0)))))))</f>
        <v/>
      </c>
      <c r="AG84" s="62">
        <f>IF($V84&lt;&gt;"Sub","",N($X84)*IF(AND(ISNUMBER($G84),$G84&lt;=IF($S84=MesCiclo,InicioCiclo,$S84+MOD(2-WEEKDAY($S84),7))+27),1,MIN(1,MAX(0,IF(ISNUMBER(OFFSET($A$1,ROW()-1,11)),OFFSET($A$1,ROW()-1,11),IF(ISNUMBER(OFFSET($A$1,ROW()-1,10)),OFFSET($A$1,ROW()-1,10),IF(ISNUMBER(OFFSET($A$1,ROW()-1,9)),OFFSET($A$1,ROW()-1,9),IF(ISNUMBER(OFFSET($A$1,ROW()-1,8)),OFFSET($A$1,ROW()-1,8),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",IFERROR(MATCH("Riesgo Financiero|"&amp;MID($C84,12,500),rDname_ADM,0),0),"")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IF(N($W85)=0,"",IF(AND($S85=MesCiclo,1&gt;SemanaActual),"",MIN(1,SUMIFS(OFFSET($A$1,ROW(),29,1000-ROW(),1),OFFSET($A$1,ROW(),20,1000-ROW(),1),ROW(),OFFSET($A$1,ROW(),21,1000-ROW(),1),"Sub"))))</f>
        <v/>
      </c>
      <c r="J85" s="60">
        <f>IF(N($W85)=0,"",IF(AND($S85=MesCiclo,2&gt;SemanaActual),"",MIN(1,SUMIFS(OFFSET($A$1,ROW(),30,1000-ROW(),1),OFFSET($A$1,ROW(),20,1000-ROW(),1),ROW(),OFFSET($A$1,ROW(),21,1000-ROW(),1),"Sub"))))</f>
        <v/>
      </c>
      <c r="K85" s="60">
        <f>IF(N($W85)=0,"",IF(AND($S85=MesCiclo,3&gt;SemanaActual),"",MIN(1,SUMIFS(OFFSET($A$1,ROW(),31,1000-ROW(),1),OFFSET($A$1,ROW(),20,1000-ROW(),1),ROW(),OFFSET($A$1,ROW(),21,1000-ROW(),1),"Sub"))))</f>
        <v/>
      </c>
      <c r="L85" s="60">
        <f>IF(N($W85)=0,"",IF(AND($S85=MesCiclo,4&gt;SemanaActual),"",MIN(1,SUMIFS(OFFSET($A$1,ROW(),32,1000-ROW(),1),OFFSET($A$1,ROW(),20,1000-ROW(),1),ROW(),OFFSET($A$1,ROW(),21,1000-ROW(),1),"Sub"))))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IF($V85&lt;&gt;"Sub","",N($X85)*IF(AND(ISNUMBER($G85),$G85&lt;=IF($S85=MesCiclo,InicioCiclo,$S85+MOD(2-WEEKDAY($S85),7))+6),1,MIN(1,MAX(0,IF(ISNUMBER(OFFSET($A$1,ROW()-1,8)),OFFSET($A$1,ROW()-1,8),0)))))</f>
        <v/>
      </c>
      <c r="AE85" s="62">
        <f>IF($V85&lt;&gt;"Sub","",N($X85)*IF(AND(ISNUMBER($G85),$G85&lt;=IF($S85=MesCiclo,InicioCiclo,$S85+MOD(2-WEEKDAY($S85),7))+13),1,MIN(1,MAX(0,IF(ISNUMBER(OFFSET($A$1,ROW()-1,9)),OFFSET($A$1,ROW()-1,9),IF(ISNUMBER(OFFSET($A$1,ROW()-1,8)),OFFSET($A$1,ROW()-1,8),0))))))</f>
        <v/>
      </c>
      <c r="AF85" s="62">
        <f>IF($V85&lt;&gt;"Sub","",N($X85)*IF(AND(ISNUMBER($G85),$G85&lt;=IF($S85=MesCiclo,InicioCiclo,$S85+MOD(2-WEEKDAY($S85),7))+20),1,MIN(1,MAX(0,IF(ISNUMBER(OFFSET($A$1,ROW()-1,10)),OFFSET($A$1,ROW()-1,10),IF(ISNUMBER(OFFSET($A$1,ROW()-1,9)),OFFSET($A$1,ROW()-1,9),IF(ISNUMBER(OFFSET($A$1,ROW()-1,8)),OFFSET($A$1,ROW()-1,8),0)))))))</f>
        <v/>
      </c>
      <c r="AG85" s="62">
        <f>IF($V85&lt;&gt;"Sub","",N($X85)*IF(AND(ISNUMBER($G85),$G85&lt;=IF($S85=MesCiclo,InicioCiclo,$S85+MOD(2-WEEKDAY($S85),7))+27),1,MIN(1,MAX(0,IF(ISNUMBER(OFFSET($A$1,ROW()-1,11)),OFFSET($A$1,ROW()-1,11),IF(ISNUMBER(OFFSET($A$1,ROW()-1,10)),OFFSET($A$1,ROW()-1,10),IF(ISNUMBER(OFFSET($A$1,ROW()-1,9)),OFFSET($A$1,ROW()-1,9),IF(ISNUMBER(OFFSET($A$1,ROW()-1,8)),OFFSET($A$1,ROW()-1,8),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",IFERROR(MATCH("Riesgo Financiero|"&amp;MID($C85,12,500),rDname_ADM,0),0),"")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IF(N($W86)=0,"",IF(AND($S86=MesCiclo,1&gt;SemanaActual),"",MIN(1,SUMIFS(OFFSET($A$1,ROW(),29,1000-ROW(),1),OFFSET($A$1,ROW(),20,1000-ROW(),1),ROW(),OFFSET($A$1,ROW(),21,1000-ROW(),1),"Sub"))))</f>
        <v/>
      </c>
      <c r="J86" s="60">
        <f>IF(N($W86)=0,"",IF(AND($S86=MesCiclo,2&gt;SemanaActual),"",MIN(1,SUMIFS(OFFSET($A$1,ROW(),30,1000-ROW(),1),OFFSET($A$1,ROW(),20,1000-ROW(),1),ROW(),OFFSET($A$1,ROW(),21,1000-ROW(),1),"Sub"))))</f>
        <v/>
      </c>
      <c r="K86" s="60">
        <f>IF(N($W86)=0,"",IF(AND($S86=MesCiclo,3&gt;SemanaActual),"",MIN(1,SUMIFS(OFFSET($A$1,ROW(),31,1000-ROW(),1),OFFSET($A$1,ROW(),20,1000-ROW(),1),ROW(),OFFSET($A$1,ROW(),21,1000-ROW(),1),"Sub"))))</f>
        <v/>
      </c>
      <c r="L86" s="60">
        <f>IF(N($W86)=0,"",IF(AND($S86=MesCiclo,4&gt;SemanaActual),"",MIN(1,SUMIFS(OFFSET($A$1,ROW(),32,1000-ROW(),1),OFFSET($A$1,ROW(),20,1000-ROW(),1),ROW(),OFFSET($A$1,ROW(),21,1000-ROW(),1),"Sub"))))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IF($V86&lt;&gt;"Sub","",N($X86)*IF(AND(ISNUMBER($G86),$G86&lt;=IF($S86=MesCiclo,InicioCiclo,$S86+MOD(2-WEEKDAY($S86),7))+6),1,MIN(1,MAX(0,IF(ISNUMBER(OFFSET($A$1,ROW()-1,8)),OFFSET($A$1,ROW()-1,8),0)))))</f>
        <v/>
      </c>
      <c r="AE86" s="62">
        <f>IF($V86&lt;&gt;"Sub","",N($X86)*IF(AND(ISNUMBER($G86),$G86&lt;=IF($S86=MesCiclo,InicioCiclo,$S86+MOD(2-WEEKDAY($S86),7))+13),1,MIN(1,MAX(0,IF(ISNUMBER(OFFSET($A$1,ROW()-1,9)),OFFSET($A$1,ROW()-1,9),IF(ISNUMBER(OFFSET($A$1,ROW()-1,8)),OFFSET($A$1,ROW()-1,8),0))))))</f>
        <v/>
      </c>
      <c r="AF86" s="62">
        <f>IF($V86&lt;&gt;"Sub","",N($X86)*IF(AND(ISNUMBER($G86),$G86&lt;=IF($S86=MesCiclo,InicioCiclo,$S86+MOD(2-WEEKDAY($S86),7))+20),1,MIN(1,MAX(0,IF(ISNUMBER(OFFSET($A$1,ROW()-1,10)),OFFSET($A$1,ROW()-1,10),IF(ISNUMBER(OFFSET($A$1,ROW()-1,9)),OFFSET($A$1,ROW()-1,9),IF(ISNUMBER(OFFSET($A$1,ROW()-1,8)),OFFSET($A$1,ROW()-1,8),0)))))))</f>
        <v/>
      </c>
      <c r="AG86" s="62">
        <f>IF($V86&lt;&gt;"Sub","",N($X86)*IF(AND(ISNUMBER($G86),$G86&lt;=IF($S86=MesCiclo,InicioCiclo,$S86+MOD(2-WEEKDAY($S86),7))+27),1,MIN(1,MAX(0,IF(ISNUMBER(OFFSET($A$1,ROW()-1,11)),OFFSET($A$1,ROW()-1,11),IF(ISNUMBER(OFFSET($A$1,ROW()-1,10)),OFFSET($A$1,ROW()-1,10),IF(ISNUMBER(OFFSET($A$1,ROW()-1,9)),OFFSET($A$1,ROW()-1,9),IF(ISNUMBER(OFFSET($A$1,ROW()-1,8)),OFFSET($A$1,ROW()-1,8),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",IFERROR(MATCH("Riesgo Financiero|"&amp;MID($C86,12,500),rDname_ADM,0),0),"")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IF(N($W87)=0,"",IF(AND($S87=MesCiclo,1&gt;SemanaActual),"",MIN(1,SUMIFS(OFFSET($A$1,ROW(),29,1000-ROW(),1),OFFSET($A$1,ROW(),20,1000-ROW(),1),ROW(),OFFSET($A$1,ROW(),21,1000-ROW(),1),"Sub"))))</f>
        <v/>
      </c>
      <c r="J87" s="60">
        <f>IF(N($W87)=0,"",IF(AND($S87=MesCiclo,2&gt;SemanaActual),"",MIN(1,SUMIFS(OFFSET($A$1,ROW(),30,1000-ROW(),1),OFFSET($A$1,ROW(),20,1000-ROW(),1),ROW(),OFFSET($A$1,ROW(),21,1000-ROW(),1),"Sub"))))</f>
        <v/>
      </c>
      <c r="K87" s="60">
        <f>IF(N($W87)=0,"",IF(AND($S87=MesCiclo,3&gt;SemanaActual),"",MIN(1,SUMIFS(OFFSET($A$1,ROW(),31,1000-ROW(),1),OFFSET($A$1,ROW(),20,1000-ROW(),1),ROW(),OFFSET($A$1,ROW(),21,1000-ROW(),1),"Sub"))))</f>
        <v/>
      </c>
      <c r="L87" s="60">
        <f>IF(N($W87)=0,"",IF(AND($S87=MesCiclo,4&gt;SemanaActual),"",MIN(1,SUMIFS(OFFSET($A$1,ROW(),32,1000-ROW(),1),OFFSET($A$1,ROW(),20,1000-ROW(),1),ROW(),OFFSET($A$1,ROW(),21,1000-ROW(),1),"Sub"))))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IF($V87&lt;&gt;"Sub","",N($X87)*IF(AND(ISNUMBER($G87),$G87&lt;=IF($S87=MesCiclo,InicioCiclo,$S87+MOD(2-WEEKDAY($S87),7))+6),1,MIN(1,MAX(0,IF(ISNUMBER(OFFSET($A$1,ROW()-1,8)),OFFSET($A$1,ROW()-1,8),0)))))</f>
        <v/>
      </c>
      <c r="AE87" s="62">
        <f>IF($V87&lt;&gt;"Sub","",N($X87)*IF(AND(ISNUMBER($G87),$G87&lt;=IF($S87=MesCiclo,InicioCiclo,$S87+MOD(2-WEEKDAY($S87),7))+13),1,MIN(1,MAX(0,IF(ISNUMBER(OFFSET($A$1,ROW()-1,9)),OFFSET($A$1,ROW()-1,9),IF(ISNUMBER(OFFSET($A$1,ROW()-1,8)),OFFSET($A$1,ROW()-1,8),0))))))</f>
        <v/>
      </c>
      <c r="AF87" s="62">
        <f>IF($V87&lt;&gt;"Sub","",N($X87)*IF(AND(ISNUMBER($G87),$G87&lt;=IF($S87=MesCiclo,InicioCiclo,$S87+MOD(2-WEEKDAY($S87),7))+20),1,MIN(1,MAX(0,IF(ISNUMBER(OFFSET($A$1,ROW()-1,10)),OFFSET($A$1,ROW()-1,10),IF(ISNUMBER(OFFSET($A$1,ROW()-1,9)),OFFSET($A$1,ROW()-1,9),IF(ISNUMBER(OFFSET($A$1,ROW()-1,8)),OFFSET($A$1,ROW()-1,8),0)))))))</f>
        <v/>
      </c>
      <c r="AG87" s="62">
        <f>IF($V87&lt;&gt;"Sub","",N($X87)*IF(AND(ISNUMBER($G87),$G87&lt;=IF($S87=MesCiclo,InicioCiclo,$S87+MOD(2-WEEKDAY($S87),7))+27),1,MIN(1,MAX(0,IF(ISNUMBER(OFFSET($A$1,ROW()-1,11)),OFFSET($A$1,ROW()-1,11),IF(ISNUMBER(OFFSET($A$1,ROW()-1,10)),OFFSET($A$1,ROW()-1,10),IF(ISNUMBER(OFFSET($A$1,ROW()-1,9)),OFFSET($A$1,ROW()-1,9),IF(ISNUMBER(OFFSET($A$1,ROW()-1,8)),OFFSET($A$1,ROW()-1,8),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",IFERROR(MATCH("Riesgo Financiero|"&amp;MID($C87,12,500),rDname_ADM,0),0),"")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IF(N($W88)=0,"",IF(AND($S88=MesCiclo,1&gt;SemanaActual),"",MIN(1,SUMIFS(OFFSET($A$1,ROW(),29,1000-ROW(),1),OFFSET($A$1,ROW(),20,1000-ROW(),1),ROW(),OFFSET($A$1,ROW(),21,1000-ROW(),1),"Sub"))))</f>
        <v/>
      </c>
      <c r="J88" s="60">
        <f>IF(N($W88)=0,"",IF(AND($S88=MesCiclo,2&gt;SemanaActual),"",MIN(1,SUMIFS(OFFSET($A$1,ROW(),30,1000-ROW(),1),OFFSET($A$1,ROW(),20,1000-ROW(),1),ROW(),OFFSET($A$1,ROW(),21,1000-ROW(),1),"Sub"))))</f>
        <v/>
      </c>
      <c r="K88" s="60">
        <f>IF(N($W88)=0,"",IF(AND($S88=MesCiclo,3&gt;SemanaActual),"",MIN(1,SUMIFS(OFFSET($A$1,ROW(),31,1000-ROW(),1),OFFSET($A$1,ROW(),20,1000-ROW(),1),ROW(),OFFSET($A$1,ROW(),21,1000-ROW(),1),"Sub"))))</f>
        <v/>
      </c>
      <c r="L88" s="60">
        <f>IF(N($W88)=0,"",IF(AND($S88=MesCiclo,4&gt;SemanaActual),"",MIN(1,SUMIFS(OFFSET($A$1,ROW(),32,1000-ROW(),1),OFFSET($A$1,ROW(),20,1000-ROW(),1),ROW(),OFFSET($A$1,ROW(),21,1000-ROW(),1),"Sub"))))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IF($V88&lt;&gt;"Sub","",N($X88)*IF(AND(ISNUMBER($G88),$G88&lt;=IF($S88=MesCiclo,InicioCiclo,$S88+MOD(2-WEEKDAY($S88),7))+6),1,MIN(1,MAX(0,IF(ISNUMBER(OFFSET($A$1,ROW()-1,8)),OFFSET($A$1,ROW()-1,8),0)))))</f>
        <v/>
      </c>
      <c r="AE88" s="62">
        <f>IF($V88&lt;&gt;"Sub","",N($X88)*IF(AND(ISNUMBER($G88),$G88&lt;=IF($S88=MesCiclo,InicioCiclo,$S88+MOD(2-WEEKDAY($S88),7))+13),1,MIN(1,MAX(0,IF(ISNUMBER(OFFSET($A$1,ROW()-1,9)),OFFSET($A$1,ROW()-1,9),IF(ISNUMBER(OFFSET($A$1,ROW()-1,8)),OFFSET($A$1,ROW()-1,8),0))))))</f>
        <v/>
      </c>
      <c r="AF88" s="62">
        <f>IF($V88&lt;&gt;"Sub","",N($X88)*IF(AND(ISNUMBER($G88),$G88&lt;=IF($S88=MesCiclo,InicioCiclo,$S88+MOD(2-WEEKDAY($S88),7))+20),1,MIN(1,MAX(0,IF(ISNUMBER(OFFSET($A$1,ROW()-1,10)),OFFSET($A$1,ROW()-1,10),IF(ISNUMBER(OFFSET($A$1,ROW()-1,9)),OFFSET($A$1,ROW()-1,9),IF(ISNUMBER(OFFSET($A$1,ROW()-1,8)),OFFSET($A$1,ROW()-1,8),0)))))))</f>
        <v/>
      </c>
      <c r="AG88" s="62">
        <f>IF($V88&lt;&gt;"Sub","",N($X88)*IF(AND(ISNUMBER($G88),$G88&lt;=IF($S88=MesCiclo,InicioCiclo,$S88+MOD(2-WEEKDAY($S88),7))+27),1,MIN(1,MAX(0,IF(ISNUMBER(OFFSET($A$1,ROW()-1,11)),OFFSET($A$1,ROW()-1,11),IF(ISNUMBER(OFFSET($A$1,ROW()-1,10)),OFFSET($A$1,ROW()-1,10),IF(ISNUMBER(OFFSET($A$1,ROW()-1,9)),OFFSET($A$1,ROW()-1,9),IF(ISNUMBER(OFFSET($A$1,ROW()-1,8)),OFFSET($A$1,ROW()-1,8),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",IFERROR(MATCH("Riesgo Financiero|"&amp;MID($C88,12,500),rDname_ADM,0),0),"")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IF(N($W89)=0,"",IF(AND($S89=MesCiclo,1&gt;SemanaActual),"",MIN(1,SUMIFS(OFFSET($A$1,ROW(),29,1000-ROW(),1),OFFSET($A$1,ROW(),20,1000-ROW(),1),ROW(),OFFSET($A$1,ROW(),21,1000-ROW(),1),"Sub"))))</f>
        <v/>
      </c>
      <c r="J89" s="60">
        <f>IF(N($W89)=0,"",IF(AND($S89=MesCiclo,2&gt;SemanaActual),"",MIN(1,SUMIFS(OFFSET($A$1,ROW(),30,1000-ROW(),1),OFFSET($A$1,ROW(),20,1000-ROW(),1),ROW(),OFFSET($A$1,ROW(),21,1000-ROW(),1),"Sub"))))</f>
        <v/>
      </c>
      <c r="K89" s="60">
        <f>IF(N($W89)=0,"",IF(AND($S89=MesCiclo,3&gt;SemanaActual),"",MIN(1,SUMIFS(OFFSET($A$1,ROW(),31,1000-ROW(),1),OFFSET($A$1,ROW(),20,1000-ROW(),1),ROW(),OFFSET($A$1,ROW(),21,1000-ROW(),1),"Sub"))))</f>
        <v/>
      </c>
      <c r="L89" s="60">
        <f>IF(N($W89)=0,"",IF(AND($S89=MesCiclo,4&gt;SemanaActual),"",MIN(1,SUMIFS(OFFSET($A$1,ROW(),32,1000-ROW(),1),OFFSET($A$1,ROW(),20,1000-ROW(),1),ROW(),OFFSET($A$1,ROW(),21,1000-ROW(),1),"Sub"))))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IF($V89&lt;&gt;"Sub","",N($X89)*IF(AND(ISNUMBER($G89),$G89&lt;=IF($S89=MesCiclo,InicioCiclo,$S89+MOD(2-WEEKDAY($S89),7))+6),1,MIN(1,MAX(0,IF(ISNUMBER(OFFSET($A$1,ROW()-1,8)),OFFSET($A$1,ROW()-1,8),0)))))</f>
        <v/>
      </c>
      <c r="AE89" s="62">
        <f>IF($V89&lt;&gt;"Sub","",N($X89)*IF(AND(ISNUMBER($G89),$G89&lt;=IF($S89=MesCiclo,InicioCiclo,$S89+MOD(2-WEEKDAY($S89),7))+13),1,MIN(1,MAX(0,IF(ISNUMBER(OFFSET($A$1,ROW()-1,9)),OFFSET($A$1,ROW()-1,9),IF(ISNUMBER(OFFSET($A$1,ROW()-1,8)),OFFSET($A$1,ROW()-1,8),0))))))</f>
        <v/>
      </c>
      <c r="AF89" s="62">
        <f>IF($V89&lt;&gt;"Sub","",N($X89)*IF(AND(ISNUMBER($G89),$G89&lt;=IF($S89=MesCiclo,InicioCiclo,$S89+MOD(2-WEEKDAY($S89),7))+20),1,MIN(1,MAX(0,IF(ISNUMBER(OFFSET($A$1,ROW()-1,10)),OFFSET($A$1,ROW()-1,10),IF(ISNUMBER(OFFSET($A$1,ROW()-1,9)),OFFSET($A$1,ROW()-1,9),IF(ISNUMBER(OFFSET($A$1,ROW()-1,8)),OFFSET($A$1,ROW()-1,8),0)))))))</f>
        <v/>
      </c>
      <c r="AG89" s="62">
        <f>IF($V89&lt;&gt;"Sub","",N($X89)*IF(AND(ISNUMBER($G89),$G89&lt;=IF($S89=MesCiclo,InicioCiclo,$S89+MOD(2-WEEKDAY($S89),7))+27),1,MIN(1,MAX(0,IF(ISNUMBER(OFFSET($A$1,ROW()-1,11)),OFFSET($A$1,ROW()-1,11),IF(ISNUMBER(OFFSET($A$1,ROW()-1,10)),OFFSET($A$1,ROW()-1,10),IF(ISNUMBER(OFFSET($A$1,ROW()-1,9)),OFFSET($A$1,ROW()-1,9),IF(ISNUMBER(OFFSET($A$1,ROW()-1,8)),OFFSET($A$1,ROW()-1,8),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",IFERROR(MATCH("Riesgo Financiero|"&amp;MID($C89,12,500),rDname_ADM,0),0),"")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IF(N($W90)=0,"",IF(AND($S90=MesCiclo,1&gt;SemanaActual),"",MIN(1,SUMIFS(OFFSET($A$1,ROW(),29,1000-ROW(),1),OFFSET($A$1,ROW(),20,1000-ROW(),1),ROW(),OFFSET($A$1,ROW(),21,1000-ROW(),1),"Sub"))))</f>
        <v/>
      </c>
      <c r="J90" s="60">
        <f>IF(N($W90)=0,"",IF(AND($S90=MesCiclo,2&gt;SemanaActual),"",MIN(1,SUMIFS(OFFSET($A$1,ROW(),30,1000-ROW(),1),OFFSET($A$1,ROW(),20,1000-ROW(),1),ROW(),OFFSET($A$1,ROW(),21,1000-ROW(),1),"Sub"))))</f>
        <v/>
      </c>
      <c r="K90" s="60">
        <f>IF(N($W90)=0,"",IF(AND($S90=MesCiclo,3&gt;SemanaActual),"",MIN(1,SUMIFS(OFFSET($A$1,ROW(),31,1000-ROW(),1),OFFSET($A$1,ROW(),20,1000-ROW(),1),ROW(),OFFSET($A$1,ROW(),21,1000-ROW(),1),"Sub"))))</f>
        <v/>
      </c>
      <c r="L90" s="60">
        <f>IF(N($W90)=0,"",IF(AND($S90=MesCiclo,4&gt;SemanaActual),"",MIN(1,SUMIFS(OFFSET($A$1,ROW(),32,1000-ROW(),1),OFFSET($A$1,ROW(),20,1000-ROW(),1),ROW(),OFFSET($A$1,ROW(),21,1000-ROW(),1),"Sub"))))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IF($V90&lt;&gt;"Sub","",N($X90)*IF(AND(ISNUMBER($G90),$G90&lt;=IF($S90=MesCiclo,InicioCiclo,$S90+MOD(2-WEEKDAY($S90),7))+6),1,MIN(1,MAX(0,IF(ISNUMBER(OFFSET($A$1,ROW()-1,8)),OFFSET($A$1,ROW()-1,8),0)))))</f>
        <v/>
      </c>
      <c r="AE90" s="62">
        <f>IF($V90&lt;&gt;"Sub","",N($X90)*IF(AND(ISNUMBER($G90),$G90&lt;=IF($S90=MesCiclo,InicioCiclo,$S90+MOD(2-WEEKDAY($S90),7))+13),1,MIN(1,MAX(0,IF(ISNUMBER(OFFSET($A$1,ROW()-1,9)),OFFSET($A$1,ROW()-1,9),IF(ISNUMBER(OFFSET($A$1,ROW()-1,8)),OFFSET($A$1,ROW()-1,8),0))))))</f>
        <v/>
      </c>
      <c r="AF90" s="62">
        <f>IF($V90&lt;&gt;"Sub","",N($X90)*IF(AND(ISNUMBER($G90),$G90&lt;=IF($S90=MesCiclo,InicioCiclo,$S90+MOD(2-WEEKDAY($S90),7))+20),1,MIN(1,MAX(0,IF(ISNUMBER(OFFSET($A$1,ROW()-1,10)),OFFSET($A$1,ROW()-1,10),IF(ISNUMBER(OFFSET($A$1,ROW()-1,9)),OFFSET($A$1,ROW()-1,9),IF(ISNUMBER(OFFSET($A$1,ROW()-1,8)),OFFSET($A$1,ROW()-1,8),0)))))))</f>
        <v/>
      </c>
      <c r="AG90" s="62">
        <f>IF($V90&lt;&gt;"Sub","",N($X90)*IF(AND(ISNUMBER($G90),$G90&lt;=IF($S90=MesCiclo,InicioCiclo,$S90+MOD(2-WEEKDAY($S90),7))+27),1,MIN(1,MAX(0,IF(ISNUMBER(OFFSET($A$1,ROW()-1,11)),OFFSET($A$1,ROW()-1,11),IF(ISNUMBER(OFFSET($A$1,ROW()-1,10)),OFFSET($A$1,ROW()-1,10),IF(ISNUMBER(OFFSET($A$1,ROW()-1,9)),OFFSET($A$1,ROW()-1,9),IF(ISNUMBER(OFFSET($A$1,ROW()-1,8)),OFFSET($A$1,ROW()-1,8),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",IFERROR(MATCH("Riesgo Financiero|"&amp;MID($C90,12,500),rDname_ADM,0),0),"")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IF(N($W91)=0,"",IF(AND($S91=MesCiclo,1&gt;SemanaActual),"",MIN(1,SUMIFS(OFFSET($A$1,ROW(),29,1000-ROW(),1),OFFSET($A$1,ROW(),20,1000-ROW(),1),ROW(),OFFSET($A$1,ROW(),21,1000-ROW(),1),"Sub"))))</f>
        <v/>
      </c>
      <c r="J91" s="60">
        <f>IF(N($W91)=0,"",IF(AND($S91=MesCiclo,2&gt;SemanaActual),"",MIN(1,SUMIFS(OFFSET($A$1,ROW(),30,1000-ROW(),1),OFFSET($A$1,ROW(),20,1000-ROW(),1),ROW(),OFFSET($A$1,ROW(),21,1000-ROW(),1),"Sub"))))</f>
        <v/>
      </c>
      <c r="K91" s="60">
        <f>IF(N($W91)=0,"",IF(AND($S91=MesCiclo,3&gt;SemanaActual),"",MIN(1,SUMIFS(OFFSET($A$1,ROW(),31,1000-ROW(),1),OFFSET($A$1,ROW(),20,1000-ROW(),1),ROW(),OFFSET($A$1,ROW(),21,1000-ROW(),1),"Sub"))))</f>
        <v/>
      </c>
      <c r="L91" s="60">
        <f>IF(N($W91)=0,"",IF(AND($S91=MesCiclo,4&gt;SemanaActual),"",MIN(1,SUMIFS(OFFSET($A$1,ROW(),32,1000-ROW(),1),OFFSET($A$1,ROW(),20,1000-ROW(),1),ROW(),OFFSET($A$1,ROW(),21,1000-ROW(),1),"Sub"))))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IF($V91&lt;&gt;"Sub","",N($X91)*IF(AND(ISNUMBER($G91),$G91&lt;=IF($S91=MesCiclo,InicioCiclo,$S91+MOD(2-WEEKDAY($S91),7))+6),1,MIN(1,MAX(0,IF(ISNUMBER(OFFSET($A$1,ROW()-1,8)),OFFSET($A$1,ROW()-1,8),0)))))</f>
        <v/>
      </c>
      <c r="AE91" s="62">
        <f>IF($V91&lt;&gt;"Sub","",N($X91)*IF(AND(ISNUMBER($G91),$G91&lt;=IF($S91=MesCiclo,InicioCiclo,$S91+MOD(2-WEEKDAY($S91),7))+13),1,MIN(1,MAX(0,IF(ISNUMBER(OFFSET($A$1,ROW()-1,9)),OFFSET($A$1,ROW()-1,9),IF(ISNUMBER(OFFSET($A$1,ROW()-1,8)),OFFSET($A$1,ROW()-1,8),0))))))</f>
        <v/>
      </c>
      <c r="AF91" s="62">
        <f>IF($V91&lt;&gt;"Sub","",N($X91)*IF(AND(ISNUMBER($G91),$G91&lt;=IF($S91=MesCiclo,InicioCiclo,$S91+MOD(2-WEEKDAY($S91),7))+20),1,MIN(1,MAX(0,IF(ISNUMBER(OFFSET($A$1,ROW()-1,10)),OFFSET($A$1,ROW()-1,10),IF(ISNUMBER(OFFSET($A$1,ROW()-1,9)),OFFSET($A$1,ROW()-1,9),IF(ISNUMBER(OFFSET($A$1,ROW()-1,8)),OFFSET($A$1,ROW()-1,8),0)))))))</f>
        <v/>
      </c>
      <c r="AG91" s="62">
        <f>IF($V91&lt;&gt;"Sub","",N($X91)*IF(AND(ISNUMBER($G91),$G91&lt;=IF($S91=MesCiclo,InicioCiclo,$S91+MOD(2-WEEKDAY($S91),7))+27),1,MIN(1,MAX(0,IF(ISNUMBER(OFFSET($A$1,ROW()-1,11)),OFFSET($A$1,ROW()-1,11),IF(ISNUMBER(OFFSET($A$1,ROW()-1,10)),OFFSET($A$1,ROW()-1,10),IF(ISNUMBER(OFFSET($A$1,ROW()-1,9)),OFFSET($A$1,ROW()-1,9),IF(ISNUMBER(OFFSET($A$1,ROW()-1,8)),OFFSET($A$1,ROW()-1,8),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",IFERROR(MATCH("Riesgo Financiero|"&amp;MID($C91,12,500),rDname_ADM,0),0),"")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IF(N($W92)=0,"",IF(AND($S92=MesCiclo,1&gt;SemanaActual),"",MIN(1,SUMIFS(OFFSET($A$1,ROW(),29,1000-ROW(),1),OFFSET($A$1,ROW(),20,1000-ROW(),1),ROW(),OFFSET($A$1,ROW(),21,1000-ROW(),1),"Sub"))))</f>
        <v/>
      </c>
      <c r="J92" s="60">
        <f>IF(N($W92)=0,"",IF(AND($S92=MesCiclo,2&gt;SemanaActual),"",MIN(1,SUMIFS(OFFSET($A$1,ROW(),30,1000-ROW(),1),OFFSET($A$1,ROW(),20,1000-ROW(),1),ROW(),OFFSET($A$1,ROW(),21,1000-ROW(),1),"Sub"))))</f>
        <v/>
      </c>
      <c r="K92" s="60">
        <f>IF(N($W92)=0,"",IF(AND($S92=MesCiclo,3&gt;SemanaActual),"",MIN(1,SUMIFS(OFFSET($A$1,ROW(),31,1000-ROW(),1),OFFSET($A$1,ROW(),20,1000-ROW(),1),ROW(),OFFSET($A$1,ROW(),21,1000-ROW(),1),"Sub"))))</f>
        <v/>
      </c>
      <c r="L92" s="60">
        <f>IF(N($W92)=0,"",IF(AND($S92=MesCiclo,4&gt;SemanaActual),"",MIN(1,SUMIFS(OFFSET($A$1,ROW(),32,1000-ROW(),1),OFFSET($A$1,ROW(),20,1000-ROW(),1),ROW(),OFFSET($A$1,ROW(),21,1000-ROW(),1),"Sub"))))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IF($V92&lt;&gt;"Sub","",N($X92)*IF(AND(ISNUMBER($G92),$G92&lt;=IF($S92=MesCiclo,InicioCiclo,$S92+MOD(2-WEEKDAY($S92),7))+6),1,MIN(1,MAX(0,IF(ISNUMBER(OFFSET($A$1,ROW()-1,8)),OFFSET($A$1,ROW()-1,8),0)))))</f>
        <v/>
      </c>
      <c r="AE92" s="62">
        <f>IF($V92&lt;&gt;"Sub","",N($X92)*IF(AND(ISNUMBER($G92),$G92&lt;=IF($S92=MesCiclo,InicioCiclo,$S92+MOD(2-WEEKDAY($S92),7))+13),1,MIN(1,MAX(0,IF(ISNUMBER(OFFSET($A$1,ROW()-1,9)),OFFSET($A$1,ROW()-1,9),IF(ISNUMBER(OFFSET($A$1,ROW()-1,8)),OFFSET($A$1,ROW()-1,8),0))))))</f>
        <v/>
      </c>
      <c r="AF92" s="62">
        <f>IF($V92&lt;&gt;"Sub","",N($X92)*IF(AND(ISNUMBER($G92),$G92&lt;=IF($S92=MesCiclo,InicioCiclo,$S92+MOD(2-WEEKDAY($S92),7))+20),1,MIN(1,MAX(0,IF(ISNUMBER(OFFSET($A$1,ROW()-1,10)),OFFSET($A$1,ROW()-1,10),IF(ISNUMBER(OFFSET($A$1,ROW()-1,9)),OFFSET($A$1,ROW()-1,9),IF(ISNUMBER(OFFSET($A$1,ROW()-1,8)),OFFSET($A$1,ROW()-1,8),0)))))))</f>
        <v/>
      </c>
      <c r="AG92" s="62">
        <f>IF($V92&lt;&gt;"Sub","",N($X92)*IF(AND(ISNUMBER($G92),$G92&lt;=IF($S92=MesCiclo,InicioCiclo,$S92+MOD(2-WEEKDAY($S92),7))+27),1,MIN(1,MAX(0,IF(ISNUMBER(OFFSET($A$1,ROW()-1,11)),OFFSET($A$1,ROW()-1,11),IF(ISNUMBER(OFFSET($A$1,ROW()-1,10)),OFFSET($A$1,ROW()-1,10),IF(ISNUMBER(OFFSET($A$1,ROW()-1,9)),OFFSET($A$1,ROW()-1,9),IF(ISNUMBER(OFFSET($A$1,ROW()-1,8)),OFFSET($A$1,ROW()-1,8),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",IFERROR(MATCH("Riesgo Financiero|"&amp;MID($C92,12,500),rDname_ADM,0),0),"")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IF(N($W93)=0,"",IF(AND($S93=MesCiclo,1&gt;SemanaActual),"",MIN(1,SUMIFS(OFFSET($A$1,ROW(),29,1000-ROW(),1),OFFSET($A$1,ROW(),20,1000-ROW(),1),ROW(),OFFSET($A$1,ROW(),21,1000-ROW(),1),"Sub"))))</f>
        <v/>
      </c>
      <c r="J93" s="60">
        <f>IF(N($W93)=0,"",IF(AND($S93=MesCiclo,2&gt;SemanaActual),"",MIN(1,SUMIFS(OFFSET($A$1,ROW(),30,1000-ROW(),1),OFFSET($A$1,ROW(),20,1000-ROW(),1),ROW(),OFFSET($A$1,ROW(),21,1000-ROW(),1),"Sub"))))</f>
        <v/>
      </c>
      <c r="K93" s="60">
        <f>IF(N($W93)=0,"",IF(AND($S93=MesCiclo,3&gt;SemanaActual),"",MIN(1,SUMIFS(OFFSET($A$1,ROW(),31,1000-ROW(),1),OFFSET($A$1,ROW(),20,1000-ROW(),1),ROW(),OFFSET($A$1,ROW(),21,1000-ROW(),1),"Sub"))))</f>
        <v/>
      </c>
      <c r="L93" s="60">
        <f>IF(N($W93)=0,"",IF(AND($S93=MesCiclo,4&gt;SemanaActual),"",MIN(1,SUMIFS(OFFSET($A$1,ROW(),32,1000-ROW(),1),OFFSET($A$1,ROW(),20,1000-ROW(),1),ROW(),OFFSET($A$1,ROW(),21,1000-ROW(),1),"Sub"))))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IF($V93&lt;&gt;"Sub","",N($X93)*IF(AND(ISNUMBER($G93),$G93&lt;=IF($S93=MesCiclo,InicioCiclo,$S93+MOD(2-WEEKDAY($S93),7))+6),1,MIN(1,MAX(0,IF(ISNUMBER(OFFSET($A$1,ROW()-1,8)),OFFSET($A$1,ROW()-1,8),0)))))</f>
        <v/>
      </c>
      <c r="AE93" s="62">
        <f>IF($V93&lt;&gt;"Sub","",N($X93)*IF(AND(ISNUMBER($G93),$G93&lt;=IF($S93=MesCiclo,InicioCiclo,$S93+MOD(2-WEEKDAY($S93),7))+13),1,MIN(1,MAX(0,IF(ISNUMBER(OFFSET($A$1,ROW()-1,9)),OFFSET($A$1,ROW()-1,9),IF(ISNUMBER(OFFSET($A$1,ROW()-1,8)),OFFSET($A$1,ROW()-1,8),0))))))</f>
        <v/>
      </c>
      <c r="AF93" s="62">
        <f>IF($V93&lt;&gt;"Sub","",N($X93)*IF(AND(ISNUMBER($G93),$G93&lt;=IF($S93=MesCiclo,InicioCiclo,$S93+MOD(2-WEEKDAY($S93),7))+20),1,MIN(1,MAX(0,IF(ISNUMBER(OFFSET($A$1,ROW()-1,10)),OFFSET($A$1,ROW()-1,10),IF(ISNUMBER(OFFSET($A$1,ROW()-1,9)),OFFSET($A$1,ROW()-1,9),IF(ISNUMBER(OFFSET($A$1,ROW()-1,8)),OFFSET($A$1,ROW()-1,8),0)))))))</f>
        <v/>
      </c>
      <c r="AG93" s="62">
        <f>IF($V93&lt;&gt;"Sub","",N($X93)*IF(AND(ISNUMBER($G93),$G93&lt;=IF($S93=MesCiclo,InicioCiclo,$S93+MOD(2-WEEKDAY($S93),7))+27),1,MIN(1,MAX(0,IF(ISNUMBER(OFFSET($A$1,ROW()-1,11)),OFFSET($A$1,ROW()-1,11),IF(ISNUMBER(OFFSET($A$1,ROW()-1,10)),OFFSET($A$1,ROW()-1,10),IF(ISNUMBER(OFFSET($A$1,ROW()-1,9)),OFFSET($A$1,ROW()-1,9),IF(ISNUMBER(OFFSET($A$1,ROW()-1,8)),OFFSET($A$1,ROW()-1,8),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",IFERROR(MATCH("Riesgo Financiero|"&amp;MID($C93,12,500),rDname_ADM,0),0),"")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IF(N($W94)=0,"",IF(AND($S94=MesCiclo,1&gt;SemanaActual),"",MIN(1,SUMIFS(OFFSET($A$1,ROW(),29,1000-ROW(),1),OFFSET($A$1,ROW(),20,1000-ROW(),1),ROW(),OFFSET($A$1,ROW(),21,1000-ROW(),1),"Sub"))))</f>
        <v/>
      </c>
      <c r="J94" s="60">
        <f>IF(N($W94)=0,"",IF(AND($S94=MesCiclo,2&gt;SemanaActual),"",MIN(1,SUMIFS(OFFSET($A$1,ROW(),30,1000-ROW(),1),OFFSET($A$1,ROW(),20,1000-ROW(),1),ROW(),OFFSET($A$1,ROW(),21,1000-ROW(),1),"Sub"))))</f>
        <v/>
      </c>
      <c r="K94" s="60">
        <f>IF(N($W94)=0,"",IF(AND($S94=MesCiclo,3&gt;SemanaActual),"",MIN(1,SUMIFS(OFFSET($A$1,ROW(),31,1000-ROW(),1),OFFSET($A$1,ROW(),20,1000-ROW(),1),ROW(),OFFSET($A$1,ROW(),21,1000-ROW(),1),"Sub"))))</f>
        <v/>
      </c>
      <c r="L94" s="60">
        <f>IF(N($W94)=0,"",IF(AND($S94=MesCiclo,4&gt;SemanaActual),"",MIN(1,SUMIFS(OFFSET($A$1,ROW(),32,1000-ROW(),1),OFFSET($A$1,ROW(),20,1000-ROW(),1),ROW(),OFFSET($A$1,ROW(),21,1000-ROW(),1),"Sub"))))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IF($V94&lt;&gt;"Sub","",N($X94)*IF(AND(ISNUMBER($G94),$G94&lt;=IF($S94=MesCiclo,InicioCiclo,$S94+MOD(2-WEEKDAY($S94),7))+6),1,MIN(1,MAX(0,IF(ISNUMBER(OFFSET($A$1,ROW()-1,8)),OFFSET($A$1,ROW()-1,8),0)))))</f>
        <v/>
      </c>
      <c r="AE94" s="62">
        <f>IF($V94&lt;&gt;"Sub","",N($X94)*IF(AND(ISNUMBER($G94),$G94&lt;=IF($S94=MesCiclo,InicioCiclo,$S94+MOD(2-WEEKDAY($S94),7))+13),1,MIN(1,MAX(0,IF(ISNUMBER(OFFSET($A$1,ROW()-1,9)),OFFSET($A$1,ROW()-1,9),IF(ISNUMBER(OFFSET($A$1,ROW()-1,8)),OFFSET($A$1,ROW()-1,8),0))))))</f>
        <v/>
      </c>
      <c r="AF94" s="62">
        <f>IF($V94&lt;&gt;"Sub","",N($X94)*IF(AND(ISNUMBER($G94),$G94&lt;=IF($S94=MesCiclo,InicioCiclo,$S94+MOD(2-WEEKDAY($S94),7))+20),1,MIN(1,MAX(0,IF(ISNUMBER(OFFSET($A$1,ROW()-1,10)),OFFSET($A$1,ROW()-1,10),IF(ISNUMBER(OFFSET($A$1,ROW()-1,9)),OFFSET($A$1,ROW()-1,9),IF(ISNUMBER(OFFSET($A$1,ROW()-1,8)),OFFSET($A$1,ROW()-1,8),0)))))))</f>
        <v/>
      </c>
      <c r="AG94" s="62">
        <f>IF($V94&lt;&gt;"Sub","",N($X94)*IF(AND(ISNUMBER($G94),$G94&lt;=IF($S94=MesCiclo,InicioCiclo,$S94+MOD(2-WEEKDAY($S94),7))+27),1,MIN(1,MAX(0,IF(ISNUMBER(OFFSET($A$1,ROW()-1,11)),OFFSET($A$1,ROW()-1,11),IF(ISNUMBER(OFFSET($A$1,ROW()-1,10)),OFFSET($A$1,ROW()-1,10),IF(ISNUMBER(OFFSET($A$1,ROW()-1,9)),OFFSET($A$1,ROW()-1,9),IF(ISNUMBER(OFFSET($A$1,ROW()-1,8)),OFFSET($A$1,ROW()-1,8),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",IFERROR(MATCH("Riesgo Financiero|"&amp;MID($C94,12,500),rDname_ADM,0),0),"")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IF(N($W95)=0,"",IF(AND($S95=MesCiclo,1&gt;SemanaActual),"",MIN(1,SUMIFS(OFFSET($A$1,ROW(),29,1000-ROW(),1),OFFSET($A$1,ROW(),20,1000-ROW(),1),ROW(),OFFSET($A$1,ROW(),21,1000-ROW(),1),"Sub"))))</f>
        <v/>
      </c>
      <c r="J95" s="60">
        <f>IF(N($W95)=0,"",IF(AND($S95=MesCiclo,2&gt;SemanaActual),"",MIN(1,SUMIFS(OFFSET($A$1,ROW(),30,1000-ROW(),1),OFFSET($A$1,ROW(),20,1000-ROW(),1),ROW(),OFFSET($A$1,ROW(),21,1000-ROW(),1),"Sub"))))</f>
        <v/>
      </c>
      <c r="K95" s="60">
        <f>IF(N($W95)=0,"",IF(AND($S95=MesCiclo,3&gt;SemanaActual),"",MIN(1,SUMIFS(OFFSET($A$1,ROW(),31,1000-ROW(),1),OFFSET($A$1,ROW(),20,1000-ROW(),1),ROW(),OFFSET($A$1,ROW(),21,1000-ROW(),1),"Sub"))))</f>
        <v/>
      </c>
      <c r="L95" s="60">
        <f>IF(N($W95)=0,"",IF(AND($S95=MesCiclo,4&gt;SemanaActual),"",MIN(1,SUMIFS(OFFSET($A$1,ROW(),32,1000-ROW(),1),OFFSET($A$1,ROW(),20,1000-ROW(),1),ROW(),OFFSET($A$1,ROW(),21,1000-ROW(),1),"Sub"))))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IF($V95&lt;&gt;"Sub","",N($X95)*IF(AND(ISNUMBER($G95),$G95&lt;=IF($S95=MesCiclo,InicioCiclo,$S95+MOD(2-WEEKDAY($S95),7))+6),1,MIN(1,MAX(0,IF(ISNUMBER(OFFSET($A$1,ROW()-1,8)),OFFSET($A$1,ROW()-1,8),0)))))</f>
        <v/>
      </c>
      <c r="AE95" s="62">
        <f>IF($V95&lt;&gt;"Sub","",N($X95)*IF(AND(ISNUMBER($G95),$G95&lt;=IF($S95=MesCiclo,InicioCiclo,$S95+MOD(2-WEEKDAY($S95),7))+13),1,MIN(1,MAX(0,IF(ISNUMBER(OFFSET($A$1,ROW()-1,9)),OFFSET($A$1,ROW()-1,9),IF(ISNUMBER(OFFSET($A$1,ROW()-1,8)),OFFSET($A$1,ROW()-1,8),0))))))</f>
        <v/>
      </c>
      <c r="AF95" s="62">
        <f>IF($V95&lt;&gt;"Sub","",N($X95)*IF(AND(ISNUMBER($G95),$G95&lt;=IF($S95=MesCiclo,InicioCiclo,$S95+MOD(2-WEEKDAY($S95),7))+20),1,MIN(1,MAX(0,IF(ISNUMBER(OFFSET($A$1,ROW()-1,10)),OFFSET($A$1,ROW()-1,10),IF(ISNUMBER(OFFSET($A$1,ROW()-1,9)),OFFSET($A$1,ROW()-1,9),IF(ISNUMBER(OFFSET($A$1,ROW()-1,8)),OFFSET($A$1,ROW()-1,8),0)))))))</f>
        <v/>
      </c>
      <c r="AG95" s="62">
        <f>IF($V95&lt;&gt;"Sub","",N($X95)*IF(AND(ISNUMBER($G95),$G95&lt;=IF($S95=MesCiclo,InicioCiclo,$S95+MOD(2-WEEKDAY($S95),7))+27),1,MIN(1,MAX(0,IF(ISNUMBER(OFFSET($A$1,ROW()-1,11)),OFFSET($A$1,ROW()-1,11),IF(ISNUMBER(OFFSET($A$1,ROW()-1,10)),OFFSET($A$1,ROW()-1,10),IF(ISNUMBER(OFFSET($A$1,ROW()-1,9)),OFFSET($A$1,ROW()-1,9),IF(ISNUMBER(OFFSET($A$1,ROW()-1,8)),OFFSET($A$1,ROW()-1,8),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",IFERROR(MATCH("Riesgo Financiero|"&amp;MID($C95,12,500),rDname_ADM,0),0),"")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IF(N($W96)=0,"",IF(AND($S96=MesCiclo,1&gt;SemanaActual),"",MIN(1,SUMIFS(OFFSET($A$1,ROW(),29,1000-ROW(),1),OFFSET($A$1,ROW(),20,1000-ROW(),1),ROW(),OFFSET($A$1,ROW(),21,1000-ROW(),1),"Sub"))))</f>
        <v/>
      </c>
      <c r="J96" s="60">
        <f>IF(N($W96)=0,"",IF(AND($S96=MesCiclo,2&gt;SemanaActual),"",MIN(1,SUMIFS(OFFSET($A$1,ROW(),30,1000-ROW(),1),OFFSET($A$1,ROW(),20,1000-ROW(),1),ROW(),OFFSET($A$1,ROW(),21,1000-ROW(),1),"Sub"))))</f>
        <v/>
      </c>
      <c r="K96" s="60">
        <f>IF(N($W96)=0,"",IF(AND($S96=MesCiclo,3&gt;SemanaActual),"",MIN(1,SUMIFS(OFFSET($A$1,ROW(),31,1000-ROW(),1),OFFSET($A$1,ROW(),20,1000-ROW(),1),ROW(),OFFSET($A$1,ROW(),21,1000-ROW(),1),"Sub"))))</f>
        <v/>
      </c>
      <c r="L96" s="60">
        <f>IF(N($W96)=0,"",IF(AND($S96=MesCiclo,4&gt;SemanaActual),"",MIN(1,SUMIFS(OFFSET($A$1,ROW(),32,1000-ROW(),1),OFFSET($A$1,ROW(),20,1000-ROW(),1),ROW(),OFFSET($A$1,ROW(),21,1000-ROW(),1),"Sub"))))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IF($V96&lt;&gt;"Sub","",N($X96)*IF(AND(ISNUMBER($G96),$G96&lt;=IF($S96=MesCiclo,InicioCiclo,$S96+MOD(2-WEEKDAY($S96),7))+6),1,MIN(1,MAX(0,IF(ISNUMBER(OFFSET($A$1,ROW()-1,8)),OFFSET($A$1,ROW()-1,8),0)))))</f>
        <v/>
      </c>
      <c r="AE96" s="62">
        <f>IF($V96&lt;&gt;"Sub","",N($X96)*IF(AND(ISNUMBER($G96),$G96&lt;=IF($S96=MesCiclo,InicioCiclo,$S96+MOD(2-WEEKDAY($S96),7))+13),1,MIN(1,MAX(0,IF(ISNUMBER(OFFSET($A$1,ROW()-1,9)),OFFSET($A$1,ROW()-1,9),IF(ISNUMBER(OFFSET($A$1,ROW()-1,8)),OFFSET($A$1,ROW()-1,8),0))))))</f>
        <v/>
      </c>
      <c r="AF96" s="62">
        <f>IF($V96&lt;&gt;"Sub","",N($X96)*IF(AND(ISNUMBER($G96),$G96&lt;=IF($S96=MesCiclo,InicioCiclo,$S96+MOD(2-WEEKDAY($S96),7))+20),1,MIN(1,MAX(0,IF(ISNUMBER(OFFSET($A$1,ROW()-1,10)),OFFSET($A$1,ROW()-1,10),IF(ISNUMBER(OFFSET($A$1,ROW()-1,9)),OFFSET($A$1,ROW()-1,9),IF(ISNUMBER(OFFSET($A$1,ROW()-1,8)),OFFSET($A$1,ROW()-1,8),0)))))))</f>
        <v/>
      </c>
      <c r="AG96" s="62">
        <f>IF($V96&lt;&gt;"Sub","",N($X96)*IF(AND(ISNUMBER($G96),$G96&lt;=IF($S96=MesCiclo,InicioCiclo,$S96+MOD(2-WEEKDAY($S96),7))+27),1,MIN(1,MAX(0,IF(ISNUMBER(OFFSET($A$1,ROW()-1,11)),OFFSET($A$1,ROW()-1,11),IF(ISNUMBER(OFFSET($A$1,ROW()-1,10)),OFFSET($A$1,ROW()-1,10),IF(ISNUMBER(OFFSET($A$1,ROW()-1,9)),OFFSET($A$1,ROW()-1,9),IF(ISNUMBER(OFFSET($A$1,ROW()-1,8)),OFFSET($A$1,ROW()-1,8),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",IFERROR(MATCH("Riesgo Financiero|"&amp;MID($C96,12,500),rDname_ADM,0),0),"")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IF(N($W97)=0,"",IF(AND($S97=MesCiclo,1&gt;SemanaActual),"",MIN(1,SUMIFS(OFFSET($A$1,ROW(),29,1000-ROW(),1),OFFSET($A$1,ROW(),20,1000-ROW(),1),ROW(),OFFSET($A$1,ROW(),21,1000-ROW(),1),"Sub"))))</f>
        <v/>
      </c>
      <c r="J97" s="60">
        <f>IF(N($W97)=0,"",IF(AND($S97=MesCiclo,2&gt;SemanaActual),"",MIN(1,SUMIFS(OFFSET($A$1,ROW(),30,1000-ROW(),1),OFFSET($A$1,ROW(),20,1000-ROW(),1),ROW(),OFFSET($A$1,ROW(),21,1000-ROW(),1),"Sub"))))</f>
        <v/>
      </c>
      <c r="K97" s="60">
        <f>IF(N($W97)=0,"",IF(AND($S97=MesCiclo,3&gt;SemanaActual),"",MIN(1,SUMIFS(OFFSET($A$1,ROW(),31,1000-ROW(),1),OFFSET($A$1,ROW(),20,1000-ROW(),1),ROW(),OFFSET($A$1,ROW(),21,1000-ROW(),1),"Sub"))))</f>
        <v/>
      </c>
      <c r="L97" s="60">
        <f>IF(N($W97)=0,"",IF(AND($S97=MesCiclo,4&gt;SemanaActual),"",MIN(1,SUMIFS(OFFSET($A$1,ROW(),32,1000-ROW(),1),OFFSET($A$1,ROW(),20,1000-ROW(),1),ROW(),OFFSET($A$1,ROW(),21,1000-ROW(),1),"Sub"))))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IF($V97&lt;&gt;"Sub","",N($X97)*IF(AND(ISNUMBER($G97),$G97&lt;=IF($S97=MesCiclo,InicioCiclo,$S97+MOD(2-WEEKDAY($S97),7))+6),1,MIN(1,MAX(0,IF(ISNUMBER(OFFSET($A$1,ROW()-1,8)),OFFSET($A$1,ROW()-1,8),0)))))</f>
        <v/>
      </c>
      <c r="AE97" s="62">
        <f>IF($V97&lt;&gt;"Sub","",N($X97)*IF(AND(ISNUMBER($G97),$G97&lt;=IF($S97=MesCiclo,InicioCiclo,$S97+MOD(2-WEEKDAY($S97),7))+13),1,MIN(1,MAX(0,IF(ISNUMBER(OFFSET($A$1,ROW()-1,9)),OFFSET($A$1,ROW()-1,9),IF(ISNUMBER(OFFSET($A$1,ROW()-1,8)),OFFSET($A$1,ROW()-1,8),0))))))</f>
        <v/>
      </c>
      <c r="AF97" s="62">
        <f>IF($V97&lt;&gt;"Sub","",N($X97)*IF(AND(ISNUMBER($G97),$G97&lt;=IF($S97=MesCiclo,InicioCiclo,$S97+MOD(2-WEEKDAY($S97),7))+20),1,MIN(1,MAX(0,IF(ISNUMBER(OFFSET($A$1,ROW()-1,10)),OFFSET($A$1,ROW()-1,10),IF(ISNUMBER(OFFSET($A$1,ROW()-1,9)),OFFSET($A$1,ROW()-1,9),IF(ISNUMBER(OFFSET($A$1,ROW()-1,8)),OFFSET($A$1,ROW()-1,8),0)))))))</f>
        <v/>
      </c>
      <c r="AG97" s="62">
        <f>IF($V97&lt;&gt;"Sub","",N($X97)*IF(AND(ISNUMBER($G97),$G97&lt;=IF($S97=MesCiclo,InicioCiclo,$S97+MOD(2-WEEKDAY($S97),7))+27),1,MIN(1,MAX(0,IF(ISNUMBER(OFFSET($A$1,ROW()-1,11)),OFFSET($A$1,ROW()-1,11),IF(ISNUMBER(OFFSET($A$1,ROW()-1,10)),OFFSET($A$1,ROW()-1,10),IF(ISNUMBER(OFFSET($A$1,ROW()-1,9)),OFFSET($A$1,ROW()-1,9),IF(ISNUMBER(OFFSET($A$1,ROW()-1,8)),OFFSET($A$1,ROW()-1,8),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",IFERROR(MATCH("Riesgo Financiero|"&amp;MID($C97,12,500),rDname_ADM,0),0),"")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IF(N($W98)=0,"",IF(AND($S98=MesCiclo,1&gt;SemanaActual),"",MIN(1,SUMIFS(OFFSET($A$1,ROW(),29,1000-ROW(),1),OFFSET($A$1,ROW(),20,1000-ROW(),1),ROW(),OFFSET($A$1,ROW(),21,1000-ROW(),1),"Sub"))))</f>
        <v/>
      </c>
      <c r="J98" s="60">
        <f>IF(N($W98)=0,"",IF(AND($S98=MesCiclo,2&gt;SemanaActual),"",MIN(1,SUMIFS(OFFSET($A$1,ROW(),30,1000-ROW(),1),OFFSET($A$1,ROW(),20,1000-ROW(),1),ROW(),OFFSET($A$1,ROW(),21,1000-ROW(),1),"Sub"))))</f>
        <v/>
      </c>
      <c r="K98" s="60">
        <f>IF(N($W98)=0,"",IF(AND($S98=MesCiclo,3&gt;SemanaActual),"",MIN(1,SUMIFS(OFFSET($A$1,ROW(),31,1000-ROW(),1),OFFSET($A$1,ROW(),20,1000-ROW(),1),ROW(),OFFSET($A$1,ROW(),21,1000-ROW(),1),"Sub"))))</f>
        <v/>
      </c>
      <c r="L98" s="60">
        <f>IF(N($W98)=0,"",IF(AND($S98=MesCiclo,4&gt;SemanaActual),"",MIN(1,SUMIFS(OFFSET($A$1,ROW(),32,1000-ROW(),1),OFFSET($A$1,ROW(),20,1000-ROW(),1),ROW(),OFFSET($A$1,ROW(),21,1000-ROW(),1),"Sub"))))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IF($V98&lt;&gt;"Sub","",N($X98)*IF(AND(ISNUMBER($G98),$G98&lt;=IF($S98=MesCiclo,InicioCiclo,$S98+MOD(2-WEEKDAY($S98),7))+6),1,MIN(1,MAX(0,IF(ISNUMBER(OFFSET($A$1,ROW()-1,8)),OFFSET($A$1,ROW()-1,8),0)))))</f>
        <v/>
      </c>
      <c r="AE98" s="62">
        <f>IF($V98&lt;&gt;"Sub","",N($X98)*IF(AND(ISNUMBER($G98),$G98&lt;=IF($S98=MesCiclo,InicioCiclo,$S98+MOD(2-WEEKDAY($S98),7))+13),1,MIN(1,MAX(0,IF(ISNUMBER(OFFSET($A$1,ROW()-1,9)),OFFSET($A$1,ROW()-1,9),IF(ISNUMBER(OFFSET($A$1,ROW()-1,8)),OFFSET($A$1,ROW()-1,8),0))))))</f>
        <v/>
      </c>
      <c r="AF98" s="62">
        <f>IF($V98&lt;&gt;"Sub","",N($X98)*IF(AND(ISNUMBER($G98),$G98&lt;=IF($S98=MesCiclo,InicioCiclo,$S98+MOD(2-WEEKDAY($S98),7))+20),1,MIN(1,MAX(0,IF(ISNUMBER(OFFSET($A$1,ROW()-1,10)),OFFSET($A$1,ROW()-1,10),IF(ISNUMBER(OFFSET($A$1,ROW()-1,9)),OFFSET($A$1,ROW()-1,9),IF(ISNUMBER(OFFSET($A$1,ROW()-1,8)),OFFSET($A$1,ROW()-1,8),0)))))))</f>
        <v/>
      </c>
      <c r="AG98" s="62">
        <f>IF($V98&lt;&gt;"Sub","",N($X98)*IF(AND(ISNUMBER($G98),$G98&lt;=IF($S98=MesCiclo,InicioCiclo,$S98+MOD(2-WEEKDAY($S98),7))+27),1,MIN(1,MAX(0,IF(ISNUMBER(OFFSET($A$1,ROW()-1,11)),OFFSET($A$1,ROW()-1,11),IF(ISNUMBER(OFFSET($A$1,ROW()-1,10)),OFFSET($A$1,ROW()-1,10),IF(ISNUMBER(OFFSET($A$1,ROW()-1,9)),OFFSET($A$1,ROW()-1,9),IF(ISNUMBER(OFFSET($A$1,ROW()-1,8)),OFFSET($A$1,ROW()-1,8),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",IFERROR(MATCH("Riesgo Financiero|"&amp;MID($C98,12,500),rDname_ADM,0),0),"")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IF(N($W99)=0,"",IF(AND($S99=MesCiclo,1&gt;SemanaActual),"",MIN(1,SUMIFS(OFFSET($A$1,ROW(),29,1000-ROW(),1),OFFSET($A$1,ROW(),20,1000-ROW(),1),ROW(),OFFSET($A$1,ROW(),21,1000-ROW(),1),"Sub"))))</f>
        <v/>
      </c>
      <c r="J99" s="60">
        <f>IF(N($W99)=0,"",IF(AND($S99=MesCiclo,2&gt;SemanaActual),"",MIN(1,SUMIFS(OFFSET($A$1,ROW(),30,1000-ROW(),1),OFFSET($A$1,ROW(),20,1000-ROW(),1),ROW(),OFFSET($A$1,ROW(),21,1000-ROW(),1),"Sub"))))</f>
        <v/>
      </c>
      <c r="K99" s="60">
        <f>IF(N($W99)=0,"",IF(AND($S99=MesCiclo,3&gt;SemanaActual),"",MIN(1,SUMIFS(OFFSET($A$1,ROW(),31,1000-ROW(),1),OFFSET($A$1,ROW(),20,1000-ROW(),1),ROW(),OFFSET($A$1,ROW(),21,1000-ROW(),1),"Sub"))))</f>
        <v/>
      </c>
      <c r="L99" s="60">
        <f>IF(N($W99)=0,"",IF(AND($S99=MesCiclo,4&gt;SemanaActual),"",MIN(1,SUMIFS(OFFSET($A$1,ROW(),32,1000-ROW(),1),OFFSET($A$1,ROW(),20,1000-ROW(),1),ROW(),OFFSET($A$1,ROW(),21,1000-ROW(),1),"Sub"))))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IF($V99&lt;&gt;"Sub","",N($X99)*IF(AND(ISNUMBER($G99),$G99&lt;=IF($S99=MesCiclo,InicioCiclo,$S99+MOD(2-WEEKDAY($S99),7))+6),1,MIN(1,MAX(0,IF(ISNUMBER(OFFSET($A$1,ROW()-1,8)),OFFSET($A$1,ROW()-1,8),0)))))</f>
        <v/>
      </c>
      <c r="AE99" s="62">
        <f>IF($V99&lt;&gt;"Sub","",N($X99)*IF(AND(ISNUMBER($G99),$G99&lt;=IF($S99=MesCiclo,InicioCiclo,$S99+MOD(2-WEEKDAY($S99),7))+13),1,MIN(1,MAX(0,IF(ISNUMBER(OFFSET($A$1,ROW()-1,9)),OFFSET($A$1,ROW()-1,9),IF(ISNUMBER(OFFSET($A$1,ROW()-1,8)),OFFSET($A$1,ROW()-1,8),0))))))</f>
        <v/>
      </c>
      <c r="AF99" s="62">
        <f>IF($V99&lt;&gt;"Sub","",N($X99)*IF(AND(ISNUMBER($G99),$G99&lt;=IF($S99=MesCiclo,InicioCiclo,$S99+MOD(2-WEEKDAY($S99),7))+20),1,MIN(1,MAX(0,IF(ISNUMBER(OFFSET($A$1,ROW()-1,10)),OFFSET($A$1,ROW()-1,10),IF(ISNUMBER(OFFSET($A$1,ROW()-1,9)),OFFSET($A$1,ROW()-1,9),IF(ISNUMBER(OFFSET($A$1,ROW()-1,8)),OFFSET($A$1,ROW()-1,8),0)))))))</f>
        <v/>
      </c>
      <c r="AG99" s="62">
        <f>IF($V99&lt;&gt;"Sub","",N($X99)*IF(AND(ISNUMBER($G99),$G99&lt;=IF($S99=MesCiclo,InicioCiclo,$S99+MOD(2-WEEKDAY($S99),7))+27),1,MIN(1,MAX(0,IF(ISNUMBER(OFFSET($A$1,ROW()-1,11)),OFFSET($A$1,ROW()-1,11),IF(ISNUMBER(OFFSET($A$1,ROW()-1,10)),OFFSET($A$1,ROW()-1,10),IF(ISNUMBER(OFFSET($A$1,ROW()-1,9)),OFFSET($A$1,ROW()-1,9),IF(ISNUMBER(OFFSET($A$1,ROW()-1,8)),OFFSET($A$1,ROW()-1,8),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",IFERROR(MATCH("Riesgo Financiero|"&amp;MID($C99,12,500),rDname_ADM,0),0),"")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IF(N($W100)=0,"",IF(AND($S100=MesCiclo,1&gt;SemanaActual),"",MIN(1,SUMIFS(OFFSET($A$1,ROW(),29,1000-ROW(),1),OFFSET($A$1,ROW(),20,1000-ROW(),1),ROW(),OFFSET($A$1,ROW(),21,1000-ROW(),1),"Sub"))))</f>
        <v/>
      </c>
      <c r="J100" s="60">
        <f>IF(N($W100)=0,"",IF(AND($S100=MesCiclo,2&gt;SemanaActual),"",MIN(1,SUMIFS(OFFSET($A$1,ROW(),30,1000-ROW(),1),OFFSET($A$1,ROW(),20,1000-ROW(),1),ROW(),OFFSET($A$1,ROW(),21,1000-ROW(),1),"Sub"))))</f>
        <v/>
      </c>
      <c r="K100" s="60">
        <f>IF(N($W100)=0,"",IF(AND($S100=MesCiclo,3&gt;SemanaActual),"",MIN(1,SUMIFS(OFFSET($A$1,ROW(),31,1000-ROW(),1),OFFSET($A$1,ROW(),20,1000-ROW(),1),ROW(),OFFSET($A$1,ROW(),21,1000-ROW(),1),"Sub"))))</f>
        <v/>
      </c>
      <c r="L100" s="60">
        <f>IF(N($W100)=0,"",IF(AND($S100=MesCiclo,4&gt;SemanaActual),"",MIN(1,SUMIFS(OFFSET($A$1,ROW(),32,1000-ROW(),1),OFFSET($A$1,ROW(),20,1000-ROW(),1),ROW(),OFFSET($A$1,ROW(),21,1000-ROW(),1),"Sub"))))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IF($V100&lt;&gt;"Sub","",N($X100)*IF(AND(ISNUMBER($G100),$G100&lt;=IF($S100=MesCiclo,InicioCiclo,$S100+MOD(2-WEEKDAY($S100),7))+6),1,MIN(1,MAX(0,IF(ISNUMBER(OFFSET($A$1,ROW()-1,8)),OFFSET($A$1,ROW()-1,8),0)))))</f>
        <v/>
      </c>
      <c r="AE100" s="62">
        <f>IF($V100&lt;&gt;"Sub","",N($X100)*IF(AND(ISNUMBER($G100),$G100&lt;=IF($S100=MesCiclo,InicioCiclo,$S100+MOD(2-WEEKDAY($S100),7))+13),1,MIN(1,MAX(0,IF(ISNUMBER(OFFSET($A$1,ROW()-1,9)),OFFSET($A$1,ROW()-1,9),IF(ISNUMBER(OFFSET($A$1,ROW()-1,8)),OFFSET($A$1,ROW()-1,8),0))))))</f>
        <v/>
      </c>
      <c r="AF100" s="62">
        <f>IF($V100&lt;&gt;"Sub","",N($X100)*IF(AND(ISNUMBER($G100),$G100&lt;=IF($S100=MesCiclo,InicioCiclo,$S100+MOD(2-WEEKDAY($S100),7))+20),1,MIN(1,MAX(0,IF(ISNUMBER(OFFSET($A$1,ROW()-1,10)),OFFSET($A$1,ROW()-1,10),IF(ISNUMBER(OFFSET($A$1,ROW()-1,9)),OFFSET($A$1,ROW()-1,9),IF(ISNUMBER(OFFSET($A$1,ROW()-1,8)),OFFSET($A$1,ROW()-1,8),0)))))))</f>
        <v/>
      </c>
      <c r="AG100" s="62">
        <f>IF($V100&lt;&gt;"Sub","",N($X100)*IF(AND(ISNUMBER($G100),$G100&lt;=IF($S100=MesCiclo,InicioCiclo,$S100+MOD(2-WEEKDAY($S100),7))+27),1,MIN(1,MAX(0,IF(ISNUMBER(OFFSET($A$1,ROW()-1,11)),OFFSET($A$1,ROW()-1,11),IF(ISNUMBER(OFFSET($A$1,ROW()-1,10)),OFFSET($A$1,ROW()-1,10),IF(ISNUMBER(OFFSET($A$1,ROW()-1,9)),OFFSET($A$1,ROW()-1,9),IF(ISNUMBER(OFFSET($A$1,ROW()-1,8)),OFFSET($A$1,ROW()-1,8),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",IFERROR(MATCH("Riesgo Financiero|"&amp;MID($C100,12,500),rDname_ADM,0),0),"")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IF(N($W101)=0,"",IF(AND($S101=MesCiclo,1&gt;SemanaActual),"",MIN(1,SUMIFS(OFFSET($A$1,ROW(),29,1000-ROW(),1),OFFSET($A$1,ROW(),20,1000-ROW(),1),ROW(),OFFSET($A$1,ROW(),21,1000-ROW(),1),"Sub"))))</f>
        <v/>
      </c>
      <c r="J101" s="60">
        <f>IF(N($W101)=0,"",IF(AND($S101=MesCiclo,2&gt;SemanaActual),"",MIN(1,SUMIFS(OFFSET($A$1,ROW(),30,1000-ROW(),1),OFFSET($A$1,ROW(),20,1000-ROW(),1),ROW(),OFFSET($A$1,ROW(),21,1000-ROW(),1),"Sub"))))</f>
        <v/>
      </c>
      <c r="K101" s="60">
        <f>IF(N($W101)=0,"",IF(AND($S101=MesCiclo,3&gt;SemanaActual),"",MIN(1,SUMIFS(OFFSET($A$1,ROW(),31,1000-ROW(),1),OFFSET($A$1,ROW(),20,1000-ROW(),1),ROW(),OFFSET($A$1,ROW(),21,1000-ROW(),1),"Sub"))))</f>
        <v/>
      </c>
      <c r="L101" s="60">
        <f>IF(N($W101)=0,"",IF(AND($S101=MesCiclo,4&gt;SemanaActual),"",MIN(1,SUMIFS(OFFSET($A$1,ROW(),32,1000-ROW(),1),OFFSET($A$1,ROW(),20,1000-ROW(),1),ROW(),OFFSET($A$1,ROW(),21,1000-ROW(),1),"Sub"))))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IF($V101&lt;&gt;"Sub","",N($X101)*IF(AND(ISNUMBER($G101),$G101&lt;=IF($S101=MesCiclo,InicioCiclo,$S101+MOD(2-WEEKDAY($S101),7))+6),1,MIN(1,MAX(0,IF(ISNUMBER(OFFSET($A$1,ROW()-1,8)),OFFSET($A$1,ROW()-1,8),0)))))</f>
        <v/>
      </c>
      <c r="AE101" s="62">
        <f>IF($V101&lt;&gt;"Sub","",N($X101)*IF(AND(ISNUMBER($G101),$G101&lt;=IF($S101=MesCiclo,InicioCiclo,$S101+MOD(2-WEEKDAY($S101),7))+13),1,MIN(1,MAX(0,IF(ISNUMBER(OFFSET($A$1,ROW()-1,9)),OFFSET($A$1,ROW()-1,9),IF(ISNUMBER(OFFSET($A$1,ROW()-1,8)),OFFSET($A$1,ROW()-1,8),0))))))</f>
        <v/>
      </c>
      <c r="AF101" s="62">
        <f>IF($V101&lt;&gt;"Sub","",N($X101)*IF(AND(ISNUMBER($G101),$G101&lt;=IF($S101=MesCiclo,InicioCiclo,$S101+MOD(2-WEEKDAY($S101),7))+20),1,MIN(1,MAX(0,IF(ISNUMBER(OFFSET($A$1,ROW()-1,10)),OFFSET($A$1,ROW()-1,10),IF(ISNUMBER(OFFSET($A$1,ROW()-1,9)),OFFSET($A$1,ROW()-1,9),IF(ISNUMBER(OFFSET($A$1,ROW()-1,8)),OFFSET($A$1,ROW()-1,8),0)))))))</f>
        <v/>
      </c>
      <c r="AG101" s="62">
        <f>IF($V101&lt;&gt;"Sub","",N($X101)*IF(AND(ISNUMBER($G101),$G101&lt;=IF($S101=MesCiclo,InicioCiclo,$S101+MOD(2-WEEKDAY($S101),7))+27),1,MIN(1,MAX(0,IF(ISNUMBER(OFFSET($A$1,ROW()-1,11)),OFFSET($A$1,ROW()-1,11),IF(ISNUMBER(OFFSET($A$1,ROW()-1,10)),OFFSET($A$1,ROW()-1,10),IF(ISNUMBER(OFFSET($A$1,ROW()-1,9)),OFFSET($A$1,ROW()-1,9),IF(ISNUMBER(OFFSET($A$1,ROW()-1,8)),OFFSET($A$1,ROW()-1,8),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",IFERROR(MATCH("Riesgo Financiero|"&amp;MID($C101,12,500),rDname_ADM,0),0),"")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IF(N($W102)=0,"",IF(AND($S102=MesCiclo,1&gt;SemanaActual),"",MIN(1,SUMIFS(OFFSET($A$1,ROW(),29,1000-ROW(),1),OFFSET($A$1,ROW(),20,1000-ROW(),1),ROW(),OFFSET($A$1,ROW(),21,1000-ROW(),1),"Sub"))))</f>
        <v/>
      </c>
      <c r="J102" s="60">
        <f>IF(N($W102)=0,"",IF(AND($S102=MesCiclo,2&gt;SemanaActual),"",MIN(1,SUMIFS(OFFSET($A$1,ROW(),30,1000-ROW(),1),OFFSET($A$1,ROW(),20,1000-ROW(),1),ROW(),OFFSET($A$1,ROW(),21,1000-ROW(),1),"Sub"))))</f>
        <v/>
      </c>
      <c r="K102" s="60">
        <f>IF(N($W102)=0,"",IF(AND($S102=MesCiclo,3&gt;SemanaActual),"",MIN(1,SUMIFS(OFFSET($A$1,ROW(),31,1000-ROW(),1),OFFSET($A$1,ROW(),20,1000-ROW(),1),ROW(),OFFSET($A$1,ROW(),21,1000-ROW(),1),"Sub"))))</f>
        <v/>
      </c>
      <c r="L102" s="60">
        <f>IF(N($W102)=0,"",IF(AND($S102=MesCiclo,4&gt;SemanaActual),"",MIN(1,SUMIFS(OFFSET($A$1,ROW(),32,1000-ROW(),1),OFFSET($A$1,ROW(),20,1000-ROW(),1),ROW(),OFFSET($A$1,ROW(),21,1000-ROW(),1),"Sub"))))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IF($V102&lt;&gt;"Sub","",N($X102)*IF(AND(ISNUMBER($G102),$G102&lt;=IF($S102=MesCiclo,InicioCiclo,$S102+MOD(2-WEEKDAY($S102),7))+6),1,MIN(1,MAX(0,IF(ISNUMBER(OFFSET($A$1,ROW()-1,8)),OFFSET($A$1,ROW()-1,8),0)))))</f>
        <v/>
      </c>
      <c r="AE102" s="62">
        <f>IF($V102&lt;&gt;"Sub","",N($X102)*IF(AND(ISNUMBER($G102),$G102&lt;=IF($S102=MesCiclo,InicioCiclo,$S102+MOD(2-WEEKDAY($S102),7))+13),1,MIN(1,MAX(0,IF(ISNUMBER(OFFSET($A$1,ROW()-1,9)),OFFSET($A$1,ROW()-1,9),IF(ISNUMBER(OFFSET($A$1,ROW()-1,8)),OFFSET($A$1,ROW()-1,8),0))))))</f>
        <v/>
      </c>
      <c r="AF102" s="62">
        <f>IF($V102&lt;&gt;"Sub","",N($X102)*IF(AND(ISNUMBER($G102),$G102&lt;=IF($S102=MesCiclo,InicioCiclo,$S102+MOD(2-WEEKDAY($S102),7))+20),1,MIN(1,MAX(0,IF(ISNUMBER(OFFSET($A$1,ROW()-1,10)),OFFSET($A$1,ROW()-1,10),IF(ISNUMBER(OFFSET($A$1,ROW()-1,9)),OFFSET($A$1,ROW()-1,9),IF(ISNUMBER(OFFSET($A$1,ROW()-1,8)),OFFSET($A$1,ROW()-1,8),0)))))))</f>
        <v/>
      </c>
      <c r="AG102" s="62">
        <f>IF($V102&lt;&gt;"Sub","",N($X102)*IF(AND(ISNUMBER($G102),$G102&lt;=IF($S102=MesCiclo,InicioCiclo,$S102+MOD(2-WEEKDAY($S102),7))+27),1,MIN(1,MAX(0,IF(ISNUMBER(OFFSET($A$1,ROW()-1,11)),OFFSET($A$1,ROW()-1,11),IF(ISNUMBER(OFFSET($A$1,ROW()-1,10)),OFFSET($A$1,ROW()-1,10),IF(ISNUMBER(OFFSET($A$1,ROW()-1,9)),OFFSET($A$1,ROW()-1,9),IF(ISNUMBER(OFFSET($A$1,ROW()-1,8)),OFFSET($A$1,ROW()-1,8),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",IFERROR(MATCH("Riesgo Financiero|"&amp;MID($C102,12,500),rDname_ADM,0),0),"")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IF(N($W103)=0,"",IF(AND($S103=MesCiclo,1&gt;SemanaActual),"",MIN(1,SUMIFS(OFFSET($A$1,ROW(),29,1000-ROW(),1),OFFSET($A$1,ROW(),20,1000-ROW(),1),ROW(),OFFSET($A$1,ROW(),21,1000-ROW(),1),"Sub"))))</f>
        <v/>
      </c>
      <c r="J103" s="60">
        <f>IF(N($W103)=0,"",IF(AND($S103=MesCiclo,2&gt;SemanaActual),"",MIN(1,SUMIFS(OFFSET($A$1,ROW(),30,1000-ROW(),1),OFFSET($A$1,ROW(),20,1000-ROW(),1),ROW(),OFFSET($A$1,ROW(),21,1000-ROW(),1),"Sub"))))</f>
        <v/>
      </c>
      <c r="K103" s="60">
        <f>IF(N($W103)=0,"",IF(AND($S103=MesCiclo,3&gt;SemanaActual),"",MIN(1,SUMIFS(OFFSET($A$1,ROW(),31,1000-ROW(),1),OFFSET($A$1,ROW(),20,1000-ROW(),1),ROW(),OFFSET($A$1,ROW(),21,1000-ROW(),1),"Sub"))))</f>
        <v/>
      </c>
      <c r="L103" s="60">
        <f>IF(N($W103)=0,"",IF(AND($S103=MesCiclo,4&gt;SemanaActual),"",MIN(1,SUMIFS(OFFSET($A$1,ROW(),32,1000-ROW(),1),OFFSET($A$1,ROW(),20,1000-ROW(),1),ROW(),OFFSET($A$1,ROW(),21,1000-ROW(),1),"Sub"))))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IF($V103&lt;&gt;"Sub","",N($X103)*IF(AND(ISNUMBER($G103),$G103&lt;=IF($S103=MesCiclo,InicioCiclo,$S103+MOD(2-WEEKDAY($S103),7))+6),1,MIN(1,MAX(0,IF(ISNUMBER(OFFSET($A$1,ROW()-1,8)),OFFSET($A$1,ROW()-1,8),0)))))</f>
        <v/>
      </c>
      <c r="AE103" s="62">
        <f>IF($V103&lt;&gt;"Sub","",N($X103)*IF(AND(ISNUMBER($G103),$G103&lt;=IF($S103=MesCiclo,InicioCiclo,$S103+MOD(2-WEEKDAY($S103),7))+13),1,MIN(1,MAX(0,IF(ISNUMBER(OFFSET($A$1,ROW()-1,9)),OFFSET($A$1,ROW()-1,9),IF(ISNUMBER(OFFSET($A$1,ROW()-1,8)),OFFSET($A$1,ROW()-1,8),0))))))</f>
        <v/>
      </c>
      <c r="AF103" s="62">
        <f>IF($V103&lt;&gt;"Sub","",N($X103)*IF(AND(ISNUMBER($G103),$G103&lt;=IF($S103=MesCiclo,InicioCiclo,$S103+MOD(2-WEEKDAY($S103),7))+20),1,MIN(1,MAX(0,IF(ISNUMBER(OFFSET($A$1,ROW()-1,10)),OFFSET($A$1,ROW()-1,10),IF(ISNUMBER(OFFSET($A$1,ROW()-1,9)),OFFSET($A$1,ROW()-1,9),IF(ISNUMBER(OFFSET($A$1,ROW()-1,8)),OFFSET($A$1,ROW()-1,8),0)))))))</f>
        <v/>
      </c>
      <c r="AG103" s="62">
        <f>IF($V103&lt;&gt;"Sub","",N($X103)*IF(AND(ISNUMBER($G103),$G103&lt;=IF($S103=MesCiclo,InicioCiclo,$S103+MOD(2-WEEKDAY($S103),7))+27),1,MIN(1,MAX(0,IF(ISNUMBER(OFFSET($A$1,ROW()-1,11)),OFFSET($A$1,ROW()-1,11),IF(ISNUMBER(OFFSET($A$1,ROW()-1,10)),OFFSET($A$1,ROW()-1,10),IF(ISNUMBER(OFFSET($A$1,ROW()-1,9)),OFFSET($A$1,ROW()-1,9),IF(ISNUMBER(OFFSET($A$1,ROW()-1,8)),OFFSET($A$1,ROW()-1,8),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",IFERROR(MATCH("Riesgo Financiero|"&amp;MID($C103,12,500),rDname_ADM,0),0),"")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IF(N($W104)=0,"",IF(AND($S104=MesCiclo,1&gt;SemanaActual),"",MIN(1,SUMIFS(OFFSET($A$1,ROW(),29,1000-ROW(),1),OFFSET($A$1,ROW(),20,1000-ROW(),1),ROW(),OFFSET($A$1,ROW(),21,1000-ROW(),1),"Sub"))))</f>
        <v/>
      </c>
      <c r="J104" s="60">
        <f>IF(N($W104)=0,"",IF(AND($S104=MesCiclo,2&gt;SemanaActual),"",MIN(1,SUMIFS(OFFSET($A$1,ROW(),30,1000-ROW(),1),OFFSET($A$1,ROW(),20,1000-ROW(),1),ROW(),OFFSET($A$1,ROW(),21,1000-ROW(),1),"Sub"))))</f>
        <v/>
      </c>
      <c r="K104" s="60">
        <f>IF(N($W104)=0,"",IF(AND($S104=MesCiclo,3&gt;SemanaActual),"",MIN(1,SUMIFS(OFFSET($A$1,ROW(),31,1000-ROW(),1),OFFSET($A$1,ROW(),20,1000-ROW(),1),ROW(),OFFSET($A$1,ROW(),21,1000-ROW(),1),"Sub"))))</f>
        <v/>
      </c>
      <c r="L104" s="60">
        <f>IF(N($W104)=0,"",IF(AND($S104=MesCiclo,4&gt;SemanaActual),"",MIN(1,SUMIFS(OFFSET($A$1,ROW(),32,1000-ROW(),1),OFFSET($A$1,ROW(),20,1000-ROW(),1),ROW(),OFFSET($A$1,ROW(),21,1000-ROW(),1),"Sub"))))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IF($V104&lt;&gt;"Sub","",N($X104)*IF(AND(ISNUMBER($G104),$G104&lt;=IF($S104=MesCiclo,InicioCiclo,$S104+MOD(2-WEEKDAY($S104),7))+6),1,MIN(1,MAX(0,IF(ISNUMBER(OFFSET($A$1,ROW()-1,8)),OFFSET($A$1,ROW()-1,8),0)))))</f>
        <v/>
      </c>
      <c r="AE104" s="62">
        <f>IF($V104&lt;&gt;"Sub","",N($X104)*IF(AND(ISNUMBER($G104),$G104&lt;=IF($S104=MesCiclo,InicioCiclo,$S104+MOD(2-WEEKDAY($S104),7))+13),1,MIN(1,MAX(0,IF(ISNUMBER(OFFSET($A$1,ROW()-1,9)),OFFSET($A$1,ROW()-1,9),IF(ISNUMBER(OFFSET($A$1,ROW()-1,8)),OFFSET($A$1,ROW()-1,8),0))))))</f>
        <v/>
      </c>
      <c r="AF104" s="62">
        <f>IF($V104&lt;&gt;"Sub","",N($X104)*IF(AND(ISNUMBER($G104),$G104&lt;=IF($S104=MesCiclo,InicioCiclo,$S104+MOD(2-WEEKDAY($S104),7))+20),1,MIN(1,MAX(0,IF(ISNUMBER(OFFSET($A$1,ROW()-1,10)),OFFSET($A$1,ROW()-1,10),IF(ISNUMBER(OFFSET($A$1,ROW()-1,9)),OFFSET($A$1,ROW()-1,9),IF(ISNUMBER(OFFSET($A$1,ROW()-1,8)),OFFSET($A$1,ROW()-1,8),0)))))))</f>
        <v/>
      </c>
      <c r="AG104" s="62">
        <f>IF($V104&lt;&gt;"Sub","",N($X104)*IF(AND(ISNUMBER($G104),$G104&lt;=IF($S104=MesCiclo,InicioCiclo,$S104+MOD(2-WEEKDAY($S104),7))+27),1,MIN(1,MAX(0,IF(ISNUMBER(OFFSET($A$1,ROW()-1,11)),OFFSET($A$1,ROW()-1,11),IF(ISNUMBER(OFFSET($A$1,ROW()-1,10)),OFFSET($A$1,ROW()-1,10),IF(ISNUMBER(OFFSET($A$1,ROW()-1,9)),OFFSET($A$1,ROW()-1,9),IF(ISNUMBER(OFFSET($A$1,ROW()-1,8)),OFFSET($A$1,ROW()-1,8),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",IFERROR(MATCH("Riesgo Financiero|"&amp;MID($C104,12,500),rDname_ADM,0),0),"")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IF(N($W105)=0,"",IF(AND($S105=MesCiclo,1&gt;SemanaActual),"",MIN(1,SUMIFS(OFFSET($A$1,ROW(),29,1000-ROW(),1),OFFSET($A$1,ROW(),20,1000-ROW(),1),ROW(),OFFSET($A$1,ROW(),21,1000-ROW(),1),"Sub"))))</f>
        <v/>
      </c>
      <c r="J105" s="60">
        <f>IF(N($W105)=0,"",IF(AND($S105=MesCiclo,2&gt;SemanaActual),"",MIN(1,SUMIFS(OFFSET($A$1,ROW(),30,1000-ROW(),1),OFFSET($A$1,ROW(),20,1000-ROW(),1),ROW(),OFFSET($A$1,ROW(),21,1000-ROW(),1),"Sub"))))</f>
        <v/>
      </c>
      <c r="K105" s="60">
        <f>IF(N($W105)=0,"",IF(AND($S105=MesCiclo,3&gt;SemanaActual),"",MIN(1,SUMIFS(OFFSET($A$1,ROW(),31,1000-ROW(),1),OFFSET($A$1,ROW(),20,1000-ROW(),1),ROW(),OFFSET($A$1,ROW(),21,1000-ROW(),1),"Sub"))))</f>
        <v/>
      </c>
      <c r="L105" s="60">
        <f>IF(N($W105)=0,"",IF(AND($S105=MesCiclo,4&gt;SemanaActual),"",MIN(1,SUMIFS(OFFSET($A$1,ROW(),32,1000-ROW(),1),OFFSET($A$1,ROW(),20,1000-ROW(),1),ROW(),OFFSET($A$1,ROW(),21,1000-ROW(),1),"Sub"))))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IF($V105&lt;&gt;"Sub","",N($X105)*IF(AND(ISNUMBER($G105),$G105&lt;=IF($S105=MesCiclo,InicioCiclo,$S105+MOD(2-WEEKDAY($S105),7))+6),1,MIN(1,MAX(0,IF(ISNUMBER(OFFSET($A$1,ROW()-1,8)),OFFSET($A$1,ROW()-1,8),0)))))</f>
        <v/>
      </c>
      <c r="AE105" s="62">
        <f>IF($V105&lt;&gt;"Sub","",N($X105)*IF(AND(ISNUMBER($G105),$G105&lt;=IF($S105=MesCiclo,InicioCiclo,$S105+MOD(2-WEEKDAY($S105),7))+13),1,MIN(1,MAX(0,IF(ISNUMBER(OFFSET($A$1,ROW()-1,9)),OFFSET($A$1,ROW()-1,9),IF(ISNUMBER(OFFSET($A$1,ROW()-1,8)),OFFSET($A$1,ROW()-1,8),0))))))</f>
        <v/>
      </c>
      <c r="AF105" s="62">
        <f>IF($V105&lt;&gt;"Sub","",N($X105)*IF(AND(ISNUMBER($G105),$G105&lt;=IF($S105=MesCiclo,InicioCiclo,$S105+MOD(2-WEEKDAY($S105),7))+20),1,MIN(1,MAX(0,IF(ISNUMBER(OFFSET($A$1,ROW()-1,10)),OFFSET($A$1,ROW()-1,10),IF(ISNUMBER(OFFSET($A$1,ROW()-1,9)),OFFSET($A$1,ROW()-1,9),IF(ISNUMBER(OFFSET($A$1,ROW()-1,8)),OFFSET($A$1,ROW()-1,8),0)))))))</f>
        <v/>
      </c>
      <c r="AG105" s="62">
        <f>IF($V105&lt;&gt;"Sub","",N($X105)*IF(AND(ISNUMBER($G105),$G105&lt;=IF($S105=MesCiclo,InicioCiclo,$S105+MOD(2-WEEKDAY($S105),7))+27),1,MIN(1,MAX(0,IF(ISNUMBER(OFFSET($A$1,ROW()-1,11)),OFFSET($A$1,ROW()-1,11),IF(ISNUMBER(OFFSET($A$1,ROW()-1,10)),OFFSET($A$1,ROW()-1,10),IF(ISNUMBER(OFFSET($A$1,ROW()-1,9)),OFFSET($A$1,ROW()-1,9),IF(ISNUMBER(OFFSET($A$1,ROW()-1,8)),OFFSET($A$1,ROW()-1,8),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",IFERROR(MATCH("Riesgo Financiero|"&amp;MID($C105,12,500),rDname_ADM,0),0),"")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IF(N($W106)=0,"",IF(AND($S106=MesCiclo,1&gt;SemanaActual),"",MIN(1,SUMIFS(OFFSET($A$1,ROW(),29,1000-ROW(),1),OFFSET($A$1,ROW(),20,1000-ROW(),1),ROW(),OFFSET($A$1,ROW(),21,1000-ROW(),1),"Sub"))))</f>
        <v/>
      </c>
      <c r="J106" s="60">
        <f>IF(N($W106)=0,"",IF(AND($S106=MesCiclo,2&gt;SemanaActual),"",MIN(1,SUMIFS(OFFSET($A$1,ROW(),30,1000-ROW(),1),OFFSET($A$1,ROW(),20,1000-ROW(),1),ROW(),OFFSET($A$1,ROW(),21,1000-ROW(),1),"Sub"))))</f>
        <v/>
      </c>
      <c r="K106" s="60">
        <f>IF(N($W106)=0,"",IF(AND($S106=MesCiclo,3&gt;SemanaActual),"",MIN(1,SUMIFS(OFFSET($A$1,ROW(),31,1000-ROW(),1),OFFSET($A$1,ROW(),20,1000-ROW(),1),ROW(),OFFSET($A$1,ROW(),21,1000-ROW(),1),"Sub"))))</f>
        <v/>
      </c>
      <c r="L106" s="60">
        <f>IF(N($W106)=0,"",IF(AND($S106=MesCiclo,4&gt;SemanaActual),"",MIN(1,SUMIFS(OFFSET($A$1,ROW(),32,1000-ROW(),1),OFFSET($A$1,ROW(),20,1000-ROW(),1),ROW(),OFFSET($A$1,ROW(),21,1000-ROW(),1),"Sub"))))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IF($V106&lt;&gt;"Sub","",N($X106)*IF(AND(ISNUMBER($G106),$G106&lt;=IF($S106=MesCiclo,InicioCiclo,$S106+MOD(2-WEEKDAY($S106),7))+6),1,MIN(1,MAX(0,IF(ISNUMBER(OFFSET($A$1,ROW()-1,8)),OFFSET($A$1,ROW()-1,8),0)))))</f>
        <v/>
      </c>
      <c r="AE106" s="62">
        <f>IF($V106&lt;&gt;"Sub","",N($X106)*IF(AND(ISNUMBER($G106),$G106&lt;=IF($S106=MesCiclo,InicioCiclo,$S106+MOD(2-WEEKDAY($S106),7))+13),1,MIN(1,MAX(0,IF(ISNUMBER(OFFSET($A$1,ROW()-1,9)),OFFSET($A$1,ROW()-1,9),IF(ISNUMBER(OFFSET($A$1,ROW()-1,8)),OFFSET($A$1,ROW()-1,8),0))))))</f>
        <v/>
      </c>
      <c r="AF106" s="62">
        <f>IF($V106&lt;&gt;"Sub","",N($X106)*IF(AND(ISNUMBER($G106),$G106&lt;=IF($S106=MesCiclo,InicioCiclo,$S106+MOD(2-WEEKDAY($S106),7))+20),1,MIN(1,MAX(0,IF(ISNUMBER(OFFSET($A$1,ROW()-1,10)),OFFSET($A$1,ROW()-1,10),IF(ISNUMBER(OFFSET($A$1,ROW()-1,9)),OFFSET($A$1,ROW()-1,9),IF(ISNUMBER(OFFSET($A$1,ROW()-1,8)),OFFSET($A$1,ROW()-1,8),0)))))))</f>
        <v/>
      </c>
      <c r="AG106" s="62">
        <f>IF($V106&lt;&gt;"Sub","",N($X106)*IF(AND(ISNUMBER($G106),$G106&lt;=IF($S106=MesCiclo,InicioCiclo,$S106+MOD(2-WEEKDAY($S106),7))+27),1,MIN(1,MAX(0,IF(ISNUMBER(OFFSET($A$1,ROW()-1,11)),OFFSET($A$1,ROW()-1,11),IF(ISNUMBER(OFFSET($A$1,ROW()-1,10)),OFFSET($A$1,ROW()-1,10),IF(ISNUMBER(OFFSET($A$1,ROW()-1,9)),OFFSET($A$1,ROW()-1,9),IF(ISNUMBER(OFFSET($A$1,ROW()-1,8)),OFFSET($A$1,ROW()-1,8),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",IFERROR(MATCH("Riesgo Financiero|"&amp;MID($C106,12,500),rDname_ADM,0),0),"")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IF(N($W107)=0,"",IF(AND($S107=MesCiclo,1&gt;SemanaActual),"",MIN(1,SUMIFS(OFFSET($A$1,ROW(),29,1000-ROW(),1),OFFSET($A$1,ROW(),20,1000-ROW(),1),ROW(),OFFSET($A$1,ROW(),21,1000-ROW(),1),"Sub"))))</f>
        <v/>
      </c>
      <c r="J107" s="60">
        <f>IF(N($W107)=0,"",IF(AND($S107=MesCiclo,2&gt;SemanaActual),"",MIN(1,SUMIFS(OFFSET($A$1,ROW(),30,1000-ROW(),1),OFFSET($A$1,ROW(),20,1000-ROW(),1),ROW(),OFFSET($A$1,ROW(),21,1000-ROW(),1),"Sub"))))</f>
        <v/>
      </c>
      <c r="K107" s="60">
        <f>IF(N($W107)=0,"",IF(AND($S107=MesCiclo,3&gt;SemanaActual),"",MIN(1,SUMIFS(OFFSET($A$1,ROW(),31,1000-ROW(),1),OFFSET($A$1,ROW(),20,1000-ROW(),1),ROW(),OFFSET($A$1,ROW(),21,1000-ROW(),1),"Sub"))))</f>
        <v/>
      </c>
      <c r="L107" s="60">
        <f>IF(N($W107)=0,"",IF(AND($S107=MesCiclo,4&gt;SemanaActual),"",MIN(1,SUMIFS(OFFSET($A$1,ROW(),32,1000-ROW(),1),OFFSET($A$1,ROW(),20,1000-ROW(),1),ROW(),OFFSET($A$1,ROW(),21,1000-ROW(),1),"Sub"))))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IF($V107&lt;&gt;"Sub","",N($X107)*IF(AND(ISNUMBER($G107),$G107&lt;=IF($S107=MesCiclo,InicioCiclo,$S107+MOD(2-WEEKDAY($S107),7))+6),1,MIN(1,MAX(0,IF(ISNUMBER(OFFSET($A$1,ROW()-1,8)),OFFSET($A$1,ROW()-1,8),0)))))</f>
        <v/>
      </c>
      <c r="AE107" s="62">
        <f>IF($V107&lt;&gt;"Sub","",N($X107)*IF(AND(ISNUMBER($G107),$G107&lt;=IF($S107=MesCiclo,InicioCiclo,$S107+MOD(2-WEEKDAY($S107),7))+13),1,MIN(1,MAX(0,IF(ISNUMBER(OFFSET($A$1,ROW()-1,9)),OFFSET($A$1,ROW()-1,9),IF(ISNUMBER(OFFSET($A$1,ROW()-1,8)),OFFSET($A$1,ROW()-1,8),0))))))</f>
        <v/>
      </c>
      <c r="AF107" s="62">
        <f>IF($V107&lt;&gt;"Sub","",N($X107)*IF(AND(ISNUMBER($G107),$G107&lt;=IF($S107=MesCiclo,InicioCiclo,$S107+MOD(2-WEEKDAY($S107),7))+20),1,MIN(1,MAX(0,IF(ISNUMBER(OFFSET($A$1,ROW()-1,10)),OFFSET($A$1,ROW()-1,10),IF(ISNUMBER(OFFSET($A$1,ROW()-1,9)),OFFSET($A$1,ROW()-1,9),IF(ISNUMBER(OFFSET($A$1,ROW()-1,8)),OFFSET($A$1,ROW()-1,8),0)))))))</f>
        <v/>
      </c>
      <c r="AG107" s="62">
        <f>IF($V107&lt;&gt;"Sub","",N($X107)*IF(AND(ISNUMBER($G107),$G107&lt;=IF($S107=MesCiclo,InicioCiclo,$S107+MOD(2-WEEKDAY($S107),7))+27),1,MIN(1,MAX(0,IF(ISNUMBER(OFFSET($A$1,ROW()-1,11)),OFFSET($A$1,ROW()-1,11),IF(ISNUMBER(OFFSET($A$1,ROW()-1,10)),OFFSET($A$1,ROW()-1,10),IF(ISNUMBER(OFFSET($A$1,ROW()-1,9)),OFFSET($A$1,ROW()-1,9),IF(ISNUMBER(OFFSET($A$1,ROW()-1,8)),OFFSET($A$1,ROW()-1,8),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",IFERROR(MATCH("Riesgo Financiero|"&amp;MID($C107,12,500),rDname_ADM,0),0),"")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IF(N($W108)=0,"",IF(AND($S108=MesCiclo,1&gt;SemanaActual),"",MIN(1,SUMIFS(OFFSET($A$1,ROW(),29,1000-ROW(),1),OFFSET($A$1,ROW(),20,1000-ROW(),1),ROW(),OFFSET($A$1,ROW(),21,1000-ROW(),1),"Sub"))))</f>
        <v/>
      </c>
      <c r="J108" s="60">
        <f>IF(N($W108)=0,"",IF(AND($S108=MesCiclo,2&gt;SemanaActual),"",MIN(1,SUMIFS(OFFSET($A$1,ROW(),30,1000-ROW(),1),OFFSET($A$1,ROW(),20,1000-ROW(),1),ROW(),OFFSET($A$1,ROW(),21,1000-ROW(),1),"Sub"))))</f>
        <v/>
      </c>
      <c r="K108" s="60">
        <f>IF(N($W108)=0,"",IF(AND($S108=MesCiclo,3&gt;SemanaActual),"",MIN(1,SUMIFS(OFFSET($A$1,ROW(),31,1000-ROW(),1),OFFSET($A$1,ROW(),20,1000-ROW(),1),ROW(),OFFSET($A$1,ROW(),21,1000-ROW(),1),"Sub"))))</f>
        <v/>
      </c>
      <c r="L108" s="60">
        <f>IF(N($W108)=0,"",IF(AND($S108=MesCiclo,4&gt;SemanaActual),"",MIN(1,SUMIFS(OFFSET($A$1,ROW(),32,1000-ROW(),1),OFFSET($A$1,ROW(),20,1000-ROW(),1),ROW(),OFFSET($A$1,ROW(),21,1000-ROW(),1),"Sub"))))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IF($V108&lt;&gt;"Sub","",N($X108)*IF(AND(ISNUMBER($G108),$G108&lt;=IF($S108=MesCiclo,InicioCiclo,$S108+MOD(2-WEEKDAY($S108),7))+6),1,MIN(1,MAX(0,IF(ISNUMBER(OFFSET($A$1,ROW()-1,8)),OFFSET($A$1,ROW()-1,8),0)))))</f>
        <v/>
      </c>
      <c r="AE108" s="62">
        <f>IF($V108&lt;&gt;"Sub","",N($X108)*IF(AND(ISNUMBER($G108),$G108&lt;=IF($S108=MesCiclo,InicioCiclo,$S108+MOD(2-WEEKDAY($S108),7))+13),1,MIN(1,MAX(0,IF(ISNUMBER(OFFSET($A$1,ROW()-1,9)),OFFSET($A$1,ROW()-1,9),IF(ISNUMBER(OFFSET($A$1,ROW()-1,8)),OFFSET($A$1,ROW()-1,8),0))))))</f>
        <v/>
      </c>
      <c r="AF108" s="62">
        <f>IF($V108&lt;&gt;"Sub","",N($X108)*IF(AND(ISNUMBER($G108),$G108&lt;=IF($S108=MesCiclo,InicioCiclo,$S108+MOD(2-WEEKDAY($S108),7))+20),1,MIN(1,MAX(0,IF(ISNUMBER(OFFSET($A$1,ROW()-1,10)),OFFSET($A$1,ROW()-1,10),IF(ISNUMBER(OFFSET($A$1,ROW()-1,9)),OFFSET($A$1,ROW()-1,9),IF(ISNUMBER(OFFSET($A$1,ROW()-1,8)),OFFSET($A$1,ROW()-1,8),0)))))))</f>
        <v/>
      </c>
      <c r="AG108" s="62">
        <f>IF($V108&lt;&gt;"Sub","",N($X108)*IF(AND(ISNUMBER($G108),$G108&lt;=IF($S108=MesCiclo,InicioCiclo,$S108+MOD(2-WEEKDAY($S108),7))+27),1,MIN(1,MAX(0,IF(ISNUMBER(OFFSET($A$1,ROW()-1,11)),OFFSET($A$1,ROW()-1,11),IF(ISNUMBER(OFFSET($A$1,ROW()-1,10)),OFFSET($A$1,ROW()-1,10),IF(ISNUMBER(OFFSET($A$1,ROW()-1,9)),OFFSET($A$1,ROW()-1,9),IF(ISNUMBER(OFFSET($A$1,ROW()-1,8)),OFFSET($A$1,ROW()-1,8),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",IFERROR(MATCH("Riesgo Financiero|"&amp;MID($C108,12,500),rDname_ADM,0),0),"")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IF(N($W109)=0,"",IF(AND($S109=MesCiclo,1&gt;SemanaActual),"",MIN(1,SUMIFS(OFFSET($A$1,ROW(),29,1000-ROW(),1),OFFSET($A$1,ROW(),20,1000-ROW(),1),ROW(),OFFSET($A$1,ROW(),21,1000-ROW(),1),"Sub"))))</f>
        <v/>
      </c>
      <c r="J109" s="60">
        <f>IF(N($W109)=0,"",IF(AND($S109=MesCiclo,2&gt;SemanaActual),"",MIN(1,SUMIFS(OFFSET($A$1,ROW(),30,1000-ROW(),1),OFFSET($A$1,ROW(),20,1000-ROW(),1),ROW(),OFFSET($A$1,ROW(),21,1000-ROW(),1),"Sub"))))</f>
        <v/>
      </c>
      <c r="K109" s="60">
        <f>IF(N($W109)=0,"",IF(AND($S109=MesCiclo,3&gt;SemanaActual),"",MIN(1,SUMIFS(OFFSET($A$1,ROW(),31,1000-ROW(),1),OFFSET($A$1,ROW(),20,1000-ROW(),1),ROW(),OFFSET($A$1,ROW(),21,1000-ROW(),1),"Sub"))))</f>
        <v/>
      </c>
      <c r="L109" s="60">
        <f>IF(N($W109)=0,"",IF(AND($S109=MesCiclo,4&gt;SemanaActual),"",MIN(1,SUMIFS(OFFSET($A$1,ROW(),32,1000-ROW(),1),OFFSET($A$1,ROW(),20,1000-ROW(),1),ROW(),OFFSET($A$1,ROW(),21,1000-ROW(),1),"Sub"))))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IF($V109&lt;&gt;"Sub","",N($X109)*IF(AND(ISNUMBER($G109),$G109&lt;=IF($S109=MesCiclo,InicioCiclo,$S109+MOD(2-WEEKDAY($S109),7))+6),1,MIN(1,MAX(0,IF(ISNUMBER(OFFSET($A$1,ROW()-1,8)),OFFSET($A$1,ROW()-1,8),0)))))</f>
        <v/>
      </c>
      <c r="AE109" s="62">
        <f>IF($V109&lt;&gt;"Sub","",N($X109)*IF(AND(ISNUMBER($G109),$G109&lt;=IF($S109=MesCiclo,InicioCiclo,$S109+MOD(2-WEEKDAY($S109),7))+13),1,MIN(1,MAX(0,IF(ISNUMBER(OFFSET($A$1,ROW()-1,9)),OFFSET($A$1,ROW()-1,9),IF(ISNUMBER(OFFSET($A$1,ROW()-1,8)),OFFSET($A$1,ROW()-1,8),0))))))</f>
        <v/>
      </c>
      <c r="AF109" s="62">
        <f>IF($V109&lt;&gt;"Sub","",N($X109)*IF(AND(ISNUMBER($G109),$G109&lt;=IF($S109=MesCiclo,InicioCiclo,$S109+MOD(2-WEEKDAY($S109),7))+20),1,MIN(1,MAX(0,IF(ISNUMBER(OFFSET($A$1,ROW()-1,10)),OFFSET($A$1,ROW()-1,10),IF(ISNUMBER(OFFSET($A$1,ROW()-1,9)),OFFSET($A$1,ROW()-1,9),IF(ISNUMBER(OFFSET($A$1,ROW()-1,8)),OFFSET($A$1,ROW()-1,8),0)))))))</f>
        <v/>
      </c>
      <c r="AG109" s="62">
        <f>IF($V109&lt;&gt;"Sub","",N($X109)*IF(AND(ISNUMBER($G109),$G109&lt;=IF($S109=MesCiclo,InicioCiclo,$S109+MOD(2-WEEKDAY($S109),7))+27),1,MIN(1,MAX(0,IF(ISNUMBER(OFFSET($A$1,ROW()-1,11)),OFFSET($A$1,ROW()-1,11),IF(ISNUMBER(OFFSET($A$1,ROW()-1,10)),OFFSET($A$1,ROW()-1,10),IF(ISNUMBER(OFFSET($A$1,ROW()-1,9)),OFFSET($A$1,ROW()-1,9),IF(ISNUMBER(OFFSET($A$1,ROW()-1,8)),OFFSET($A$1,ROW()-1,8),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",IFERROR(MATCH("Riesgo Financiero|"&amp;MID($C109,12,500),rDname_ADM,0),0),"")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IF(N($W110)=0,"",IF(AND($S110=MesCiclo,1&gt;SemanaActual),"",MIN(1,SUMIFS(OFFSET($A$1,ROW(),29,1000-ROW(),1),OFFSET($A$1,ROW(),20,1000-ROW(),1),ROW(),OFFSET($A$1,ROW(),21,1000-ROW(),1),"Sub"))))</f>
        <v/>
      </c>
      <c r="J110" s="60">
        <f>IF(N($W110)=0,"",IF(AND($S110=MesCiclo,2&gt;SemanaActual),"",MIN(1,SUMIFS(OFFSET($A$1,ROW(),30,1000-ROW(),1),OFFSET($A$1,ROW(),20,1000-ROW(),1),ROW(),OFFSET($A$1,ROW(),21,1000-ROW(),1),"Sub"))))</f>
        <v/>
      </c>
      <c r="K110" s="60">
        <f>IF(N($W110)=0,"",IF(AND($S110=MesCiclo,3&gt;SemanaActual),"",MIN(1,SUMIFS(OFFSET($A$1,ROW(),31,1000-ROW(),1),OFFSET($A$1,ROW(),20,1000-ROW(),1),ROW(),OFFSET($A$1,ROW(),21,1000-ROW(),1),"Sub"))))</f>
        <v/>
      </c>
      <c r="L110" s="60">
        <f>IF(N($W110)=0,"",IF(AND($S110=MesCiclo,4&gt;SemanaActual),"",MIN(1,SUMIFS(OFFSET($A$1,ROW(),32,1000-ROW(),1),OFFSET($A$1,ROW(),20,1000-ROW(),1),ROW(),OFFSET($A$1,ROW(),21,1000-ROW(),1),"Sub"))))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IF($V110&lt;&gt;"Sub","",N($X110)*IF(AND(ISNUMBER($G110),$G110&lt;=IF($S110=MesCiclo,InicioCiclo,$S110+MOD(2-WEEKDAY($S110),7))+6),1,MIN(1,MAX(0,IF(ISNUMBER(OFFSET($A$1,ROW()-1,8)),OFFSET($A$1,ROW()-1,8),0)))))</f>
        <v/>
      </c>
      <c r="AE110" s="62">
        <f>IF($V110&lt;&gt;"Sub","",N($X110)*IF(AND(ISNUMBER($G110),$G110&lt;=IF($S110=MesCiclo,InicioCiclo,$S110+MOD(2-WEEKDAY($S110),7))+13),1,MIN(1,MAX(0,IF(ISNUMBER(OFFSET($A$1,ROW()-1,9)),OFFSET($A$1,ROW()-1,9),IF(ISNUMBER(OFFSET($A$1,ROW()-1,8)),OFFSET($A$1,ROW()-1,8),0))))))</f>
        <v/>
      </c>
      <c r="AF110" s="62">
        <f>IF($V110&lt;&gt;"Sub","",N($X110)*IF(AND(ISNUMBER($G110),$G110&lt;=IF($S110=MesCiclo,InicioCiclo,$S110+MOD(2-WEEKDAY($S110),7))+20),1,MIN(1,MAX(0,IF(ISNUMBER(OFFSET($A$1,ROW()-1,10)),OFFSET($A$1,ROW()-1,10),IF(ISNUMBER(OFFSET($A$1,ROW()-1,9)),OFFSET($A$1,ROW()-1,9),IF(ISNUMBER(OFFSET($A$1,ROW()-1,8)),OFFSET($A$1,ROW()-1,8),0)))))))</f>
        <v/>
      </c>
      <c r="AG110" s="62">
        <f>IF($V110&lt;&gt;"Sub","",N($X110)*IF(AND(ISNUMBER($G110),$G110&lt;=IF($S110=MesCiclo,InicioCiclo,$S110+MOD(2-WEEKDAY($S110),7))+27),1,MIN(1,MAX(0,IF(ISNUMBER(OFFSET($A$1,ROW()-1,11)),OFFSET($A$1,ROW()-1,11),IF(ISNUMBER(OFFSET($A$1,ROW()-1,10)),OFFSET($A$1,ROW()-1,10),IF(ISNUMBER(OFFSET($A$1,ROW()-1,9)),OFFSET($A$1,ROW()-1,9),IF(ISNUMBER(OFFSET($A$1,ROW()-1,8)),OFFSET($A$1,ROW()-1,8),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",IFERROR(MATCH("Riesgo Financiero|"&amp;MID($C110,12,500),rDname_ADM,0),0),"")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IF(N($W111)=0,"",IF(AND($S111=MesCiclo,1&gt;SemanaActual),"",MIN(1,SUMIFS(OFFSET($A$1,ROW(),29,1000-ROW(),1),OFFSET($A$1,ROW(),20,1000-ROW(),1),ROW(),OFFSET($A$1,ROW(),21,1000-ROW(),1),"Sub"))))</f>
        <v/>
      </c>
      <c r="J111" s="60">
        <f>IF(N($W111)=0,"",IF(AND($S111=MesCiclo,2&gt;SemanaActual),"",MIN(1,SUMIFS(OFFSET($A$1,ROW(),30,1000-ROW(),1),OFFSET($A$1,ROW(),20,1000-ROW(),1),ROW(),OFFSET($A$1,ROW(),21,1000-ROW(),1),"Sub"))))</f>
        <v/>
      </c>
      <c r="K111" s="60">
        <f>IF(N($W111)=0,"",IF(AND($S111=MesCiclo,3&gt;SemanaActual),"",MIN(1,SUMIFS(OFFSET($A$1,ROW(),31,1000-ROW(),1),OFFSET($A$1,ROW(),20,1000-ROW(),1),ROW(),OFFSET($A$1,ROW(),21,1000-ROW(),1),"Sub"))))</f>
        <v/>
      </c>
      <c r="L111" s="60">
        <f>IF(N($W111)=0,"",IF(AND($S111=MesCiclo,4&gt;SemanaActual),"",MIN(1,SUMIFS(OFFSET($A$1,ROW(),32,1000-ROW(),1),OFFSET($A$1,ROW(),20,1000-ROW(),1),ROW(),OFFSET($A$1,ROW(),21,1000-ROW(),1),"Sub"))))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IF($V111&lt;&gt;"Sub","",N($X111)*IF(AND(ISNUMBER($G111),$G111&lt;=IF($S111=MesCiclo,InicioCiclo,$S111+MOD(2-WEEKDAY($S111),7))+6),1,MIN(1,MAX(0,IF(ISNUMBER(OFFSET($A$1,ROW()-1,8)),OFFSET($A$1,ROW()-1,8),0)))))</f>
        <v/>
      </c>
      <c r="AE111" s="62">
        <f>IF($V111&lt;&gt;"Sub","",N($X111)*IF(AND(ISNUMBER($G111),$G111&lt;=IF($S111=MesCiclo,InicioCiclo,$S111+MOD(2-WEEKDAY($S111),7))+13),1,MIN(1,MAX(0,IF(ISNUMBER(OFFSET($A$1,ROW()-1,9)),OFFSET($A$1,ROW()-1,9),IF(ISNUMBER(OFFSET($A$1,ROW()-1,8)),OFFSET($A$1,ROW()-1,8),0))))))</f>
        <v/>
      </c>
      <c r="AF111" s="62">
        <f>IF($V111&lt;&gt;"Sub","",N($X111)*IF(AND(ISNUMBER($G111),$G111&lt;=IF($S111=MesCiclo,InicioCiclo,$S111+MOD(2-WEEKDAY($S111),7))+20),1,MIN(1,MAX(0,IF(ISNUMBER(OFFSET($A$1,ROW()-1,10)),OFFSET($A$1,ROW()-1,10),IF(ISNUMBER(OFFSET($A$1,ROW()-1,9)),OFFSET($A$1,ROW()-1,9),IF(ISNUMBER(OFFSET($A$1,ROW()-1,8)),OFFSET($A$1,ROW()-1,8),0)))))))</f>
        <v/>
      </c>
      <c r="AG111" s="62">
        <f>IF($V111&lt;&gt;"Sub","",N($X111)*IF(AND(ISNUMBER($G111),$G111&lt;=IF($S111=MesCiclo,InicioCiclo,$S111+MOD(2-WEEKDAY($S111),7))+27),1,MIN(1,MAX(0,IF(ISNUMBER(OFFSET($A$1,ROW()-1,11)),OFFSET($A$1,ROW()-1,11),IF(ISNUMBER(OFFSET($A$1,ROW()-1,10)),OFFSET($A$1,ROW()-1,10),IF(ISNUMBER(OFFSET($A$1,ROW()-1,9)),OFFSET($A$1,ROW()-1,9),IF(ISNUMBER(OFFSET($A$1,ROW()-1,8)),OFFSET($A$1,ROW()-1,8),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",IFERROR(MATCH("Riesgo Financiero|"&amp;MID($C111,12,500),rDname_ADM,0),0),"")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IF(N($W112)=0,"",IF(AND($S112=MesCiclo,1&gt;SemanaActual),"",MIN(1,SUMIFS(OFFSET($A$1,ROW(),29,1000-ROW(),1),OFFSET($A$1,ROW(),20,1000-ROW(),1),ROW(),OFFSET($A$1,ROW(),21,1000-ROW(),1),"Sub"))))</f>
        <v/>
      </c>
      <c r="J112" s="60">
        <f>IF(N($W112)=0,"",IF(AND($S112=MesCiclo,2&gt;SemanaActual),"",MIN(1,SUMIFS(OFFSET($A$1,ROW(),30,1000-ROW(),1),OFFSET($A$1,ROW(),20,1000-ROW(),1),ROW(),OFFSET($A$1,ROW(),21,1000-ROW(),1),"Sub"))))</f>
        <v/>
      </c>
      <c r="K112" s="60">
        <f>IF(N($W112)=0,"",IF(AND($S112=MesCiclo,3&gt;SemanaActual),"",MIN(1,SUMIFS(OFFSET($A$1,ROW(),31,1000-ROW(),1),OFFSET($A$1,ROW(),20,1000-ROW(),1),ROW(),OFFSET($A$1,ROW(),21,1000-ROW(),1),"Sub"))))</f>
        <v/>
      </c>
      <c r="L112" s="60">
        <f>IF(N($W112)=0,"",IF(AND($S112=MesCiclo,4&gt;SemanaActual),"",MIN(1,SUMIFS(OFFSET($A$1,ROW(),32,1000-ROW(),1),OFFSET($A$1,ROW(),20,1000-ROW(),1),ROW(),OFFSET($A$1,ROW(),21,1000-ROW(),1),"Sub"))))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IF($V112&lt;&gt;"Sub","",N($X112)*IF(AND(ISNUMBER($G112),$G112&lt;=IF($S112=MesCiclo,InicioCiclo,$S112+MOD(2-WEEKDAY($S112),7))+6),1,MIN(1,MAX(0,IF(ISNUMBER(OFFSET($A$1,ROW()-1,8)),OFFSET($A$1,ROW()-1,8),0)))))</f>
        <v/>
      </c>
      <c r="AE112" s="62">
        <f>IF($V112&lt;&gt;"Sub","",N($X112)*IF(AND(ISNUMBER($G112),$G112&lt;=IF($S112=MesCiclo,InicioCiclo,$S112+MOD(2-WEEKDAY($S112),7))+13),1,MIN(1,MAX(0,IF(ISNUMBER(OFFSET($A$1,ROW()-1,9)),OFFSET($A$1,ROW()-1,9),IF(ISNUMBER(OFFSET($A$1,ROW()-1,8)),OFFSET($A$1,ROW()-1,8),0))))))</f>
        <v/>
      </c>
      <c r="AF112" s="62">
        <f>IF($V112&lt;&gt;"Sub","",N($X112)*IF(AND(ISNUMBER($G112),$G112&lt;=IF($S112=MesCiclo,InicioCiclo,$S112+MOD(2-WEEKDAY($S112),7))+20),1,MIN(1,MAX(0,IF(ISNUMBER(OFFSET($A$1,ROW()-1,10)),OFFSET($A$1,ROW()-1,10),IF(ISNUMBER(OFFSET($A$1,ROW()-1,9)),OFFSET($A$1,ROW()-1,9),IF(ISNUMBER(OFFSET($A$1,ROW()-1,8)),OFFSET($A$1,ROW()-1,8),0)))))))</f>
        <v/>
      </c>
      <c r="AG112" s="62">
        <f>IF($V112&lt;&gt;"Sub","",N($X112)*IF(AND(ISNUMBER($G112),$G112&lt;=IF($S112=MesCiclo,InicioCiclo,$S112+MOD(2-WEEKDAY($S112),7))+27),1,MIN(1,MAX(0,IF(ISNUMBER(OFFSET($A$1,ROW()-1,11)),OFFSET($A$1,ROW()-1,11),IF(ISNUMBER(OFFSET($A$1,ROW()-1,10)),OFFSET($A$1,ROW()-1,10),IF(ISNUMBER(OFFSET($A$1,ROW()-1,9)),OFFSET($A$1,ROW()-1,9),IF(ISNUMBER(OFFSET($A$1,ROW()-1,8)),OFFSET($A$1,ROW()-1,8),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",IFERROR(MATCH("Riesgo Financiero|"&amp;MID($C112,12,500),rDname_ADM,0),0),"")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IF(N($W113)=0,"",IF(AND($S113=MesCiclo,1&gt;SemanaActual),"",MIN(1,SUMIFS(OFFSET($A$1,ROW(),29,1000-ROW(),1),OFFSET($A$1,ROW(),20,1000-ROW(),1),ROW(),OFFSET($A$1,ROW(),21,1000-ROW(),1),"Sub"))))</f>
        <v/>
      </c>
      <c r="J113" s="60">
        <f>IF(N($W113)=0,"",IF(AND($S113=MesCiclo,2&gt;SemanaActual),"",MIN(1,SUMIFS(OFFSET($A$1,ROW(),30,1000-ROW(),1),OFFSET($A$1,ROW(),20,1000-ROW(),1),ROW(),OFFSET($A$1,ROW(),21,1000-ROW(),1),"Sub"))))</f>
        <v/>
      </c>
      <c r="K113" s="60">
        <f>IF(N($W113)=0,"",IF(AND($S113=MesCiclo,3&gt;SemanaActual),"",MIN(1,SUMIFS(OFFSET($A$1,ROW(),31,1000-ROW(),1),OFFSET($A$1,ROW(),20,1000-ROW(),1),ROW(),OFFSET($A$1,ROW(),21,1000-ROW(),1),"Sub"))))</f>
        <v/>
      </c>
      <c r="L113" s="60">
        <f>IF(N($W113)=0,"",IF(AND($S113=MesCiclo,4&gt;SemanaActual),"",MIN(1,SUMIFS(OFFSET($A$1,ROW(),32,1000-ROW(),1),OFFSET($A$1,ROW(),20,1000-ROW(),1),ROW(),OFFSET($A$1,ROW(),21,1000-ROW(),1),"Sub"))))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IF($V113&lt;&gt;"Sub","",N($X113)*IF(AND(ISNUMBER($G113),$G113&lt;=IF($S113=MesCiclo,InicioCiclo,$S113+MOD(2-WEEKDAY($S113),7))+6),1,MIN(1,MAX(0,IF(ISNUMBER(OFFSET($A$1,ROW()-1,8)),OFFSET($A$1,ROW()-1,8),0)))))</f>
        <v/>
      </c>
      <c r="AE113" s="62">
        <f>IF($V113&lt;&gt;"Sub","",N($X113)*IF(AND(ISNUMBER($G113),$G113&lt;=IF($S113=MesCiclo,InicioCiclo,$S113+MOD(2-WEEKDAY($S113),7))+13),1,MIN(1,MAX(0,IF(ISNUMBER(OFFSET($A$1,ROW()-1,9)),OFFSET($A$1,ROW()-1,9),IF(ISNUMBER(OFFSET($A$1,ROW()-1,8)),OFFSET($A$1,ROW()-1,8),0))))))</f>
        <v/>
      </c>
      <c r="AF113" s="62">
        <f>IF($V113&lt;&gt;"Sub","",N($X113)*IF(AND(ISNUMBER($G113),$G113&lt;=IF($S113=MesCiclo,InicioCiclo,$S113+MOD(2-WEEKDAY($S113),7))+20),1,MIN(1,MAX(0,IF(ISNUMBER(OFFSET($A$1,ROW()-1,10)),OFFSET($A$1,ROW()-1,10),IF(ISNUMBER(OFFSET($A$1,ROW()-1,9)),OFFSET($A$1,ROW()-1,9),IF(ISNUMBER(OFFSET($A$1,ROW()-1,8)),OFFSET($A$1,ROW()-1,8),0)))))))</f>
        <v/>
      </c>
      <c r="AG113" s="62">
        <f>IF($V113&lt;&gt;"Sub","",N($X113)*IF(AND(ISNUMBER($G113),$G113&lt;=IF($S113=MesCiclo,InicioCiclo,$S113+MOD(2-WEEKDAY($S113),7))+27),1,MIN(1,MAX(0,IF(ISNUMBER(OFFSET($A$1,ROW()-1,11)),OFFSET($A$1,ROW()-1,11),IF(ISNUMBER(OFFSET($A$1,ROW()-1,10)),OFFSET($A$1,ROW()-1,10),IF(ISNUMBER(OFFSET($A$1,ROW()-1,9)),OFFSET($A$1,ROW()-1,9),IF(ISNUMBER(OFFSET($A$1,ROW()-1,8)),OFFSET($A$1,ROW()-1,8),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",IFERROR(MATCH("Riesgo Financiero|"&amp;MID($C113,12,500),rDname_ADM,0),0),"")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IF(N($W114)=0,"",IF(AND($S114=MesCiclo,1&gt;SemanaActual),"",MIN(1,SUMIFS(OFFSET($A$1,ROW(),29,1000-ROW(),1),OFFSET($A$1,ROW(),20,1000-ROW(),1),ROW(),OFFSET($A$1,ROW(),21,1000-ROW(),1),"Sub"))))</f>
        <v/>
      </c>
      <c r="J114" s="60">
        <f>IF(N($W114)=0,"",IF(AND($S114=MesCiclo,2&gt;SemanaActual),"",MIN(1,SUMIFS(OFFSET($A$1,ROW(),30,1000-ROW(),1),OFFSET($A$1,ROW(),20,1000-ROW(),1),ROW(),OFFSET($A$1,ROW(),21,1000-ROW(),1),"Sub"))))</f>
        <v/>
      </c>
      <c r="K114" s="60">
        <f>IF(N($W114)=0,"",IF(AND($S114=MesCiclo,3&gt;SemanaActual),"",MIN(1,SUMIFS(OFFSET($A$1,ROW(),31,1000-ROW(),1),OFFSET($A$1,ROW(),20,1000-ROW(),1),ROW(),OFFSET($A$1,ROW(),21,1000-ROW(),1),"Sub"))))</f>
        <v/>
      </c>
      <c r="L114" s="60">
        <f>IF(N($W114)=0,"",IF(AND($S114=MesCiclo,4&gt;SemanaActual),"",MIN(1,SUMIFS(OFFSET($A$1,ROW(),32,1000-ROW(),1),OFFSET($A$1,ROW(),20,1000-ROW(),1),ROW(),OFFSET($A$1,ROW(),21,1000-ROW(),1),"Sub"))))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IF($V114&lt;&gt;"Sub","",N($X114)*IF(AND(ISNUMBER($G114),$G114&lt;=IF($S114=MesCiclo,InicioCiclo,$S114+MOD(2-WEEKDAY($S114),7))+6),1,MIN(1,MAX(0,IF(ISNUMBER(OFFSET($A$1,ROW()-1,8)),OFFSET($A$1,ROW()-1,8),0)))))</f>
        <v/>
      </c>
      <c r="AE114" s="62">
        <f>IF($V114&lt;&gt;"Sub","",N($X114)*IF(AND(ISNUMBER($G114),$G114&lt;=IF($S114=MesCiclo,InicioCiclo,$S114+MOD(2-WEEKDAY($S114),7))+13),1,MIN(1,MAX(0,IF(ISNUMBER(OFFSET($A$1,ROW()-1,9)),OFFSET($A$1,ROW()-1,9),IF(ISNUMBER(OFFSET($A$1,ROW()-1,8)),OFFSET($A$1,ROW()-1,8),0))))))</f>
        <v/>
      </c>
      <c r="AF114" s="62">
        <f>IF($V114&lt;&gt;"Sub","",N($X114)*IF(AND(ISNUMBER($G114),$G114&lt;=IF($S114=MesCiclo,InicioCiclo,$S114+MOD(2-WEEKDAY($S114),7))+20),1,MIN(1,MAX(0,IF(ISNUMBER(OFFSET($A$1,ROW()-1,10)),OFFSET($A$1,ROW()-1,10),IF(ISNUMBER(OFFSET($A$1,ROW()-1,9)),OFFSET($A$1,ROW()-1,9),IF(ISNUMBER(OFFSET($A$1,ROW()-1,8)),OFFSET($A$1,ROW()-1,8),0)))))))</f>
        <v/>
      </c>
      <c r="AG114" s="62">
        <f>IF($V114&lt;&gt;"Sub","",N($X114)*IF(AND(ISNUMBER($G114),$G114&lt;=IF($S114=MesCiclo,InicioCiclo,$S114+MOD(2-WEEKDAY($S114),7))+27),1,MIN(1,MAX(0,IF(ISNUMBER(OFFSET($A$1,ROW()-1,11)),OFFSET($A$1,ROW()-1,11),IF(ISNUMBER(OFFSET($A$1,ROW()-1,10)),OFFSET($A$1,ROW()-1,10),IF(ISNUMBER(OFFSET($A$1,ROW()-1,9)),OFFSET($A$1,ROW()-1,9),IF(ISNUMBER(OFFSET($A$1,ROW()-1,8)),OFFSET($A$1,ROW()-1,8),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",IFERROR(MATCH("Riesgo Financiero|"&amp;MID($C114,12,500),rDname_ADM,0),0),"")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IF(N($W115)=0,"",IF(AND($S115=MesCiclo,1&gt;SemanaActual),"",MIN(1,SUMIFS(OFFSET($A$1,ROW(),29,1000-ROW(),1),OFFSET($A$1,ROW(),20,1000-ROW(),1),ROW(),OFFSET($A$1,ROW(),21,1000-ROW(),1),"Sub"))))</f>
        <v/>
      </c>
      <c r="J115" s="60">
        <f>IF(N($W115)=0,"",IF(AND($S115=MesCiclo,2&gt;SemanaActual),"",MIN(1,SUMIFS(OFFSET($A$1,ROW(),30,1000-ROW(),1),OFFSET($A$1,ROW(),20,1000-ROW(),1),ROW(),OFFSET($A$1,ROW(),21,1000-ROW(),1),"Sub"))))</f>
        <v/>
      </c>
      <c r="K115" s="60">
        <f>IF(N($W115)=0,"",IF(AND($S115=MesCiclo,3&gt;SemanaActual),"",MIN(1,SUMIFS(OFFSET($A$1,ROW(),31,1000-ROW(),1),OFFSET($A$1,ROW(),20,1000-ROW(),1),ROW(),OFFSET($A$1,ROW(),21,1000-ROW(),1),"Sub"))))</f>
        <v/>
      </c>
      <c r="L115" s="60">
        <f>IF(N($W115)=0,"",IF(AND($S115=MesCiclo,4&gt;SemanaActual),"",MIN(1,SUMIFS(OFFSET($A$1,ROW(),32,1000-ROW(),1),OFFSET($A$1,ROW(),20,1000-ROW(),1),ROW(),OFFSET($A$1,ROW(),21,1000-ROW(),1),"Sub"))))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IF($V115&lt;&gt;"Sub","",N($X115)*IF(AND(ISNUMBER($G115),$G115&lt;=IF($S115=MesCiclo,InicioCiclo,$S115+MOD(2-WEEKDAY($S115),7))+6),1,MIN(1,MAX(0,IF(ISNUMBER(OFFSET($A$1,ROW()-1,8)),OFFSET($A$1,ROW()-1,8),0)))))</f>
        <v/>
      </c>
      <c r="AE115" s="62">
        <f>IF($V115&lt;&gt;"Sub","",N($X115)*IF(AND(ISNUMBER($G115),$G115&lt;=IF($S115=MesCiclo,InicioCiclo,$S115+MOD(2-WEEKDAY($S115),7))+13),1,MIN(1,MAX(0,IF(ISNUMBER(OFFSET($A$1,ROW()-1,9)),OFFSET($A$1,ROW()-1,9),IF(ISNUMBER(OFFSET($A$1,ROW()-1,8)),OFFSET($A$1,ROW()-1,8),0))))))</f>
        <v/>
      </c>
      <c r="AF115" s="62">
        <f>IF($V115&lt;&gt;"Sub","",N($X115)*IF(AND(ISNUMBER($G115),$G115&lt;=IF($S115=MesCiclo,InicioCiclo,$S115+MOD(2-WEEKDAY($S115),7))+20),1,MIN(1,MAX(0,IF(ISNUMBER(OFFSET($A$1,ROW()-1,10)),OFFSET($A$1,ROW()-1,10),IF(ISNUMBER(OFFSET($A$1,ROW()-1,9)),OFFSET($A$1,ROW()-1,9),IF(ISNUMBER(OFFSET($A$1,ROW()-1,8)),OFFSET($A$1,ROW()-1,8),0)))))))</f>
        <v/>
      </c>
      <c r="AG115" s="62">
        <f>IF($V115&lt;&gt;"Sub","",N($X115)*IF(AND(ISNUMBER($G115),$G115&lt;=IF($S115=MesCiclo,InicioCiclo,$S115+MOD(2-WEEKDAY($S115),7))+27),1,MIN(1,MAX(0,IF(ISNUMBER(OFFSET($A$1,ROW()-1,11)),OFFSET($A$1,ROW()-1,11),IF(ISNUMBER(OFFSET($A$1,ROW()-1,10)),OFFSET($A$1,ROW()-1,10),IF(ISNUMBER(OFFSET($A$1,ROW()-1,9)),OFFSET($A$1,ROW()-1,9),IF(ISNUMBER(OFFSET($A$1,ROW()-1,8)),OFFSET($A$1,ROW()-1,8),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",IFERROR(MATCH("Riesgo Financiero|"&amp;MID($C115,12,500),rDname_ADM,0),0),"")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IF(N($W116)=0,"",IF(AND($S116=MesCiclo,1&gt;SemanaActual),"",MIN(1,SUMIFS(OFFSET($A$1,ROW(),29,1000-ROW(),1),OFFSET($A$1,ROW(),20,1000-ROW(),1),ROW(),OFFSET($A$1,ROW(),21,1000-ROW(),1),"Sub"))))</f>
        <v/>
      </c>
      <c r="J116" s="60">
        <f>IF(N($W116)=0,"",IF(AND($S116=MesCiclo,2&gt;SemanaActual),"",MIN(1,SUMIFS(OFFSET($A$1,ROW(),30,1000-ROW(),1),OFFSET($A$1,ROW(),20,1000-ROW(),1),ROW(),OFFSET($A$1,ROW(),21,1000-ROW(),1),"Sub"))))</f>
        <v/>
      </c>
      <c r="K116" s="60">
        <f>IF(N($W116)=0,"",IF(AND($S116=MesCiclo,3&gt;SemanaActual),"",MIN(1,SUMIFS(OFFSET($A$1,ROW(),31,1000-ROW(),1),OFFSET($A$1,ROW(),20,1000-ROW(),1),ROW(),OFFSET($A$1,ROW(),21,1000-ROW(),1),"Sub"))))</f>
        <v/>
      </c>
      <c r="L116" s="60">
        <f>IF(N($W116)=0,"",IF(AND($S116=MesCiclo,4&gt;SemanaActual),"",MIN(1,SUMIFS(OFFSET($A$1,ROW(),32,1000-ROW(),1),OFFSET($A$1,ROW(),20,1000-ROW(),1),ROW(),OFFSET($A$1,ROW(),21,1000-ROW(),1),"Sub"))))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IF($V116&lt;&gt;"Sub","",N($X116)*IF(AND(ISNUMBER($G116),$G116&lt;=IF($S116=MesCiclo,InicioCiclo,$S116+MOD(2-WEEKDAY($S116),7))+6),1,MIN(1,MAX(0,IF(ISNUMBER(OFFSET($A$1,ROW()-1,8)),OFFSET($A$1,ROW()-1,8),0)))))</f>
        <v/>
      </c>
      <c r="AE116" s="62">
        <f>IF($V116&lt;&gt;"Sub","",N($X116)*IF(AND(ISNUMBER($G116),$G116&lt;=IF($S116=MesCiclo,InicioCiclo,$S116+MOD(2-WEEKDAY($S116),7))+13),1,MIN(1,MAX(0,IF(ISNUMBER(OFFSET($A$1,ROW()-1,9)),OFFSET($A$1,ROW()-1,9),IF(ISNUMBER(OFFSET($A$1,ROW()-1,8)),OFFSET($A$1,ROW()-1,8),0))))))</f>
        <v/>
      </c>
      <c r="AF116" s="62">
        <f>IF($V116&lt;&gt;"Sub","",N($X116)*IF(AND(ISNUMBER($G116),$G116&lt;=IF($S116=MesCiclo,InicioCiclo,$S116+MOD(2-WEEKDAY($S116),7))+20),1,MIN(1,MAX(0,IF(ISNUMBER(OFFSET($A$1,ROW()-1,10)),OFFSET($A$1,ROW()-1,10),IF(ISNUMBER(OFFSET($A$1,ROW()-1,9)),OFFSET($A$1,ROW()-1,9),IF(ISNUMBER(OFFSET($A$1,ROW()-1,8)),OFFSET($A$1,ROW()-1,8),0)))))))</f>
        <v/>
      </c>
      <c r="AG116" s="62">
        <f>IF($V116&lt;&gt;"Sub","",N($X116)*IF(AND(ISNUMBER($G116),$G116&lt;=IF($S116=MesCiclo,InicioCiclo,$S116+MOD(2-WEEKDAY($S116),7))+27),1,MIN(1,MAX(0,IF(ISNUMBER(OFFSET($A$1,ROW()-1,11)),OFFSET($A$1,ROW()-1,11),IF(ISNUMBER(OFFSET($A$1,ROW()-1,10)),OFFSET($A$1,ROW()-1,10),IF(ISNUMBER(OFFSET($A$1,ROW()-1,9)),OFFSET($A$1,ROW()-1,9),IF(ISNUMBER(OFFSET($A$1,ROW()-1,8)),OFFSET($A$1,ROW()-1,8),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",IFERROR(MATCH("Riesgo Financiero|"&amp;MID($C116,12,500),rDname_ADM,0),0),"")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IF(N($W117)=0,"",IF(AND($S117=MesCiclo,1&gt;SemanaActual),"",MIN(1,SUMIFS(OFFSET($A$1,ROW(),29,1000-ROW(),1),OFFSET($A$1,ROW(),20,1000-ROW(),1),ROW(),OFFSET($A$1,ROW(),21,1000-ROW(),1),"Sub"))))</f>
        <v/>
      </c>
      <c r="J117" s="60">
        <f>IF(N($W117)=0,"",IF(AND($S117=MesCiclo,2&gt;SemanaActual),"",MIN(1,SUMIFS(OFFSET($A$1,ROW(),30,1000-ROW(),1),OFFSET($A$1,ROW(),20,1000-ROW(),1),ROW(),OFFSET($A$1,ROW(),21,1000-ROW(),1),"Sub"))))</f>
        <v/>
      </c>
      <c r="K117" s="60">
        <f>IF(N($W117)=0,"",IF(AND($S117=MesCiclo,3&gt;SemanaActual),"",MIN(1,SUMIFS(OFFSET($A$1,ROW(),31,1000-ROW(),1),OFFSET($A$1,ROW(),20,1000-ROW(),1),ROW(),OFFSET($A$1,ROW(),21,1000-ROW(),1),"Sub"))))</f>
        <v/>
      </c>
      <c r="L117" s="60">
        <f>IF(N($W117)=0,"",IF(AND($S117=MesCiclo,4&gt;SemanaActual),"",MIN(1,SUMIFS(OFFSET($A$1,ROW(),32,1000-ROW(),1),OFFSET($A$1,ROW(),20,1000-ROW(),1),ROW(),OFFSET($A$1,ROW(),21,1000-ROW(),1),"Sub"))))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IF($V117&lt;&gt;"Sub","",N($X117)*IF(AND(ISNUMBER($G117),$G117&lt;=IF($S117=MesCiclo,InicioCiclo,$S117+MOD(2-WEEKDAY($S117),7))+6),1,MIN(1,MAX(0,IF(ISNUMBER(OFFSET($A$1,ROW()-1,8)),OFFSET($A$1,ROW()-1,8),0)))))</f>
        <v/>
      </c>
      <c r="AE117" s="62">
        <f>IF($V117&lt;&gt;"Sub","",N($X117)*IF(AND(ISNUMBER($G117),$G117&lt;=IF($S117=MesCiclo,InicioCiclo,$S117+MOD(2-WEEKDAY($S117),7))+13),1,MIN(1,MAX(0,IF(ISNUMBER(OFFSET($A$1,ROW()-1,9)),OFFSET($A$1,ROW()-1,9),IF(ISNUMBER(OFFSET($A$1,ROW()-1,8)),OFFSET($A$1,ROW()-1,8),0))))))</f>
        <v/>
      </c>
      <c r="AF117" s="62">
        <f>IF($V117&lt;&gt;"Sub","",N($X117)*IF(AND(ISNUMBER($G117),$G117&lt;=IF($S117=MesCiclo,InicioCiclo,$S117+MOD(2-WEEKDAY($S117),7))+20),1,MIN(1,MAX(0,IF(ISNUMBER(OFFSET($A$1,ROW()-1,10)),OFFSET($A$1,ROW()-1,10),IF(ISNUMBER(OFFSET($A$1,ROW()-1,9)),OFFSET($A$1,ROW()-1,9),IF(ISNUMBER(OFFSET($A$1,ROW()-1,8)),OFFSET($A$1,ROW()-1,8),0)))))))</f>
        <v/>
      </c>
      <c r="AG117" s="62">
        <f>IF($V117&lt;&gt;"Sub","",N($X117)*IF(AND(ISNUMBER($G117),$G117&lt;=IF($S117=MesCiclo,InicioCiclo,$S117+MOD(2-WEEKDAY($S117),7))+27),1,MIN(1,MAX(0,IF(ISNUMBER(OFFSET($A$1,ROW()-1,11)),OFFSET($A$1,ROW()-1,11),IF(ISNUMBER(OFFSET($A$1,ROW()-1,10)),OFFSET($A$1,ROW()-1,10),IF(ISNUMBER(OFFSET($A$1,ROW()-1,9)),OFFSET($A$1,ROW()-1,9),IF(ISNUMBER(OFFSET($A$1,ROW()-1,8)),OFFSET($A$1,ROW()-1,8),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",IFERROR(MATCH("Riesgo Financiero|"&amp;MID($C117,12,500),rDname_ADM,0),0),"")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IF(N($W118)=0,"",IF(AND($S118=MesCiclo,1&gt;SemanaActual),"",MIN(1,SUMIFS(OFFSET($A$1,ROW(),29,1000-ROW(),1),OFFSET($A$1,ROW(),20,1000-ROW(),1),ROW(),OFFSET($A$1,ROW(),21,1000-ROW(),1),"Sub"))))</f>
        <v/>
      </c>
      <c r="J118" s="60">
        <f>IF(N($W118)=0,"",IF(AND($S118=MesCiclo,2&gt;SemanaActual),"",MIN(1,SUMIFS(OFFSET($A$1,ROW(),30,1000-ROW(),1),OFFSET($A$1,ROW(),20,1000-ROW(),1),ROW(),OFFSET($A$1,ROW(),21,1000-ROW(),1),"Sub"))))</f>
        <v/>
      </c>
      <c r="K118" s="60">
        <f>IF(N($W118)=0,"",IF(AND($S118=MesCiclo,3&gt;SemanaActual),"",MIN(1,SUMIFS(OFFSET($A$1,ROW(),31,1000-ROW(),1),OFFSET($A$1,ROW(),20,1000-ROW(),1),ROW(),OFFSET($A$1,ROW(),21,1000-ROW(),1),"Sub"))))</f>
        <v/>
      </c>
      <c r="L118" s="60">
        <f>IF(N($W118)=0,"",IF(AND($S118=MesCiclo,4&gt;SemanaActual),"",MIN(1,SUMIFS(OFFSET($A$1,ROW(),32,1000-ROW(),1),OFFSET($A$1,ROW(),20,1000-ROW(),1),ROW(),OFFSET($A$1,ROW(),21,1000-ROW(),1),"Sub"))))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IF($V118&lt;&gt;"Sub","",N($X118)*IF(AND(ISNUMBER($G118),$G118&lt;=IF($S118=MesCiclo,InicioCiclo,$S118+MOD(2-WEEKDAY($S118),7))+6),1,MIN(1,MAX(0,IF(ISNUMBER(OFFSET($A$1,ROW()-1,8)),OFFSET($A$1,ROW()-1,8),0)))))</f>
        <v/>
      </c>
      <c r="AE118" s="62">
        <f>IF($V118&lt;&gt;"Sub","",N($X118)*IF(AND(ISNUMBER($G118),$G118&lt;=IF($S118=MesCiclo,InicioCiclo,$S118+MOD(2-WEEKDAY($S118),7))+13),1,MIN(1,MAX(0,IF(ISNUMBER(OFFSET($A$1,ROW()-1,9)),OFFSET($A$1,ROW()-1,9),IF(ISNUMBER(OFFSET($A$1,ROW()-1,8)),OFFSET($A$1,ROW()-1,8),0))))))</f>
        <v/>
      </c>
      <c r="AF118" s="62">
        <f>IF($V118&lt;&gt;"Sub","",N($X118)*IF(AND(ISNUMBER($G118),$G118&lt;=IF($S118=MesCiclo,InicioCiclo,$S118+MOD(2-WEEKDAY($S118),7))+20),1,MIN(1,MAX(0,IF(ISNUMBER(OFFSET($A$1,ROW()-1,10)),OFFSET($A$1,ROW()-1,10),IF(ISNUMBER(OFFSET($A$1,ROW()-1,9)),OFFSET($A$1,ROW()-1,9),IF(ISNUMBER(OFFSET($A$1,ROW()-1,8)),OFFSET($A$1,ROW()-1,8),0)))))))</f>
        <v/>
      </c>
      <c r="AG118" s="62">
        <f>IF($V118&lt;&gt;"Sub","",N($X118)*IF(AND(ISNUMBER($G118),$G118&lt;=IF($S118=MesCiclo,InicioCiclo,$S118+MOD(2-WEEKDAY($S118),7))+27),1,MIN(1,MAX(0,IF(ISNUMBER(OFFSET($A$1,ROW()-1,11)),OFFSET($A$1,ROW()-1,11),IF(ISNUMBER(OFFSET($A$1,ROW()-1,10)),OFFSET($A$1,ROW()-1,10),IF(ISNUMBER(OFFSET($A$1,ROW()-1,9)),OFFSET($A$1,ROW()-1,9),IF(ISNUMBER(OFFSET($A$1,ROW()-1,8)),OFFSET($A$1,ROW()-1,8),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",IFERROR(MATCH("Riesgo Financiero|"&amp;MID($C118,12,500),rDname_ADM,0),0),"")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IF(N($W119)=0,"",IF(AND($S119=MesCiclo,1&gt;SemanaActual),"",MIN(1,SUMIFS(OFFSET($A$1,ROW(),29,1000-ROW(),1),OFFSET($A$1,ROW(),20,1000-ROW(),1),ROW(),OFFSET($A$1,ROW(),21,1000-ROW(),1),"Sub"))))</f>
        <v/>
      </c>
      <c r="J119" s="60">
        <f>IF(N($W119)=0,"",IF(AND($S119=MesCiclo,2&gt;SemanaActual),"",MIN(1,SUMIFS(OFFSET($A$1,ROW(),30,1000-ROW(),1),OFFSET($A$1,ROW(),20,1000-ROW(),1),ROW(),OFFSET($A$1,ROW(),21,1000-ROW(),1),"Sub"))))</f>
        <v/>
      </c>
      <c r="K119" s="60">
        <f>IF(N($W119)=0,"",IF(AND($S119=MesCiclo,3&gt;SemanaActual),"",MIN(1,SUMIFS(OFFSET($A$1,ROW(),31,1000-ROW(),1),OFFSET($A$1,ROW(),20,1000-ROW(),1),ROW(),OFFSET($A$1,ROW(),21,1000-ROW(),1),"Sub"))))</f>
        <v/>
      </c>
      <c r="L119" s="60">
        <f>IF(N($W119)=0,"",IF(AND($S119=MesCiclo,4&gt;SemanaActual),"",MIN(1,SUMIFS(OFFSET($A$1,ROW(),32,1000-ROW(),1),OFFSET($A$1,ROW(),20,1000-ROW(),1),ROW(),OFFSET($A$1,ROW(),21,1000-ROW(),1),"Sub"))))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IF($V119&lt;&gt;"Sub","",N($X119)*IF(AND(ISNUMBER($G119),$G119&lt;=IF($S119=MesCiclo,InicioCiclo,$S119+MOD(2-WEEKDAY($S119),7))+6),1,MIN(1,MAX(0,IF(ISNUMBER(OFFSET($A$1,ROW()-1,8)),OFFSET($A$1,ROW()-1,8),0)))))</f>
        <v/>
      </c>
      <c r="AE119" s="62">
        <f>IF($V119&lt;&gt;"Sub","",N($X119)*IF(AND(ISNUMBER($G119),$G119&lt;=IF($S119=MesCiclo,InicioCiclo,$S119+MOD(2-WEEKDAY($S119),7))+13),1,MIN(1,MAX(0,IF(ISNUMBER(OFFSET($A$1,ROW()-1,9)),OFFSET($A$1,ROW()-1,9),IF(ISNUMBER(OFFSET($A$1,ROW()-1,8)),OFFSET($A$1,ROW()-1,8),0))))))</f>
        <v/>
      </c>
      <c r="AF119" s="62">
        <f>IF($V119&lt;&gt;"Sub","",N($X119)*IF(AND(ISNUMBER($G119),$G119&lt;=IF($S119=MesCiclo,InicioCiclo,$S119+MOD(2-WEEKDAY($S119),7))+20),1,MIN(1,MAX(0,IF(ISNUMBER(OFFSET($A$1,ROW()-1,10)),OFFSET($A$1,ROW()-1,10),IF(ISNUMBER(OFFSET($A$1,ROW()-1,9)),OFFSET($A$1,ROW()-1,9),IF(ISNUMBER(OFFSET($A$1,ROW()-1,8)),OFFSET($A$1,ROW()-1,8),0)))))))</f>
        <v/>
      </c>
      <c r="AG119" s="62">
        <f>IF($V119&lt;&gt;"Sub","",N($X119)*IF(AND(ISNUMBER($G119),$G119&lt;=IF($S119=MesCiclo,InicioCiclo,$S119+MOD(2-WEEKDAY($S119),7))+27),1,MIN(1,MAX(0,IF(ISNUMBER(OFFSET($A$1,ROW()-1,11)),OFFSET($A$1,ROW()-1,11),IF(ISNUMBER(OFFSET($A$1,ROW()-1,10)),OFFSET($A$1,ROW()-1,10),IF(ISNUMBER(OFFSET($A$1,ROW()-1,9)),OFFSET($A$1,ROW()-1,9),IF(ISNUMBER(OFFSET($A$1,ROW()-1,8)),OFFSET($A$1,ROW()-1,8),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",IFERROR(MATCH("Riesgo Financiero|"&amp;MID($C119,12,500),rDname_ADM,0),0),"")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IF(N($W120)=0,"",IF(AND($S120=MesCiclo,1&gt;SemanaActual),"",MIN(1,SUMIFS(OFFSET($A$1,ROW(),29,1000-ROW(),1),OFFSET($A$1,ROW(),20,1000-ROW(),1),ROW(),OFFSET($A$1,ROW(),21,1000-ROW(),1),"Sub"))))</f>
        <v/>
      </c>
      <c r="J120" s="60">
        <f>IF(N($W120)=0,"",IF(AND($S120=MesCiclo,2&gt;SemanaActual),"",MIN(1,SUMIFS(OFFSET($A$1,ROW(),30,1000-ROW(),1),OFFSET($A$1,ROW(),20,1000-ROW(),1),ROW(),OFFSET($A$1,ROW(),21,1000-ROW(),1),"Sub"))))</f>
        <v/>
      </c>
      <c r="K120" s="60">
        <f>IF(N($W120)=0,"",IF(AND($S120=MesCiclo,3&gt;SemanaActual),"",MIN(1,SUMIFS(OFFSET($A$1,ROW(),31,1000-ROW(),1),OFFSET($A$1,ROW(),20,1000-ROW(),1),ROW(),OFFSET($A$1,ROW(),21,1000-ROW(),1),"Sub"))))</f>
        <v/>
      </c>
      <c r="L120" s="60">
        <f>IF(N($W120)=0,"",IF(AND($S120=MesCiclo,4&gt;SemanaActual),"",MIN(1,SUMIFS(OFFSET($A$1,ROW(),32,1000-ROW(),1),OFFSET($A$1,ROW(),20,1000-ROW(),1),ROW(),OFFSET($A$1,ROW(),21,1000-ROW(),1),"Sub"))))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IF($V120&lt;&gt;"Sub","",N($X120)*IF(AND(ISNUMBER($G120),$G120&lt;=IF($S120=MesCiclo,InicioCiclo,$S120+MOD(2-WEEKDAY($S120),7))+6),1,MIN(1,MAX(0,IF(ISNUMBER(OFFSET($A$1,ROW()-1,8)),OFFSET($A$1,ROW()-1,8),0)))))</f>
        <v/>
      </c>
      <c r="AE120" s="62">
        <f>IF($V120&lt;&gt;"Sub","",N($X120)*IF(AND(ISNUMBER($G120),$G120&lt;=IF($S120=MesCiclo,InicioCiclo,$S120+MOD(2-WEEKDAY($S120),7))+13),1,MIN(1,MAX(0,IF(ISNUMBER(OFFSET($A$1,ROW()-1,9)),OFFSET($A$1,ROW()-1,9),IF(ISNUMBER(OFFSET($A$1,ROW()-1,8)),OFFSET($A$1,ROW()-1,8),0))))))</f>
        <v/>
      </c>
      <c r="AF120" s="62">
        <f>IF($V120&lt;&gt;"Sub","",N($X120)*IF(AND(ISNUMBER($G120),$G120&lt;=IF($S120=MesCiclo,InicioCiclo,$S120+MOD(2-WEEKDAY($S120),7))+20),1,MIN(1,MAX(0,IF(ISNUMBER(OFFSET($A$1,ROW()-1,10)),OFFSET($A$1,ROW()-1,10),IF(ISNUMBER(OFFSET($A$1,ROW()-1,9)),OFFSET($A$1,ROW()-1,9),IF(ISNUMBER(OFFSET($A$1,ROW()-1,8)),OFFSET($A$1,ROW()-1,8),0)))))))</f>
        <v/>
      </c>
      <c r="AG120" s="62">
        <f>IF($V120&lt;&gt;"Sub","",N($X120)*IF(AND(ISNUMBER($G120),$G120&lt;=IF($S120=MesCiclo,InicioCiclo,$S120+MOD(2-WEEKDAY($S120),7))+27),1,MIN(1,MAX(0,IF(ISNUMBER(OFFSET($A$1,ROW()-1,11)),OFFSET($A$1,ROW()-1,11),IF(ISNUMBER(OFFSET($A$1,ROW()-1,10)),OFFSET($A$1,ROW()-1,10),IF(ISNUMBER(OFFSET($A$1,ROW()-1,9)),OFFSET($A$1,ROW()-1,9),IF(ISNUMBER(OFFSET($A$1,ROW()-1,8)),OFFSET($A$1,ROW()-1,8),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",IFERROR(MATCH("Riesgo Financiero|"&amp;MID($C120,12,500),rDname_ADM,0),0),"")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IF(N($W121)=0,"",IF(AND($S121=MesCiclo,1&gt;SemanaActual),"",MIN(1,SUMIFS(OFFSET($A$1,ROW(),29,1000-ROW(),1),OFFSET($A$1,ROW(),20,1000-ROW(),1),ROW(),OFFSET($A$1,ROW(),21,1000-ROW(),1),"Sub"))))</f>
        <v/>
      </c>
      <c r="J121" s="60">
        <f>IF(N($W121)=0,"",IF(AND($S121=MesCiclo,2&gt;SemanaActual),"",MIN(1,SUMIFS(OFFSET($A$1,ROW(),30,1000-ROW(),1),OFFSET($A$1,ROW(),20,1000-ROW(),1),ROW(),OFFSET($A$1,ROW(),21,1000-ROW(),1),"Sub"))))</f>
        <v/>
      </c>
      <c r="K121" s="60">
        <f>IF(N($W121)=0,"",IF(AND($S121=MesCiclo,3&gt;SemanaActual),"",MIN(1,SUMIFS(OFFSET($A$1,ROW(),31,1000-ROW(),1),OFFSET($A$1,ROW(),20,1000-ROW(),1),ROW(),OFFSET($A$1,ROW(),21,1000-ROW(),1),"Sub"))))</f>
        <v/>
      </c>
      <c r="L121" s="60">
        <f>IF(N($W121)=0,"",IF(AND($S121=MesCiclo,4&gt;SemanaActual),"",MIN(1,SUMIFS(OFFSET($A$1,ROW(),32,1000-ROW(),1),OFFSET($A$1,ROW(),20,1000-ROW(),1),ROW(),OFFSET($A$1,ROW(),21,1000-ROW(),1),"Sub"))))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IF($V121&lt;&gt;"Sub","",N($X121)*IF(AND(ISNUMBER($G121),$G121&lt;=IF($S121=MesCiclo,InicioCiclo,$S121+MOD(2-WEEKDAY($S121),7))+6),1,MIN(1,MAX(0,IF(ISNUMBER(OFFSET($A$1,ROW()-1,8)),OFFSET($A$1,ROW()-1,8),0)))))</f>
        <v/>
      </c>
      <c r="AE121" s="62">
        <f>IF($V121&lt;&gt;"Sub","",N($X121)*IF(AND(ISNUMBER($G121),$G121&lt;=IF($S121=MesCiclo,InicioCiclo,$S121+MOD(2-WEEKDAY($S121),7))+13),1,MIN(1,MAX(0,IF(ISNUMBER(OFFSET($A$1,ROW()-1,9)),OFFSET($A$1,ROW()-1,9),IF(ISNUMBER(OFFSET($A$1,ROW()-1,8)),OFFSET($A$1,ROW()-1,8),0))))))</f>
        <v/>
      </c>
      <c r="AF121" s="62">
        <f>IF($V121&lt;&gt;"Sub","",N($X121)*IF(AND(ISNUMBER($G121),$G121&lt;=IF($S121=MesCiclo,InicioCiclo,$S121+MOD(2-WEEKDAY($S121),7))+20),1,MIN(1,MAX(0,IF(ISNUMBER(OFFSET($A$1,ROW()-1,10)),OFFSET($A$1,ROW()-1,10),IF(ISNUMBER(OFFSET($A$1,ROW()-1,9)),OFFSET($A$1,ROW()-1,9),IF(ISNUMBER(OFFSET($A$1,ROW()-1,8)),OFFSET($A$1,ROW()-1,8),0)))))))</f>
        <v/>
      </c>
      <c r="AG121" s="62">
        <f>IF($V121&lt;&gt;"Sub","",N($X121)*IF(AND(ISNUMBER($G121),$G121&lt;=IF($S121=MesCiclo,InicioCiclo,$S121+MOD(2-WEEKDAY($S121),7))+27),1,MIN(1,MAX(0,IF(ISNUMBER(OFFSET($A$1,ROW()-1,11)),OFFSET($A$1,ROW()-1,11),IF(ISNUMBER(OFFSET($A$1,ROW()-1,10)),OFFSET($A$1,ROW()-1,10),IF(ISNUMBER(OFFSET($A$1,ROW()-1,9)),OFFSET($A$1,ROW()-1,9),IF(ISNUMBER(OFFSET($A$1,ROW()-1,8)),OFFSET($A$1,ROW()-1,8),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",IFERROR(MATCH("Riesgo Financiero|"&amp;MID($C121,12,500),rDname_ADM,0),0),"")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IF(N($W122)=0,"",IF(AND($S122=MesCiclo,1&gt;SemanaActual),"",MIN(1,SUMIFS(OFFSET($A$1,ROW(),29,1000-ROW(),1),OFFSET($A$1,ROW(),20,1000-ROW(),1),ROW(),OFFSET($A$1,ROW(),21,1000-ROW(),1),"Sub"))))</f>
        <v/>
      </c>
      <c r="J122" s="60">
        <f>IF(N($W122)=0,"",IF(AND($S122=MesCiclo,2&gt;SemanaActual),"",MIN(1,SUMIFS(OFFSET($A$1,ROW(),30,1000-ROW(),1),OFFSET($A$1,ROW(),20,1000-ROW(),1),ROW(),OFFSET($A$1,ROW(),21,1000-ROW(),1),"Sub"))))</f>
        <v/>
      </c>
      <c r="K122" s="60">
        <f>IF(N($W122)=0,"",IF(AND($S122=MesCiclo,3&gt;SemanaActual),"",MIN(1,SUMIFS(OFFSET($A$1,ROW(),31,1000-ROW(),1),OFFSET($A$1,ROW(),20,1000-ROW(),1),ROW(),OFFSET($A$1,ROW(),21,1000-ROW(),1),"Sub"))))</f>
        <v/>
      </c>
      <c r="L122" s="60">
        <f>IF(N($W122)=0,"",IF(AND($S122=MesCiclo,4&gt;SemanaActual),"",MIN(1,SUMIFS(OFFSET($A$1,ROW(),32,1000-ROW(),1),OFFSET($A$1,ROW(),20,1000-ROW(),1),ROW(),OFFSET($A$1,ROW(),21,1000-ROW(),1),"Sub"))))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IF($V122&lt;&gt;"Sub","",N($X122)*IF(AND(ISNUMBER($G122),$G122&lt;=IF($S122=MesCiclo,InicioCiclo,$S122+MOD(2-WEEKDAY($S122),7))+6),1,MIN(1,MAX(0,IF(ISNUMBER(OFFSET($A$1,ROW()-1,8)),OFFSET($A$1,ROW()-1,8),0)))))</f>
        <v/>
      </c>
      <c r="AE122" s="62">
        <f>IF($V122&lt;&gt;"Sub","",N($X122)*IF(AND(ISNUMBER($G122),$G122&lt;=IF($S122=MesCiclo,InicioCiclo,$S122+MOD(2-WEEKDAY($S122),7))+13),1,MIN(1,MAX(0,IF(ISNUMBER(OFFSET($A$1,ROW()-1,9)),OFFSET($A$1,ROW()-1,9),IF(ISNUMBER(OFFSET($A$1,ROW()-1,8)),OFFSET($A$1,ROW()-1,8),0))))))</f>
        <v/>
      </c>
      <c r="AF122" s="62">
        <f>IF($V122&lt;&gt;"Sub","",N($X122)*IF(AND(ISNUMBER($G122),$G122&lt;=IF($S122=MesCiclo,InicioCiclo,$S122+MOD(2-WEEKDAY($S122),7))+20),1,MIN(1,MAX(0,IF(ISNUMBER(OFFSET($A$1,ROW()-1,10)),OFFSET($A$1,ROW()-1,10),IF(ISNUMBER(OFFSET($A$1,ROW()-1,9)),OFFSET($A$1,ROW()-1,9),IF(ISNUMBER(OFFSET($A$1,ROW()-1,8)),OFFSET($A$1,ROW()-1,8),0)))))))</f>
        <v/>
      </c>
      <c r="AG122" s="62">
        <f>IF($V122&lt;&gt;"Sub","",N($X122)*IF(AND(ISNUMBER($G122),$G122&lt;=IF($S122=MesCiclo,InicioCiclo,$S122+MOD(2-WEEKDAY($S122),7))+27),1,MIN(1,MAX(0,IF(ISNUMBER(OFFSET($A$1,ROW()-1,11)),OFFSET($A$1,ROW()-1,11),IF(ISNUMBER(OFFSET($A$1,ROW()-1,10)),OFFSET($A$1,ROW()-1,10),IF(ISNUMBER(OFFSET($A$1,ROW()-1,9)),OFFSET($A$1,ROW()-1,9),IF(ISNUMBER(OFFSET($A$1,ROW()-1,8)),OFFSET($A$1,ROW()-1,8),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",IFERROR(MATCH("Riesgo Financiero|"&amp;MID($C122,12,500),rDname_ADM,0),0),"")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IF(N($W123)=0,"",IF(AND($S123=MesCiclo,1&gt;SemanaActual),"",MIN(1,SUMIFS(OFFSET($A$1,ROW(),29,1000-ROW(),1),OFFSET($A$1,ROW(),20,1000-ROW(),1),ROW(),OFFSET($A$1,ROW(),21,1000-ROW(),1),"Sub"))))</f>
        <v/>
      </c>
      <c r="J123" s="60">
        <f>IF(N($W123)=0,"",IF(AND($S123=MesCiclo,2&gt;SemanaActual),"",MIN(1,SUMIFS(OFFSET($A$1,ROW(),30,1000-ROW(),1),OFFSET($A$1,ROW(),20,1000-ROW(),1),ROW(),OFFSET($A$1,ROW(),21,1000-ROW(),1),"Sub"))))</f>
        <v/>
      </c>
      <c r="K123" s="60">
        <f>IF(N($W123)=0,"",IF(AND($S123=MesCiclo,3&gt;SemanaActual),"",MIN(1,SUMIFS(OFFSET($A$1,ROW(),31,1000-ROW(),1),OFFSET($A$1,ROW(),20,1000-ROW(),1),ROW(),OFFSET($A$1,ROW(),21,1000-ROW(),1),"Sub"))))</f>
        <v/>
      </c>
      <c r="L123" s="60">
        <f>IF(N($W123)=0,"",IF(AND($S123=MesCiclo,4&gt;SemanaActual),"",MIN(1,SUMIFS(OFFSET($A$1,ROW(),32,1000-ROW(),1),OFFSET($A$1,ROW(),20,1000-ROW(),1),ROW(),OFFSET($A$1,ROW(),21,1000-ROW(),1),"Sub"))))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IF($V123&lt;&gt;"Sub","",N($X123)*IF(AND(ISNUMBER($G123),$G123&lt;=IF($S123=MesCiclo,InicioCiclo,$S123+MOD(2-WEEKDAY($S123),7))+6),1,MIN(1,MAX(0,IF(ISNUMBER(OFFSET($A$1,ROW()-1,8)),OFFSET($A$1,ROW()-1,8),0)))))</f>
        <v/>
      </c>
      <c r="AE123" s="62">
        <f>IF($V123&lt;&gt;"Sub","",N($X123)*IF(AND(ISNUMBER($G123),$G123&lt;=IF($S123=MesCiclo,InicioCiclo,$S123+MOD(2-WEEKDAY($S123),7))+13),1,MIN(1,MAX(0,IF(ISNUMBER(OFFSET($A$1,ROW()-1,9)),OFFSET($A$1,ROW()-1,9),IF(ISNUMBER(OFFSET($A$1,ROW()-1,8)),OFFSET($A$1,ROW()-1,8),0))))))</f>
        <v/>
      </c>
      <c r="AF123" s="62">
        <f>IF($V123&lt;&gt;"Sub","",N($X123)*IF(AND(ISNUMBER($G123),$G123&lt;=IF($S123=MesCiclo,InicioCiclo,$S123+MOD(2-WEEKDAY($S123),7))+20),1,MIN(1,MAX(0,IF(ISNUMBER(OFFSET($A$1,ROW()-1,10)),OFFSET($A$1,ROW()-1,10),IF(ISNUMBER(OFFSET($A$1,ROW()-1,9)),OFFSET($A$1,ROW()-1,9),IF(ISNUMBER(OFFSET($A$1,ROW()-1,8)),OFFSET($A$1,ROW()-1,8),0)))))))</f>
        <v/>
      </c>
      <c r="AG123" s="62">
        <f>IF($V123&lt;&gt;"Sub","",N($X123)*IF(AND(ISNUMBER($G123),$G123&lt;=IF($S123=MesCiclo,InicioCiclo,$S123+MOD(2-WEEKDAY($S123),7))+27),1,MIN(1,MAX(0,IF(ISNUMBER(OFFSET($A$1,ROW()-1,11)),OFFSET($A$1,ROW()-1,11),IF(ISNUMBER(OFFSET($A$1,ROW()-1,10)),OFFSET($A$1,ROW()-1,10),IF(ISNUMBER(OFFSET($A$1,ROW()-1,9)),OFFSET($A$1,ROW()-1,9),IF(ISNUMBER(OFFSET($A$1,ROW()-1,8)),OFFSET($A$1,ROW()-1,8),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",IFERROR(MATCH("Riesgo Financiero|"&amp;MID($C123,12,500),rDname_ADM,0),0),"")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IF(N($W124)=0,"",IF(AND($S124=MesCiclo,1&gt;SemanaActual),"",MIN(1,SUMIFS(OFFSET($A$1,ROW(),29,1000-ROW(),1),OFFSET($A$1,ROW(),20,1000-ROW(),1),ROW(),OFFSET($A$1,ROW(),21,1000-ROW(),1),"Sub"))))</f>
        <v/>
      </c>
      <c r="J124" s="60">
        <f>IF(N($W124)=0,"",IF(AND($S124=MesCiclo,2&gt;SemanaActual),"",MIN(1,SUMIFS(OFFSET($A$1,ROW(),30,1000-ROW(),1),OFFSET($A$1,ROW(),20,1000-ROW(),1),ROW(),OFFSET($A$1,ROW(),21,1000-ROW(),1),"Sub"))))</f>
        <v/>
      </c>
      <c r="K124" s="60">
        <f>IF(N($W124)=0,"",IF(AND($S124=MesCiclo,3&gt;SemanaActual),"",MIN(1,SUMIFS(OFFSET($A$1,ROW(),31,1000-ROW(),1),OFFSET($A$1,ROW(),20,1000-ROW(),1),ROW(),OFFSET($A$1,ROW(),21,1000-ROW(),1),"Sub"))))</f>
        <v/>
      </c>
      <c r="L124" s="60">
        <f>IF(N($W124)=0,"",IF(AND($S124=MesCiclo,4&gt;SemanaActual),"",MIN(1,SUMIFS(OFFSET($A$1,ROW(),32,1000-ROW(),1),OFFSET($A$1,ROW(),20,1000-ROW(),1),ROW(),OFFSET($A$1,ROW(),21,1000-ROW(),1),"Sub"))))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IF($V124&lt;&gt;"Sub","",N($X124)*IF(AND(ISNUMBER($G124),$G124&lt;=IF($S124=MesCiclo,InicioCiclo,$S124+MOD(2-WEEKDAY($S124),7))+6),1,MIN(1,MAX(0,IF(ISNUMBER(OFFSET($A$1,ROW()-1,8)),OFFSET($A$1,ROW()-1,8),0)))))</f>
        <v/>
      </c>
      <c r="AE124" s="62">
        <f>IF($V124&lt;&gt;"Sub","",N($X124)*IF(AND(ISNUMBER($G124),$G124&lt;=IF($S124=MesCiclo,InicioCiclo,$S124+MOD(2-WEEKDAY($S124),7))+13),1,MIN(1,MAX(0,IF(ISNUMBER(OFFSET($A$1,ROW()-1,9)),OFFSET($A$1,ROW()-1,9),IF(ISNUMBER(OFFSET($A$1,ROW()-1,8)),OFFSET($A$1,ROW()-1,8),0))))))</f>
        <v/>
      </c>
      <c r="AF124" s="62">
        <f>IF($V124&lt;&gt;"Sub","",N($X124)*IF(AND(ISNUMBER($G124),$G124&lt;=IF($S124=MesCiclo,InicioCiclo,$S124+MOD(2-WEEKDAY($S124),7))+20),1,MIN(1,MAX(0,IF(ISNUMBER(OFFSET($A$1,ROW()-1,10)),OFFSET($A$1,ROW()-1,10),IF(ISNUMBER(OFFSET($A$1,ROW()-1,9)),OFFSET($A$1,ROW()-1,9),IF(ISNUMBER(OFFSET($A$1,ROW()-1,8)),OFFSET($A$1,ROW()-1,8),0)))))))</f>
        <v/>
      </c>
      <c r="AG124" s="62">
        <f>IF($V124&lt;&gt;"Sub","",N($X124)*IF(AND(ISNUMBER($G124),$G124&lt;=IF($S124=MesCiclo,InicioCiclo,$S124+MOD(2-WEEKDAY($S124),7))+27),1,MIN(1,MAX(0,IF(ISNUMBER(OFFSET($A$1,ROW()-1,11)),OFFSET($A$1,ROW()-1,11),IF(ISNUMBER(OFFSET($A$1,ROW()-1,10)),OFFSET($A$1,ROW()-1,10),IF(ISNUMBER(OFFSET($A$1,ROW()-1,9)),OFFSET($A$1,ROW()-1,9),IF(ISNUMBER(OFFSET($A$1,ROW()-1,8)),OFFSET($A$1,ROW()-1,8),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",IFERROR(MATCH("Riesgo Financiero|"&amp;MID($C124,12,500),rDname_ADM,0),0),"")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IF(N($W125)=0,"",IF(AND($S125=MesCiclo,1&gt;SemanaActual),"",MIN(1,SUMIFS(OFFSET($A$1,ROW(),29,1000-ROW(),1),OFFSET($A$1,ROW(),20,1000-ROW(),1),ROW(),OFFSET($A$1,ROW(),21,1000-ROW(),1),"Sub"))))</f>
        <v/>
      </c>
      <c r="J125" s="60">
        <f>IF(N($W125)=0,"",IF(AND($S125=MesCiclo,2&gt;SemanaActual),"",MIN(1,SUMIFS(OFFSET($A$1,ROW(),30,1000-ROW(),1),OFFSET($A$1,ROW(),20,1000-ROW(),1),ROW(),OFFSET($A$1,ROW(),21,1000-ROW(),1),"Sub"))))</f>
        <v/>
      </c>
      <c r="K125" s="60">
        <f>IF(N($W125)=0,"",IF(AND($S125=MesCiclo,3&gt;SemanaActual),"",MIN(1,SUMIFS(OFFSET($A$1,ROW(),31,1000-ROW(),1),OFFSET($A$1,ROW(),20,1000-ROW(),1),ROW(),OFFSET($A$1,ROW(),21,1000-ROW(),1),"Sub"))))</f>
        <v/>
      </c>
      <c r="L125" s="60">
        <f>IF(N($W125)=0,"",IF(AND($S125=MesCiclo,4&gt;SemanaActual),"",MIN(1,SUMIFS(OFFSET($A$1,ROW(),32,1000-ROW(),1),OFFSET($A$1,ROW(),20,1000-ROW(),1),ROW(),OFFSET($A$1,ROW(),21,1000-ROW(),1),"Sub"))))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IF($V125&lt;&gt;"Sub","",N($X125)*IF(AND(ISNUMBER($G125),$G125&lt;=IF($S125=MesCiclo,InicioCiclo,$S125+MOD(2-WEEKDAY($S125),7))+6),1,MIN(1,MAX(0,IF(ISNUMBER(OFFSET($A$1,ROW()-1,8)),OFFSET($A$1,ROW()-1,8),0)))))</f>
        <v/>
      </c>
      <c r="AE125" s="62">
        <f>IF($V125&lt;&gt;"Sub","",N($X125)*IF(AND(ISNUMBER($G125),$G125&lt;=IF($S125=MesCiclo,InicioCiclo,$S125+MOD(2-WEEKDAY($S125),7))+13),1,MIN(1,MAX(0,IF(ISNUMBER(OFFSET($A$1,ROW()-1,9)),OFFSET($A$1,ROW()-1,9),IF(ISNUMBER(OFFSET($A$1,ROW()-1,8)),OFFSET($A$1,ROW()-1,8),0))))))</f>
        <v/>
      </c>
      <c r="AF125" s="62">
        <f>IF($V125&lt;&gt;"Sub","",N($X125)*IF(AND(ISNUMBER($G125),$G125&lt;=IF($S125=MesCiclo,InicioCiclo,$S125+MOD(2-WEEKDAY($S125),7))+20),1,MIN(1,MAX(0,IF(ISNUMBER(OFFSET($A$1,ROW()-1,10)),OFFSET($A$1,ROW()-1,10),IF(ISNUMBER(OFFSET($A$1,ROW()-1,9)),OFFSET($A$1,ROW()-1,9),IF(ISNUMBER(OFFSET($A$1,ROW()-1,8)),OFFSET($A$1,ROW()-1,8),0)))))))</f>
        <v/>
      </c>
      <c r="AG125" s="62">
        <f>IF($V125&lt;&gt;"Sub","",N($X125)*IF(AND(ISNUMBER($G125),$G125&lt;=IF($S125=MesCiclo,InicioCiclo,$S125+MOD(2-WEEKDAY($S125),7))+27),1,MIN(1,MAX(0,IF(ISNUMBER(OFFSET($A$1,ROW()-1,11)),OFFSET($A$1,ROW()-1,11),IF(ISNUMBER(OFFSET($A$1,ROW()-1,10)),OFFSET($A$1,ROW()-1,10),IF(ISNUMBER(OFFSET($A$1,ROW()-1,9)),OFFSET($A$1,ROW()-1,9),IF(ISNUMBER(OFFSET($A$1,ROW()-1,8)),OFFSET($A$1,ROW()-1,8),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",IFERROR(MATCH("Riesgo Financiero|"&amp;MID($C125,12,500),rDname_ADM,0),0),"")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IF(N($W126)=0,"",IF(AND($S126=MesCiclo,1&gt;SemanaActual),"",MIN(1,SUMIFS(OFFSET($A$1,ROW(),29,1000-ROW(),1),OFFSET($A$1,ROW(),20,1000-ROW(),1),ROW(),OFFSET($A$1,ROW(),21,1000-ROW(),1),"Sub"))))</f>
        <v/>
      </c>
      <c r="J126" s="60">
        <f>IF(N($W126)=0,"",IF(AND($S126=MesCiclo,2&gt;SemanaActual),"",MIN(1,SUMIFS(OFFSET($A$1,ROW(),30,1000-ROW(),1),OFFSET($A$1,ROW(),20,1000-ROW(),1),ROW(),OFFSET($A$1,ROW(),21,1000-ROW(),1),"Sub"))))</f>
        <v/>
      </c>
      <c r="K126" s="60">
        <f>IF(N($W126)=0,"",IF(AND($S126=MesCiclo,3&gt;SemanaActual),"",MIN(1,SUMIFS(OFFSET($A$1,ROW(),31,1000-ROW(),1),OFFSET($A$1,ROW(),20,1000-ROW(),1),ROW(),OFFSET($A$1,ROW(),21,1000-ROW(),1),"Sub"))))</f>
        <v/>
      </c>
      <c r="L126" s="60">
        <f>IF(N($W126)=0,"",IF(AND($S126=MesCiclo,4&gt;SemanaActual),"",MIN(1,SUMIFS(OFFSET($A$1,ROW(),32,1000-ROW(),1),OFFSET($A$1,ROW(),20,1000-ROW(),1),ROW(),OFFSET($A$1,ROW(),21,1000-ROW(),1),"Sub"))))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IF($V126&lt;&gt;"Sub","",N($X126)*IF(AND(ISNUMBER($G126),$G126&lt;=IF($S126=MesCiclo,InicioCiclo,$S126+MOD(2-WEEKDAY($S126),7))+6),1,MIN(1,MAX(0,IF(ISNUMBER(OFFSET($A$1,ROW()-1,8)),OFFSET($A$1,ROW()-1,8),0)))))</f>
        <v/>
      </c>
      <c r="AE126" s="62">
        <f>IF($V126&lt;&gt;"Sub","",N($X126)*IF(AND(ISNUMBER($G126),$G126&lt;=IF($S126=MesCiclo,InicioCiclo,$S126+MOD(2-WEEKDAY($S126),7))+13),1,MIN(1,MAX(0,IF(ISNUMBER(OFFSET($A$1,ROW()-1,9)),OFFSET($A$1,ROW()-1,9),IF(ISNUMBER(OFFSET($A$1,ROW()-1,8)),OFFSET($A$1,ROW()-1,8),0))))))</f>
        <v/>
      </c>
      <c r="AF126" s="62">
        <f>IF($V126&lt;&gt;"Sub","",N($X126)*IF(AND(ISNUMBER($G126),$G126&lt;=IF($S126=MesCiclo,InicioCiclo,$S126+MOD(2-WEEKDAY($S126),7))+20),1,MIN(1,MAX(0,IF(ISNUMBER(OFFSET($A$1,ROW()-1,10)),OFFSET($A$1,ROW()-1,10),IF(ISNUMBER(OFFSET($A$1,ROW()-1,9)),OFFSET($A$1,ROW()-1,9),IF(ISNUMBER(OFFSET($A$1,ROW()-1,8)),OFFSET($A$1,ROW()-1,8),0)))))))</f>
        <v/>
      </c>
      <c r="AG126" s="62">
        <f>IF($V126&lt;&gt;"Sub","",N($X126)*IF(AND(ISNUMBER($G126),$G126&lt;=IF($S126=MesCiclo,InicioCiclo,$S126+MOD(2-WEEKDAY($S126),7))+27),1,MIN(1,MAX(0,IF(ISNUMBER(OFFSET($A$1,ROW()-1,11)),OFFSET($A$1,ROW()-1,11),IF(ISNUMBER(OFFSET($A$1,ROW()-1,10)),OFFSET($A$1,ROW()-1,10),IF(ISNUMBER(OFFSET($A$1,ROW()-1,9)),OFFSET($A$1,ROW()-1,9),IF(ISNUMBER(OFFSET($A$1,ROW()-1,8)),OFFSET($A$1,ROW()-1,8),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",IFERROR(MATCH("Riesgo Financiero|"&amp;MID($C126,12,500),rDname_ADM,0),0),"")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IF(N($W127)=0,"",IF(AND($S127=MesCiclo,1&gt;SemanaActual),"",MIN(1,SUMIFS(OFFSET($A$1,ROW(),29,1000-ROW(),1),OFFSET($A$1,ROW(),20,1000-ROW(),1),ROW(),OFFSET($A$1,ROW(),21,1000-ROW(),1),"Sub"))))</f>
        <v/>
      </c>
      <c r="J127" s="60">
        <f>IF(N($W127)=0,"",IF(AND($S127=MesCiclo,2&gt;SemanaActual),"",MIN(1,SUMIFS(OFFSET($A$1,ROW(),30,1000-ROW(),1),OFFSET($A$1,ROW(),20,1000-ROW(),1),ROW(),OFFSET($A$1,ROW(),21,1000-ROW(),1),"Sub"))))</f>
        <v/>
      </c>
      <c r="K127" s="60">
        <f>IF(N($W127)=0,"",IF(AND($S127=MesCiclo,3&gt;SemanaActual),"",MIN(1,SUMIFS(OFFSET($A$1,ROW(),31,1000-ROW(),1),OFFSET($A$1,ROW(),20,1000-ROW(),1),ROW(),OFFSET($A$1,ROW(),21,1000-ROW(),1),"Sub"))))</f>
        <v/>
      </c>
      <c r="L127" s="60">
        <f>IF(N($W127)=0,"",IF(AND($S127=MesCiclo,4&gt;SemanaActual),"",MIN(1,SUMIFS(OFFSET($A$1,ROW(),32,1000-ROW(),1),OFFSET($A$1,ROW(),20,1000-ROW(),1),ROW(),OFFSET($A$1,ROW(),21,1000-ROW(),1),"Sub"))))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IF($V127&lt;&gt;"Sub","",N($X127)*IF(AND(ISNUMBER($G127),$G127&lt;=IF($S127=MesCiclo,InicioCiclo,$S127+MOD(2-WEEKDAY($S127),7))+6),1,MIN(1,MAX(0,IF(ISNUMBER(OFFSET($A$1,ROW()-1,8)),OFFSET($A$1,ROW()-1,8),0)))))</f>
        <v/>
      </c>
      <c r="AE127" s="62">
        <f>IF($V127&lt;&gt;"Sub","",N($X127)*IF(AND(ISNUMBER($G127),$G127&lt;=IF($S127=MesCiclo,InicioCiclo,$S127+MOD(2-WEEKDAY($S127),7))+13),1,MIN(1,MAX(0,IF(ISNUMBER(OFFSET($A$1,ROW()-1,9)),OFFSET($A$1,ROW()-1,9),IF(ISNUMBER(OFFSET($A$1,ROW()-1,8)),OFFSET($A$1,ROW()-1,8),0))))))</f>
        <v/>
      </c>
      <c r="AF127" s="62">
        <f>IF($V127&lt;&gt;"Sub","",N($X127)*IF(AND(ISNUMBER($G127),$G127&lt;=IF($S127=MesCiclo,InicioCiclo,$S127+MOD(2-WEEKDAY($S127),7))+20),1,MIN(1,MAX(0,IF(ISNUMBER(OFFSET($A$1,ROW()-1,10)),OFFSET($A$1,ROW()-1,10),IF(ISNUMBER(OFFSET($A$1,ROW()-1,9)),OFFSET($A$1,ROW()-1,9),IF(ISNUMBER(OFFSET($A$1,ROW()-1,8)),OFFSET($A$1,ROW()-1,8),0)))))))</f>
        <v/>
      </c>
      <c r="AG127" s="62">
        <f>IF($V127&lt;&gt;"Sub","",N($X127)*IF(AND(ISNUMBER($G127),$G127&lt;=IF($S127=MesCiclo,InicioCiclo,$S127+MOD(2-WEEKDAY($S127),7))+27),1,MIN(1,MAX(0,IF(ISNUMBER(OFFSET($A$1,ROW()-1,11)),OFFSET($A$1,ROW()-1,11),IF(ISNUMBER(OFFSET($A$1,ROW()-1,10)),OFFSET($A$1,ROW()-1,10),IF(ISNUMBER(OFFSET($A$1,ROW()-1,9)),OFFSET($A$1,ROW()-1,9),IF(ISNUMBER(OFFSET($A$1,ROW()-1,8)),OFFSET($A$1,ROW()-1,8),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",IFERROR(MATCH("Riesgo Financiero|"&amp;MID($C127,12,500),rDname_ADM,0),0),"")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IF(N($W128)=0,"",IF(AND($S128=MesCiclo,1&gt;SemanaActual),"",MIN(1,SUMIFS(OFFSET($A$1,ROW(),29,1000-ROW(),1),OFFSET($A$1,ROW(),20,1000-ROW(),1),ROW(),OFFSET($A$1,ROW(),21,1000-ROW(),1),"Sub"))))</f>
        <v/>
      </c>
      <c r="J128" s="60">
        <f>IF(N($W128)=0,"",IF(AND($S128=MesCiclo,2&gt;SemanaActual),"",MIN(1,SUMIFS(OFFSET($A$1,ROW(),30,1000-ROW(),1),OFFSET($A$1,ROW(),20,1000-ROW(),1),ROW(),OFFSET($A$1,ROW(),21,1000-ROW(),1),"Sub"))))</f>
        <v/>
      </c>
      <c r="K128" s="60">
        <f>IF(N($W128)=0,"",IF(AND($S128=MesCiclo,3&gt;SemanaActual),"",MIN(1,SUMIFS(OFFSET($A$1,ROW(),31,1000-ROW(),1),OFFSET($A$1,ROW(),20,1000-ROW(),1),ROW(),OFFSET($A$1,ROW(),21,1000-ROW(),1),"Sub"))))</f>
        <v/>
      </c>
      <c r="L128" s="60">
        <f>IF(N($W128)=0,"",IF(AND($S128=MesCiclo,4&gt;SemanaActual),"",MIN(1,SUMIFS(OFFSET($A$1,ROW(),32,1000-ROW(),1),OFFSET($A$1,ROW(),20,1000-ROW(),1),ROW(),OFFSET($A$1,ROW(),21,1000-ROW(),1),"Sub"))))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IF($V128&lt;&gt;"Sub","",N($X128)*IF(AND(ISNUMBER($G128),$G128&lt;=IF($S128=MesCiclo,InicioCiclo,$S128+MOD(2-WEEKDAY($S128),7))+6),1,MIN(1,MAX(0,IF(ISNUMBER(OFFSET($A$1,ROW()-1,8)),OFFSET($A$1,ROW()-1,8),0)))))</f>
        <v/>
      </c>
      <c r="AE128" s="62">
        <f>IF($V128&lt;&gt;"Sub","",N($X128)*IF(AND(ISNUMBER($G128),$G128&lt;=IF($S128=MesCiclo,InicioCiclo,$S128+MOD(2-WEEKDAY($S128),7))+13),1,MIN(1,MAX(0,IF(ISNUMBER(OFFSET($A$1,ROW()-1,9)),OFFSET($A$1,ROW()-1,9),IF(ISNUMBER(OFFSET($A$1,ROW()-1,8)),OFFSET($A$1,ROW()-1,8),0))))))</f>
        <v/>
      </c>
      <c r="AF128" s="62">
        <f>IF($V128&lt;&gt;"Sub","",N($X128)*IF(AND(ISNUMBER($G128),$G128&lt;=IF($S128=MesCiclo,InicioCiclo,$S128+MOD(2-WEEKDAY($S128),7))+20),1,MIN(1,MAX(0,IF(ISNUMBER(OFFSET($A$1,ROW()-1,10)),OFFSET($A$1,ROW()-1,10),IF(ISNUMBER(OFFSET($A$1,ROW()-1,9)),OFFSET($A$1,ROW()-1,9),IF(ISNUMBER(OFFSET($A$1,ROW()-1,8)),OFFSET($A$1,ROW()-1,8),0)))))))</f>
        <v/>
      </c>
      <c r="AG128" s="62">
        <f>IF($V128&lt;&gt;"Sub","",N($X128)*IF(AND(ISNUMBER($G128),$G128&lt;=IF($S128=MesCiclo,InicioCiclo,$S128+MOD(2-WEEKDAY($S128),7))+27),1,MIN(1,MAX(0,IF(ISNUMBER(OFFSET($A$1,ROW()-1,11)),OFFSET($A$1,ROW()-1,11),IF(ISNUMBER(OFFSET($A$1,ROW()-1,10)),OFFSET($A$1,ROW()-1,10),IF(ISNUMBER(OFFSET($A$1,ROW()-1,9)),OFFSET($A$1,ROW()-1,9),IF(ISNUMBER(OFFSET($A$1,ROW()-1,8)),OFFSET($A$1,ROW()-1,8),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",IFERROR(MATCH("Riesgo Financiero|"&amp;MID($C128,12,500),rDname_ADM,0),0),"")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IF(N($W129)=0,"",IF(AND($S129=MesCiclo,1&gt;SemanaActual),"",MIN(1,SUMIFS(OFFSET($A$1,ROW(),29,1000-ROW(),1),OFFSET($A$1,ROW(),20,1000-ROW(),1),ROW(),OFFSET($A$1,ROW(),21,1000-ROW(),1),"Sub"))))</f>
        <v/>
      </c>
      <c r="J129" s="60">
        <f>IF(N($W129)=0,"",IF(AND($S129=MesCiclo,2&gt;SemanaActual),"",MIN(1,SUMIFS(OFFSET($A$1,ROW(),30,1000-ROW(),1),OFFSET($A$1,ROW(),20,1000-ROW(),1),ROW(),OFFSET($A$1,ROW(),21,1000-ROW(),1),"Sub"))))</f>
        <v/>
      </c>
      <c r="K129" s="60">
        <f>IF(N($W129)=0,"",IF(AND($S129=MesCiclo,3&gt;SemanaActual),"",MIN(1,SUMIFS(OFFSET($A$1,ROW(),31,1000-ROW(),1),OFFSET($A$1,ROW(),20,1000-ROW(),1),ROW(),OFFSET($A$1,ROW(),21,1000-ROW(),1),"Sub"))))</f>
        <v/>
      </c>
      <c r="L129" s="60">
        <f>IF(N($W129)=0,"",IF(AND($S129=MesCiclo,4&gt;SemanaActual),"",MIN(1,SUMIFS(OFFSET($A$1,ROW(),32,1000-ROW(),1),OFFSET($A$1,ROW(),20,1000-ROW(),1),ROW(),OFFSET($A$1,ROW(),21,1000-ROW(),1),"Sub"))))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IF($V129&lt;&gt;"Sub","",N($X129)*IF(AND(ISNUMBER($G129),$G129&lt;=IF($S129=MesCiclo,InicioCiclo,$S129+MOD(2-WEEKDAY($S129),7))+6),1,MIN(1,MAX(0,IF(ISNUMBER(OFFSET($A$1,ROW()-1,8)),OFFSET($A$1,ROW()-1,8),0)))))</f>
        <v/>
      </c>
      <c r="AE129" s="62">
        <f>IF($V129&lt;&gt;"Sub","",N($X129)*IF(AND(ISNUMBER($G129),$G129&lt;=IF($S129=MesCiclo,InicioCiclo,$S129+MOD(2-WEEKDAY($S129),7))+13),1,MIN(1,MAX(0,IF(ISNUMBER(OFFSET($A$1,ROW()-1,9)),OFFSET($A$1,ROW()-1,9),IF(ISNUMBER(OFFSET($A$1,ROW()-1,8)),OFFSET($A$1,ROW()-1,8),0))))))</f>
        <v/>
      </c>
      <c r="AF129" s="62">
        <f>IF($V129&lt;&gt;"Sub","",N($X129)*IF(AND(ISNUMBER($G129),$G129&lt;=IF($S129=MesCiclo,InicioCiclo,$S129+MOD(2-WEEKDAY($S129),7))+20),1,MIN(1,MAX(0,IF(ISNUMBER(OFFSET($A$1,ROW()-1,10)),OFFSET($A$1,ROW()-1,10),IF(ISNUMBER(OFFSET($A$1,ROW()-1,9)),OFFSET($A$1,ROW()-1,9),IF(ISNUMBER(OFFSET($A$1,ROW()-1,8)),OFFSET($A$1,ROW()-1,8),0)))))))</f>
        <v/>
      </c>
      <c r="AG129" s="62">
        <f>IF($V129&lt;&gt;"Sub","",N($X129)*IF(AND(ISNUMBER($G129),$G129&lt;=IF($S129=MesCiclo,InicioCiclo,$S129+MOD(2-WEEKDAY($S129),7))+27),1,MIN(1,MAX(0,IF(ISNUMBER(OFFSET($A$1,ROW()-1,11)),OFFSET($A$1,ROW()-1,11),IF(ISNUMBER(OFFSET($A$1,ROW()-1,10)),OFFSET($A$1,ROW()-1,10),IF(ISNUMBER(OFFSET($A$1,ROW()-1,9)),OFFSET($A$1,ROW()-1,9),IF(ISNUMBER(OFFSET($A$1,ROW()-1,8)),OFFSET($A$1,ROW()-1,8),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",IFERROR(MATCH("Riesgo Financiero|"&amp;MID($C129,12,500),rDname_ADM,0),0),"")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IF(N($W130)=0,"",IF(AND($S130=MesCiclo,1&gt;SemanaActual),"",MIN(1,SUMIFS(OFFSET($A$1,ROW(),29,1000-ROW(),1),OFFSET($A$1,ROW(),20,1000-ROW(),1),ROW(),OFFSET($A$1,ROW(),21,1000-ROW(),1),"Sub"))))</f>
        <v/>
      </c>
      <c r="J130" s="60">
        <f>IF(N($W130)=0,"",IF(AND($S130=MesCiclo,2&gt;SemanaActual),"",MIN(1,SUMIFS(OFFSET($A$1,ROW(),30,1000-ROW(),1),OFFSET($A$1,ROW(),20,1000-ROW(),1),ROW(),OFFSET($A$1,ROW(),21,1000-ROW(),1),"Sub"))))</f>
        <v/>
      </c>
      <c r="K130" s="60">
        <f>IF(N($W130)=0,"",IF(AND($S130=MesCiclo,3&gt;SemanaActual),"",MIN(1,SUMIFS(OFFSET($A$1,ROW(),31,1000-ROW(),1),OFFSET($A$1,ROW(),20,1000-ROW(),1),ROW(),OFFSET($A$1,ROW(),21,1000-ROW(),1),"Sub"))))</f>
        <v/>
      </c>
      <c r="L130" s="60">
        <f>IF(N($W130)=0,"",IF(AND($S130=MesCiclo,4&gt;SemanaActual),"",MIN(1,SUMIFS(OFFSET($A$1,ROW(),32,1000-ROW(),1),OFFSET($A$1,ROW(),20,1000-ROW(),1),ROW(),OFFSET($A$1,ROW(),21,1000-ROW(),1),"Sub"))))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IF($V130&lt;&gt;"Sub","",N($X130)*IF(AND(ISNUMBER($G130),$G130&lt;=IF($S130=MesCiclo,InicioCiclo,$S130+MOD(2-WEEKDAY($S130),7))+6),1,MIN(1,MAX(0,IF(ISNUMBER(OFFSET($A$1,ROW()-1,8)),OFFSET($A$1,ROW()-1,8),0)))))</f>
        <v/>
      </c>
      <c r="AE130" s="62">
        <f>IF($V130&lt;&gt;"Sub","",N($X130)*IF(AND(ISNUMBER($G130),$G130&lt;=IF($S130=MesCiclo,InicioCiclo,$S130+MOD(2-WEEKDAY($S130),7))+13),1,MIN(1,MAX(0,IF(ISNUMBER(OFFSET($A$1,ROW()-1,9)),OFFSET($A$1,ROW()-1,9),IF(ISNUMBER(OFFSET($A$1,ROW()-1,8)),OFFSET($A$1,ROW()-1,8),0))))))</f>
        <v/>
      </c>
      <c r="AF130" s="62">
        <f>IF($V130&lt;&gt;"Sub","",N($X130)*IF(AND(ISNUMBER($G130),$G130&lt;=IF($S130=MesCiclo,InicioCiclo,$S130+MOD(2-WEEKDAY($S130),7))+20),1,MIN(1,MAX(0,IF(ISNUMBER(OFFSET($A$1,ROW()-1,10)),OFFSET($A$1,ROW()-1,10),IF(ISNUMBER(OFFSET($A$1,ROW()-1,9)),OFFSET($A$1,ROW()-1,9),IF(ISNUMBER(OFFSET($A$1,ROW()-1,8)),OFFSET($A$1,ROW()-1,8),0)))))))</f>
        <v/>
      </c>
      <c r="AG130" s="62">
        <f>IF($V130&lt;&gt;"Sub","",N($X130)*IF(AND(ISNUMBER($G130),$G130&lt;=IF($S130=MesCiclo,InicioCiclo,$S130+MOD(2-WEEKDAY($S130),7))+27),1,MIN(1,MAX(0,IF(ISNUMBER(OFFSET($A$1,ROW()-1,11)),OFFSET($A$1,ROW()-1,11),IF(ISNUMBER(OFFSET($A$1,ROW()-1,10)),OFFSET($A$1,ROW()-1,10),IF(ISNUMBER(OFFSET($A$1,ROW()-1,9)),OFFSET($A$1,ROW()-1,9),IF(ISNUMBER(OFFSET($A$1,ROW()-1,8)),OFFSET($A$1,ROW()-1,8),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",IFERROR(MATCH("Riesgo Financiero|"&amp;MID($C130,12,500),rDname_ADM,0),0),"")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IF(N($W131)=0,"",IF(AND($S131=MesCiclo,1&gt;SemanaActual),"",MIN(1,SUMIFS(OFFSET($A$1,ROW(),29,1000-ROW(),1),OFFSET($A$1,ROW(),20,1000-ROW(),1),ROW(),OFFSET($A$1,ROW(),21,1000-ROW(),1),"Sub"))))</f>
        <v/>
      </c>
      <c r="J131" s="60">
        <f>IF(N($W131)=0,"",IF(AND($S131=MesCiclo,2&gt;SemanaActual),"",MIN(1,SUMIFS(OFFSET($A$1,ROW(),30,1000-ROW(),1),OFFSET($A$1,ROW(),20,1000-ROW(),1),ROW(),OFFSET($A$1,ROW(),21,1000-ROW(),1),"Sub"))))</f>
        <v/>
      </c>
      <c r="K131" s="60">
        <f>IF(N($W131)=0,"",IF(AND($S131=MesCiclo,3&gt;SemanaActual),"",MIN(1,SUMIFS(OFFSET($A$1,ROW(),31,1000-ROW(),1),OFFSET($A$1,ROW(),20,1000-ROW(),1),ROW(),OFFSET($A$1,ROW(),21,1000-ROW(),1),"Sub"))))</f>
        <v/>
      </c>
      <c r="L131" s="60">
        <f>IF(N($W131)=0,"",IF(AND($S131=MesCiclo,4&gt;SemanaActual),"",MIN(1,SUMIFS(OFFSET($A$1,ROW(),32,1000-ROW(),1),OFFSET($A$1,ROW(),20,1000-ROW(),1),ROW(),OFFSET($A$1,ROW(),21,1000-ROW(),1),"Sub"))))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IF($V131&lt;&gt;"Sub","",N($X131)*IF(AND(ISNUMBER($G131),$G131&lt;=IF($S131=MesCiclo,InicioCiclo,$S131+MOD(2-WEEKDAY($S131),7))+6),1,MIN(1,MAX(0,IF(ISNUMBER(OFFSET($A$1,ROW()-1,8)),OFFSET($A$1,ROW()-1,8),0)))))</f>
        <v/>
      </c>
      <c r="AE131" s="62">
        <f>IF($V131&lt;&gt;"Sub","",N($X131)*IF(AND(ISNUMBER($G131),$G131&lt;=IF($S131=MesCiclo,InicioCiclo,$S131+MOD(2-WEEKDAY($S131),7))+13),1,MIN(1,MAX(0,IF(ISNUMBER(OFFSET($A$1,ROW()-1,9)),OFFSET($A$1,ROW()-1,9),IF(ISNUMBER(OFFSET($A$1,ROW()-1,8)),OFFSET($A$1,ROW()-1,8),0))))))</f>
        <v/>
      </c>
      <c r="AF131" s="62">
        <f>IF($V131&lt;&gt;"Sub","",N($X131)*IF(AND(ISNUMBER($G131),$G131&lt;=IF($S131=MesCiclo,InicioCiclo,$S131+MOD(2-WEEKDAY($S131),7))+20),1,MIN(1,MAX(0,IF(ISNUMBER(OFFSET($A$1,ROW()-1,10)),OFFSET($A$1,ROW()-1,10),IF(ISNUMBER(OFFSET($A$1,ROW()-1,9)),OFFSET($A$1,ROW()-1,9),IF(ISNUMBER(OFFSET($A$1,ROW()-1,8)),OFFSET($A$1,ROW()-1,8),0)))))))</f>
        <v/>
      </c>
      <c r="AG131" s="62">
        <f>IF($V131&lt;&gt;"Sub","",N($X131)*IF(AND(ISNUMBER($G131),$G131&lt;=IF($S131=MesCiclo,InicioCiclo,$S131+MOD(2-WEEKDAY($S131),7))+27),1,MIN(1,MAX(0,IF(ISNUMBER(OFFSET($A$1,ROW()-1,11)),OFFSET($A$1,ROW()-1,11),IF(ISNUMBER(OFFSET($A$1,ROW()-1,10)),OFFSET($A$1,ROW()-1,10),IF(ISNUMBER(OFFSET($A$1,ROW()-1,9)),OFFSET($A$1,ROW()-1,9),IF(ISNUMBER(OFFSET($A$1,ROW()-1,8)),OFFSET($A$1,ROW()-1,8),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",IFERROR(MATCH("Riesgo Financiero|"&amp;MID($C131,12,500),rDname_ADM,0),0),"")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IF(N($W132)=0,"",IF(AND($S132=MesCiclo,1&gt;SemanaActual),"",MIN(1,SUMIFS(OFFSET($A$1,ROW(),29,1000-ROW(),1),OFFSET($A$1,ROW(),20,1000-ROW(),1),ROW(),OFFSET($A$1,ROW(),21,1000-ROW(),1),"Sub"))))</f>
        <v/>
      </c>
      <c r="J132" s="60">
        <f>IF(N($W132)=0,"",IF(AND($S132=MesCiclo,2&gt;SemanaActual),"",MIN(1,SUMIFS(OFFSET($A$1,ROW(),30,1000-ROW(),1),OFFSET($A$1,ROW(),20,1000-ROW(),1),ROW(),OFFSET($A$1,ROW(),21,1000-ROW(),1),"Sub"))))</f>
        <v/>
      </c>
      <c r="K132" s="60">
        <f>IF(N($W132)=0,"",IF(AND($S132=MesCiclo,3&gt;SemanaActual),"",MIN(1,SUMIFS(OFFSET($A$1,ROW(),31,1000-ROW(),1),OFFSET($A$1,ROW(),20,1000-ROW(),1),ROW(),OFFSET($A$1,ROW(),21,1000-ROW(),1),"Sub"))))</f>
        <v/>
      </c>
      <c r="L132" s="60">
        <f>IF(N($W132)=0,"",IF(AND($S132=MesCiclo,4&gt;SemanaActual),"",MIN(1,SUMIFS(OFFSET($A$1,ROW(),32,1000-ROW(),1),OFFSET($A$1,ROW(),20,1000-ROW(),1),ROW(),OFFSET($A$1,ROW(),21,1000-ROW(),1),"Sub"))))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IF($V132&lt;&gt;"Sub","",N($X132)*IF(AND(ISNUMBER($G132),$G132&lt;=IF($S132=MesCiclo,InicioCiclo,$S132+MOD(2-WEEKDAY($S132),7))+6),1,MIN(1,MAX(0,IF(ISNUMBER(OFFSET($A$1,ROW()-1,8)),OFFSET($A$1,ROW()-1,8),0)))))</f>
        <v/>
      </c>
      <c r="AE132" s="62">
        <f>IF($V132&lt;&gt;"Sub","",N($X132)*IF(AND(ISNUMBER($G132),$G132&lt;=IF($S132=MesCiclo,InicioCiclo,$S132+MOD(2-WEEKDAY($S132),7))+13),1,MIN(1,MAX(0,IF(ISNUMBER(OFFSET($A$1,ROW()-1,9)),OFFSET($A$1,ROW()-1,9),IF(ISNUMBER(OFFSET($A$1,ROW()-1,8)),OFFSET($A$1,ROW()-1,8),0))))))</f>
        <v/>
      </c>
      <c r="AF132" s="62">
        <f>IF($V132&lt;&gt;"Sub","",N($X132)*IF(AND(ISNUMBER($G132),$G132&lt;=IF($S132=MesCiclo,InicioCiclo,$S132+MOD(2-WEEKDAY($S132),7))+20),1,MIN(1,MAX(0,IF(ISNUMBER(OFFSET($A$1,ROW()-1,10)),OFFSET($A$1,ROW()-1,10),IF(ISNUMBER(OFFSET($A$1,ROW()-1,9)),OFFSET($A$1,ROW()-1,9),IF(ISNUMBER(OFFSET($A$1,ROW()-1,8)),OFFSET($A$1,ROW()-1,8),0)))))))</f>
        <v/>
      </c>
      <c r="AG132" s="62">
        <f>IF($V132&lt;&gt;"Sub","",N($X132)*IF(AND(ISNUMBER($G132),$G132&lt;=IF($S132=MesCiclo,InicioCiclo,$S132+MOD(2-WEEKDAY($S132),7))+27),1,MIN(1,MAX(0,IF(ISNUMBER(OFFSET($A$1,ROW()-1,11)),OFFSET($A$1,ROW()-1,11),IF(ISNUMBER(OFFSET($A$1,ROW()-1,10)),OFFSET($A$1,ROW()-1,10),IF(ISNUMBER(OFFSET($A$1,ROW()-1,9)),OFFSET($A$1,ROW()-1,9),IF(ISNUMBER(OFFSET($A$1,ROW()-1,8)),OFFSET($A$1,ROW()-1,8),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",IFERROR(MATCH("Riesgo Financiero|"&amp;MID($C132,12,500),rDname_ADM,0),0),"")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IF(N($W133)=0,"",IF(AND($S133=MesCiclo,1&gt;SemanaActual),"",MIN(1,SUMIFS(OFFSET($A$1,ROW(),29,1000-ROW(),1),OFFSET($A$1,ROW(),20,1000-ROW(),1),ROW(),OFFSET($A$1,ROW(),21,1000-ROW(),1),"Sub"))))</f>
        <v/>
      </c>
      <c r="J133" s="60">
        <f>IF(N($W133)=0,"",IF(AND($S133=MesCiclo,2&gt;SemanaActual),"",MIN(1,SUMIFS(OFFSET($A$1,ROW(),30,1000-ROW(),1),OFFSET($A$1,ROW(),20,1000-ROW(),1),ROW(),OFFSET($A$1,ROW(),21,1000-ROW(),1),"Sub"))))</f>
        <v/>
      </c>
      <c r="K133" s="60">
        <f>IF(N($W133)=0,"",IF(AND($S133=MesCiclo,3&gt;SemanaActual),"",MIN(1,SUMIFS(OFFSET($A$1,ROW(),31,1000-ROW(),1),OFFSET($A$1,ROW(),20,1000-ROW(),1),ROW(),OFFSET($A$1,ROW(),21,1000-ROW(),1),"Sub"))))</f>
        <v/>
      </c>
      <c r="L133" s="60">
        <f>IF(N($W133)=0,"",IF(AND($S133=MesCiclo,4&gt;SemanaActual),"",MIN(1,SUMIFS(OFFSET($A$1,ROW(),32,1000-ROW(),1),OFFSET($A$1,ROW(),20,1000-ROW(),1),ROW(),OFFSET($A$1,ROW(),21,1000-ROW(),1),"Sub"))))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IF($V133&lt;&gt;"Sub","",N($X133)*IF(AND(ISNUMBER($G133),$G133&lt;=IF($S133=MesCiclo,InicioCiclo,$S133+MOD(2-WEEKDAY($S133),7))+6),1,MIN(1,MAX(0,IF(ISNUMBER(OFFSET($A$1,ROW()-1,8)),OFFSET($A$1,ROW()-1,8),0)))))</f>
        <v/>
      </c>
      <c r="AE133" s="62">
        <f>IF($V133&lt;&gt;"Sub","",N($X133)*IF(AND(ISNUMBER($G133),$G133&lt;=IF($S133=MesCiclo,InicioCiclo,$S133+MOD(2-WEEKDAY($S133),7))+13),1,MIN(1,MAX(0,IF(ISNUMBER(OFFSET($A$1,ROW()-1,9)),OFFSET($A$1,ROW()-1,9),IF(ISNUMBER(OFFSET($A$1,ROW()-1,8)),OFFSET($A$1,ROW()-1,8),0))))))</f>
        <v/>
      </c>
      <c r="AF133" s="62">
        <f>IF($V133&lt;&gt;"Sub","",N($X133)*IF(AND(ISNUMBER($G133),$G133&lt;=IF($S133=MesCiclo,InicioCiclo,$S133+MOD(2-WEEKDAY($S133),7))+20),1,MIN(1,MAX(0,IF(ISNUMBER(OFFSET($A$1,ROW()-1,10)),OFFSET($A$1,ROW()-1,10),IF(ISNUMBER(OFFSET($A$1,ROW()-1,9)),OFFSET($A$1,ROW()-1,9),IF(ISNUMBER(OFFSET($A$1,ROW()-1,8)),OFFSET($A$1,ROW()-1,8),0)))))))</f>
        <v/>
      </c>
      <c r="AG133" s="62">
        <f>IF($V133&lt;&gt;"Sub","",N($X133)*IF(AND(ISNUMBER($G133),$G133&lt;=IF($S133=MesCiclo,InicioCiclo,$S133+MOD(2-WEEKDAY($S133),7))+27),1,MIN(1,MAX(0,IF(ISNUMBER(OFFSET($A$1,ROW()-1,11)),OFFSET($A$1,ROW()-1,11),IF(ISNUMBER(OFFSET($A$1,ROW()-1,10)),OFFSET($A$1,ROW()-1,10),IF(ISNUMBER(OFFSET($A$1,ROW()-1,9)),OFFSET($A$1,ROW()-1,9),IF(ISNUMBER(OFFSET($A$1,ROW()-1,8)),OFFSET($A$1,ROW()-1,8),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",IFERROR(MATCH("Riesgo Financiero|"&amp;MID($C133,12,500),rDname_ADM,0),0),"")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IF(N($W134)=0,"",IF(AND($S134=MesCiclo,1&gt;SemanaActual),"",MIN(1,SUMIFS(OFFSET($A$1,ROW(),29,1000-ROW(),1),OFFSET($A$1,ROW(),20,1000-ROW(),1),ROW(),OFFSET($A$1,ROW(),21,1000-ROW(),1),"Sub"))))</f>
        <v/>
      </c>
      <c r="J134" s="60">
        <f>IF(N($W134)=0,"",IF(AND($S134=MesCiclo,2&gt;SemanaActual),"",MIN(1,SUMIFS(OFFSET($A$1,ROW(),30,1000-ROW(),1),OFFSET($A$1,ROW(),20,1000-ROW(),1),ROW(),OFFSET($A$1,ROW(),21,1000-ROW(),1),"Sub"))))</f>
        <v/>
      </c>
      <c r="K134" s="60">
        <f>IF(N($W134)=0,"",IF(AND($S134=MesCiclo,3&gt;SemanaActual),"",MIN(1,SUMIFS(OFFSET($A$1,ROW(),31,1000-ROW(),1),OFFSET($A$1,ROW(),20,1000-ROW(),1),ROW(),OFFSET($A$1,ROW(),21,1000-ROW(),1),"Sub"))))</f>
        <v/>
      </c>
      <c r="L134" s="60">
        <f>IF(N($W134)=0,"",IF(AND($S134=MesCiclo,4&gt;SemanaActual),"",MIN(1,SUMIFS(OFFSET($A$1,ROW(),32,1000-ROW(),1),OFFSET($A$1,ROW(),20,1000-ROW(),1),ROW(),OFFSET($A$1,ROW(),21,1000-ROW(),1),"Sub"))))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IF($V134&lt;&gt;"Sub","",N($X134)*IF(AND(ISNUMBER($G134),$G134&lt;=IF($S134=MesCiclo,InicioCiclo,$S134+MOD(2-WEEKDAY($S134),7))+6),1,MIN(1,MAX(0,IF(ISNUMBER(OFFSET($A$1,ROW()-1,8)),OFFSET($A$1,ROW()-1,8),0)))))</f>
        <v/>
      </c>
      <c r="AE134" s="62">
        <f>IF($V134&lt;&gt;"Sub","",N($X134)*IF(AND(ISNUMBER($G134),$G134&lt;=IF($S134=MesCiclo,InicioCiclo,$S134+MOD(2-WEEKDAY($S134),7))+13),1,MIN(1,MAX(0,IF(ISNUMBER(OFFSET($A$1,ROW()-1,9)),OFFSET($A$1,ROW()-1,9),IF(ISNUMBER(OFFSET($A$1,ROW()-1,8)),OFFSET($A$1,ROW()-1,8),0))))))</f>
        <v/>
      </c>
      <c r="AF134" s="62">
        <f>IF($V134&lt;&gt;"Sub","",N($X134)*IF(AND(ISNUMBER($G134),$G134&lt;=IF($S134=MesCiclo,InicioCiclo,$S134+MOD(2-WEEKDAY($S134),7))+20),1,MIN(1,MAX(0,IF(ISNUMBER(OFFSET($A$1,ROW()-1,10)),OFFSET($A$1,ROW()-1,10),IF(ISNUMBER(OFFSET($A$1,ROW()-1,9)),OFFSET($A$1,ROW()-1,9),IF(ISNUMBER(OFFSET($A$1,ROW()-1,8)),OFFSET($A$1,ROW()-1,8),0)))))))</f>
        <v/>
      </c>
      <c r="AG134" s="62">
        <f>IF($V134&lt;&gt;"Sub","",N($X134)*IF(AND(ISNUMBER($G134),$G134&lt;=IF($S134=MesCiclo,InicioCiclo,$S134+MOD(2-WEEKDAY($S134),7))+27),1,MIN(1,MAX(0,IF(ISNUMBER(OFFSET($A$1,ROW()-1,11)),OFFSET($A$1,ROW()-1,11),IF(ISNUMBER(OFFSET($A$1,ROW()-1,10)),OFFSET($A$1,ROW()-1,10),IF(ISNUMBER(OFFSET($A$1,ROW()-1,9)),OFFSET($A$1,ROW()-1,9),IF(ISNUMBER(OFFSET($A$1,ROW()-1,8)),OFFSET($A$1,ROW()-1,8),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",IFERROR(MATCH("Riesgo Financiero|"&amp;MID($C134,12,500),rDname_ADM,0),0),"")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IF(N($W135)=0,"",IF(AND($S135=MesCiclo,1&gt;SemanaActual),"",MIN(1,SUMIFS(OFFSET($A$1,ROW(),29,1000-ROW(),1),OFFSET($A$1,ROW(),20,1000-ROW(),1),ROW(),OFFSET($A$1,ROW(),21,1000-ROW(),1),"Sub"))))</f>
        <v/>
      </c>
      <c r="J135" s="60">
        <f>IF(N($W135)=0,"",IF(AND($S135=MesCiclo,2&gt;SemanaActual),"",MIN(1,SUMIFS(OFFSET($A$1,ROW(),30,1000-ROW(),1),OFFSET($A$1,ROW(),20,1000-ROW(),1),ROW(),OFFSET($A$1,ROW(),21,1000-ROW(),1),"Sub"))))</f>
        <v/>
      </c>
      <c r="K135" s="60">
        <f>IF(N($W135)=0,"",IF(AND($S135=MesCiclo,3&gt;SemanaActual),"",MIN(1,SUMIFS(OFFSET($A$1,ROW(),31,1000-ROW(),1),OFFSET($A$1,ROW(),20,1000-ROW(),1),ROW(),OFFSET($A$1,ROW(),21,1000-ROW(),1),"Sub"))))</f>
        <v/>
      </c>
      <c r="L135" s="60">
        <f>IF(N($W135)=0,"",IF(AND($S135=MesCiclo,4&gt;SemanaActual),"",MIN(1,SUMIFS(OFFSET($A$1,ROW(),32,1000-ROW(),1),OFFSET($A$1,ROW(),20,1000-ROW(),1),ROW(),OFFSET($A$1,ROW(),21,1000-ROW(),1),"Sub"))))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IF($V135&lt;&gt;"Sub","",N($X135)*IF(AND(ISNUMBER($G135),$G135&lt;=IF($S135=MesCiclo,InicioCiclo,$S135+MOD(2-WEEKDAY($S135),7))+6),1,MIN(1,MAX(0,IF(ISNUMBER(OFFSET($A$1,ROW()-1,8)),OFFSET($A$1,ROW()-1,8),0)))))</f>
        <v/>
      </c>
      <c r="AE135" s="62">
        <f>IF($V135&lt;&gt;"Sub","",N($X135)*IF(AND(ISNUMBER($G135),$G135&lt;=IF($S135=MesCiclo,InicioCiclo,$S135+MOD(2-WEEKDAY($S135),7))+13),1,MIN(1,MAX(0,IF(ISNUMBER(OFFSET($A$1,ROW()-1,9)),OFFSET($A$1,ROW()-1,9),IF(ISNUMBER(OFFSET($A$1,ROW()-1,8)),OFFSET($A$1,ROW()-1,8),0))))))</f>
        <v/>
      </c>
      <c r="AF135" s="62">
        <f>IF($V135&lt;&gt;"Sub","",N($X135)*IF(AND(ISNUMBER($G135),$G135&lt;=IF($S135=MesCiclo,InicioCiclo,$S135+MOD(2-WEEKDAY($S135),7))+20),1,MIN(1,MAX(0,IF(ISNUMBER(OFFSET($A$1,ROW()-1,10)),OFFSET($A$1,ROW()-1,10),IF(ISNUMBER(OFFSET($A$1,ROW()-1,9)),OFFSET($A$1,ROW()-1,9),IF(ISNUMBER(OFFSET($A$1,ROW()-1,8)),OFFSET($A$1,ROW()-1,8),0)))))))</f>
        <v/>
      </c>
      <c r="AG135" s="62">
        <f>IF($V135&lt;&gt;"Sub","",N($X135)*IF(AND(ISNUMBER($G135),$G135&lt;=IF($S135=MesCiclo,InicioCiclo,$S135+MOD(2-WEEKDAY($S135),7))+27),1,MIN(1,MAX(0,IF(ISNUMBER(OFFSET($A$1,ROW()-1,11)),OFFSET($A$1,ROW()-1,11),IF(ISNUMBER(OFFSET($A$1,ROW()-1,10)),OFFSET($A$1,ROW()-1,10),IF(ISNUMBER(OFFSET($A$1,ROW()-1,9)),OFFSET($A$1,ROW()-1,9),IF(ISNUMBER(OFFSET($A$1,ROW()-1,8)),OFFSET($A$1,ROW()-1,8),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",IFERROR(MATCH("Riesgo Financiero|"&amp;MID($C135,12,500),rDname_ADM,0),0),"")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IF(N($W136)=0,"",IF(AND($S136=MesCiclo,1&gt;SemanaActual),"",MIN(1,SUMIFS(OFFSET($A$1,ROW(),29,1000-ROW(),1),OFFSET($A$1,ROW(),20,1000-ROW(),1),ROW(),OFFSET($A$1,ROW(),21,1000-ROW(),1),"Sub"))))</f>
        <v/>
      </c>
      <c r="J136" s="60">
        <f>IF(N($W136)=0,"",IF(AND($S136=MesCiclo,2&gt;SemanaActual),"",MIN(1,SUMIFS(OFFSET($A$1,ROW(),30,1000-ROW(),1),OFFSET($A$1,ROW(),20,1000-ROW(),1),ROW(),OFFSET($A$1,ROW(),21,1000-ROW(),1),"Sub"))))</f>
        <v/>
      </c>
      <c r="K136" s="60">
        <f>IF(N($W136)=0,"",IF(AND($S136=MesCiclo,3&gt;SemanaActual),"",MIN(1,SUMIFS(OFFSET($A$1,ROW(),31,1000-ROW(),1),OFFSET($A$1,ROW(),20,1000-ROW(),1),ROW(),OFFSET($A$1,ROW(),21,1000-ROW(),1),"Sub"))))</f>
        <v/>
      </c>
      <c r="L136" s="60">
        <f>IF(N($W136)=0,"",IF(AND($S136=MesCiclo,4&gt;SemanaActual),"",MIN(1,SUMIFS(OFFSET($A$1,ROW(),32,1000-ROW(),1),OFFSET($A$1,ROW(),20,1000-ROW(),1),ROW(),OFFSET($A$1,ROW(),21,1000-ROW(),1),"Sub"))))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IF($V136&lt;&gt;"Sub","",N($X136)*IF(AND(ISNUMBER($G136),$G136&lt;=IF($S136=MesCiclo,InicioCiclo,$S136+MOD(2-WEEKDAY($S136),7))+6),1,MIN(1,MAX(0,IF(ISNUMBER(OFFSET($A$1,ROW()-1,8)),OFFSET($A$1,ROW()-1,8),0)))))</f>
        <v/>
      </c>
      <c r="AE136" s="62">
        <f>IF($V136&lt;&gt;"Sub","",N($X136)*IF(AND(ISNUMBER($G136),$G136&lt;=IF($S136=MesCiclo,InicioCiclo,$S136+MOD(2-WEEKDAY($S136),7))+13),1,MIN(1,MAX(0,IF(ISNUMBER(OFFSET($A$1,ROW()-1,9)),OFFSET($A$1,ROW()-1,9),IF(ISNUMBER(OFFSET($A$1,ROW()-1,8)),OFFSET($A$1,ROW()-1,8),0))))))</f>
        <v/>
      </c>
      <c r="AF136" s="62">
        <f>IF($V136&lt;&gt;"Sub","",N($X136)*IF(AND(ISNUMBER($G136),$G136&lt;=IF($S136=MesCiclo,InicioCiclo,$S136+MOD(2-WEEKDAY($S136),7))+20),1,MIN(1,MAX(0,IF(ISNUMBER(OFFSET($A$1,ROW()-1,10)),OFFSET($A$1,ROW()-1,10),IF(ISNUMBER(OFFSET($A$1,ROW()-1,9)),OFFSET($A$1,ROW()-1,9),IF(ISNUMBER(OFFSET($A$1,ROW()-1,8)),OFFSET($A$1,ROW()-1,8),0)))))))</f>
        <v/>
      </c>
      <c r="AG136" s="62">
        <f>IF($V136&lt;&gt;"Sub","",N($X136)*IF(AND(ISNUMBER($G136),$G136&lt;=IF($S136=MesCiclo,InicioCiclo,$S136+MOD(2-WEEKDAY($S136),7))+27),1,MIN(1,MAX(0,IF(ISNUMBER(OFFSET($A$1,ROW()-1,11)),OFFSET($A$1,ROW()-1,11),IF(ISNUMBER(OFFSET($A$1,ROW()-1,10)),OFFSET($A$1,ROW()-1,10),IF(ISNUMBER(OFFSET($A$1,ROW()-1,9)),OFFSET($A$1,ROW()-1,9),IF(ISNUMBER(OFFSET($A$1,ROW()-1,8)),OFFSET($A$1,ROW()-1,8),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",IFERROR(MATCH("Riesgo Financiero|"&amp;MID($C136,12,500),rDname_ADM,0),0),"")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IF(N($W137)=0,"",IF(AND($S137=MesCiclo,1&gt;SemanaActual),"",MIN(1,SUMIFS(OFFSET($A$1,ROW(),29,1000-ROW(),1),OFFSET($A$1,ROW(),20,1000-ROW(),1),ROW(),OFFSET($A$1,ROW(),21,1000-ROW(),1),"Sub"))))</f>
        <v/>
      </c>
      <c r="J137" s="60">
        <f>IF(N($W137)=0,"",IF(AND($S137=MesCiclo,2&gt;SemanaActual),"",MIN(1,SUMIFS(OFFSET($A$1,ROW(),30,1000-ROW(),1),OFFSET($A$1,ROW(),20,1000-ROW(),1),ROW(),OFFSET($A$1,ROW(),21,1000-ROW(),1),"Sub"))))</f>
        <v/>
      </c>
      <c r="K137" s="60">
        <f>IF(N($W137)=0,"",IF(AND($S137=MesCiclo,3&gt;SemanaActual),"",MIN(1,SUMIFS(OFFSET($A$1,ROW(),31,1000-ROW(),1),OFFSET($A$1,ROW(),20,1000-ROW(),1),ROW(),OFFSET($A$1,ROW(),21,1000-ROW(),1),"Sub"))))</f>
        <v/>
      </c>
      <c r="L137" s="60">
        <f>IF(N($W137)=0,"",IF(AND($S137=MesCiclo,4&gt;SemanaActual),"",MIN(1,SUMIFS(OFFSET($A$1,ROW(),32,1000-ROW(),1),OFFSET($A$1,ROW(),20,1000-ROW(),1),ROW(),OFFSET($A$1,ROW(),21,1000-ROW(),1),"Sub"))))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IF($V137&lt;&gt;"Sub","",N($X137)*IF(AND(ISNUMBER($G137),$G137&lt;=IF($S137=MesCiclo,InicioCiclo,$S137+MOD(2-WEEKDAY($S137),7))+6),1,MIN(1,MAX(0,IF(ISNUMBER(OFFSET($A$1,ROW()-1,8)),OFFSET($A$1,ROW()-1,8),0)))))</f>
        <v/>
      </c>
      <c r="AE137" s="62">
        <f>IF($V137&lt;&gt;"Sub","",N($X137)*IF(AND(ISNUMBER($G137),$G137&lt;=IF($S137=MesCiclo,InicioCiclo,$S137+MOD(2-WEEKDAY($S137),7))+13),1,MIN(1,MAX(0,IF(ISNUMBER(OFFSET($A$1,ROW()-1,9)),OFFSET($A$1,ROW()-1,9),IF(ISNUMBER(OFFSET($A$1,ROW()-1,8)),OFFSET($A$1,ROW()-1,8),0))))))</f>
        <v/>
      </c>
      <c r="AF137" s="62">
        <f>IF($V137&lt;&gt;"Sub","",N($X137)*IF(AND(ISNUMBER($G137),$G137&lt;=IF($S137=MesCiclo,InicioCiclo,$S137+MOD(2-WEEKDAY($S137),7))+20),1,MIN(1,MAX(0,IF(ISNUMBER(OFFSET($A$1,ROW()-1,10)),OFFSET($A$1,ROW()-1,10),IF(ISNUMBER(OFFSET($A$1,ROW()-1,9)),OFFSET($A$1,ROW()-1,9),IF(ISNUMBER(OFFSET($A$1,ROW()-1,8)),OFFSET($A$1,ROW()-1,8),0)))))))</f>
        <v/>
      </c>
      <c r="AG137" s="62">
        <f>IF($V137&lt;&gt;"Sub","",N($X137)*IF(AND(ISNUMBER($G137),$G137&lt;=IF($S137=MesCiclo,InicioCiclo,$S137+MOD(2-WEEKDAY($S137),7))+27),1,MIN(1,MAX(0,IF(ISNUMBER(OFFSET($A$1,ROW()-1,11)),OFFSET($A$1,ROW()-1,11),IF(ISNUMBER(OFFSET($A$1,ROW()-1,10)),OFFSET($A$1,ROW()-1,10),IF(ISNUMBER(OFFSET($A$1,ROW()-1,9)),OFFSET($A$1,ROW()-1,9),IF(ISNUMBER(OFFSET($A$1,ROW()-1,8)),OFFSET($A$1,ROW()-1,8),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",IFERROR(MATCH("Riesgo Financiero|"&amp;MID($C137,12,500),rDname_ADM,0),0),"")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IF(N($W138)=0,"",IF(AND($S138=MesCiclo,1&gt;SemanaActual),"",MIN(1,SUMIFS(OFFSET($A$1,ROW(),29,1000-ROW(),1),OFFSET($A$1,ROW(),20,1000-ROW(),1),ROW(),OFFSET($A$1,ROW(),21,1000-ROW(),1),"Sub"))))</f>
        <v/>
      </c>
      <c r="J138" s="60">
        <f>IF(N($W138)=0,"",IF(AND($S138=MesCiclo,2&gt;SemanaActual),"",MIN(1,SUMIFS(OFFSET($A$1,ROW(),30,1000-ROW(),1),OFFSET($A$1,ROW(),20,1000-ROW(),1),ROW(),OFFSET($A$1,ROW(),21,1000-ROW(),1),"Sub"))))</f>
        <v/>
      </c>
      <c r="K138" s="60">
        <f>IF(N($W138)=0,"",IF(AND($S138=MesCiclo,3&gt;SemanaActual),"",MIN(1,SUMIFS(OFFSET($A$1,ROW(),31,1000-ROW(),1),OFFSET($A$1,ROW(),20,1000-ROW(),1),ROW(),OFFSET($A$1,ROW(),21,1000-ROW(),1),"Sub"))))</f>
        <v/>
      </c>
      <c r="L138" s="60">
        <f>IF(N($W138)=0,"",IF(AND($S138=MesCiclo,4&gt;SemanaActual),"",MIN(1,SUMIFS(OFFSET($A$1,ROW(),32,1000-ROW(),1),OFFSET($A$1,ROW(),20,1000-ROW(),1),ROW(),OFFSET($A$1,ROW(),21,1000-ROW(),1),"Sub"))))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IF($V138&lt;&gt;"Sub","",N($X138)*IF(AND(ISNUMBER($G138),$G138&lt;=IF($S138=MesCiclo,InicioCiclo,$S138+MOD(2-WEEKDAY($S138),7))+6),1,MIN(1,MAX(0,IF(ISNUMBER(OFFSET($A$1,ROW()-1,8)),OFFSET($A$1,ROW()-1,8),0)))))</f>
        <v/>
      </c>
      <c r="AE138" s="62">
        <f>IF($V138&lt;&gt;"Sub","",N($X138)*IF(AND(ISNUMBER($G138),$G138&lt;=IF($S138=MesCiclo,InicioCiclo,$S138+MOD(2-WEEKDAY($S138),7))+13),1,MIN(1,MAX(0,IF(ISNUMBER(OFFSET($A$1,ROW()-1,9)),OFFSET($A$1,ROW()-1,9),IF(ISNUMBER(OFFSET($A$1,ROW()-1,8)),OFFSET($A$1,ROW()-1,8),0))))))</f>
        <v/>
      </c>
      <c r="AF138" s="62">
        <f>IF($V138&lt;&gt;"Sub","",N($X138)*IF(AND(ISNUMBER($G138),$G138&lt;=IF($S138=MesCiclo,InicioCiclo,$S138+MOD(2-WEEKDAY($S138),7))+20),1,MIN(1,MAX(0,IF(ISNUMBER(OFFSET($A$1,ROW()-1,10)),OFFSET($A$1,ROW()-1,10),IF(ISNUMBER(OFFSET($A$1,ROW()-1,9)),OFFSET($A$1,ROW()-1,9),IF(ISNUMBER(OFFSET($A$1,ROW()-1,8)),OFFSET($A$1,ROW()-1,8),0)))))))</f>
        <v/>
      </c>
      <c r="AG138" s="62">
        <f>IF($V138&lt;&gt;"Sub","",N($X138)*IF(AND(ISNUMBER($G138),$G138&lt;=IF($S138=MesCiclo,InicioCiclo,$S138+MOD(2-WEEKDAY($S138),7))+27),1,MIN(1,MAX(0,IF(ISNUMBER(OFFSET($A$1,ROW()-1,11)),OFFSET($A$1,ROW()-1,11),IF(ISNUMBER(OFFSET($A$1,ROW()-1,10)),OFFSET($A$1,ROW()-1,10),IF(ISNUMBER(OFFSET($A$1,ROW()-1,9)),OFFSET($A$1,ROW()-1,9),IF(ISNUMBER(OFFSET($A$1,ROW()-1,8)),OFFSET($A$1,ROW()-1,8),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",IFERROR(MATCH("Riesgo Financiero|"&amp;MID($C138,12,500),rDname_ADM,0),0),"")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IF(N($W139)=0,"",IF(AND($S139=MesCiclo,1&gt;SemanaActual),"",MIN(1,SUMIFS(OFFSET($A$1,ROW(),29,1000-ROW(),1),OFFSET($A$1,ROW(),20,1000-ROW(),1),ROW(),OFFSET($A$1,ROW(),21,1000-ROW(),1),"Sub"))))</f>
        <v/>
      </c>
      <c r="J139" s="60">
        <f>IF(N($W139)=0,"",IF(AND($S139=MesCiclo,2&gt;SemanaActual),"",MIN(1,SUMIFS(OFFSET($A$1,ROW(),30,1000-ROW(),1),OFFSET($A$1,ROW(),20,1000-ROW(),1),ROW(),OFFSET($A$1,ROW(),21,1000-ROW(),1),"Sub"))))</f>
        <v/>
      </c>
      <c r="K139" s="60">
        <f>IF(N($W139)=0,"",IF(AND($S139=MesCiclo,3&gt;SemanaActual),"",MIN(1,SUMIFS(OFFSET($A$1,ROW(),31,1000-ROW(),1),OFFSET($A$1,ROW(),20,1000-ROW(),1),ROW(),OFFSET($A$1,ROW(),21,1000-ROW(),1),"Sub"))))</f>
        <v/>
      </c>
      <c r="L139" s="60">
        <f>IF(N($W139)=0,"",IF(AND($S139=MesCiclo,4&gt;SemanaActual),"",MIN(1,SUMIFS(OFFSET($A$1,ROW(),32,1000-ROW(),1),OFFSET($A$1,ROW(),20,1000-ROW(),1),ROW(),OFFSET($A$1,ROW(),21,1000-ROW(),1),"Sub"))))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IF($V139&lt;&gt;"Sub","",N($X139)*IF(AND(ISNUMBER($G139),$G139&lt;=IF($S139=MesCiclo,InicioCiclo,$S139+MOD(2-WEEKDAY($S139),7))+6),1,MIN(1,MAX(0,IF(ISNUMBER(OFFSET($A$1,ROW()-1,8)),OFFSET($A$1,ROW()-1,8),0)))))</f>
        <v/>
      </c>
      <c r="AE139" s="62">
        <f>IF($V139&lt;&gt;"Sub","",N($X139)*IF(AND(ISNUMBER($G139),$G139&lt;=IF($S139=MesCiclo,InicioCiclo,$S139+MOD(2-WEEKDAY($S139),7))+13),1,MIN(1,MAX(0,IF(ISNUMBER(OFFSET($A$1,ROW()-1,9)),OFFSET($A$1,ROW()-1,9),IF(ISNUMBER(OFFSET($A$1,ROW()-1,8)),OFFSET($A$1,ROW()-1,8),0))))))</f>
        <v/>
      </c>
      <c r="AF139" s="62">
        <f>IF($V139&lt;&gt;"Sub","",N($X139)*IF(AND(ISNUMBER($G139),$G139&lt;=IF($S139=MesCiclo,InicioCiclo,$S139+MOD(2-WEEKDAY($S139),7))+20),1,MIN(1,MAX(0,IF(ISNUMBER(OFFSET($A$1,ROW()-1,10)),OFFSET($A$1,ROW()-1,10),IF(ISNUMBER(OFFSET($A$1,ROW()-1,9)),OFFSET($A$1,ROW()-1,9),IF(ISNUMBER(OFFSET($A$1,ROW()-1,8)),OFFSET($A$1,ROW()-1,8),0)))))))</f>
        <v/>
      </c>
      <c r="AG139" s="62">
        <f>IF($V139&lt;&gt;"Sub","",N($X139)*IF(AND(ISNUMBER($G139),$G139&lt;=IF($S139=MesCiclo,InicioCiclo,$S139+MOD(2-WEEKDAY($S139),7))+27),1,MIN(1,MAX(0,IF(ISNUMBER(OFFSET($A$1,ROW()-1,11)),OFFSET($A$1,ROW()-1,11),IF(ISNUMBER(OFFSET($A$1,ROW()-1,10)),OFFSET($A$1,ROW()-1,10),IF(ISNUMBER(OFFSET($A$1,ROW()-1,9)),OFFSET($A$1,ROW()-1,9),IF(ISNUMBER(OFFSET($A$1,ROW()-1,8)),OFFSET($A$1,ROW()-1,8),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",IFERROR(MATCH("Riesgo Financiero|"&amp;MID($C139,12,500),rDname_ADM,0),0),"")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IF(N($W140)=0,"",IF(AND($S140=MesCiclo,1&gt;SemanaActual),"",MIN(1,SUMIFS(OFFSET($A$1,ROW(),29,1000-ROW(),1),OFFSET($A$1,ROW(),20,1000-ROW(),1),ROW(),OFFSET($A$1,ROW(),21,1000-ROW(),1),"Sub"))))</f>
        <v/>
      </c>
      <c r="J140" s="60">
        <f>IF(N($W140)=0,"",IF(AND($S140=MesCiclo,2&gt;SemanaActual),"",MIN(1,SUMIFS(OFFSET($A$1,ROW(),30,1000-ROW(),1),OFFSET($A$1,ROW(),20,1000-ROW(),1),ROW(),OFFSET($A$1,ROW(),21,1000-ROW(),1),"Sub"))))</f>
        <v/>
      </c>
      <c r="K140" s="60">
        <f>IF(N($W140)=0,"",IF(AND($S140=MesCiclo,3&gt;SemanaActual),"",MIN(1,SUMIFS(OFFSET($A$1,ROW(),31,1000-ROW(),1),OFFSET($A$1,ROW(),20,1000-ROW(),1),ROW(),OFFSET($A$1,ROW(),21,1000-ROW(),1),"Sub"))))</f>
        <v/>
      </c>
      <c r="L140" s="60">
        <f>IF(N($W140)=0,"",IF(AND($S140=MesCiclo,4&gt;SemanaActual),"",MIN(1,SUMIFS(OFFSET($A$1,ROW(),32,1000-ROW(),1),OFFSET($A$1,ROW(),20,1000-ROW(),1),ROW(),OFFSET($A$1,ROW(),21,1000-ROW(),1),"Sub"))))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IF($V140&lt;&gt;"Sub","",N($X140)*IF(AND(ISNUMBER($G140),$G140&lt;=IF($S140=MesCiclo,InicioCiclo,$S140+MOD(2-WEEKDAY($S140),7))+6),1,MIN(1,MAX(0,IF(ISNUMBER(OFFSET($A$1,ROW()-1,8)),OFFSET($A$1,ROW()-1,8),0)))))</f>
        <v/>
      </c>
      <c r="AE140" s="62">
        <f>IF($V140&lt;&gt;"Sub","",N($X140)*IF(AND(ISNUMBER($G140),$G140&lt;=IF($S140=MesCiclo,InicioCiclo,$S140+MOD(2-WEEKDAY($S140),7))+13),1,MIN(1,MAX(0,IF(ISNUMBER(OFFSET($A$1,ROW()-1,9)),OFFSET($A$1,ROW()-1,9),IF(ISNUMBER(OFFSET($A$1,ROW()-1,8)),OFFSET($A$1,ROW()-1,8),0))))))</f>
        <v/>
      </c>
      <c r="AF140" s="62">
        <f>IF($V140&lt;&gt;"Sub","",N($X140)*IF(AND(ISNUMBER($G140),$G140&lt;=IF($S140=MesCiclo,InicioCiclo,$S140+MOD(2-WEEKDAY($S140),7))+20),1,MIN(1,MAX(0,IF(ISNUMBER(OFFSET($A$1,ROW()-1,10)),OFFSET($A$1,ROW()-1,10),IF(ISNUMBER(OFFSET($A$1,ROW()-1,9)),OFFSET($A$1,ROW()-1,9),IF(ISNUMBER(OFFSET($A$1,ROW()-1,8)),OFFSET($A$1,ROW()-1,8),0)))))))</f>
        <v/>
      </c>
      <c r="AG140" s="62">
        <f>IF($V140&lt;&gt;"Sub","",N($X140)*IF(AND(ISNUMBER($G140),$G140&lt;=IF($S140=MesCiclo,InicioCiclo,$S140+MOD(2-WEEKDAY($S140),7))+27),1,MIN(1,MAX(0,IF(ISNUMBER(OFFSET($A$1,ROW()-1,11)),OFFSET($A$1,ROW()-1,11),IF(ISNUMBER(OFFSET($A$1,ROW()-1,10)),OFFSET($A$1,ROW()-1,10),IF(ISNUMBER(OFFSET($A$1,ROW()-1,9)),OFFSET($A$1,ROW()-1,9),IF(ISNUMBER(OFFSET($A$1,ROW()-1,8)),OFFSET($A$1,ROW()-1,8),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",IFERROR(MATCH("Riesgo Financiero|"&amp;MID($C140,12,500),rDname_ADM,0),0),"")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IF(N($W141)=0,"",IF(AND($S141=MesCiclo,1&gt;SemanaActual),"",MIN(1,SUMIFS(OFFSET($A$1,ROW(),29,1000-ROW(),1),OFFSET($A$1,ROW(),20,1000-ROW(),1),ROW(),OFFSET($A$1,ROW(),21,1000-ROW(),1),"Sub"))))</f>
        <v/>
      </c>
      <c r="J141" s="60">
        <f>IF(N($W141)=0,"",IF(AND($S141=MesCiclo,2&gt;SemanaActual),"",MIN(1,SUMIFS(OFFSET($A$1,ROW(),30,1000-ROW(),1),OFFSET($A$1,ROW(),20,1000-ROW(),1),ROW(),OFFSET($A$1,ROW(),21,1000-ROW(),1),"Sub"))))</f>
        <v/>
      </c>
      <c r="K141" s="60">
        <f>IF(N($W141)=0,"",IF(AND($S141=MesCiclo,3&gt;SemanaActual),"",MIN(1,SUMIFS(OFFSET($A$1,ROW(),31,1000-ROW(),1),OFFSET($A$1,ROW(),20,1000-ROW(),1),ROW(),OFFSET($A$1,ROW(),21,1000-ROW(),1),"Sub"))))</f>
        <v/>
      </c>
      <c r="L141" s="60">
        <f>IF(N($W141)=0,"",IF(AND($S141=MesCiclo,4&gt;SemanaActual),"",MIN(1,SUMIFS(OFFSET($A$1,ROW(),32,1000-ROW(),1),OFFSET($A$1,ROW(),20,1000-ROW(),1),ROW(),OFFSET($A$1,ROW(),21,1000-ROW(),1),"Sub"))))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IF($V141&lt;&gt;"Sub","",N($X141)*IF(AND(ISNUMBER($G141),$G141&lt;=IF($S141=MesCiclo,InicioCiclo,$S141+MOD(2-WEEKDAY($S141),7))+6),1,MIN(1,MAX(0,IF(ISNUMBER(OFFSET($A$1,ROW()-1,8)),OFFSET($A$1,ROW()-1,8),0)))))</f>
        <v/>
      </c>
      <c r="AE141" s="62">
        <f>IF($V141&lt;&gt;"Sub","",N($X141)*IF(AND(ISNUMBER($G141),$G141&lt;=IF($S141=MesCiclo,InicioCiclo,$S141+MOD(2-WEEKDAY($S141),7))+13),1,MIN(1,MAX(0,IF(ISNUMBER(OFFSET($A$1,ROW()-1,9)),OFFSET($A$1,ROW()-1,9),IF(ISNUMBER(OFFSET($A$1,ROW()-1,8)),OFFSET($A$1,ROW()-1,8),0))))))</f>
        <v/>
      </c>
      <c r="AF141" s="62">
        <f>IF($V141&lt;&gt;"Sub","",N($X141)*IF(AND(ISNUMBER($G141),$G141&lt;=IF($S141=MesCiclo,InicioCiclo,$S141+MOD(2-WEEKDAY($S141),7))+20),1,MIN(1,MAX(0,IF(ISNUMBER(OFFSET($A$1,ROW()-1,10)),OFFSET($A$1,ROW()-1,10),IF(ISNUMBER(OFFSET($A$1,ROW()-1,9)),OFFSET($A$1,ROW()-1,9),IF(ISNUMBER(OFFSET($A$1,ROW()-1,8)),OFFSET($A$1,ROW()-1,8),0)))))))</f>
        <v/>
      </c>
      <c r="AG141" s="62">
        <f>IF($V141&lt;&gt;"Sub","",N($X141)*IF(AND(ISNUMBER($G141),$G141&lt;=IF($S141=MesCiclo,InicioCiclo,$S141+MOD(2-WEEKDAY($S141),7))+27),1,MIN(1,MAX(0,IF(ISNUMBER(OFFSET($A$1,ROW()-1,11)),OFFSET($A$1,ROW()-1,11),IF(ISNUMBER(OFFSET($A$1,ROW()-1,10)),OFFSET($A$1,ROW()-1,10),IF(ISNUMBER(OFFSET($A$1,ROW()-1,9)),OFFSET($A$1,ROW()-1,9),IF(ISNUMBER(OFFSET($A$1,ROW()-1,8)),OFFSET($A$1,ROW()-1,8),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",IFERROR(MATCH("Riesgo Financiero|"&amp;MID($C141,12,500),rDname_ADM,0),0),"")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IF(N($W142)=0,"",IF(AND($S142=MesCiclo,1&gt;SemanaActual),"",MIN(1,SUMIFS(OFFSET($A$1,ROW(),29,1000-ROW(),1),OFFSET($A$1,ROW(),20,1000-ROW(),1),ROW(),OFFSET($A$1,ROW(),21,1000-ROW(),1),"Sub"))))</f>
        <v/>
      </c>
      <c r="J142" s="60">
        <f>IF(N($W142)=0,"",IF(AND($S142=MesCiclo,2&gt;SemanaActual),"",MIN(1,SUMIFS(OFFSET($A$1,ROW(),30,1000-ROW(),1),OFFSET($A$1,ROW(),20,1000-ROW(),1),ROW(),OFFSET($A$1,ROW(),21,1000-ROW(),1),"Sub"))))</f>
        <v/>
      </c>
      <c r="K142" s="60">
        <f>IF(N($W142)=0,"",IF(AND($S142=MesCiclo,3&gt;SemanaActual),"",MIN(1,SUMIFS(OFFSET($A$1,ROW(),31,1000-ROW(),1),OFFSET($A$1,ROW(),20,1000-ROW(),1),ROW(),OFFSET($A$1,ROW(),21,1000-ROW(),1),"Sub"))))</f>
        <v/>
      </c>
      <c r="L142" s="60">
        <f>IF(N($W142)=0,"",IF(AND($S142=MesCiclo,4&gt;SemanaActual),"",MIN(1,SUMIFS(OFFSET($A$1,ROW(),32,1000-ROW(),1),OFFSET($A$1,ROW(),20,1000-ROW(),1),ROW(),OFFSET($A$1,ROW(),21,1000-ROW(),1),"Sub"))))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IF($V142&lt;&gt;"Sub","",N($X142)*IF(AND(ISNUMBER($G142),$G142&lt;=IF($S142=MesCiclo,InicioCiclo,$S142+MOD(2-WEEKDAY($S142),7))+6),1,MIN(1,MAX(0,IF(ISNUMBER(OFFSET($A$1,ROW()-1,8)),OFFSET($A$1,ROW()-1,8),0)))))</f>
        <v/>
      </c>
      <c r="AE142" s="62">
        <f>IF($V142&lt;&gt;"Sub","",N($X142)*IF(AND(ISNUMBER($G142),$G142&lt;=IF($S142=MesCiclo,InicioCiclo,$S142+MOD(2-WEEKDAY($S142),7))+13),1,MIN(1,MAX(0,IF(ISNUMBER(OFFSET($A$1,ROW()-1,9)),OFFSET($A$1,ROW()-1,9),IF(ISNUMBER(OFFSET($A$1,ROW()-1,8)),OFFSET($A$1,ROW()-1,8),0))))))</f>
        <v/>
      </c>
      <c r="AF142" s="62">
        <f>IF($V142&lt;&gt;"Sub","",N($X142)*IF(AND(ISNUMBER($G142),$G142&lt;=IF($S142=MesCiclo,InicioCiclo,$S142+MOD(2-WEEKDAY($S142),7))+20),1,MIN(1,MAX(0,IF(ISNUMBER(OFFSET($A$1,ROW()-1,10)),OFFSET($A$1,ROW()-1,10),IF(ISNUMBER(OFFSET($A$1,ROW()-1,9)),OFFSET($A$1,ROW()-1,9),IF(ISNUMBER(OFFSET($A$1,ROW()-1,8)),OFFSET($A$1,ROW()-1,8),0)))))))</f>
        <v/>
      </c>
      <c r="AG142" s="62">
        <f>IF($V142&lt;&gt;"Sub","",N($X142)*IF(AND(ISNUMBER($G142),$G142&lt;=IF($S142=MesCiclo,InicioCiclo,$S142+MOD(2-WEEKDAY($S142),7))+27),1,MIN(1,MAX(0,IF(ISNUMBER(OFFSET($A$1,ROW()-1,11)),OFFSET($A$1,ROW()-1,11),IF(ISNUMBER(OFFSET($A$1,ROW()-1,10)),OFFSET($A$1,ROW()-1,10),IF(ISNUMBER(OFFSET($A$1,ROW()-1,9)),OFFSET($A$1,ROW()-1,9),IF(ISNUMBER(OFFSET($A$1,ROW()-1,8)),OFFSET($A$1,ROW()-1,8),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",IFERROR(MATCH("Riesgo Financiero|"&amp;MID($C142,12,500),rDname_ADM,0),0),"")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IF(N($W143)=0,"",IF(AND($S143=MesCiclo,1&gt;SemanaActual),"",MIN(1,SUMIFS(OFFSET($A$1,ROW(),29,1000-ROW(),1),OFFSET($A$1,ROW(),20,1000-ROW(),1),ROW(),OFFSET($A$1,ROW(),21,1000-ROW(),1),"Sub"))))</f>
        <v/>
      </c>
      <c r="J143" s="60">
        <f>IF(N($W143)=0,"",IF(AND($S143=MesCiclo,2&gt;SemanaActual),"",MIN(1,SUMIFS(OFFSET($A$1,ROW(),30,1000-ROW(),1),OFFSET($A$1,ROW(),20,1000-ROW(),1),ROW(),OFFSET($A$1,ROW(),21,1000-ROW(),1),"Sub"))))</f>
        <v/>
      </c>
      <c r="K143" s="60">
        <f>IF(N($W143)=0,"",IF(AND($S143=MesCiclo,3&gt;SemanaActual),"",MIN(1,SUMIFS(OFFSET($A$1,ROW(),31,1000-ROW(),1),OFFSET($A$1,ROW(),20,1000-ROW(),1),ROW(),OFFSET($A$1,ROW(),21,1000-ROW(),1),"Sub"))))</f>
        <v/>
      </c>
      <c r="L143" s="60">
        <f>IF(N($W143)=0,"",IF(AND($S143=MesCiclo,4&gt;SemanaActual),"",MIN(1,SUMIFS(OFFSET($A$1,ROW(),32,1000-ROW(),1),OFFSET($A$1,ROW(),20,1000-ROW(),1),ROW(),OFFSET($A$1,ROW(),21,1000-ROW(),1),"Sub"))))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IF($V143&lt;&gt;"Sub","",N($X143)*IF(AND(ISNUMBER($G143),$G143&lt;=IF($S143=MesCiclo,InicioCiclo,$S143+MOD(2-WEEKDAY($S143),7))+6),1,MIN(1,MAX(0,IF(ISNUMBER(OFFSET($A$1,ROW()-1,8)),OFFSET($A$1,ROW()-1,8),0)))))</f>
        <v/>
      </c>
      <c r="AE143" s="62">
        <f>IF($V143&lt;&gt;"Sub","",N($X143)*IF(AND(ISNUMBER($G143),$G143&lt;=IF($S143=MesCiclo,InicioCiclo,$S143+MOD(2-WEEKDAY($S143),7))+13),1,MIN(1,MAX(0,IF(ISNUMBER(OFFSET($A$1,ROW()-1,9)),OFFSET($A$1,ROW()-1,9),IF(ISNUMBER(OFFSET($A$1,ROW()-1,8)),OFFSET($A$1,ROW()-1,8),0))))))</f>
        <v/>
      </c>
      <c r="AF143" s="62">
        <f>IF($V143&lt;&gt;"Sub","",N($X143)*IF(AND(ISNUMBER($G143),$G143&lt;=IF($S143=MesCiclo,InicioCiclo,$S143+MOD(2-WEEKDAY($S143),7))+20),1,MIN(1,MAX(0,IF(ISNUMBER(OFFSET($A$1,ROW()-1,10)),OFFSET($A$1,ROW()-1,10),IF(ISNUMBER(OFFSET($A$1,ROW()-1,9)),OFFSET($A$1,ROW()-1,9),IF(ISNUMBER(OFFSET($A$1,ROW()-1,8)),OFFSET($A$1,ROW()-1,8),0)))))))</f>
        <v/>
      </c>
      <c r="AG143" s="62">
        <f>IF($V143&lt;&gt;"Sub","",N($X143)*IF(AND(ISNUMBER($G143),$G143&lt;=IF($S143=MesCiclo,InicioCiclo,$S143+MOD(2-WEEKDAY($S143),7))+27),1,MIN(1,MAX(0,IF(ISNUMBER(OFFSET($A$1,ROW()-1,11)),OFFSET($A$1,ROW()-1,11),IF(ISNUMBER(OFFSET($A$1,ROW()-1,10)),OFFSET($A$1,ROW()-1,10),IF(ISNUMBER(OFFSET($A$1,ROW()-1,9)),OFFSET($A$1,ROW()-1,9),IF(ISNUMBER(OFFSET($A$1,ROW()-1,8)),OFFSET($A$1,ROW()-1,8),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",IFERROR(MATCH("Riesgo Financiero|"&amp;MID($C143,12,500),rDname_ADM,0),0),"")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IF(N($W144)=0,"",IF(AND($S144=MesCiclo,1&gt;SemanaActual),"",MIN(1,SUMIFS(OFFSET($A$1,ROW(),29,1000-ROW(),1),OFFSET($A$1,ROW(),20,1000-ROW(),1),ROW(),OFFSET($A$1,ROW(),21,1000-ROW(),1),"Sub"))))</f>
        <v/>
      </c>
      <c r="J144" s="60">
        <f>IF(N($W144)=0,"",IF(AND($S144=MesCiclo,2&gt;SemanaActual),"",MIN(1,SUMIFS(OFFSET($A$1,ROW(),30,1000-ROW(),1),OFFSET($A$1,ROW(),20,1000-ROW(),1),ROW(),OFFSET($A$1,ROW(),21,1000-ROW(),1),"Sub"))))</f>
        <v/>
      </c>
      <c r="K144" s="60">
        <f>IF(N($W144)=0,"",IF(AND($S144=MesCiclo,3&gt;SemanaActual),"",MIN(1,SUMIFS(OFFSET($A$1,ROW(),31,1000-ROW(),1),OFFSET($A$1,ROW(),20,1000-ROW(),1),ROW(),OFFSET($A$1,ROW(),21,1000-ROW(),1),"Sub"))))</f>
        <v/>
      </c>
      <c r="L144" s="60">
        <f>IF(N($W144)=0,"",IF(AND($S144=MesCiclo,4&gt;SemanaActual),"",MIN(1,SUMIFS(OFFSET($A$1,ROW(),32,1000-ROW(),1),OFFSET($A$1,ROW(),20,1000-ROW(),1),ROW(),OFFSET($A$1,ROW(),21,1000-ROW(),1),"Sub"))))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IF($V144&lt;&gt;"Sub","",N($X144)*IF(AND(ISNUMBER($G144),$G144&lt;=IF($S144=MesCiclo,InicioCiclo,$S144+MOD(2-WEEKDAY($S144),7))+6),1,MIN(1,MAX(0,IF(ISNUMBER(OFFSET($A$1,ROW()-1,8)),OFFSET($A$1,ROW()-1,8),0)))))</f>
        <v/>
      </c>
      <c r="AE144" s="62">
        <f>IF($V144&lt;&gt;"Sub","",N($X144)*IF(AND(ISNUMBER($G144),$G144&lt;=IF($S144=MesCiclo,InicioCiclo,$S144+MOD(2-WEEKDAY($S144),7))+13),1,MIN(1,MAX(0,IF(ISNUMBER(OFFSET($A$1,ROW()-1,9)),OFFSET($A$1,ROW()-1,9),IF(ISNUMBER(OFFSET($A$1,ROW()-1,8)),OFFSET($A$1,ROW()-1,8),0))))))</f>
        <v/>
      </c>
      <c r="AF144" s="62">
        <f>IF($V144&lt;&gt;"Sub","",N($X144)*IF(AND(ISNUMBER($G144),$G144&lt;=IF($S144=MesCiclo,InicioCiclo,$S144+MOD(2-WEEKDAY($S144),7))+20),1,MIN(1,MAX(0,IF(ISNUMBER(OFFSET($A$1,ROW()-1,10)),OFFSET($A$1,ROW()-1,10),IF(ISNUMBER(OFFSET($A$1,ROW()-1,9)),OFFSET($A$1,ROW()-1,9),IF(ISNUMBER(OFFSET($A$1,ROW()-1,8)),OFFSET($A$1,ROW()-1,8),0)))))))</f>
        <v/>
      </c>
      <c r="AG144" s="62">
        <f>IF($V144&lt;&gt;"Sub","",N($X144)*IF(AND(ISNUMBER($G144),$G144&lt;=IF($S144=MesCiclo,InicioCiclo,$S144+MOD(2-WEEKDAY($S144),7))+27),1,MIN(1,MAX(0,IF(ISNUMBER(OFFSET($A$1,ROW()-1,11)),OFFSET($A$1,ROW()-1,11),IF(ISNUMBER(OFFSET($A$1,ROW()-1,10)),OFFSET($A$1,ROW()-1,10),IF(ISNUMBER(OFFSET($A$1,ROW()-1,9)),OFFSET($A$1,ROW()-1,9),IF(ISNUMBER(OFFSET($A$1,ROW()-1,8)),OFFSET($A$1,ROW()-1,8),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",IFERROR(MATCH("Riesgo Financiero|"&amp;MID($C144,12,500),rDname_ADM,0),0),"")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IF(N($W145)=0,"",IF(AND($S145=MesCiclo,1&gt;SemanaActual),"",MIN(1,SUMIFS(OFFSET($A$1,ROW(),29,1000-ROW(),1),OFFSET($A$1,ROW(),20,1000-ROW(),1),ROW(),OFFSET($A$1,ROW(),21,1000-ROW(),1),"Sub"))))</f>
        <v/>
      </c>
      <c r="J145" s="60">
        <f>IF(N($W145)=0,"",IF(AND($S145=MesCiclo,2&gt;SemanaActual),"",MIN(1,SUMIFS(OFFSET($A$1,ROW(),30,1000-ROW(),1),OFFSET($A$1,ROW(),20,1000-ROW(),1),ROW(),OFFSET($A$1,ROW(),21,1000-ROW(),1),"Sub"))))</f>
        <v/>
      </c>
      <c r="K145" s="60">
        <f>IF(N($W145)=0,"",IF(AND($S145=MesCiclo,3&gt;SemanaActual),"",MIN(1,SUMIFS(OFFSET($A$1,ROW(),31,1000-ROW(),1),OFFSET($A$1,ROW(),20,1000-ROW(),1),ROW(),OFFSET($A$1,ROW(),21,1000-ROW(),1),"Sub"))))</f>
        <v/>
      </c>
      <c r="L145" s="60">
        <f>IF(N($W145)=0,"",IF(AND($S145=MesCiclo,4&gt;SemanaActual),"",MIN(1,SUMIFS(OFFSET($A$1,ROW(),32,1000-ROW(),1),OFFSET($A$1,ROW(),20,1000-ROW(),1),ROW(),OFFSET($A$1,ROW(),21,1000-ROW(),1),"Sub"))))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IF($V145&lt;&gt;"Sub","",N($X145)*IF(AND(ISNUMBER($G145),$G145&lt;=IF($S145=MesCiclo,InicioCiclo,$S145+MOD(2-WEEKDAY($S145),7))+6),1,MIN(1,MAX(0,IF(ISNUMBER(OFFSET($A$1,ROW()-1,8)),OFFSET($A$1,ROW()-1,8),0)))))</f>
        <v/>
      </c>
      <c r="AE145" s="62">
        <f>IF($V145&lt;&gt;"Sub","",N($X145)*IF(AND(ISNUMBER($G145),$G145&lt;=IF($S145=MesCiclo,InicioCiclo,$S145+MOD(2-WEEKDAY($S145),7))+13),1,MIN(1,MAX(0,IF(ISNUMBER(OFFSET($A$1,ROW()-1,9)),OFFSET($A$1,ROW()-1,9),IF(ISNUMBER(OFFSET($A$1,ROW()-1,8)),OFFSET($A$1,ROW()-1,8),0))))))</f>
        <v/>
      </c>
      <c r="AF145" s="62">
        <f>IF($V145&lt;&gt;"Sub","",N($X145)*IF(AND(ISNUMBER($G145),$G145&lt;=IF($S145=MesCiclo,InicioCiclo,$S145+MOD(2-WEEKDAY($S145),7))+20),1,MIN(1,MAX(0,IF(ISNUMBER(OFFSET($A$1,ROW()-1,10)),OFFSET($A$1,ROW()-1,10),IF(ISNUMBER(OFFSET($A$1,ROW()-1,9)),OFFSET($A$1,ROW()-1,9),IF(ISNUMBER(OFFSET($A$1,ROW()-1,8)),OFFSET($A$1,ROW()-1,8),0)))))))</f>
        <v/>
      </c>
      <c r="AG145" s="62">
        <f>IF($V145&lt;&gt;"Sub","",N($X145)*IF(AND(ISNUMBER($G145),$G145&lt;=IF($S145=MesCiclo,InicioCiclo,$S145+MOD(2-WEEKDAY($S145),7))+27),1,MIN(1,MAX(0,IF(ISNUMBER(OFFSET($A$1,ROW()-1,11)),OFFSET($A$1,ROW()-1,11),IF(ISNUMBER(OFFSET($A$1,ROW()-1,10)),OFFSET($A$1,ROW()-1,10),IF(ISNUMBER(OFFSET($A$1,ROW()-1,9)),OFFSET($A$1,ROW()-1,9),IF(ISNUMBER(OFFSET($A$1,ROW()-1,8)),OFFSET($A$1,ROW()-1,8),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",IFERROR(MATCH("Riesgo Financiero|"&amp;MID($C145,12,500),rDname_ADM,0),0),"")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IF(N($W146)=0,"",IF(AND($S146=MesCiclo,1&gt;SemanaActual),"",MIN(1,SUMIFS(OFFSET($A$1,ROW(),29,1000-ROW(),1),OFFSET($A$1,ROW(),20,1000-ROW(),1),ROW(),OFFSET($A$1,ROW(),21,1000-ROW(),1),"Sub"))))</f>
        <v/>
      </c>
      <c r="J146" s="60">
        <f>IF(N($W146)=0,"",IF(AND($S146=MesCiclo,2&gt;SemanaActual),"",MIN(1,SUMIFS(OFFSET($A$1,ROW(),30,1000-ROW(),1),OFFSET($A$1,ROW(),20,1000-ROW(),1),ROW(),OFFSET($A$1,ROW(),21,1000-ROW(),1),"Sub"))))</f>
        <v/>
      </c>
      <c r="K146" s="60">
        <f>IF(N($W146)=0,"",IF(AND($S146=MesCiclo,3&gt;SemanaActual),"",MIN(1,SUMIFS(OFFSET($A$1,ROW(),31,1000-ROW(),1),OFFSET($A$1,ROW(),20,1000-ROW(),1),ROW(),OFFSET($A$1,ROW(),21,1000-ROW(),1),"Sub"))))</f>
        <v/>
      </c>
      <c r="L146" s="60">
        <f>IF(N($W146)=0,"",IF(AND($S146=MesCiclo,4&gt;SemanaActual),"",MIN(1,SUMIFS(OFFSET($A$1,ROW(),32,1000-ROW(),1),OFFSET($A$1,ROW(),20,1000-ROW(),1),ROW(),OFFSET($A$1,ROW(),21,1000-ROW(),1),"Sub"))))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IF($V146&lt;&gt;"Sub","",N($X146)*IF(AND(ISNUMBER($G146),$G146&lt;=IF($S146=MesCiclo,InicioCiclo,$S146+MOD(2-WEEKDAY($S146),7))+6),1,MIN(1,MAX(0,IF(ISNUMBER(OFFSET($A$1,ROW()-1,8)),OFFSET($A$1,ROW()-1,8),0)))))</f>
        <v/>
      </c>
      <c r="AE146" s="62">
        <f>IF($V146&lt;&gt;"Sub","",N($X146)*IF(AND(ISNUMBER($G146),$G146&lt;=IF($S146=MesCiclo,InicioCiclo,$S146+MOD(2-WEEKDAY($S146),7))+13),1,MIN(1,MAX(0,IF(ISNUMBER(OFFSET($A$1,ROW()-1,9)),OFFSET($A$1,ROW()-1,9),IF(ISNUMBER(OFFSET($A$1,ROW()-1,8)),OFFSET($A$1,ROW()-1,8),0))))))</f>
        <v/>
      </c>
      <c r="AF146" s="62">
        <f>IF($V146&lt;&gt;"Sub","",N($X146)*IF(AND(ISNUMBER($G146),$G146&lt;=IF($S146=MesCiclo,InicioCiclo,$S146+MOD(2-WEEKDAY($S146),7))+20),1,MIN(1,MAX(0,IF(ISNUMBER(OFFSET($A$1,ROW()-1,10)),OFFSET($A$1,ROW()-1,10),IF(ISNUMBER(OFFSET($A$1,ROW()-1,9)),OFFSET($A$1,ROW()-1,9),IF(ISNUMBER(OFFSET($A$1,ROW()-1,8)),OFFSET($A$1,ROW()-1,8),0)))))))</f>
        <v/>
      </c>
      <c r="AG146" s="62">
        <f>IF($V146&lt;&gt;"Sub","",N($X146)*IF(AND(ISNUMBER($G146),$G146&lt;=IF($S146=MesCiclo,InicioCiclo,$S146+MOD(2-WEEKDAY($S146),7))+27),1,MIN(1,MAX(0,IF(ISNUMBER(OFFSET($A$1,ROW()-1,11)),OFFSET($A$1,ROW()-1,11),IF(ISNUMBER(OFFSET($A$1,ROW()-1,10)),OFFSET($A$1,ROW()-1,10),IF(ISNUMBER(OFFSET($A$1,ROW()-1,9)),OFFSET($A$1,ROW()-1,9),IF(ISNUMBER(OFFSET($A$1,ROW()-1,8)),OFFSET($A$1,ROW()-1,8),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",IFERROR(MATCH("Riesgo Financiero|"&amp;MID($C146,12,500),rDname_ADM,0),0),"")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IF(N($W147)=0,"",IF(AND($S147=MesCiclo,1&gt;SemanaActual),"",MIN(1,SUMIFS(OFFSET($A$1,ROW(),29,1000-ROW(),1),OFFSET($A$1,ROW(),20,1000-ROW(),1),ROW(),OFFSET($A$1,ROW(),21,1000-ROW(),1),"Sub"))))</f>
        <v/>
      </c>
      <c r="J147" s="60">
        <f>IF(N($W147)=0,"",IF(AND($S147=MesCiclo,2&gt;SemanaActual),"",MIN(1,SUMIFS(OFFSET($A$1,ROW(),30,1000-ROW(),1),OFFSET($A$1,ROW(),20,1000-ROW(),1),ROW(),OFFSET($A$1,ROW(),21,1000-ROW(),1),"Sub"))))</f>
        <v/>
      </c>
      <c r="K147" s="60">
        <f>IF(N($W147)=0,"",IF(AND($S147=MesCiclo,3&gt;SemanaActual),"",MIN(1,SUMIFS(OFFSET($A$1,ROW(),31,1000-ROW(),1),OFFSET($A$1,ROW(),20,1000-ROW(),1),ROW(),OFFSET($A$1,ROW(),21,1000-ROW(),1),"Sub"))))</f>
        <v/>
      </c>
      <c r="L147" s="60">
        <f>IF(N($W147)=0,"",IF(AND($S147=MesCiclo,4&gt;SemanaActual),"",MIN(1,SUMIFS(OFFSET($A$1,ROW(),32,1000-ROW(),1),OFFSET($A$1,ROW(),20,1000-ROW(),1),ROW(),OFFSET($A$1,ROW(),21,1000-ROW(),1),"Sub"))))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IF($V147&lt;&gt;"Sub","",N($X147)*IF(AND(ISNUMBER($G147),$G147&lt;=IF($S147=MesCiclo,InicioCiclo,$S147+MOD(2-WEEKDAY($S147),7))+6),1,MIN(1,MAX(0,IF(ISNUMBER(OFFSET($A$1,ROW()-1,8)),OFFSET($A$1,ROW()-1,8),0)))))</f>
        <v/>
      </c>
      <c r="AE147" s="62">
        <f>IF($V147&lt;&gt;"Sub","",N($X147)*IF(AND(ISNUMBER($G147),$G147&lt;=IF($S147=MesCiclo,InicioCiclo,$S147+MOD(2-WEEKDAY($S147),7))+13),1,MIN(1,MAX(0,IF(ISNUMBER(OFFSET($A$1,ROW()-1,9)),OFFSET($A$1,ROW()-1,9),IF(ISNUMBER(OFFSET($A$1,ROW()-1,8)),OFFSET($A$1,ROW()-1,8),0))))))</f>
        <v/>
      </c>
      <c r="AF147" s="62">
        <f>IF($V147&lt;&gt;"Sub","",N($X147)*IF(AND(ISNUMBER($G147),$G147&lt;=IF($S147=MesCiclo,InicioCiclo,$S147+MOD(2-WEEKDAY($S147),7))+20),1,MIN(1,MAX(0,IF(ISNUMBER(OFFSET($A$1,ROW()-1,10)),OFFSET($A$1,ROW()-1,10),IF(ISNUMBER(OFFSET($A$1,ROW()-1,9)),OFFSET($A$1,ROW()-1,9),IF(ISNUMBER(OFFSET($A$1,ROW()-1,8)),OFFSET($A$1,ROW()-1,8),0)))))))</f>
        <v/>
      </c>
      <c r="AG147" s="62">
        <f>IF($V147&lt;&gt;"Sub","",N($X147)*IF(AND(ISNUMBER($G147),$G147&lt;=IF($S147=MesCiclo,InicioCiclo,$S147+MOD(2-WEEKDAY($S147),7))+27),1,MIN(1,MAX(0,IF(ISNUMBER(OFFSET($A$1,ROW()-1,11)),OFFSET($A$1,ROW()-1,11),IF(ISNUMBER(OFFSET($A$1,ROW()-1,10)),OFFSET($A$1,ROW()-1,10),IF(ISNUMBER(OFFSET($A$1,ROW()-1,9)),OFFSET($A$1,ROW()-1,9),IF(ISNUMBER(OFFSET($A$1,ROW()-1,8)),OFFSET($A$1,ROW()-1,8),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",IFERROR(MATCH("Riesgo Financiero|"&amp;MID($C147,12,500),rDname_ADM,0),0),"")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IF(N($W148)=0,"",IF(AND($S148=MesCiclo,1&gt;SemanaActual),"",MIN(1,SUMIFS(OFFSET($A$1,ROW(),29,1000-ROW(),1),OFFSET($A$1,ROW(),20,1000-ROW(),1),ROW(),OFFSET($A$1,ROW(),21,1000-ROW(),1),"Sub"))))</f>
        <v/>
      </c>
      <c r="J148" s="60">
        <f>IF(N($W148)=0,"",IF(AND($S148=MesCiclo,2&gt;SemanaActual),"",MIN(1,SUMIFS(OFFSET($A$1,ROW(),30,1000-ROW(),1),OFFSET($A$1,ROW(),20,1000-ROW(),1),ROW(),OFFSET($A$1,ROW(),21,1000-ROW(),1),"Sub"))))</f>
        <v/>
      </c>
      <c r="K148" s="60">
        <f>IF(N($W148)=0,"",IF(AND($S148=MesCiclo,3&gt;SemanaActual),"",MIN(1,SUMIFS(OFFSET($A$1,ROW(),31,1000-ROW(),1),OFFSET($A$1,ROW(),20,1000-ROW(),1),ROW(),OFFSET($A$1,ROW(),21,1000-ROW(),1),"Sub"))))</f>
        <v/>
      </c>
      <c r="L148" s="60">
        <f>IF(N($W148)=0,"",IF(AND($S148=MesCiclo,4&gt;SemanaActual),"",MIN(1,SUMIFS(OFFSET($A$1,ROW(),32,1000-ROW(),1),OFFSET($A$1,ROW(),20,1000-ROW(),1),ROW(),OFFSET($A$1,ROW(),21,1000-ROW(),1),"Sub"))))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IF($V148&lt;&gt;"Sub","",N($X148)*IF(AND(ISNUMBER($G148),$G148&lt;=IF($S148=MesCiclo,InicioCiclo,$S148+MOD(2-WEEKDAY($S148),7))+6),1,MIN(1,MAX(0,IF(ISNUMBER(OFFSET($A$1,ROW()-1,8)),OFFSET($A$1,ROW()-1,8),0)))))</f>
        <v/>
      </c>
      <c r="AE148" s="62">
        <f>IF($V148&lt;&gt;"Sub","",N($X148)*IF(AND(ISNUMBER($G148),$G148&lt;=IF($S148=MesCiclo,InicioCiclo,$S148+MOD(2-WEEKDAY($S148),7))+13),1,MIN(1,MAX(0,IF(ISNUMBER(OFFSET($A$1,ROW()-1,9)),OFFSET($A$1,ROW()-1,9),IF(ISNUMBER(OFFSET($A$1,ROW()-1,8)),OFFSET($A$1,ROW()-1,8),0))))))</f>
        <v/>
      </c>
      <c r="AF148" s="62">
        <f>IF($V148&lt;&gt;"Sub","",N($X148)*IF(AND(ISNUMBER($G148),$G148&lt;=IF($S148=MesCiclo,InicioCiclo,$S148+MOD(2-WEEKDAY($S148),7))+20),1,MIN(1,MAX(0,IF(ISNUMBER(OFFSET($A$1,ROW()-1,10)),OFFSET($A$1,ROW()-1,10),IF(ISNUMBER(OFFSET($A$1,ROW()-1,9)),OFFSET($A$1,ROW()-1,9),IF(ISNUMBER(OFFSET($A$1,ROW()-1,8)),OFFSET($A$1,ROW()-1,8),0)))))))</f>
        <v/>
      </c>
      <c r="AG148" s="62">
        <f>IF($V148&lt;&gt;"Sub","",N($X148)*IF(AND(ISNUMBER($G148),$G148&lt;=IF($S148=MesCiclo,InicioCiclo,$S148+MOD(2-WEEKDAY($S148),7))+27),1,MIN(1,MAX(0,IF(ISNUMBER(OFFSET($A$1,ROW()-1,11)),OFFSET($A$1,ROW()-1,11),IF(ISNUMBER(OFFSET($A$1,ROW()-1,10)),OFFSET($A$1,ROW()-1,10),IF(ISNUMBER(OFFSET($A$1,ROW()-1,9)),OFFSET($A$1,ROW()-1,9),IF(ISNUMBER(OFFSET($A$1,ROW()-1,8)),OFFSET($A$1,ROW()-1,8),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",IFERROR(MATCH("Riesgo Financiero|"&amp;MID($C148,12,500),rDname_ADM,0),0),"")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IF(N($W149)=0,"",IF(AND($S149=MesCiclo,1&gt;SemanaActual),"",MIN(1,SUMIFS(OFFSET($A$1,ROW(),29,1000-ROW(),1),OFFSET($A$1,ROW(),20,1000-ROW(),1),ROW(),OFFSET($A$1,ROW(),21,1000-ROW(),1),"Sub"))))</f>
        <v/>
      </c>
      <c r="J149" s="60">
        <f>IF(N($W149)=0,"",IF(AND($S149=MesCiclo,2&gt;SemanaActual),"",MIN(1,SUMIFS(OFFSET($A$1,ROW(),30,1000-ROW(),1),OFFSET($A$1,ROW(),20,1000-ROW(),1),ROW(),OFFSET($A$1,ROW(),21,1000-ROW(),1),"Sub"))))</f>
        <v/>
      </c>
      <c r="K149" s="60">
        <f>IF(N($W149)=0,"",IF(AND($S149=MesCiclo,3&gt;SemanaActual),"",MIN(1,SUMIFS(OFFSET($A$1,ROW(),31,1000-ROW(),1),OFFSET($A$1,ROW(),20,1000-ROW(),1),ROW(),OFFSET($A$1,ROW(),21,1000-ROW(),1),"Sub"))))</f>
        <v/>
      </c>
      <c r="L149" s="60">
        <f>IF(N($W149)=0,"",IF(AND($S149=MesCiclo,4&gt;SemanaActual),"",MIN(1,SUMIFS(OFFSET($A$1,ROW(),32,1000-ROW(),1),OFFSET($A$1,ROW(),20,1000-ROW(),1),ROW(),OFFSET($A$1,ROW(),21,1000-ROW(),1),"Sub"))))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IF($V149&lt;&gt;"Sub","",N($X149)*IF(AND(ISNUMBER($G149),$G149&lt;=IF($S149=MesCiclo,InicioCiclo,$S149+MOD(2-WEEKDAY($S149),7))+6),1,MIN(1,MAX(0,IF(ISNUMBER(OFFSET($A$1,ROW()-1,8)),OFFSET($A$1,ROW()-1,8),0)))))</f>
        <v/>
      </c>
      <c r="AE149" s="62">
        <f>IF($V149&lt;&gt;"Sub","",N($X149)*IF(AND(ISNUMBER($G149),$G149&lt;=IF($S149=MesCiclo,InicioCiclo,$S149+MOD(2-WEEKDAY($S149),7))+13),1,MIN(1,MAX(0,IF(ISNUMBER(OFFSET($A$1,ROW()-1,9)),OFFSET($A$1,ROW()-1,9),IF(ISNUMBER(OFFSET($A$1,ROW()-1,8)),OFFSET($A$1,ROW()-1,8),0))))))</f>
        <v/>
      </c>
      <c r="AF149" s="62">
        <f>IF($V149&lt;&gt;"Sub","",N($X149)*IF(AND(ISNUMBER($G149),$G149&lt;=IF($S149=MesCiclo,InicioCiclo,$S149+MOD(2-WEEKDAY($S149),7))+20),1,MIN(1,MAX(0,IF(ISNUMBER(OFFSET($A$1,ROW()-1,10)),OFFSET($A$1,ROW()-1,10),IF(ISNUMBER(OFFSET($A$1,ROW()-1,9)),OFFSET($A$1,ROW()-1,9),IF(ISNUMBER(OFFSET($A$1,ROW()-1,8)),OFFSET($A$1,ROW()-1,8),0)))))))</f>
        <v/>
      </c>
      <c r="AG149" s="62">
        <f>IF($V149&lt;&gt;"Sub","",N($X149)*IF(AND(ISNUMBER($G149),$G149&lt;=IF($S149=MesCiclo,InicioCiclo,$S149+MOD(2-WEEKDAY($S149),7))+27),1,MIN(1,MAX(0,IF(ISNUMBER(OFFSET($A$1,ROW()-1,11)),OFFSET($A$1,ROW()-1,11),IF(ISNUMBER(OFFSET($A$1,ROW()-1,10)),OFFSET($A$1,ROW()-1,10),IF(ISNUMBER(OFFSET($A$1,ROW()-1,9)),OFFSET($A$1,ROW()-1,9),IF(ISNUMBER(OFFSET($A$1,ROW()-1,8)),OFFSET($A$1,ROW()-1,8),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",IFERROR(MATCH("Riesgo Financiero|"&amp;MID($C149,12,500),rDname_ADM,0),0),"")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IF(N($W150)=0,"",IF(AND($S150=MesCiclo,1&gt;SemanaActual),"",MIN(1,SUMIFS(OFFSET($A$1,ROW(),29,1000-ROW(),1),OFFSET($A$1,ROW(),20,1000-ROW(),1),ROW(),OFFSET($A$1,ROW(),21,1000-ROW(),1),"Sub"))))</f>
        <v/>
      </c>
      <c r="J150" s="60">
        <f>IF(N($W150)=0,"",IF(AND($S150=MesCiclo,2&gt;SemanaActual),"",MIN(1,SUMIFS(OFFSET($A$1,ROW(),30,1000-ROW(),1),OFFSET($A$1,ROW(),20,1000-ROW(),1),ROW(),OFFSET($A$1,ROW(),21,1000-ROW(),1),"Sub"))))</f>
        <v/>
      </c>
      <c r="K150" s="60">
        <f>IF(N($W150)=0,"",IF(AND($S150=MesCiclo,3&gt;SemanaActual),"",MIN(1,SUMIFS(OFFSET($A$1,ROW(),31,1000-ROW(),1),OFFSET($A$1,ROW(),20,1000-ROW(),1),ROW(),OFFSET($A$1,ROW(),21,1000-ROW(),1),"Sub"))))</f>
        <v/>
      </c>
      <c r="L150" s="60">
        <f>IF(N($W150)=0,"",IF(AND($S150=MesCiclo,4&gt;SemanaActual),"",MIN(1,SUMIFS(OFFSET($A$1,ROW(),32,1000-ROW(),1),OFFSET($A$1,ROW(),20,1000-ROW(),1),ROW(),OFFSET($A$1,ROW(),21,1000-ROW(),1),"Sub"))))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IF($V150&lt;&gt;"Sub","",N($X150)*IF(AND(ISNUMBER($G150),$G150&lt;=IF($S150=MesCiclo,InicioCiclo,$S150+MOD(2-WEEKDAY($S150),7))+6),1,MIN(1,MAX(0,IF(ISNUMBER(OFFSET($A$1,ROW()-1,8)),OFFSET($A$1,ROW()-1,8),0)))))</f>
        <v/>
      </c>
      <c r="AE150" s="62">
        <f>IF($V150&lt;&gt;"Sub","",N($X150)*IF(AND(ISNUMBER($G150),$G150&lt;=IF($S150=MesCiclo,InicioCiclo,$S150+MOD(2-WEEKDAY($S150),7))+13),1,MIN(1,MAX(0,IF(ISNUMBER(OFFSET($A$1,ROW()-1,9)),OFFSET($A$1,ROW()-1,9),IF(ISNUMBER(OFFSET($A$1,ROW()-1,8)),OFFSET($A$1,ROW()-1,8),0))))))</f>
        <v/>
      </c>
      <c r="AF150" s="62">
        <f>IF($V150&lt;&gt;"Sub","",N($X150)*IF(AND(ISNUMBER($G150),$G150&lt;=IF($S150=MesCiclo,InicioCiclo,$S150+MOD(2-WEEKDAY($S150),7))+20),1,MIN(1,MAX(0,IF(ISNUMBER(OFFSET($A$1,ROW()-1,10)),OFFSET($A$1,ROW()-1,10),IF(ISNUMBER(OFFSET($A$1,ROW()-1,9)),OFFSET($A$1,ROW()-1,9),IF(ISNUMBER(OFFSET($A$1,ROW()-1,8)),OFFSET($A$1,ROW()-1,8),0)))))))</f>
        <v/>
      </c>
      <c r="AG150" s="62">
        <f>IF($V150&lt;&gt;"Sub","",N($X150)*IF(AND(ISNUMBER($G150),$G150&lt;=IF($S150=MesCiclo,InicioCiclo,$S150+MOD(2-WEEKDAY($S150),7))+27),1,MIN(1,MAX(0,IF(ISNUMBER(OFFSET($A$1,ROW()-1,11)),OFFSET($A$1,ROW()-1,11),IF(ISNUMBER(OFFSET($A$1,ROW()-1,10)),OFFSET($A$1,ROW()-1,10),IF(ISNUMBER(OFFSET($A$1,ROW()-1,9)),OFFSET($A$1,ROW()-1,9),IF(ISNUMBER(OFFSET($A$1,ROW()-1,8)),OFFSET($A$1,ROW()-1,8),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",IFERROR(MATCH("Riesgo Financiero|"&amp;MID($C150,12,500),rDname_ADM,0),0),"")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IF(N($W151)=0,"",IF(AND($S151=MesCiclo,1&gt;SemanaActual),"",MIN(1,SUMIFS(OFFSET($A$1,ROW(),29,1000-ROW(),1),OFFSET($A$1,ROW(),20,1000-ROW(),1),ROW(),OFFSET($A$1,ROW(),21,1000-ROW(),1),"Sub"))))</f>
        <v/>
      </c>
      <c r="J151" s="60">
        <f>IF(N($W151)=0,"",IF(AND($S151=MesCiclo,2&gt;SemanaActual),"",MIN(1,SUMIFS(OFFSET($A$1,ROW(),30,1000-ROW(),1),OFFSET($A$1,ROW(),20,1000-ROW(),1),ROW(),OFFSET($A$1,ROW(),21,1000-ROW(),1),"Sub"))))</f>
        <v/>
      </c>
      <c r="K151" s="60">
        <f>IF(N($W151)=0,"",IF(AND($S151=MesCiclo,3&gt;SemanaActual),"",MIN(1,SUMIFS(OFFSET($A$1,ROW(),31,1000-ROW(),1),OFFSET($A$1,ROW(),20,1000-ROW(),1),ROW(),OFFSET($A$1,ROW(),21,1000-ROW(),1),"Sub"))))</f>
        <v/>
      </c>
      <c r="L151" s="60">
        <f>IF(N($W151)=0,"",IF(AND($S151=MesCiclo,4&gt;SemanaActual),"",MIN(1,SUMIFS(OFFSET($A$1,ROW(),32,1000-ROW(),1),OFFSET($A$1,ROW(),20,1000-ROW(),1),ROW(),OFFSET($A$1,ROW(),21,1000-ROW(),1),"Sub"))))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IF($V151&lt;&gt;"Sub","",N($X151)*IF(AND(ISNUMBER($G151),$G151&lt;=IF($S151=MesCiclo,InicioCiclo,$S151+MOD(2-WEEKDAY($S151),7))+6),1,MIN(1,MAX(0,IF(ISNUMBER(OFFSET($A$1,ROW()-1,8)),OFFSET($A$1,ROW()-1,8),0)))))</f>
        <v/>
      </c>
      <c r="AE151" s="62">
        <f>IF($V151&lt;&gt;"Sub","",N($X151)*IF(AND(ISNUMBER($G151),$G151&lt;=IF($S151=MesCiclo,InicioCiclo,$S151+MOD(2-WEEKDAY($S151),7))+13),1,MIN(1,MAX(0,IF(ISNUMBER(OFFSET($A$1,ROW()-1,9)),OFFSET($A$1,ROW()-1,9),IF(ISNUMBER(OFFSET($A$1,ROW()-1,8)),OFFSET($A$1,ROW()-1,8),0))))))</f>
        <v/>
      </c>
      <c r="AF151" s="62">
        <f>IF($V151&lt;&gt;"Sub","",N($X151)*IF(AND(ISNUMBER($G151),$G151&lt;=IF($S151=MesCiclo,InicioCiclo,$S151+MOD(2-WEEKDAY($S151),7))+20),1,MIN(1,MAX(0,IF(ISNUMBER(OFFSET($A$1,ROW()-1,10)),OFFSET($A$1,ROW()-1,10),IF(ISNUMBER(OFFSET($A$1,ROW()-1,9)),OFFSET($A$1,ROW()-1,9),IF(ISNUMBER(OFFSET($A$1,ROW()-1,8)),OFFSET($A$1,ROW()-1,8),0)))))))</f>
        <v/>
      </c>
      <c r="AG151" s="62">
        <f>IF($V151&lt;&gt;"Sub","",N($X151)*IF(AND(ISNUMBER($G151),$G151&lt;=IF($S151=MesCiclo,InicioCiclo,$S151+MOD(2-WEEKDAY($S151),7))+27),1,MIN(1,MAX(0,IF(ISNUMBER(OFFSET($A$1,ROW()-1,11)),OFFSET($A$1,ROW()-1,11),IF(ISNUMBER(OFFSET($A$1,ROW()-1,10)),OFFSET($A$1,ROW()-1,10),IF(ISNUMBER(OFFSET($A$1,ROW()-1,9)),OFFSET($A$1,ROW()-1,9),IF(ISNUMBER(OFFSET($A$1,ROW()-1,8)),OFFSET($A$1,ROW()-1,8),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",IFERROR(MATCH("Riesgo Financiero|"&amp;MID($C151,12,500),rDname_ADM,0),0),"")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IF(N($W152)=0,"",IF(AND($S152=MesCiclo,1&gt;SemanaActual),"",MIN(1,SUMIFS(OFFSET($A$1,ROW(),29,1000-ROW(),1),OFFSET($A$1,ROW(),20,1000-ROW(),1),ROW(),OFFSET($A$1,ROW(),21,1000-ROW(),1),"Sub"))))</f>
        <v/>
      </c>
      <c r="J152" s="60">
        <f>IF(N($W152)=0,"",IF(AND($S152=MesCiclo,2&gt;SemanaActual),"",MIN(1,SUMIFS(OFFSET($A$1,ROW(),30,1000-ROW(),1),OFFSET($A$1,ROW(),20,1000-ROW(),1),ROW(),OFFSET($A$1,ROW(),21,1000-ROW(),1),"Sub"))))</f>
        <v/>
      </c>
      <c r="K152" s="60">
        <f>IF(N($W152)=0,"",IF(AND($S152=MesCiclo,3&gt;SemanaActual),"",MIN(1,SUMIFS(OFFSET($A$1,ROW(),31,1000-ROW(),1),OFFSET($A$1,ROW(),20,1000-ROW(),1),ROW(),OFFSET($A$1,ROW(),21,1000-ROW(),1),"Sub"))))</f>
        <v/>
      </c>
      <c r="L152" s="60">
        <f>IF(N($W152)=0,"",IF(AND($S152=MesCiclo,4&gt;SemanaActual),"",MIN(1,SUMIFS(OFFSET($A$1,ROW(),32,1000-ROW(),1),OFFSET($A$1,ROW(),20,1000-ROW(),1),ROW(),OFFSET($A$1,ROW(),21,1000-ROW(),1),"Sub"))))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IF($V152&lt;&gt;"Sub","",N($X152)*IF(AND(ISNUMBER($G152),$G152&lt;=IF($S152=MesCiclo,InicioCiclo,$S152+MOD(2-WEEKDAY($S152),7))+6),1,MIN(1,MAX(0,IF(ISNUMBER(OFFSET($A$1,ROW()-1,8)),OFFSET($A$1,ROW()-1,8),0)))))</f>
        <v/>
      </c>
      <c r="AE152" s="62">
        <f>IF($V152&lt;&gt;"Sub","",N($X152)*IF(AND(ISNUMBER($G152),$G152&lt;=IF($S152=MesCiclo,InicioCiclo,$S152+MOD(2-WEEKDAY($S152),7))+13),1,MIN(1,MAX(0,IF(ISNUMBER(OFFSET($A$1,ROW()-1,9)),OFFSET($A$1,ROW()-1,9),IF(ISNUMBER(OFFSET($A$1,ROW()-1,8)),OFFSET($A$1,ROW()-1,8),0))))))</f>
        <v/>
      </c>
      <c r="AF152" s="62">
        <f>IF($V152&lt;&gt;"Sub","",N($X152)*IF(AND(ISNUMBER($G152),$G152&lt;=IF($S152=MesCiclo,InicioCiclo,$S152+MOD(2-WEEKDAY($S152),7))+20),1,MIN(1,MAX(0,IF(ISNUMBER(OFFSET($A$1,ROW()-1,10)),OFFSET($A$1,ROW()-1,10),IF(ISNUMBER(OFFSET($A$1,ROW()-1,9)),OFFSET($A$1,ROW()-1,9),IF(ISNUMBER(OFFSET($A$1,ROW()-1,8)),OFFSET($A$1,ROW()-1,8),0)))))))</f>
        <v/>
      </c>
      <c r="AG152" s="62">
        <f>IF($V152&lt;&gt;"Sub","",N($X152)*IF(AND(ISNUMBER($G152),$G152&lt;=IF($S152=MesCiclo,InicioCiclo,$S152+MOD(2-WEEKDAY($S152),7))+27),1,MIN(1,MAX(0,IF(ISNUMBER(OFFSET($A$1,ROW()-1,11)),OFFSET($A$1,ROW()-1,11),IF(ISNUMBER(OFFSET($A$1,ROW()-1,10)),OFFSET($A$1,ROW()-1,10),IF(ISNUMBER(OFFSET($A$1,ROW()-1,9)),OFFSET($A$1,ROW()-1,9),IF(ISNUMBER(OFFSET($A$1,ROW()-1,8)),OFFSET($A$1,ROW()-1,8),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",IFERROR(MATCH("Riesgo Financiero|"&amp;MID($C152,12,500),rDname_ADM,0),0),"")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IF(N($W153)=0,"",IF(AND($S153=MesCiclo,1&gt;SemanaActual),"",MIN(1,SUMIFS(OFFSET($A$1,ROW(),29,1000-ROW(),1),OFFSET($A$1,ROW(),20,1000-ROW(),1),ROW(),OFFSET($A$1,ROW(),21,1000-ROW(),1),"Sub"))))</f>
        <v/>
      </c>
      <c r="J153" s="60">
        <f>IF(N($W153)=0,"",IF(AND($S153=MesCiclo,2&gt;SemanaActual),"",MIN(1,SUMIFS(OFFSET($A$1,ROW(),30,1000-ROW(),1),OFFSET($A$1,ROW(),20,1000-ROW(),1),ROW(),OFFSET($A$1,ROW(),21,1000-ROW(),1),"Sub"))))</f>
        <v/>
      </c>
      <c r="K153" s="60">
        <f>IF(N($W153)=0,"",IF(AND($S153=MesCiclo,3&gt;SemanaActual),"",MIN(1,SUMIFS(OFFSET($A$1,ROW(),31,1000-ROW(),1),OFFSET($A$1,ROW(),20,1000-ROW(),1),ROW(),OFFSET($A$1,ROW(),21,1000-ROW(),1),"Sub"))))</f>
        <v/>
      </c>
      <c r="L153" s="60">
        <f>IF(N($W153)=0,"",IF(AND($S153=MesCiclo,4&gt;SemanaActual),"",MIN(1,SUMIFS(OFFSET($A$1,ROW(),32,1000-ROW(),1),OFFSET($A$1,ROW(),20,1000-ROW(),1),ROW(),OFFSET($A$1,ROW(),21,1000-ROW(),1),"Sub"))))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IF($V153&lt;&gt;"Sub","",N($X153)*IF(AND(ISNUMBER($G153),$G153&lt;=IF($S153=MesCiclo,InicioCiclo,$S153+MOD(2-WEEKDAY($S153),7))+6),1,MIN(1,MAX(0,IF(ISNUMBER(OFFSET($A$1,ROW()-1,8)),OFFSET($A$1,ROW()-1,8),0)))))</f>
        <v/>
      </c>
      <c r="AE153" s="62">
        <f>IF($V153&lt;&gt;"Sub","",N($X153)*IF(AND(ISNUMBER($G153),$G153&lt;=IF($S153=MesCiclo,InicioCiclo,$S153+MOD(2-WEEKDAY($S153),7))+13),1,MIN(1,MAX(0,IF(ISNUMBER(OFFSET($A$1,ROW()-1,9)),OFFSET($A$1,ROW()-1,9),IF(ISNUMBER(OFFSET($A$1,ROW()-1,8)),OFFSET($A$1,ROW()-1,8),0))))))</f>
        <v/>
      </c>
      <c r="AF153" s="62">
        <f>IF($V153&lt;&gt;"Sub","",N($X153)*IF(AND(ISNUMBER($G153),$G153&lt;=IF($S153=MesCiclo,InicioCiclo,$S153+MOD(2-WEEKDAY($S153),7))+20),1,MIN(1,MAX(0,IF(ISNUMBER(OFFSET($A$1,ROW()-1,10)),OFFSET($A$1,ROW()-1,10),IF(ISNUMBER(OFFSET($A$1,ROW()-1,9)),OFFSET($A$1,ROW()-1,9),IF(ISNUMBER(OFFSET($A$1,ROW()-1,8)),OFFSET($A$1,ROW()-1,8),0)))))))</f>
        <v/>
      </c>
      <c r="AG153" s="62">
        <f>IF($V153&lt;&gt;"Sub","",N($X153)*IF(AND(ISNUMBER($G153),$G153&lt;=IF($S153=MesCiclo,InicioCiclo,$S153+MOD(2-WEEKDAY($S153),7))+27),1,MIN(1,MAX(0,IF(ISNUMBER(OFFSET($A$1,ROW()-1,11)),OFFSET($A$1,ROW()-1,11),IF(ISNUMBER(OFFSET($A$1,ROW()-1,10)),OFFSET($A$1,ROW()-1,10),IF(ISNUMBER(OFFSET($A$1,ROW()-1,9)),OFFSET($A$1,ROW()-1,9),IF(ISNUMBER(OFFSET($A$1,ROW()-1,8)),OFFSET($A$1,ROW()-1,8),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",IFERROR(MATCH("Riesgo Financiero|"&amp;MID($C153,12,500),rDname_ADM,0),0),"")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IF(N($W154)=0,"",IF(AND($S154=MesCiclo,1&gt;SemanaActual),"",MIN(1,SUMIFS(OFFSET($A$1,ROW(),29,1000-ROW(),1),OFFSET($A$1,ROW(),20,1000-ROW(),1),ROW(),OFFSET($A$1,ROW(),21,1000-ROW(),1),"Sub"))))</f>
        <v/>
      </c>
      <c r="J154" s="60">
        <f>IF(N($W154)=0,"",IF(AND($S154=MesCiclo,2&gt;SemanaActual),"",MIN(1,SUMIFS(OFFSET($A$1,ROW(),30,1000-ROW(),1),OFFSET($A$1,ROW(),20,1000-ROW(),1),ROW(),OFFSET($A$1,ROW(),21,1000-ROW(),1),"Sub"))))</f>
        <v/>
      </c>
      <c r="K154" s="60">
        <f>IF(N($W154)=0,"",IF(AND($S154=MesCiclo,3&gt;SemanaActual),"",MIN(1,SUMIFS(OFFSET($A$1,ROW(),31,1000-ROW(),1),OFFSET($A$1,ROW(),20,1000-ROW(),1),ROW(),OFFSET($A$1,ROW(),21,1000-ROW(),1),"Sub"))))</f>
        <v/>
      </c>
      <c r="L154" s="60">
        <f>IF(N($W154)=0,"",IF(AND($S154=MesCiclo,4&gt;SemanaActual),"",MIN(1,SUMIFS(OFFSET($A$1,ROW(),32,1000-ROW(),1),OFFSET($A$1,ROW(),20,1000-ROW(),1),ROW(),OFFSET($A$1,ROW(),21,1000-ROW(),1),"Sub"))))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IF($V154&lt;&gt;"Sub","",N($X154)*IF(AND(ISNUMBER($G154),$G154&lt;=IF($S154=MesCiclo,InicioCiclo,$S154+MOD(2-WEEKDAY($S154),7))+6),1,MIN(1,MAX(0,IF(ISNUMBER(OFFSET($A$1,ROW()-1,8)),OFFSET($A$1,ROW()-1,8),0)))))</f>
        <v/>
      </c>
      <c r="AE154" s="62">
        <f>IF($V154&lt;&gt;"Sub","",N($X154)*IF(AND(ISNUMBER($G154),$G154&lt;=IF($S154=MesCiclo,InicioCiclo,$S154+MOD(2-WEEKDAY($S154),7))+13),1,MIN(1,MAX(0,IF(ISNUMBER(OFFSET($A$1,ROW()-1,9)),OFFSET($A$1,ROW()-1,9),IF(ISNUMBER(OFFSET($A$1,ROW()-1,8)),OFFSET($A$1,ROW()-1,8),0))))))</f>
        <v/>
      </c>
      <c r="AF154" s="62">
        <f>IF($V154&lt;&gt;"Sub","",N($X154)*IF(AND(ISNUMBER($G154),$G154&lt;=IF($S154=MesCiclo,InicioCiclo,$S154+MOD(2-WEEKDAY($S154),7))+20),1,MIN(1,MAX(0,IF(ISNUMBER(OFFSET($A$1,ROW()-1,10)),OFFSET($A$1,ROW()-1,10),IF(ISNUMBER(OFFSET($A$1,ROW()-1,9)),OFFSET($A$1,ROW()-1,9),IF(ISNUMBER(OFFSET($A$1,ROW()-1,8)),OFFSET($A$1,ROW()-1,8),0)))))))</f>
        <v/>
      </c>
      <c r="AG154" s="62">
        <f>IF($V154&lt;&gt;"Sub","",N($X154)*IF(AND(ISNUMBER($G154),$G154&lt;=IF($S154=MesCiclo,InicioCiclo,$S154+MOD(2-WEEKDAY($S154),7))+27),1,MIN(1,MAX(0,IF(ISNUMBER(OFFSET($A$1,ROW()-1,11)),OFFSET($A$1,ROW()-1,11),IF(ISNUMBER(OFFSET($A$1,ROW()-1,10)),OFFSET($A$1,ROW()-1,10),IF(ISNUMBER(OFFSET($A$1,ROW()-1,9)),OFFSET($A$1,ROW()-1,9),IF(ISNUMBER(OFFSET($A$1,ROW()-1,8)),OFFSET($A$1,ROW()-1,8),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",IFERROR(MATCH("Riesgo Financiero|"&amp;MID($C154,12,500),rDname_ADM,0),0),"")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IF(N($W155)=0,"",IF(AND($S155=MesCiclo,1&gt;SemanaActual),"",MIN(1,SUMIFS(OFFSET($A$1,ROW(),29,1000-ROW(),1),OFFSET($A$1,ROW(),20,1000-ROW(),1),ROW(),OFFSET($A$1,ROW(),21,1000-ROW(),1),"Sub"))))</f>
        <v/>
      </c>
      <c r="J155" s="60">
        <f>IF(N($W155)=0,"",IF(AND($S155=MesCiclo,2&gt;SemanaActual),"",MIN(1,SUMIFS(OFFSET($A$1,ROW(),30,1000-ROW(),1),OFFSET($A$1,ROW(),20,1000-ROW(),1),ROW(),OFFSET($A$1,ROW(),21,1000-ROW(),1),"Sub"))))</f>
        <v/>
      </c>
      <c r="K155" s="60">
        <f>IF(N($W155)=0,"",IF(AND($S155=MesCiclo,3&gt;SemanaActual),"",MIN(1,SUMIFS(OFFSET($A$1,ROW(),31,1000-ROW(),1),OFFSET($A$1,ROW(),20,1000-ROW(),1),ROW(),OFFSET($A$1,ROW(),21,1000-ROW(),1),"Sub"))))</f>
        <v/>
      </c>
      <c r="L155" s="60">
        <f>IF(N($W155)=0,"",IF(AND($S155=MesCiclo,4&gt;SemanaActual),"",MIN(1,SUMIFS(OFFSET($A$1,ROW(),32,1000-ROW(),1),OFFSET($A$1,ROW(),20,1000-ROW(),1),ROW(),OFFSET($A$1,ROW(),21,1000-ROW(),1),"Sub"))))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IF($V155&lt;&gt;"Sub","",N($X155)*IF(AND(ISNUMBER($G155),$G155&lt;=IF($S155=MesCiclo,InicioCiclo,$S155+MOD(2-WEEKDAY($S155),7))+6),1,MIN(1,MAX(0,IF(ISNUMBER(OFFSET($A$1,ROW()-1,8)),OFFSET($A$1,ROW()-1,8),0)))))</f>
        <v/>
      </c>
      <c r="AE155" s="62">
        <f>IF($V155&lt;&gt;"Sub","",N($X155)*IF(AND(ISNUMBER($G155),$G155&lt;=IF($S155=MesCiclo,InicioCiclo,$S155+MOD(2-WEEKDAY($S155),7))+13),1,MIN(1,MAX(0,IF(ISNUMBER(OFFSET($A$1,ROW()-1,9)),OFFSET($A$1,ROW()-1,9),IF(ISNUMBER(OFFSET($A$1,ROW()-1,8)),OFFSET($A$1,ROW()-1,8),0))))))</f>
        <v/>
      </c>
      <c r="AF155" s="62">
        <f>IF($V155&lt;&gt;"Sub","",N($X155)*IF(AND(ISNUMBER($G155),$G155&lt;=IF($S155=MesCiclo,InicioCiclo,$S155+MOD(2-WEEKDAY($S155),7))+20),1,MIN(1,MAX(0,IF(ISNUMBER(OFFSET($A$1,ROW()-1,10)),OFFSET($A$1,ROW()-1,10),IF(ISNUMBER(OFFSET($A$1,ROW()-1,9)),OFFSET($A$1,ROW()-1,9),IF(ISNUMBER(OFFSET($A$1,ROW()-1,8)),OFFSET($A$1,ROW()-1,8),0)))))))</f>
        <v/>
      </c>
      <c r="AG155" s="62">
        <f>IF($V155&lt;&gt;"Sub","",N($X155)*IF(AND(ISNUMBER($G155),$G155&lt;=IF($S155=MesCiclo,InicioCiclo,$S155+MOD(2-WEEKDAY($S155),7))+27),1,MIN(1,MAX(0,IF(ISNUMBER(OFFSET($A$1,ROW()-1,11)),OFFSET($A$1,ROW()-1,11),IF(ISNUMBER(OFFSET($A$1,ROW()-1,10)),OFFSET($A$1,ROW()-1,10),IF(ISNUMBER(OFFSET($A$1,ROW()-1,9)),OFFSET($A$1,ROW()-1,9),IF(ISNUMBER(OFFSET($A$1,ROW()-1,8)),OFFSET($A$1,ROW()-1,8),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",IFERROR(MATCH("Riesgo Financiero|"&amp;MID($C155,12,500),rDname_ADM,0),0),"")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IF(N($W156)=0,"",IF(AND($S156=MesCiclo,1&gt;SemanaActual),"",MIN(1,SUMIFS(OFFSET($A$1,ROW(),29,1000-ROW(),1),OFFSET($A$1,ROW(),20,1000-ROW(),1),ROW(),OFFSET($A$1,ROW(),21,1000-ROW(),1),"Sub"))))</f>
        <v/>
      </c>
      <c r="J156" s="60">
        <f>IF(N($W156)=0,"",IF(AND($S156=MesCiclo,2&gt;SemanaActual),"",MIN(1,SUMIFS(OFFSET($A$1,ROW(),30,1000-ROW(),1),OFFSET($A$1,ROW(),20,1000-ROW(),1),ROW(),OFFSET($A$1,ROW(),21,1000-ROW(),1),"Sub"))))</f>
        <v/>
      </c>
      <c r="K156" s="60">
        <f>IF(N($W156)=0,"",IF(AND($S156=MesCiclo,3&gt;SemanaActual),"",MIN(1,SUMIFS(OFFSET($A$1,ROW(),31,1000-ROW(),1),OFFSET($A$1,ROW(),20,1000-ROW(),1),ROW(),OFFSET($A$1,ROW(),21,1000-ROW(),1),"Sub"))))</f>
        <v/>
      </c>
      <c r="L156" s="60">
        <f>IF(N($W156)=0,"",IF(AND($S156=MesCiclo,4&gt;SemanaActual),"",MIN(1,SUMIFS(OFFSET($A$1,ROW(),32,1000-ROW(),1),OFFSET($A$1,ROW(),20,1000-ROW(),1),ROW(),OFFSET($A$1,ROW(),21,1000-ROW(),1),"Sub"))))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IF($V156&lt;&gt;"Sub","",N($X156)*IF(AND(ISNUMBER($G156),$G156&lt;=IF($S156=MesCiclo,InicioCiclo,$S156+MOD(2-WEEKDAY($S156),7))+6),1,MIN(1,MAX(0,IF(ISNUMBER(OFFSET($A$1,ROW()-1,8)),OFFSET($A$1,ROW()-1,8),0)))))</f>
        <v/>
      </c>
      <c r="AE156" s="62">
        <f>IF($V156&lt;&gt;"Sub","",N($X156)*IF(AND(ISNUMBER($G156),$G156&lt;=IF($S156=MesCiclo,InicioCiclo,$S156+MOD(2-WEEKDAY($S156),7))+13),1,MIN(1,MAX(0,IF(ISNUMBER(OFFSET($A$1,ROW()-1,9)),OFFSET($A$1,ROW()-1,9),IF(ISNUMBER(OFFSET($A$1,ROW()-1,8)),OFFSET($A$1,ROW()-1,8),0))))))</f>
        <v/>
      </c>
      <c r="AF156" s="62">
        <f>IF($V156&lt;&gt;"Sub","",N($X156)*IF(AND(ISNUMBER($G156),$G156&lt;=IF($S156=MesCiclo,InicioCiclo,$S156+MOD(2-WEEKDAY($S156),7))+20),1,MIN(1,MAX(0,IF(ISNUMBER(OFFSET($A$1,ROW()-1,10)),OFFSET($A$1,ROW()-1,10),IF(ISNUMBER(OFFSET($A$1,ROW()-1,9)),OFFSET($A$1,ROW()-1,9),IF(ISNUMBER(OFFSET($A$1,ROW()-1,8)),OFFSET($A$1,ROW()-1,8),0)))))))</f>
        <v/>
      </c>
      <c r="AG156" s="62">
        <f>IF($V156&lt;&gt;"Sub","",N($X156)*IF(AND(ISNUMBER($G156),$G156&lt;=IF($S156=MesCiclo,InicioCiclo,$S156+MOD(2-WEEKDAY($S156),7))+27),1,MIN(1,MAX(0,IF(ISNUMBER(OFFSET($A$1,ROW()-1,11)),OFFSET($A$1,ROW()-1,11),IF(ISNUMBER(OFFSET($A$1,ROW()-1,10)),OFFSET($A$1,ROW()-1,10),IF(ISNUMBER(OFFSET($A$1,ROW()-1,9)),OFFSET($A$1,ROW()-1,9),IF(ISNUMBER(OFFSET($A$1,ROW()-1,8)),OFFSET($A$1,ROW()-1,8),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",IFERROR(MATCH("Riesgo Financiero|"&amp;MID($C156,12,500),rDname_ADM,0),0),"")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IF(N($W157)=0,"",IF(AND($S157=MesCiclo,1&gt;SemanaActual),"",MIN(1,SUMIFS(OFFSET($A$1,ROW(),29,1000-ROW(),1),OFFSET($A$1,ROW(),20,1000-ROW(),1),ROW(),OFFSET($A$1,ROW(),21,1000-ROW(),1),"Sub"))))</f>
        <v/>
      </c>
      <c r="J157" s="60">
        <f>IF(N($W157)=0,"",IF(AND($S157=MesCiclo,2&gt;SemanaActual),"",MIN(1,SUMIFS(OFFSET($A$1,ROW(),30,1000-ROW(),1),OFFSET($A$1,ROW(),20,1000-ROW(),1),ROW(),OFFSET($A$1,ROW(),21,1000-ROW(),1),"Sub"))))</f>
        <v/>
      </c>
      <c r="K157" s="60">
        <f>IF(N($W157)=0,"",IF(AND($S157=MesCiclo,3&gt;SemanaActual),"",MIN(1,SUMIFS(OFFSET($A$1,ROW(),31,1000-ROW(),1),OFFSET($A$1,ROW(),20,1000-ROW(),1),ROW(),OFFSET($A$1,ROW(),21,1000-ROW(),1),"Sub"))))</f>
        <v/>
      </c>
      <c r="L157" s="60">
        <f>IF(N($W157)=0,"",IF(AND($S157=MesCiclo,4&gt;SemanaActual),"",MIN(1,SUMIFS(OFFSET($A$1,ROW(),32,1000-ROW(),1),OFFSET($A$1,ROW(),20,1000-ROW(),1),ROW(),OFFSET($A$1,ROW(),21,1000-ROW(),1),"Sub"))))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IF($V157&lt;&gt;"Sub","",N($X157)*IF(AND(ISNUMBER($G157),$G157&lt;=IF($S157=MesCiclo,InicioCiclo,$S157+MOD(2-WEEKDAY($S157),7))+6),1,MIN(1,MAX(0,IF(ISNUMBER(OFFSET($A$1,ROW()-1,8)),OFFSET($A$1,ROW()-1,8),0)))))</f>
        <v/>
      </c>
      <c r="AE157" s="62">
        <f>IF($V157&lt;&gt;"Sub","",N($X157)*IF(AND(ISNUMBER($G157),$G157&lt;=IF($S157=MesCiclo,InicioCiclo,$S157+MOD(2-WEEKDAY($S157),7))+13),1,MIN(1,MAX(0,IF(ISNUMBER(OFFSET($A$1,ROW()-1,9)),OFFSET($A$1,ROW()-1,9),IF(ISNUMBER(OFFSET($A$1,ROW()-1,8)),OFFSET($A$1,ROW()-1,8),0))))))</f>
        <v/>
      </c>
      <c r="AF157" s="62">
        <f>IF($V157&lt;&gt;"Sub","",N($X157)*IF(AND(ISNUMBER($G157),$G157&lt;=IF($S157=MesCiclo,InicioCiclo,$S157+MOD(2-WEEKDAY($S157),7))+20),1,MIN(1,MAX(0,IF(ISNUMBER(OFFSET($A$1,ROW()-1,10)),OFFSET($A$1,ROW()-1,10),IF(ISNUMBER(OFFSET($A$1,ROW()-1,9)),OFFSET($A$1,ROW()-1,9),IF(ISNUMBER(OFFSET($A$1,ROW()-1,8)),OFFSET($A$1,ROW()-1,8),0)))))))</f>
        <v/>
      </c>
      <c r="AG157" s="62">
        <f>IF($V157&lt;&gt;"Sub","",N($X157)*IF(AND(ISNUMBER($G157),$G157&lt;=IF($S157=MesCiclo,InicioCiclo,$S157+MOD(2-WEEKDAY($S157),7))+27),1,MIN(1,MAX(0,IF(ISNUMBER(OFFSET($A$1,ROW()-1,11)),OFFSET($A$1,ROW()-1,11),IF(ISNUMBER(OFFSET($A$1,ROW()-1,10)),OFFSET($A$1,ROW()-1,10),IF(ISNUMBER(OFFSET($A$1,ROW()-1,9)),OFFSET($A$1,ROW()-1,9),IF(ISNUMBER(OFFSET($A$1,ROW()-1,8)),OFFSET($A$1,ROW()-1,8),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",IFERROR(MATCH("Riesgo Financiero|"&amp;MID($C157,12,500),rDname_ADM,0),0),"")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IF(N($W158)=0,"",IF(AND($S158=MesCiclo,1&gt;SemanaActual),"",MIN(1,SUMIFS(OFFSET($A$1,ROW(),29,1000-ROW(),1),OFFSET($A$1,ROW(),20,1000-ROW(),1),ROW(),OFFSET($A$1,ROW(),21,1000-ROW(),1),"Sub"))))</f>
        <v/>
      </c>
      <c r="J158" s="60">
        <f>IF(N($W158)=0,"",IF(AND($S158=MesCiclo,2&gt;SemanaActual),"",MIN(1,SUMIFS(OFFSET($A$1,ROW(),30,1000-ROW(),1),OFFSET($A$1,ROW(),20,1000-ROW(),1),ROW(),OFFSET($A$1,ROW(),21,1000-ROW(),1),"Sub"))))</f>
        <v/>
      </c>
      <c r="K158" s="60">
        <f>IF(N($W158)=0,"",IF(AND($S158=MesCiclo,3&gt;SemanaActual),"",MIN(1,SUMIFS(OFFSET($A$1,ROW(),31,1000-ROW(),1),OFFSET($A$1,ROW(),20,1000-ROW(),1),ROW(),OFFSET($A$1,ROW(),21,1000-ROW(),1),"Sub"))))</f>
        <v/>
      </c>
      <c r="L158" s="60">
        <f>IF(N($W158)=0,"",IF(AND($S158=MesCiclo,4&gt;SemanaActual),"",MIN(1,SUMIFS(OFFSET($A$1,ROW(),32,1000-ROW(),1),OFFSET($A$1,ROW(),20,1000-ROW(),1),ROW(),OFFSET($A$1,ROW(),21,1000-ROW(),1),"Sub"))))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IF($V158&lt;&gt;"Sub","",N($X158)*IF(AND(ISNUMBER($G158),$G158&lt;=IF($S158=MesCiclo,InicioCiclo,$S158+MOD(2-WEEKDAY($S158),7))+6),1,MIN(1,MAX(0,IF(ISNUMBER(OFFSET($A$1,ROW()-1,8)),OFFSET($A$1,ROW()-1,8),0)))))</f>
        <v/>
      </c>
      <c r="AE158" s="62">
        <f>IF($V158&lt;&gt;"Sub","",N($X158)*IF(AND(ISNUMBER($G158),$G158&lt;=IF($S158=MesCiclo,InicioCiclo,$S158+MOD(2-WEEKDAY($S158),7))+13),1,MIN(1,MAX(0,IF(ISNUMBER(OFFSET($A$1,ROW()-1,9)),OFFSET($A$1,ROW()-1,9),IF(ISNUMBER(OFFSET($A$1,ROW()-1,8)),OFFSET($A$1,ROW()-1,8),0))))))</f>
        <v/>
      </c>
      <c r="AF158" s="62">
        <f>IF($V158&lt;&gt;"Sub","",N($X158)*IF(AND(ISNUMBER($G158),$G158&lt;=IF($S158=MesCiclo,InicioCiclo,$S158+MOD(2-WEEKDAY($S158),7))+20),1,MIN(1,MAX(0,IF(ISNUMBER(OFFSET($A$1,ROW()-1,10)),OFFSET($A$1,ROW()-1,10),IF(ISNUMBER(OFFSET($A$1,ROW()-1,9)),OFFSET($A$1,ROW()-1,9),IF(ISNUMBER(OFFSET($A$1,ROW()-1,8)),OFFSET($A$1,ROW()-1,8),0)))))))</f>
        <v/>
      </c>
      <c r="AG158" s="62">
        <f>IF($V158&lt;&gt;"Sub","",N($X158)*IF(AND(ISNUMBER($G158),$G158&lt;=IF($S158=MesCiclo,InicioCiclo,$S158+MOD(2-WEEKDAY($S158),7))+27),1,MIN(1,MAX(0,IF(ISNUMBER(OFFSET($A$1,ROW()-1,11)),OFFSET($A$1,ROW()-1,11),IF(ISNUMBER(OFFSET($A$1,ROW()-1,10)),OFFSET($A$1,ROW()-1,10),IF(ISNUMBER(OFFSET($A$1,ROW()-1,9)),OFFSET($A$1,ROW()-1,9),IF(ISNUMBER(OFFSET($A$1,ROW()-1,8)),OFFSET($A$1,ROW()-1,8),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",IFERROR(MATCH("Riesgo Financiero|"&amp;MID($C158,12,500),rDname_ADM,0),0),"")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IF(N($W159)=0,"",IF(AND($S159=MesCiclo,1&gt;SemanaActual),"",MIN(1,SUMIFS(OFFSET($A$1,ROW(),29,1000-ROW(),1),OFFSET($A$1,ROW(),20,1000-ROW(),1),ROW(),OFFSET($A$1,ROW(),21,1000-ROW(),1),"Sub"))))</f>
        <v/>
      </c>
      <c r="J159" s="60">
        <f>IF(N($W159)=0,"",IF(AND($S159=MesCiclo,2&gt;SemanaActual),"",MIN(1,SUMIFS(OFFSET($A$1,ROW(),30,1000-ROW(),1),OFFSET($A$1,ROW(),20,1000-ROW(),1),ROW(),OFFSET($A$1,ROW(),21,1000-ROW(),1),"Sub"))))</f>
        <v/>
      </c>
      <c r="K159" s="60">
        <f>IF(N($W159)=0,"",IF(AND($S159=MesCiclo,3&gt;SemanaActual),"",MIN(1,SUMIFS(OFFSET($A$1,ROW(),31,1000-ROW(),1),OFFSET($A$1,ROW(),20,1000-ROW(),1),ROW(),OFFSET($A$1,ROW(),21,1000-ROW(),1),"Sub"))))</f>
        <v/>
      </c>
      <c r="L159" s="60">
        <f>IF(N($W159)=0,"",IF(AND($S159=MesCiclo,4&gt;SemanaActual),"",MIN(1,SUMIFS(OFFSET($A$1,ROW(),32,1000-ROW(),1),OFFSET($A$1,ROW(),20,1000-ROW(),1),ROW(),OFFSET($A$1,ROW(),21,1000-ROW(),1),"Sub"))))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IF($V159&lt;&gt;"Sub","",N($X159)*IF(AND(ISNUMBER($G159),$G159&lt;=IF($S159=MesCiclo,InicioCiclo,$S159+MOD(2-WEEKDAY($S159),7))+6),1,MIN(1,MAX(0,IF(ISNUMBER(OFFSET($A$1,ROW()-1,8)),OFFSET($A$1,ROW()-1,8),0)))))</f>
        <v/>
      </c>
      <c r="AE159" s="62">
        <f>IF($V159&lt;&gt;"Sub","",N($X159)*IF(AND(ISNUMBER($G159),$G159&lt;=IF($S159=MesCiclo,InicioCiclo,$S159+MOD(2-WEEKDAY($S159),7))+13),1,MIN(1,MAX(0,IF(ISNUMBER(OFFSET($A$1,ROW()-1,9)),OFFSET($A$1,ROW()-1,9),IF(ISNUMBER(OFFSET($A$1,ROW()-1,8)),OFFSET($A$1,ROW()-1,8),0))))))</f>
        <v/>
      </c>
      <c r="AF159" s="62">
        <f>IF($V159&lt;&gt;"Sub","",N($X159)*IF(AND(ISNUMBER($G159),$G159&lt;=IF($S159=MesCiclo,InicioCiclo,$S159+MOD(2-WEEKDAY($S159),7))+20),1,MIN(1,MAX(0,IF(ISNUMBER(OFFSET($A$1,ROW()-1,10)),OFFSET($A$1,ROW()-1,10),IF(ISNUMBER(OFFSET($A$1,ROW()-1,9)),OFFSET($A$1,ROW()-1,9),IF(ISNUMBER(OFFSET($A$1,ROW()-1,8)),OFFSET($A$1,ROW()-1,8),0)))))))</f>
        <v/>
      </c>
      <c r="AG159" s="62">
        <f>IF($V159&lt;&gt;"Sub","",N($X159)*IF(AND(ISNUMBER($G159),$G159&lt;=IF($S159=MesCiclo,InicioCiclo,$S159+MOD(2-WEEKDAY($S159),7))+27),1,MIN(1,MAX(0,IF(ISNUMBER(OFFSET($A$1,ROW()-1,11)),OFFSET($A$1,ROW()-1,11),IF(ISNUMBER(OFFSET($A$1,ROW()-1,10)),OFFSET($A$1,ROW()-1,10),IF(ISNUMBER(OFFSET($A$1,ROW()-1,9)),OFFSET($A$1,ROW()-1,9),IF(ISNUMBER(OFFSET($A$1,ROW()-1,8)),OFFSET($A$1,ROW()-1,8),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",IFERROR(MATCH("Riesgo Financiero|"&amp;MID($C159,12,500),rDname_ADM,0),0),"")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IF(N($W160)=0,"",IF(AND($S160=MesCiclo,1&gt;SemanaActual),"",MIN(1,SUMIFS(OFFSET($A$1,ROW(),29,1000-ROW(),1),OFFSET($A$1,ROW(),20,1000-ROW(),1),ROW(),OFFSET($A$1,ROW(),21,1000-ROW(),1),"Sub"))))</f>
        <v/>
      </c>
      <c r="J160" s="60">
        <f>IF(N($W160)=0,"",IF(AND($S160=MesCiclo,2&gt;SemanaActual),"",MIN(1,SUMIFS(OFFSET($A$1,ROW(),30,1000-ROW(),1),OFFSET($A$1,ROW(),20,1000-ROW(),1),ROW(),OFFSET($A$1,ROW(),21,1000-ROW(),1),"Sub"))))</f>
        <v/>
      </c>
      <c r="K160" s="60">
        <f>IF(N($W160)=0,"",IF(AND($S160=MesCiclo,3&gt;SemanaActual),"",MIN(1,SUMIFS(OFFSET($A$1,ROW(),31,1000-ROW(),1),OFFSET($A$1,ROW(),20,1000-ROW(),1),ROW(),OFFSET($A$1,ROW(),21,1000-ROW(),1),"Sub"))))</f>
        <v/>
      </c>
      <c r="L160" s="60">
        <f>IF(N($W160)=0,"",IF(AND($S160=MesCiclo,4&gt;SemanaActual),"",MIN(1,SUMIFS(OFFSET($A$1,ROW(),32,1000-ROW(),1),OFFSET($A$1,ROW(),20,1000-ROW(),1),ROW(),OFFSET($A$1,ROW(),21,1000-ROW(),1),"Sub"))))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IF($V160&lt;&gt;"Sub","",N($X160)*IF(AND(ISNUMBER($G160),$G160&lt;=IF($S160=MesCiclo,InicioCiclo,$S160+MOD(2-WEEKDAY($S160),7))+6),1,MIN(1,MAX(0,IF(ISNUMBER(OFFSET($A$1,ROW()-1,8)),OFFSET($A$1,ROW()-1,8),0)))))</f>
        <v/>
      </c>
      <c r="AE160" s="62">
        <f>IF($V160&lt;&gt;"Sub","",N($X160)*IF(AND(ISNUMBER($G160),$G160&lt;=IF($S160=MesCiclo,InicioCiclo,$S160+MOD(2-WEEKDAY($S160),7))+13),1,MIN(1,MAX(0,IF(ISNUMBER(OFFSET($A$1,ROW()-1,9)),OFFSET($A$1,ROW()-1,9),IF(ISNUMBER(OFFSET($A$1,ROW()-1,8)),OFFSET($A$1,ROW()-1,8),0))))))</f>
        <v/>
      </c>
      <c r="AF160" s="62">
        <f>IF($V160&lt;&gt;"Sub","",N($X160)*IF(AND(ISNUMBER($G160),$G160&lt;=IF($S160=MesCiclo,InicioCiclo,$S160+MOD(2-WEEKDAY($S160),7))+20),1,MIN(1,MAX(0,IF(ISNUMBER(OFFSET($A$1,ROW()-1,10)),OFFSET($A$1,ROW()-1,10),IF(ISNUMBER(OFFSET($A$1,ROW()-1,9)),OFFSET($A$1,ROW()-1,9),IF(ISNUMBER(OFFSET($A$1,ROW()-1,8)),OFFSET($A$1,ROW()-1,8),0)))))))</f>
        <v/>
      </c>
      <c r="AG160" s="62">
        <f>IF($V160&lt;&gt;"Sub","",N($X160)*IF(AND(ISNUMBER($G160),$G160&lt;=IF($S160=MesCiclo,InicioCiclo,$S160+MOD(2-WEEKDAY($S160),7))+27),1,MIN(1,MAX(0,IF(ISNUMBER(OFFSET($A$1,ROW()-1,11)),OFFSET($A$1,ROW()-1,11),IF(ISNUMBER(OFFSET($A$1,ROW()-1,10)),OFFSET($A$1,ROW()-1,10),IF(ISNUMBER(OFFSET($A$1,ROW()-1,9)),OFFSET($A$1,ROW()-1,9),IF(ISNUMBER(OFFSET($A$1,ROW()-1,8)),OFFSET($A$1,ROW()-1,8),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",IFERROR(MATCH("Riesgo Financiero|"&amp;MID($C160,12,500),rDname_ADM,0),0),"")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IF(N($W161)=0,"",IF(AND($S161=MesCiclo,1&gt;SemanaActual),"",MIN(1,SUMIFS(OFFSET($A$1,ROW(),29,1000-ROW(),1),OFFSET($A$1,ROW(),20,1000-ROW(),1),ROW(),OFFSET($A$1,ROW(),21,1000-ROW(),1),"Sub"))))</f>
        <v/>
      </c>
      <c r="J161" s="60">
        <f>IF(N($W161)=0,"",IF(AND($S161=MesCiclo,2&gt;SemanaActual),"",MIN(1,SUMIFS(OFFSET($A$1,ROW(),30,1000-ROW(),1),OFFSET($A$1,ROW(),20,1000-ROW(),1),ROW(),OFFSET($A$1,ROW(),21,1000-ROW(),1),"Sub"))))</f>
        <v/>
      </c>
      <c r="K161" s="60">
        <f>IF(N($W161)=0,"",IF(AND($S161=MesCiclo,3&gt;SemanaActual),"",MIN(1,SUMIFS(OFFSET($A$1,ROW(),31,1000-ROW(),1),OFFSET($A$1,ROW(),20,1000-ROW(),1),ROW(),OFFSET($A$1,ROW(),21,1000-ROW(),1),"Sub"))))</f>
        <v/>
      </c>
      <c r="L161" s="60">
        <f>IF(N($W161)=0,"",IF(AND($S161=MesCiclo,4&gt;SemanaActual),"",MIN(1,SUMIFS(OFFSET($A$1,ROW(),32,1000-ROW(),1),OFFSET($A$1,ROW(),20,1000-ROW(),1),ROW(),OFFSET($A$1,ROW(),21,1000-ROW(),1),"Sub"))))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IF($V161&lt;&gt;"Sub","",N($X161)*IF(AND(ISNUMBER($G161),$G161&lt;=IF($S161=MesCiclo,InicioCiclo,$S161+MOD(2-WEEKDAY($S161),7))+6),1,MIN(1,MAX(0,IF(ISNUMBER(OFFSET($A$1,ROW()-1,8)),OFFSET($A$1,ROW()-1,8),0)))))</f>
        <v/>
      </c>
      <c r="AE161" s="62">
        <f>IF($V161&lt;&gt;"Sub","",N($X161)*IF(AND(ISNUMBER($G161),$G161&lt;=IF($S161=MesCiclo,InicioCiclo,$S161+MOD(2-WEEKDAY($S161),7))+13),1,MIN(1,MAX(0,IF(ISNUMBER(OFFSET($A$1,ROW()-1,9)),OFFSET($A$1,ROW()-1,9),IF(ISNUMBER(OFFSET($A$1,ROW()-1,8)),OFFSET($A$1,ROW()-1,8),0))))))</f>
        <v/>
      </c>
      <c r="AF161" s="62">
        <f>IF($V161&lt;&gt;"Sub","",N($X161)*IF(AND(ISNUMBER($G161),$G161&lt;=IF($S161=MesCiclo,InicioCiclo,$S161+MOD(2-WEEKDAY($S161),7))+20),1,MIN(1,MAX(0,IF(ISNUMBER(OFFSET($A$1,ROW()-1,10)),OFFSET($A$1,ROW()-1,10),IF(ISNUMBER(OFFSET($A$1,ROW()-1,9)),OFFSET($A$1,ROW()-1,9),IF(ISNUMBER(OFFSET($A$1,ROW()-1,8)),OFFSET($A$1,ROW()-1,8),0)))))))</f>
        <v/>
      </c>
      <c r="AG161" s="62">
        <f>IF($V161&lt;&gt;"Sub","",N($X161)*IF(AND(ISNUMBER($G161),$G161&lt;=IF($S161=MesCiclo,InicioCiclo,$S161+MOD(2-WEEKDAY($S161),7))+27),1,MIN(1,MAX(0,IF(ISNUMBER(OFFSET($A$1,ROW()-1,11)),OFFSET($A$1,ROW()-1,11),IF(ISNUMBER(OFFSET($A$1,ROW()-1,10)),OFFSET($A$1,ROW()-1,10),IF(ISNUMBER(OFFSET($A$1,ROW()-1,9)),OFFSET($A$1,ROW()-1,9),IF(ISNUMBER(OFFSET($A$1,ROW()-1,8)),OFFSET($A$1,ROW()-1,8),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",IFERROR(MATCH("Riesgo Financiero|"&amp;MID($C161,12,500),rDname_ADM,0),0),"")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IF(N($W162)=0,"",IF(AND($S162=MesCiclo,1&gt;SemanaActual),"",MIN(1,SUMIFS(OFFSET($A$1,ROW(),29,1000-ROW(),1),OFFSET($A$1,ROW(),20,1000-ROW(),1),ROW(),OFFSET($A$1,ROW(),21,1000-ROW(),1),"Sub"))))</f>
        <v/>
      </c>
      <c r="J162" s="60">
        <f>IF(N($W162)=0,"",IF(AND($S162=MesCiclo,2&gt;SemanaActual),"",MIN(1,SUMIFS(OFFSET($A$1,ROW(),30,1000-ROW(),1),OFFSET($A$1,ROW(),20,1000-ROW(),1),ROW(),OFFSET($A$1,ROW(),21,1000-ROW(),1),"Sub"))))</f>
        <v/>
      </c>
      <c r="K162" s="60">
        <f>IF(N($W162)=0,"",IF(AND($S162=MesCiclo,3&gt;SemanaActual),"",MIN(1,SUMIFS(OFFSET($A$1,ROW(),31,1000-ROW(),1),OFFSET($A$1,ROW(),20,1000-ROW(),1),ROW(),OFFSET($A$1,ROW(),21,1000-ROW(),1),"Sub"))))</f>
        <v/>
      </c>
      <c r="L162" s="60">
        <f>IF(N($W162)=0,"",IF(AND($S162=MesCiclo,4&gt;SemanaActual),"",MIN(1,SUMIFS(OFFSET($A$1,ROW(),32,1000-ROW(),1),OFFSET($A$1,ROW(),20,1000-ROW(),1),ROW(),OFFSET($A$1,ROW(),21,1000-ROW(),1),"Sub"))))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IF($V162&lt;&gt;"Sub","",N($X162)*IF(AND(ISNUMBER($G162),$G162&lt;=IF($S162=MesCiclo,InicioCiclo,$S162+MOD(2-WEEKDAY($S162),7))+6),1,MIN(1,MAX(0,IF(ISNUMBER(OFFSET($A$1,ROW()-1,8)),OFFSET($A$1,ROW()-1,8),0)))))</f>
        <v/>
      </c>
      <c r="AE162" s="62">
        <f>IF($V162&lt;&gt;"Sub","",N($X162)*IF(AND(ISNUMBER($G162),$G162&lt;=IF($S162=MesCiclo,InicioCiclo,$S162+MOD(2-WEEKDAY($S162),7))+13),1,MIN(1,MAX(0,IF(ISNUMBER(OFFSET($A$1,ROW()-1,9)),OFFSET($A$1,ROW()-1,9),IF(ISNUMBER(OFFSET($A$1,ROW()-1,8)),OFFSET($A$1,ROW()-1,8),0))))))</f>
        <v/>
      </c>
      <c r="AF162" s="62">
        <f>IF($V162&lt;&gt;"Sub","",N($X162)*IF(AND(ISNUMBER($G162),$G162&lt;=IF($S162=MesCiclo,InicioCiclo,$S162+MOD(2-WEEKDAY($S162),7))+20),1,MIN(1,MAX(0,IF(ISNUMBER(OFFSET($A$1,ROW()-1,10)),OFFSET($A$1,ROW()-1,10),IF(ISNUMBER(OFFSET($A$1,ROW()-1,9)),OFFSET($A$1,ROW()-1,9),IF(ISNUMBER(OFFSET($A$1,ROW()-1,8)),OFFSET($A$1,ROW()-1,8),0)))))))</f>
        <v/>
      </c>
      <c r="AG162" s="62">
        <f>IF($V162&lt;&gt;"Sub","",N($X162)*IF(AND(ISNUMBER($G162),$G162&lt;=IF($S162=MesCiclo,InicioCiclo,$S162+MOD(2-WEEKDAY($S162),7))+27),1,MIN(1,MAX(0,IF(ISNUMBER(OFFSET($A$1,ROW()-1,11)),OFFSET($A$1,ROW()-1,11),IF(ISNUMBER(OFFSET($A$1,ROW()-1,10)),OFFSET($A$1,ROW()-1,10),IF(ISNUMBER(OFFSET($A$1,ROW()-1,9)),OFFSET($A$1,ROW()-1,9),IF(ISNUMBER(OFFSET($A$1,ROW()-1,8)),OFFSET($A$1,ROW()-1,8),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",IFERROR(MATCH("Riesgo Financiero|"&amp;MID($C162,12,500),rDname_ADM,0),0),"")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IF(N($W163)=0,"",IF(AND($S163=MesCiclo,1&gt;SemanaActual),"",MIN(1,SUMIFS(OFFSET($A$1,ROW(),29,1000-ROW(),1),OFFSET($A$1,ROW(),20,1000-ROW(),1),ROW(),OFFSET($A$1,ROW(),21,1000-ROW(),1),"Sub"))))</f>
        <v/>
      </c>
      <c r="J163" s="60">
        <f>IF(N($W163)=0,"",IF(AND($S163=MesCiclo,2&gt;SemanaActual),"",MIN(1,SUMIFS(OFFSET($A$1,ROW(),30,1000-ROW(),1),OFFSET($A$1,ROW(),20,1000-ROW(),1),ROW(),OFFSET($A$1,ROW(),21,1000-ROW(),1),"Sub"))))</f>
        <v/>
      </c>
      <c r="K163" s="60">
        <f>IF(N($W163)=0,"",IF(AND($S163=MesCiclo,3&gt;SemanaActual),"",MIN(1,SUMIFS(OFFSET($A$1,ROW(),31,1000-ROW(),1),OFFSET($A$1,ROW(),20,1000-ROW(),1),ROW(),OFFSET($A$1,ROW(),21,1000-ROW(),1),"Sub"))))</f>
        <v/>
      </c>
      <c r="L163" s="60">
        <f>IF(N($W163)=0,"",IF(AND($S163=MesCiclo,4&gt;SemanaActual),"",MIN(1,SUMIFS(OFFSET($A$1,ROW(),32,1000-ROW(),1),OFFSET($A$1,ROW(),20,1000-ROW(),1),ROW(),OFFSET($A$1,ROW(),21,1000-ROW(),1),"Sub"))))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IF($V163&lt;&gt;"Sub","",N($X163)*IF(AND(ISNUMBER($G163),$G163&lt;=IF($S163=MesCiclo,InicioCiclo,$S163+MOD(2-WEEKDAY($S163),7))+6),1,MIN(1,MAX(0,IF(ISNUMBER(OFFSET($A$1,ROW()-1,8)),OFFSET($A$1,ROW()-1,8),0)))))</f>
        <v/>
      </c>
      <c r="AE163" s="62">
        <f>IF($V163&lt;&gt;"Sub","",N($X163)*IF(AND(ISNUMBER($G163),$G163&lt;=IF($S163=MesCiclo,InicioCiclo,$S163+MOD(2-WEEKDAY($S163),7))+13),1,MIN(1,MAX(0,IF(ISNUMBER(OFFSET($A$1,ROW()-1,9)),OFFSET($A$1,ROW()-1,9),IF(ISNUMBER(OFFSET($A$1,ROW()-1,8)),OFFSET($A$1,ROW()-1,8),0))))))</f>
        <v/>
      </c>
      <c r="AF163" s="62">
        <f>IF($V163&lt;&gt;"Sub","",N($X163)*IF(AND(ISNUMBER($G163),$G163&lt;=IF($S163=MesCiclo,InicioCiclo,$S163+MOD(2-WEEKDAY($S163),7))+20),1,MIN(1,MAX(0,IF(ISNUMBER(OFFSET($A$1,ROW()-1,10)),OFFSET($A$1,ROW()-1,10),IF(ISNUMBER(OFFSET($A$1,ROW()-1,9)),OFFSET($A$1,ROW()-1,9),IF(ISNUMBER(OFFSET($A$1,ROW()-1,8)),OFFSET($A$1,ROW()-1,8),0)))))))</f>
        <v/>
      </c>
      <c r="AG163" s="62">
        <f>IF($V163&lt;&gt;"Sub","",N($X163)*IF(AND(ISNUMBER($G163),$G163&lt;=IF($S163=MesCiclo,InicioCiclo,$S163+MOD(2-WEEKDAY($S163),7))+27),1,MIN(1,MAX(0,IF(ISNUMBER(OFFSET($A$1,ROW()-1,11)),OFFSET($A$1,ROW()-1,11),IF(ISNUMBER(OFFSET($A$1,ROW()-1,10)),OFFSET($A$1,ROW()-1,10),IF(ISNUMBER(OFFSET($A$1,ROW()-1,9)),OFFSET($A$1,ROW()-1,9),IF(ISNUMBER(OFFSET($A$1,ROW()-1,8)),OFFSET($A$1,ROW()-1,8),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",IFERROR(MATCH("Riesgo Financiero|"&amp;MID($C163,12,500),rDname_ADM,0),0),"")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IF(N($W164)=0,"",IF(AND($S164=MesCiclo,1&gt;SemanaActual),"",MIN(1,SUMIFS(OFFSET($A$1,ROW(),29,1000-ROW(),1),OFFSET($A$1,ROW(),20,1000-ROW(),1),ROW(),OFFSET($A$1,ROW(),21,1000-ROW(),1),"Sub"))))</f>
        <v/>
      </c>
      <c r="J164" s="60">
        <f>IF(N($W164)=0,"",IF(AND($S164=MesCiclo,2&gt;SemanaActual),"",MIN(1,SUMIFS(OFFSET($A$1,ROW(),30,1000-ROW(),1),OFFSET($A$1,ROW(),20,1000-ROW(),1),ROW(),OFFSET($A$1,ROW(),21,1000-ROW(),1),"Sub"))))</f>
        <v/>
      </c>
      <c r="K164" s="60">
        <f>IF(N($W164)=0,"",IF(AND($S164=MesCiclo,3&gt;SemanaActual),"",MIN(1,SUMIFS(OFFSET($A$1,ROW(),31,1000-ROW(),1),OFFSET($A$1,ROW(),20,1000-ROW(),1),ROW(),OFFSET($A$1,ROW(),21,1000-ROW(),1),"Sub"))))</f>
        <v/>
      </c>
      <c r="L164" s="60">
        <f>IF(N($W164)=0,"",IF(AND($S164=MesCiclo,4&gt;SemanaActual),"",MIN(1,SUMIFS(OFFSET($A$1,ROW(),32,1000-ROW(),1),OFFSET($A$1,ROW(),20,1000-ROW(),1),ROW(),OFFSET($A$1,ROW(),21,1000-ROW(),1),"Sub"))))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IF($V164&lt;&gt;"Sub","",N($X164)*IF(AND(ISNUMBER($G164),$G164&lt;=IF($S164=MesCiclo,InicioCiclo,$S164+MOD(2-WEEKDAY($S164),7))+6),1,MIN(1,MAX(0,IF(ISNUMBER(OFFSET($A$1,ROW()-1,8)),OFFSET($A$1,ROW()-1,8),0)))))</f>
        <v/>
      </c>
      <c r="AE164" s="62">
        <f>IF($V164&lt;&gt;"Sub","",N($X164)*IF(AND(ISNUMBER($G164),$G164&lt;=IF($S164=MesCiclo,InicioCiclo,$S164+MOD(2-WEEKDAY($S164),7))+13),1,MIN(1,MAX(0,IF(ISNUMBER(OFFSET($A$1,ROW()-1,9)),OFFSET($A$1,ROW()-1,9),IF(ISNUMBER(OFFSET($A$1,ROW()-1,8)),OFFSET($A$1,ROW()-1,8),0))))))</f>
        <v/>
      </c>
      <c r="AF164" s="62">
        <f>IF($V164&lt;&gt;"Sub","",N($X164)*IF(AND(ISNUMBER($G164),$G164&lt;=IF($S164=MesCiclo,InicioCiclo,$S164+MOD(2-WEEKDAY($S164),7))+20),1,MIN(1,MAX(0,IF(ISNUMBER(OFFSET($A$1,ROW()-1,10)),OFFSET($A$1,ROW()-1,10),IF(ISNUMBER(OFFSET($A$1,ROW()-1,9)),OFFSET($A$1,ROW()-1,9),IF(ISNUMBER(OFFSET($A$1,ROW()-1,8)),OFFSET($A$1,ROW()-1,8),0)))))))</f>
        <v/>
      </c>
      <c r="AG164" s="62">
        <f>IF($V164&lt;&gt;"Sub","",N($X164)*IF(AND(ISNUMBER($G164),$G164&lt;=IF($S164=MesCiclo,InicioCiclo,$S164+MOD(2-WEEKDAY($S164),7))+27),1,MIN(1,MAX(0,IF(ISNUMBER(OFFSET($A$1,ROW()-1,11)),OFFSET($A$1,ROW()-1,11),IF(ISNUMBER(OFFSET($A$1,ROW()-1,10)),OFFSET($A$1,ROW()-1,10),IF(ISNUMBER(OFFSET($A$1,ROW()-1,9)),OFFSET($A$1,ROW()-1,9),IF(ISNUMBER(OFFSET($A$1,ROW()-1,8)),OFFSET($A$1,ROW()-1,8),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",IFERROR(MATCH("Riesgo Financiero|"&amp;MID($C164,12,500),rDname_ADM,0),0),"")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IF(N($W165)=0,"",IF(AND($S165=MesCiclo,1&gt;SemanaActual),"",MIN(1,SUMIFS(OFFSET($A$1,ROW(),29,1000-ROW(),1),OFFSET($A$1,ROW(),20,1000-ROW(),1),ROW(),OFFSET($A$1,ROW(),21,1000-ROW(),1),"Sub"))))</f>
        <v/>
      </c>
      <c r="J165" s="60">
        <f>IF(N($W165)=0,"",IF(AND($S165=MesCiclo,2&gt;SemanaActual),"",MIN(1,SUMIFS(OFFSET($A$1,ROW(),30,1000-ROW(),1),OFFSET($A$1,ROW(),20,1000-ROW(),1),ROW(),OFFSET($A$1,ROW(),21,1000-ROW(),1),"Sub"))))</f>
        <v/>
      </c>
      <c r="K165" s="60">
        <f>IF(N($W165)=0,"",IF(AND($S165=MesCiclo,3&gt;SemanaActual),"",MIN(1,SUMIFS(OFFSET($A$1,ROW(),31,1000-ROW(),1),OFFSET($A$1,ROW(),20,1000-ROW(),1),ROW(),OFFSET($A$1,ROW(),21,1000-ROW(),1),"Sub"))))</f>
        <v/>
      </c>
      <c r="L165" s="60">
        <f>IF(N($W165)=0,"",IF(AND($S165=MesCiclo,4&gt;SemanaActual),"",MIN(1,SUMIFS(OFFSET($A$1,ROW(),32,1000-ROW(),1),OFFSET($A$1,ROW(),20,1000-ROW(),1),ROW(),OFFSET($A$1,ROW(),21,1000-ROW(),1),"Sub"))))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IF($V165&lt;&gt;"Sub","",N($X165)*IF(AND(ISNUMBER($G165),$G165&lt;=IF($S165=MesCiclo,InicioCiclo,$S165+MOD(2-WEEKDAY($S165),7))+6),1,MIN(1,MAX(0,IF(ISNUMBER(OFFSET($A$1,ROW()-1,8)),OFFSET($A$1,ROW()-1,8),0)))))</f>
        <v/>
      </c>
      <c r="AE165" s="62">
        <f>IF($V165&lt;&gt;"Sub","",N($X165)*IF(AND(ISNUMBER($G165),$G165&lt;=IF($S165=MesCiclo,InicioCiclo,$S165+MOD(2-WEEKDAY($S165),7))+13),1,MIN(1,MAX(0,IF(ISNUMBER(OFFSET($A$1,ROW()-1,9)),OFFSET($A$1,ROW()-1,9),IF(ISNUMBER(OFFSET($A$1,ROW()-1,8)),OFFSET($A$1,ROW()-1,8),0))))))</f>
        <v/>
      </c>
      <c r="AF165" s="62">
        <f>IF($V165&lt;&gt;"Sub","",N($X165)*IF(AND(ISNUMBER($G165),$G165&lt;=IF($S165=MesCiclo,InicioCiclo,$S165+MOD(2-WEEKDAY($S165),7))+20),1,MIN(1,MAX(0,IF(ISNUMBER(OFFSET($A$1,ROW()-1,10)),OFFSET($A$1,ROW()-1,10),IF(ISNUMBER(OFFSET($A$1,ROW()-1,9)),OFFSET($A$1,ROW()-1,9),IF(ISNUMBER(OFFSET($A$1,ROW()-1,8)),OFFSET($A$1,ROW()-1,8),0)))))))</f>
        <v/>
      </c>
      <c r="AG165" s="62">
        <f>IF($V165&lt;&gt;"Sub","",N($X165)*IF(AND(ISNUMBER($G165),$G165&lt;=IF($S165=MesCiclo,InicioCiclo,$S165+MOD(2-WEEKDAY($S165),7))+27),1,MIN(1,MAX(0,IF(ISNUMBER(OFFSET($A$1,ROW()-1,11)),OFFSET($A$1,ROW()-1,11),IF(ISNUMBER(OFFSET($A$1,ROW()-1,10)),OFFSET($A$1,ROW()-1,10),IF(ISNUMBER(OFFSET($A$1,ROW()-1,9)),OFFSET($A$1,ROW()-1,9),IF(ISNUMBER(OFFSET($A$1,ROW()-1,8)),OFFSET($A$1,ROW()-1,8),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",IFERROR(MATCH("Riesgo Financiero|"&amp;MID($C165,12,500),rDname_ADM,0),0),"")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IF(N($W166)=0,"",IF(AND($S166=MesCiclo,1&gt;SemanaActual),"",MIN(1,SUMIFS(OFFSET($A$1,ROW(),29,1000-ROW(),1),OFFSET($A$1,ROW(),20,1000-ROW(),1),ROW(),OFFSET($A$1,ROW(),21,1000-ROW(),1),"Sub"))))</f>
        <v/>
      </c>
      <c r="J166" s="60">
        <f>IF(N($W166)=0,"",IF(AND($S166=MesCiclo,2&gt;SemanaActual),"",MIN(1,SUMIFS(OFFSET($A$1,ROW(),30,1000-ROW(),1),OFFSET($A$1,ROW(),20,1000-ROW(),1),ROW(),OFFSET($A$1,ROW(),21,1000-ROW(),1),"Sub"))))</f>
        <v/>
      </c>
      <c r="K166" s="60">
        <f>IF(N($W166)=0,"",IF(AND($S166=MesCiclo,3&gt;SemanaActual),"",MIN(1,SUMIFS(OFFSET($A$1,ROW(),31,1000-ROW(),1),OFFSET($A$1,ROW(),20,1000-ROW(),1),ROW(),OFFSET($A$1,ROW(),21,1000-ROW(),1),"Sub"))))</f>
        <v/>
      </c>
      <c r="L166" s="60">
        <f>IF(N($W166)=0,"",IF(AND($S166=MesCiclo,4&gt;SemanaActual),"",MIN(1,SUMIFS(OFFSET($A$1,ROW(),32,1000-ROW(),1),OFFSET($A$1,ROW(),20,1000-ROW(),1),ROW(),OFFSET($A$1,ROW(),21,1000-ROW(),1),"Sub"))))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IF($V166&lt;&gt;"Sub","",N($X166)*IF(AND(ISNUMBER($G166),$G166&lt;=IF($S166=MesCiclo,InicioCiclo,$S166+MOD(2-WEEKDAY($S166),7))+6),1,MIN(1,MAX(0,IF(ISNUMBER(OFFSET($A$1,ROW()-1,8)),OFFSET($A$1,ROW()-1,8),0)))))</f>
        <v/>
      </c>
      <c r="AE166" s="62">
        <f>IF($V166&lt;&gt;"Sub","",N($X166)*IF(AND(ISNUMBER($G166),$G166&lt;=IF($S166=MesCiclo,InicioCiclo,$S166+MOD(2-WEEKDAY($S166),7))+13),1,MIN(1,MAX(0,IF(ISNUMBER(OFFSET($A$1,ROW()-1,9)),OFFSET($A$1,ROW()-1,9),IF(ISNUMBER(OFFSET($A$1,ROW()-1,8)),OFFSET($A$1,ROW()-1,8),0))))))</f>
        <v/>
      </c>
      <c r="AF166" s="62">
        <f>IF($V166&lt;&gt;"Sub","",N($X166)*IF(AND(ISNUMBER($G166),$G166&lt;=IF($S166=MesCiclo,InicioCiclo,$S166+MOD(2-WEEKDAY($S166),7))+20),1,MIN(1,MAX(0,IF(ISNUMBER(OFFSET($A$1,ROW()-1,10)),OFFSET($A$1,ROW()-1,10),IF(ISNUMBER(OFFSET($A$1,ROW()-1,9)),OFFSET($A$1,ROW()-1,9),IF(ISNUMBER(OFFSET($A$1,ROW()-1,8)),OFFSET($A$1,ROW()-1,8),0)))))))</f>
        <v/>
      </c>
      <c r="AG166" s="62">
        <f>IF($V166&lt;&gt;"Sub","",N($X166)*IF(AND(ISNUMBER($G166),$G166&lt;=IF($S166=MesCiclo,InicioCiclo,$S166+MOD(2-WEEKDAY($S166),7))+27),1,MIN(1,MAX(0,IF(ISNUMBER(OFFSET($A$1,ROW()-1,11)),OFFSET($A$1,ROW()-1,11),IF(ISNUMBER(OFFSET($A$1,ROW()-1,10)),OFFSET($A$1,ROW()-1,10),IF(ISNUMBER(OFFSET($A$1,ROW()-1,9)),OFFSET($A$1,ROW()-1,9),IF(ISNUMBER(OFFSET($A$1,ROW()-1,8)),OFFSET($A$1,ROW()-1,8),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",IFERROR(MATCH("Riesgo Financiero|"&amp;MID($C166,12,500),rDname_ADM,0),0),"")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IF(N($W167)=0,"",IF(AND($S167=MesCiclo,1&gt;SemanaActual),"",MIN(1,SUMIFS(OFFSET($A$1,ROW(),29,1000-ROW(),1),OFFSET($A$1,ROW(),20,1000-ROW(),1),ROW(),OFFSET($A$1,ROW(),21,1000-ROW(),1),"Sub"))))</f>
        <v/>
      </c>
      <c r="J167" s="60">
        <f>IF(N($W167)=0,"",IF(AND($S167=MesCiclo,2&gt;SemanaActual),"",MIN(1,SUMIFS(OFFSET($A$1,ROW(),30,1000-ROW(),1),OFFSET($A$1,ROW(),20,1000-ROW(),1),ROW(),OFFSET($A$1,ROW(),21,1000-ROW(),1),"Sub"))))</f>
        <v/>
      </c>
      <c r="K167" s="60">
        <f>IF(N($W167)=0,"",IF(AND($S167=MesCiclo,3&gt;SemanaActual),"",MIN(1,SUMIFS(OFFSET($A$1,ROW(),31,1000-ROW(),1),OFFSET($A$1,ROW(),20,1000-ROW(),1),ROW(),OFFSET($A$1,ROW(),21,1000-ROW(),1),"Sub"))))</f>
        <v/>
      </c>
      <c r="L167" s="60">
        <f>IF(N($W167)=0,"",IF(AND($S167=MesCiclo,4&gt;SemanaActual),"",MIN(1,SUMIFS(OFFSET($A$1,ROW(),32,1000-ROW(),1),OFFSET($A$1,ROW(),20,1000-ROW(),1),ROW(),OFFSET($A$1,ROW(),21,1000-ROW(),1),"Sub"))))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IF($V167&lt;&gt;"Sub","",N($X167)*IF(AND(ISNUMBER($G167),$G167&lt;=IF($S167=MesCiclo,InicioCiclo,$S167+MOD(2-WEEKDAY($S167),7))+6),1,MIN(1,MAX(0,IF(ISNUMBER(OFFSET($A$1,ROW()-1,8)),OFFSET($A$1,ROW()-1,8),0)))))</f>
        <v/>
      </c>
      <c r="AE167" s="62">
        <f>IF($V167&lt;&gt;"Sub","",N($X167)*IF(AND(ISNUMBER($G167),$G167&lt;=IF($S167=MesCiclo,InicioCiclo,$S167+MOD(2-WEEKDAY($S167),7))+13),1,MIN(1,MAX(0,IF(ISNUMBER(OFFSET($A$1,ROW()-1,9)),OFFSET($A$1,ROW()-1,9),IF(ISNUMBER(OFFSET($A$1,ROW()-1,8)),OFFSET($A$1,ROW()-1,8),0))))))</f>
        <v/>
      </c>
      <c r="AF167" s="62">
        <f>IF($V167&lt;&gt;"Sub","",N($X167)*IF(AND(ISNUMBER($G167),$G167&lt;=IF($S167=MesCiclo,InicioCiclo,$S167+MOD(2-WEEKDAY($S167),7))+20),1,MIN(1,MAX(0,IF(ISNUMBER(OFFSET($A$1,ROW()-1,10)),OFFSET($A$1,ROW()-1,10),IF(ISNUMBER(OFFSET($A$1,ROW()-1,9)),OFFSET($A$1,ROW()-1,9),IF(ISNUMBER(OFFSET($A$1,ROW()-1,8)),OFFSET($A$1,ROW()-1,8),0)))))))</f>
        <v/>
      </c>
      <c r="AG167" s="62">
        <f>IF($V167&lt;&gt;"Sub","",N($X167)*IF(AND(ISNUMBER($G167),$G167&lt;=IF($S167=MesCiclo,InicioCiclo,$S167+MOD(2-WEEKDAY($S167),7))+27),1,MIN(1,MAX(0,IF(ISNUMBER(OFFSET($A$1,ROW()-1,11)),OFFSET($A$1,ROW()-1,11),IF(ISNUMBER(OFFSET($A$1,ROW()-1,10)),OFFSET($A$1,ROW()-1,10),IF(ISNUMBER(OFFSET($A$1,ROW()-1,9)),OFFSET($A$1,ROW()-1,9),IF(ISNUMBER(OFFSET($A$1,ROW()-1,8)),OFFSET($A$1,ROW()-1,8),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",IFERROR(MATCH("Riesgo Financiero|"&amp;MID($C167,12,500),rDname_ADM,0),0),"")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IF(N($W168)=0,"",IF(AND($S168=MesCiclo,1&gt;SemanaActual),"",MIN(1,SUMIFS(OFFSET($A$1,ROW(),29,1000-ROW(),1),OFFSET($A$1,ROW(),20,1000-ROW(),1),ROW(),OFFSET($A$1,ROW(),21,1000-ROW(),1),"Sub"))))</f>
        <v/>
      </c>
      <c r="J168" s="60">
        <f>IF(N($W168)=0,"",IF(AND($S168=MesCiclo,2&gt;SemanaActual),"",MIN(1,SUMIFS(OFFSET($A$1,ROW(),30,1000-ROW(),1),OFFSET($A$1,ROW(),20,1000-ROW(),1),ROW(),OFFSET($A$1,ROW(),21,1000-ROW(),1),"Sub"))))</f>
        <v/>
      </c>
      <c r="K168" s="60">
        <f>IF(N($W168)=0,"",IF(AND($S168=MesCiclo,3&gt;SemanaActual),"",MIN(1,SUMIFS(OFFSET($A$1,ROW(),31,1000-ROW(),1),OFFSET($A$1,ROW(),20,1000-ROW(),1),ROW(),OFFSET($A$1,ROW(),21,1000-ROW(),1),"Sub"))))</f>
        <v/>
      </c>
      <c r="L168" s="60">
        <f>IF(N($W168)=0,"",IF(AND($S168=MesCiclo,4&gt;SemanaActual),"",MIN(1,SUMIFS(OFFSET($A$1,ROW(),32,1000-ROW(),1),OFFSET($A$1,ROW(),20,1000-ROW(),1),ROW(),OFFSET($A$1,ROW(),21,1000-ROW(),1),"Sub"))))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IF($V168&lt;&gt;"Sub","",N($X168)*IF(AND(ISNUMBER($G168),$G168&lt;=IF($S168=MesCiclo,InicioCiclo,$S168+MOD(2-WEEKDAY($S168),7))+6),1,MIN(1,MAX(0,IF(ISNUMBER(OFFSET($A$1,ROW()-1,8)),OFFSET($A$1,ROW()-1,8),0)))))</f>
        <v/>
      </c>
      <c r="AE168" s="62">
        <f>IF($V168&lt;&gt;"Sub","",N($X168)*IF(AND(ISNUMBER($G168),$G168&lt;=IF($S168=MesCiclo,InicioCiclo,$S168+MOD(2-WEEKDAY($S168),7))+13),1,MIN(1,MAX(0,IF(ISNUMBER(OFFSET($A$1,ROW()-1,9)),OFFSET($A$1,ROW()-1,9),IF(ISNUMBER(OFFSET($A$1,ROW()-1,8)),OFFSET($A$1,ROW()-1,8),0))))))</f>
        <v/>
      </c>
      <c r="AF168" s="62">
        <f>IF($V168&lt;&gt;"Sub","",N($X168)*IF(AND(ISNUMBER($G168),$G168&lt;=IF($S168=MesCiclo,InicioCiclo,$S168+MOD(2-WEEKDAY($S168),7))+20),1,MIN(1,MAX(0,IF(ISNUMBER(OFFSET($A$1,ROW()-1,10)),OFFSET($A$1,ROW()-1,10),IF(ISNUMBER(OFFSET($A$1,ROW()-1,9)),OFFSET($A$1,ROW()-1,9),IF(ISNUMBER(OFFSET($A$1,ROW()-1,8)),OFFSET($A$1,ROW()-1,8),0)))))))</f>
        <v/>
      </c>
      <c r="AG168" s="62">
        <f>IF($V168&lt;&gt;"Sub","",N($X168)*IF(AND(ISNUMBER($G168),$G168&lt;=IF($S168=MesCiclo,InicioCiclo,$S168+MOD(2-WEEKDAY($S168),7))+27),1,MIN(1,MAX(0,IF(ISNUMBER(OFFSET($A$1,ROW()-1,11)),OFFSET($A$1,ROW()-1,11),IF(ISNUMBER(OFFSET($A$1,ROW()-1,10)),OFFSET($A$1,ROW()-1,10),IF(ISNUMBER(OFFSET($A$1,ROW()-1,9)),OFFSET($A$1,ROW()-1,9),IF(ISNUMBER(OFFSET($A$1,ROW()-1,8)),OFFSET($A$1,ROW()-1,8),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",IFERROR(MATCH("Riesgo Financiero|"&amp;MID($C168,12,500),rDname_ADM,0),0),"")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IF(N($W169)=0,"",IF(AND($S169=MesCiclo,1&gt;SemanaActual),"",MIN(1,SUMIFS(OFFSET($A$1,ROW(),29,1000-ROW(),1),OFFSET($A$1,ROW(),20,1000-ROW(),1),ROW(),OFFSET($A$1,ROW(),21,1000-ROW(),1),"Sub"))))</f>
        <v/>
      </c>
      <c r="J169" s="60">
        <f>IF(N($W169)=0,"",IF(AND($S169=MesCiclo,2&gt;SemanaActual),"",MIN(1,SUMIFS(OFFSET($A$1,ROW(),30,1000-ROW(),1),OFFSET($A$1,ROW(),20,1000-ROW(),1),ROW(),OFFSET($A$1,ROW(),21,1000-ROW(),1),"Sub"))))</f>
        <v/>
      </c>
      <c r="K169" s="60">
        <f>IF(N($W169)=0,"",IF(AND($S169=MesCiclo,3&gt;SemanaActual),"",MIN(1,SUMIFS(OFFSET($A$1,ROW(),31,1000-ROW(),1),OFFSET($A$1,ROW(),20,1000-ROW(),1),ROW(),OFFSET($A$1,ROW(),21,1000-ROW(),1),"Sub"))))</f>
        <v/>
      </c>
      <c r="L169" s="60">
        <f>IF(N($W169)=0,"",IF(AND($S169=MesCiclo,4&gt;SemanaActual),"",MIN(1,SUMIFS(OFFSET($A$1,ROW(),32,1000-ROW(),1),OFFSET($A$1,ROW(),20,1000-ROW(),1),ROW(),OFFSET($A$1,ROW(),21,1000-ROW(),1),"Sub"))))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IF($V169&lt;&gt;"Sub","",N($X169)*IF(AND(ISNUMBER($G169),$G169&lt;=IF($S169=MesCiclo,InicioCiclo,$S169+MOD(2-WEEKDAY($S169),7))+6),1,MIN(1,MAX(0,IF(ISNUMBER(OFFSET($A$1,ROW()-1,8)),OFFSET($A$1,ROW()-1,8),0)))))</f>
        <v/>
      </c>
      <c r="AE169" s="62">
        <f>IF($V169&lt;&gt;"Sub","",N($X169)*IF(AND(ISNUMBER($G169),$G169&lt;=IF($S169=MesCiclo,InicioCiclo,$S169+MOD(2-WEEKDAY($S169),7))+13),1,MIN(1,MAX(0,IF(ISNUMBER(OFFSET($A$1,ROW()-1,9)),OFFSET($A$1,ROW()-1,9),IF(ISNUMBER(OFFSET($A$1,ROW()-1,8)),OFFSET($A$1,ROW()-1,8),0))))))</f>
        <v/>
      </c>
      <c r="AF169" s="62">
        <f>IF($V169&lt;&gt;"Sub","",N($X169)*IF(AND(ISNUMBER($G169),$G169&lt;=IF($S169=MesCiclo,InicioCiclo,$S169+MOD(2-WEEKDAY($S169),7))+20),1,MIN(1,MAX(0,IF(ISNUMBER(OFFSET($A$1,ROW()-1,10)),OFFSET($A$1,ROW()-1,10),IF(ISNUMBER(OFFSET($A$1,ROW()-1,9)),OFFSET($A$1,ROW()-1,9),IF(ISNUMBER(OFFSET($A$1,ROW()-1,8)),OFFSET($A$1,ROW()-1,8),0)))))))</f>
        <v/>
      </c>
      <c r="AG169" s="62">
        <f>IF($V169&lt;&gt;"Sub","",N($X169)*IF(AND(ISNUMBER($G169),$G169&lt;=IF($S169=MesCiclo,InicioCiclo,$S169+MOD(2-WEEKDAY($S169),7))+27),1,MIN(1,MAX(0,IF(ISNUMBER(OFFSET($A$1,ROW()-1,11)),OFFSET($A$1,ROW()-1,11),IF(ISNUMBER(OFFSET($A$1,ROW()-1,10)),OFFSET($A$1,ROW()-1,10),IF(ISNUMBER(OFFSET($A$1,ROW()-1,9)),OFFSET($A$1,ROW()-1,9),IF(ISNUMBER(OFFSET($A$1,ROW()-1,8)),OFFSET($A$1,ROW()-1,8),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",IFERROR(MATCH("Riesgo Financiero|"&amp;MID($C169,12,500),rDname_ADM,0),0),"")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IF(N($W170)=0,"",IF(AND($S170=MesCiclo,1&gt;SemanaActual),"",MIN(1,SUMIFS(OFFSET($A$1,ROW(),29,1000-ROW(),1),OFFSET($A$1,ROW(),20,1000-ROW(),1),ROW(),OFFSET($A$1,ROW(),21,1000-ROW(),1),"Sub"))))</f>
        <v/>
      </c>
      <c r="J170" s="60">
        <f>IF(N($W170)=0,"",IF(AND($S170=MesCiclo,2&gt;SemanaActual),"",MIN(1,SUMIFS(OFFSET($A$1,ROW(),30,1000-ROW(),1),OFFSET($A$1,ROW(),20,1000-ROW(),1),ROW(),OFFSET($A$1,ROW(),21,1000-ROW(),1),"Sub"))))</f>
        <v/>
      </c>
      <c r="K170" s="60">
        <f>IF(N($W170)=0,"",IF(AND($S170=MesCiclo,3&gt;SemanaActual),"",MIN(1,SUMIFS(OFFSET($A$1,ROW(),31,1000-ROW(),1),OFFSET($A$1,ROW(),20,1000-ROW(),1),ROW(),OFFSET($A$1,ROW(),21,1000-ROW(),1),"Sub"))))</f>
        <v/>
      </c>
      <c r="L170" s="60">
        <f>IF(N($W170)=0,"",IF(AND($S170=MesCiclo,4&gt;SemanaActual),"",MIN(1,SUMIFS(OFFSET($A$1,ROW(),32,1000-ROW(),1),OFFSET($A$1,ROW(),20,1000-ROW(),1),ROW(),OFFSET($A$1,ROW(),21,1000-ROW(),1),"Sub"))))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IF($V170&lt;&gt;"Sub","",N($X170)*IF(AND(ISNUMBER($G170),$G170&lt;=IF($S170=MesCiclo,InicioCiclo,$S170+MOD(2-WEEKDAY($S170),7))+6),1,MIN(1,MAX(0,IF(ISNUMBER(OFFSET($A$1,ROW()-1,8)),OFFSET($A$1,ROW()-1,8),0)))))</f>
        <v/>
      </c>
      <c r="AE170" s="62">
        <f>IF($V170&lt;&gt;"Sub","",N($X170)*IF(AND(ISNUMBER($G170),$G170&lt;=IF($S170=MesCiclo,InicioCiclo,$S170+MOD(2-WEEKDAY($S170),7))+13),1,MIN(1,MAX(0,IF(ISNUMBER(OFFSET($A$1,ROW()-1,9)),OFFSET($A$1,ROW()-1,9),IF(ISNUMBER(OFFSET($A$1,ROW()-1,8)),OFFSET($A$1,ROW()-1,8),0))))))</f>
        <v/>
      </c>
      <c r="AF170" s="62">
        <f>IF($V170&lt;&gt;"Sub","",N($X170)*IF(AND(ISNUMBER($G170),$G170&lt;=IF($S170=MesCiclo,InicioCiclo,$S170+MOD(2-WEEKDAY($S170),7))+20),1,MIN(1,MAX(0,IF(ISNUMBER(OFFSET($A$1,ROW()-1,10)),OFFSET($A$1,ROW()-1,10),IF(ISNUMBER(OFFSET($A$1,ROW()-1,9)),OFFSET($A$1,ROW()-1,9),IF(ISNUMBER(OFFSET($A$1,ROW()-1,8)),OFFSET($A$1,ROW()-1,8),0)))))))</f>
        <v/>
      </c>
      <c r="AG170" s="62">
        <f>IF($V170&lt;&gt;"Sub","",N($X170)*IF(AND(ISNUMBER($G170),$G170&lt;=IF($S170=MesCiclo,InicioCiclo,$S170+MOD(2-WEEKDAY($S170),7))+27),1,MIN(1,MAX(0,IF(ISNUMBER(OFFSET($A$1,ROW()-1,11)),OFFSET($A$1,ROW()-1,11),IF(ISNUMBER(OFFSET($A$1,ROW()-1,10)),OFFSET($A$1,ROW()-1,10),IF(ISNUMBER(OFFSET($A$1,ROW()-1,9)),OFFSET($A$1,ROW()-1,9),IF(ISNUMBER(OFFSET($A$1,ROW()-1,8)),OFFSET($A$1,ROW()-1,8),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",IFERROR(MATCH("Riesgo Financiero|"&amp;MID($C170,12,500),rDname_ADM,0),0),"")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IF(N($W171)=0,"",IF(AND($S171=MesCiclo,1&gt;SemanaActual),"",MIN(1,SUMIFS(OFFSET($A$1,ROW(),29,1000-ROW(),1),OFFSET($A$1,ROW(),20,1000-ROW(),1),ROW(),OFFSET($A$1,ROW(),21,1000-ROW(),1),"Sub"))))</f>
        <v/>
      </c>
      <c r="J171" s="60">
        <f>IF(N($W171)=0,"",IF(AND($S171=MesCiclo,2&gt;SemanaActual),"",MIN(1,SUMIFS(OFFSET($A$1,ROW(),30,1000-ROW(),1),OFFSET($A$1,ROW(),20,1000-ROW(),1),ROW(),OFFSET($A$1,ROW(),21,1000-ROW(),1),"Sub"))))</f>
        <v/>
      </c>
      <c r="K171" s="60">
        <f>IF(N($W171)=0,"",IF(AND($S171=MesCiclo,3&gt;SemanaActual),"",MIN(1,SUMIFS(OFFSET($A$1,ROW(),31,1000-ROW(),1),OFFSET($A$1,ROW(),20,1000-ROW(),1),ROW(),OFFSET($A$1,ROW(),21,1000-ROW(),1),"Sub"))))</f>
        <v/>
      </c>
      <c r="L171" s="60">
        <f>IF(N($W171)=0,"",IF(AND($S171=MesCiclo,4&gt;SemanaActual),"",MIN(1,SUMIFS(OFFSET($A$1,ROW(),32,1000-ROW(),1),OFFSET($A$1,ROW(),20,1000-ROW(),1),ROW(),OFFSET($A$1,ROW(),21,1000-ROW(),1),"Sub"))))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IF($V171&lt;&gt;"Sub","",N($X171)*IF(AND(ISNUMBER($G171),$G171&lt;=IF($S171=MesCiclo,InicioCiclo,$S171+MOD(2-WEEKDAY($S171),7))+6),1,MIN(1,MAX(0,IF(ISNUMBER(OFFSET($A$1,ROW()-1,8)),OFFSET($A$1,ROW()-1,8),0)))))</f>
        <v/>
      </c>
      <c r="AE171" s="62">
        <f>IF($V171&lt;&gt;"Sub","",N($X171)*IF(AND(ISNUMBER($G171),$G171&lt;=IF($S171=MesCiclo,InicioCiclo,$S171+MOD(2-WEEKDAY($S171),7))+13),1,MIN(1,MAX(0,IF(ISNUMBER(OFFSET($A$1,ROW()-1,9)),OFFSET($A$1,ROW()-1,9),IF(ISNUMBER(OFFSET($A$1,ROW()-1,8)),OFFSET($A$1,ROW()-1,8),0))))))</f>
        <v/>
      </c>
      <c r="AF171" s="62">
        <f>IF($V171&lt;&gt;"Sub","",N($X171)*IF(AND(ISNUMBER($G171),$G171&lt;=IF($S171=MesCiclo,InicioCiclo,$S171+MOD(2-WEEKDAY($S171),7))+20),1,MIN(1,MAX(0,IF(ISNUMBER(OFFSET($A$1,ROW()-1,10)),OFFSET($A$1,ROW()-1,10),IF(ISNUMBER(OFFSET($A$1,ROW()-1,9)),OFFSET($A$1,ROW()-1,9),IF(ISNUMBER(OFFSET($A$1,ROW()-1,8)),OFFSET($A$1,ROW()-1,8),0)))))))</f>
        <v/>
      </c>
      <c r="AG171" s="62">
        <f>IF($V171&lt;&gt;"Sub","",N($X171)*IF(AND(ISNUMBER($G171),$G171&lt;=IF($S171=MesCiclo,InicioCiclo,$S171+MOD(2-WEEKDAY($S171),7))+27),1,MIN(1,MAX(0,IF(ISNUMBER(OFFSET($A$1,ROW()-1,11)),OFFSET($A$1,ROW()-1,11),IF(ISNUMBER(OFFSET($A$1,ROW()-1,10)),OFFSET($A$1,ROW()-1,10),IF(ISNUMBER(OFFSET($A$1,ROW()-1,9)),OFFSET($A$1,ROW()-1,9),IF(ISNUMBER(OFFSET($A$1,ROW()-1,8)),OFFSET($A$1,ROW()-1,8),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",IFERROR(MATCH("Riesgo Financiero|"&amp;MID($C171,12,500),rDname_ADM,0),0),"")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IF(N($W172)=0,"",IF(AND($S172=MesCiclo,1&gt;SemanaActual),"",MIN(1,SUMIFS(OFFSET($A$1,ROW(),29,1000-ROW(),1),OFFSET($A$1,ROW(),20,1000-ROW(),1),ROW(),OFFSET($A$1,ROW(),21,1000-ROW(),1),"Sub"))))</f>
        <v/>
      </c>
      <c r="J172" s="60">
        <f>IF(N($W172)=0,"",IF(AND($S172=MesCiclo,2&gt;SemanaActual),"",MIN(1,SUMIFS(OFFSET($A$1,ROW(),30,1000-ROW(),1),OFFSET($A$1,ROW(),20,1000-ROW(),1),ROW(),OFFSET($A$1,ROW(),21,1000-ROW(),1),"Sub"))))</f>
        <v/>
      </c>
      <c r="K172" s="60">
        <f>IF(N($W172)=0,"",IF(AND($S172=MesCiclo,3&gt;SemanaActual),"",MIN(1,SUMIFS(OFFSET($A$1,ROW(),31,1000-ROW(),1),OFFSET($A$1,ROW(),20,1000-ROW(),1),ROW(),OFFSET($A$1,ROW(),21,1000-ROW(),1),"Sub"))))</f>
        <v/>
      </c>
      <c r="L172" s="60">
        <f>IF(N($W172)=0,"",IF(AND($S172=MesCiclo,4&gt;SemanaActual),"",MIN(1,SUMIFS(OFFSET($A$1,ROW(),32,1000-ROW(),1),OFFSET($A$1,ROW(),20,1000-ROW(),1),ROW(),OFFSET($A$1,ROW(),21,1000-ROW(),1),"Sub"))))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IF($V172&lt;&gt;"Sub","",N($X172)*IF(AND(ISNUMBER($G172),$G172&lt;=IF($S172=MesCiclo,InicioCiclo,$S172+MOD(2-WEEKDAY($S172),7))+6),1,MIN(1,MAX(0,IF(ISNUMBER(OFFSET($A$1,ROW()-1,8)),OFFSET($A$1,ROW()-1,8),0)))))</f>
        <v/>
      </c>
      <c r="AE172" s="62">
        <f>IF($V172&lt;&gt;"Sub","",N($X172)*IF(AND(ISNUMBER($G172),$G172&lt;=IF($S172=MesCiclo,InicioCiclo,$S172+MOD(2-WEEKDAY($S172),7))+13),1,MIN(1,MAX(0,IF(ISNUMBER(OFFSET($A$1,ROW()-1,9)),OFFSET($A$1,ROW()-1,9),IF(ISNUMBER(OFFSET($A$1,ROW()-1,8)),OFFSET($A$1,ROW()-1,8),0))))))</f>
        <v/>
      </c>
      <c r="AF172" s="62">
        <f>IF($V172&lt;&gt;"Sub","",N($X172)*IF(AND(ISNUMBER($G172),$G172&lt;=IF($S172=MesCiclo,InicioCiclo,$S172+MOD(2-WEEKDAY($S172),7))+20),1,MIN(1,MAX(0,IF(ISNUMBER(OFFSET($A$1,ROW()-1,10)),OFFSET($A$1,ROW()-1,10),IF(ISNUMBER(OFFSET($A$1,ROW()-1,9)),OFFSET($A$1,ROW()-1,9),IF(ISNUMBER(OFFSET($A$1,ROW()-1,8)),OFFSET($A$1,ROW()-1,8),0)))))))</f>
        <v/>
      </c>
      <c r="AG172" s="62">
        <f>IF($V172&lt;&gt;"Sub","",N($X172)*IF(AND(ISNUMBER($G172),$G172&lt;=IF($S172=MesCiclo,InicioCiclo,$S172+MOD(2-WEEKDAY($S172),7))+27),1,MIN(1,MAX(0,IF(ISNUMBER(OFFSET($A$1,ROW()-1,11)),OFFSET($A$1,ROW()-1,11),IF(ISNUMBER(OFFSET($A$1,ROW()-1,10)),OFFSET($A$1,ROW()-1,10),IF(ISNUMBER(OFFSET($A$1,ROW()-1,9)),OFFSET($A$1,ROW()-1,9),IF(ISNUMBER(OFFSET($A$1,ROW()-1,8)),OFFSET($A$1,ROW()-1,8),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",IFERROR(MATCH("Riesgo Financiero|"&amp;MID($C172,12,500),rDname_ADM,0),0),"")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IF(N($W173)=0,"",IF(AND($S173=MesCiclo,1&gt;SemanaActual),"",MIN(1,SUMIFS(OFFSET($A$1,ROW(),29,1000-ROW(),1),OFFSET($A$1,ROW(),20,1000-ROW(),1),ROW(),OFFSET($A$1,ROW(),21,1000-ROW(),1),"Sub"))))</f>
        <v/>
      </c>
      <c r="J173" s="60">
        <f>IF(N($W173)=0,"",IF(AND($S173=MesCiclo,2&gt;SemanaActual),"",MIN(1,SUMIFS(OFFSET($A$1,ROW(),30,1000-ROW(),1),OFFSET($A$1,ROW(),20,1000-ROW(),1),ROW(),OFFSET($A$1,ROW(),21,1000-ROW(),1),"Sub"))))</f>
        <v/>
      </c>
      <c r="K173" s="60">
        <f>IF(N($W173)=0,"",IF(AND($S173=MesCiclo,3&gt;SemanaActual),"",MIN(1,SUMIFS(OFFSET($A$1,ROW(),31,1000-ROW(),1),OFFSET($A$1,ROW(),20,1000-ROW(),1),ROW(),OFFSET($A$1,ROW(),21,1000-ROW(),1),"Sub"))))</f>
        <v/>
      </c>
      <c r="L173" s="60">
        <f>IF(N($W173)=0,"",IF(AND($S173=MesCiclo,4&gt;SemanaActual),"",MIN(1,SUMIFS(OFFSET($A$1,ROW(),32,1000-ROW(),1),OFFSET($A$1,ROW(),20,1000-ROW(),1),ROW(),OFFSET($A$1,ROW(),21,1000-ROW(),1),"Sub"))))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IF($V173&lt;&gt;"Sub","",N($X173)*IF(AND(ISNUMBER($G173),$G173&lt;=IF($S173=MesCiclo,InicioCiclo,$S173+MOD(2-WEEKDAY($S173),7))+6),1,MIN(1,MAX(0,IF(ISNUMBER(OFFSET($A$1,ROW()-1,8)),OFFSET($A$1,ROW()-1,8),0)))))</f>
        <v/>
      </c>
      <c r="AE173" s="62">
        <f>IF($V173&lt;&gt;"Sub","",N($X173)*IF(AND(ISNUMBER($G173),$G173&lt;=IF($S173=MesCiclo,InicioCiclo,$S173+MOD(2-WEEKDAY($S173),7))+13),1,MIN(1,MAX(0,IF(ISNUMBER(OFFSET($A$1,ROW()-1,9)),OFFSET($A$1,ROW()-1,9),IF(ISNUMBER(OFFSET($A$1,ROW()-1,8)),OFFSET($A$1,ROW()-1,8),0))))))</f>
        <v/>
      </c>
      <c r="AF173" s="62">
        <f>IF($V173&lt;&gt;"Sub","",N($X173)*IF(AND(ISNUMBER($G173),$G173&lt;=IF($S173=MesCiclo,InicioCiclo,$S173+MOD(2-WEEKDAY($S173),7))+20),1,MIN(1,MAX(0,IF(ISNUMBER(OFFSET($A$1,ROW()-1,10)),OFFSET($A$1,ROW()-1,10),IF(ISNUMBER(OFFSET($A$1,ROW()-1,9)),OFFSET($A$1,ROW()-1,9),IF(ISNUMBER(OFFSET($A$1,ROW()-1,8)),OFFSET($A$1,ROW()-1,8),0)))))))</f>
        <v/>
      </c>
      <c r="AG173" s="62">
        <f>IF($V173&lt;&gt;"Sub","",N($X173)*IF(AND(ISNUMBER($G173),$G173&lt;=IF($S173=MesCiclo,InicioCiclo,$S173+MOD(2-WEEKDAY($S173),7))+27),1,MIN(1,MAX(0,IF(ISNUMBER(OFFSET($A$1,ROW()-1,11)),OFFSET($A$1,ROW()-1,11),IF(ISNUMBER(OFFSET($A$1,ROW()-1,10)),OFFSET($A$1,ROW()-1,10),IF(ISNUMBER(OFFSET($A$1,ROW()-1,9)),OFFSET($A$1,ROW()-1,9),IF(ISNUMBER(OFFSET($A$1,ROW()-1,8)),OFFSET($A$1,ROW()-1,8),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",IFERROR(MATCH("Riesgo Financiero|"&amp;MID($C173,12,500),rDname_ADM,0),0),"")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IF(N($W174)=0,"",IF(AND($S174=MesCiclo,1&gt;SemanaActual),"",MIN(1,SUMIFS(OFFSET($A$1,ROW(),29,1000-ROW(),1),OFFSET($A$1,ROW(),20,1000-ROW(),1),ROW(),OFFSET($A$1,ROW(),21,1000-ROW(),1),"Sub"))))</f>
        <v/>
      </c>
      <c r="J174" s="60">
        <f>IF(N($W174)=0,"",IF(AND($S174=MesCiclo,2&gt;SemanaActual),"",MIN(1,SUMIFS(OFFSET($A$1,ROW(),30,1000-ROW(),1),OFFSET($A$1,ROW(),20,1000-ROW(),1),ROW(),OFFSET($A$1,ROW(),21,1000-ROW(),1),"Sub"))))</f>
        <v/>
      </c>
      <c r="K174" s="60">
        <f>IF(N($W174)=0,"",IF(AND($S174=MesCiclo,3&gt;SemanaActual),"",MIN(1,SUMIFS(OFFSET($A$1,ROW(),31,1000-ROW(),1),OFFSET($A$1,ROW(),20,1000-ROW(),1),ROW(),OFFSET($A$1,ROW(),21,1000-ROW(),1),"Sub"))))</f>
        <v/>
      </c>
      <c r="L174" s="60">
        <f>IF(N($W174)=0,"",IF(AND($S174=MesCiclo,4&gt;SemanaActual),"",MIN(1,SUMIFS(OFFSET($A$1,ROW(),32,1000-ROW(),1),OFFSET($A$1,ROW(),20,1000-ROW(),1),ROW(),OFFSET($A$1,ROW(),21,1000-ROW(),1),"Sub"))))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IF($V174&lt;&gt;"Sub","",N($X174)*IF(AND(ISNUMBER($G174),$G174&lt;=IF($S174=MesCiclo,InicioCiclo,$S174+MOD(2-WEEKDAY($S174),7))+6),1,MIN(1,MAX(0,IF(ISNUMBER(OFFSET($A$1,ROW()-1,8)),OFFSET($A$1,ROW()-1,8),0)))))</f>
        <v/>
      </c>
      <c r="AE174" s="62">
        <f>IF($V174&lt;&gt;"Sub","",N($X174)*IF(AND(ISNUMBER($G174),$G174&lt;=IF($S174=MesCiclo,InicioCiclo,$S174+MOD(2-WEEKDAY($S174),7))+13),1,MIN(1,MAX(0,IF(ISNUMBER(OFFSET($A$1,ROW()-1,9)),OFFSET($A$1,ROW()-1,9),IF(ISNUMBER(OFFSET($A$1,ROW()-1,8)),OFFSET($A$1,ROW()-1,8),0))))))</f>
        <v/>
      </c>
      <c r="AF174" s="62">
        <f>IF($V174&lt;&gt;"Sub","",N($X174)*IF(AND(ISNUMBER($G174),$G174&lt;=IF($S174=MesCiclo,InicioCiclo,$S174+MOD(2-WEEKDAY($S174),7))+20),1,MIN(1,MAX(0,IF(ISNUMBER(OFFSET($A$1,ROW()-1,10)),OFFSET($A$1,ROW()-1,10),IF(ISNUMBER(OFFSET($A$1,ROW()-1,9)),OFFSET($A$1,ROW()-1,9),IF(ISNUMBER(OFFSET($A$1,ROW()-1,8)),OFFSET($A$1,ROW()-1,8),0)))))))</f>
        <v/>
      </c>
      <c r="AG174" s="62">
        <f>IF($V174&lt;&gt;"Sub","",N($X174)*IF(AND(ISNUMBER($G174),$G174&lt;=IF($S174=MesCiclo,InicioCiclo,$S174+MOD(2-WEEKDAY($S174),7))+27),1,MIN(1,MAX(0,IF(ISNUMBER(OFFSET($A$1,ROW()-1,11)),OFFSET($A$1,ROW()-1,11),IF(ISNUMBER(OFFSET($A$1,ROW()-1,10)),OFFSET($A$1,ROW()-1,10),IF(ISNUMBER(OFFSET($A$1,ROW()-1,9)),OFFSET($A$1,ROW()-1,9),IF(ISNUMBER(OFFSET($A$1,ROW()-1,8)),OFFSET($A$1,ROW()-1,8),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",IFERROR(MATCH("Riesgo Financiero|"&amp;MID($C174,12,500),rDname_ADM,0),0),"")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IF(N($W175)=0,"",IF(AND($S175=MesCiclo,1&gt;SemanaActual),"",MIN(1,SUMIFS(OFFSET($A$1,ROW(),29,1000-ROW(),1),OFFSET($A$1,ROW(),20,1000-ROW(),1),ROW(),OFFSET($A$1,ROW(),21,1000-ROW(),1),"Sub"))))</f>
        <v/>
      </c>
      <c r="J175" s="60">
        <f>IF(N($W175)=0,"",IF(AND($S175=MesCiclo,2&gt;SemanaActual),"",MIN(1,SUMIFS(OFFSET($A$1,ROW(),30,1000-ROW(),1),OFFSET($A$1,ROW(),20,1000-ROW(),1),ROW(),OFFSET($A$1,ROW(),21,1000-ROW(),1),"Sub"))))</f>
        <v/>
      </c>
      <c r="K175" s="60">
        <f>IF(N($W175)=0,"",IF(AND($S175=MesCiclo,3&gt;SemanaActual),"",MIN(1,SUMIFS(OFFSET($A$1,ROW(),31,1000-ROW(),1),OFFSET($A$1,ROW(),20,1000-ROW(),1),ROW(),OFFSET($A$1,ROW(),21,1000-ROW(),1),"Sub"))))</f>
        <v/>
      </c>
      <c r="L175" s="60">
        <f>IF(N($W175)=0,"",IF(AND($S175=MesCiclo,4&gt;SemanaActual),"",MIN(1,SUMIFS(OFFSET($A$1,ROW(),32,1000-ROW(),1),OFFSET($A$1,ROW(),20,1000-ROW(),1),ROW(),OFFSET($A$1,ROW(),21,1000-ROW(),1),"Sub"))))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IF($V175&lt;&gt;"Sub","",N($X175)*IF(AND(ISNUMBER($G175),$G175&lt;=IF($S175=MesCiclo,InicioCiclo,$S175+MOD(2-WEEKDAY($S175),7))+6),1,MIN(1,MAX(0,IF(ISNUMBER(OFFSET($A$1,ROW()-1,8)),OFFSET($A$1,ROW()-1,8),0)))))</f>
        <v/>
      </c>
      <c r="AE175" s="62">
        <f>IF($V175&lt;&gt;"Sub","",N($X175)*IF(AND(ISNUMBER($G175),$G175&lt;=IF($S175=MesCiclo,InicioCiclo,$S175+MOD(2-WEEKDAY($S175),7))+13),1,MIN(1,MAX(0,IF(ISNUMBER(OFFSET($A$1,ROW()-1,9)),OFFSET($A$1,ROW()-1,9),IF(ISNUMBER(OFFSET($A$1,ROW()-1,8)),OFFSET($A$1,ROW()-1,8),0))))))</f>
        <v/>
      </c>
      <c r="AF175" s="62">
        <f>IF($V175&lt;&gt;"Sub","",N($X175)*IF(AND(ISNUMBER($G175),$G175&lt;=IF($S175=MesCiclo,InicioCiclo,$S175+MOD(2-WEEKDAY($S175),7))+20),1,MIN(1,MAX(0,IF(ISNUMBER(OFFSET($A$1,ROW()-1,10)),OFFSET($A$1,ROW()-1,10),IF(ISNUMBER(OFFSET($A$1,ROW()-1,9)),OFFSET($A$1,ROW()-1,9),IF(ISNUMBER(OFFSET($A$1,ROW()-1,8)),OFFSET($A$1,ROW()-1,8),0)))))))</f>
        <v/>
      </c>
      <c r="AG175" s="62">
        <f>IF($V175&lt;&gt;"Sub","",N($X175)*IF(AND(ISNUMBER($G175),$G175&lt;=IF($S175=MesCiclo,InicioCiclo,$S175+MOD(2-WEEKDAY($S175),7))+27),1,MIN(1,MAX(0,IF(ISNUMBER(OFFSET($A$1,ROW()-1,11)),OFFSET($A$1,ROW()-1,11),IF(ISNUMBER(OFFSET($A$1,ROW()-1,10)),OFFSET($A$1,ROW()-1,10),IF(ISNUMBER(OFFSET($A$1,ROW()-1,9)),OFFSET($A$1,ROW()-1,9),IF(ISNUMBER(OFFSET($A$1,ROW()-1,8)),OFFSET($A$1,ROW()-1,8),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",IFERROR(MATCH("Riesgo Financiero|"&amp;MID($C175,12,500),rDname_ADM,0),0),"")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IF(N($W176)=0,"",IF(AND($S176=MesCiclo,1&gt;SemanaActual),"",MIN(1,SUMIFS(OFFSET($A$1,ROW(),29,1000-ROW(),1),OFFSET($A$1,ROW(),20,1000-ROW(),1),ROW(),OFFSET($A$1,ROW(),21,1000-ROW(),1),"Sub"))))</f>
        <v/>
      </c>
      <c r="J176" s="60">
        <f>IF(N($W176)=0,"",IF(AND($S176=MesCiclo,2&gt;SemanaActual),"",MIN(1,SUMIFS(OFFSET($A$1,ROW(),30,1000-ROW(),1),OFFSET($A$1,ROW(),20,1000-ROW(),1),ROW(),OFFSET($A$1,ROW(),21,1000-ROW(),1),"Sub"))))</f>
        <v/>
      </c>
      <c r="K176" s="60">
        <f>IF(N($W176)=0,"",IF(AND($S176=MesCiclo,3&gt;SemanaActual),"",MIN(1,SUMIFS(OFFSET($A$1,ROW(),31,1000-ROW(),1),OFFSET($A$1,ROW(),20,1000-ROW(),1),ROW(),OFFSET($A$1,ROW(),21,1000-ROW(),1),"Sub"))))</f>
        <v/>
      </c>
      <c r="L176" s="60">
        <f>IF(N($W176)=0,"",IF(AND($S176=MesCiclo,4&gt;SemanaActual),"",MIN(1,SUMIFS(OFFSET($A$1,ROW(),32,1000-ROW(),1),OFFSET($A$1,ROW(),20,1000-ROW(),1),ROW(),OFFSET($A$1,ROW(),21,1000-ROW(),1),"Sub"))))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IF($V176&lt;&gt;"Sub","",N($X176)*IF(AND(ISNUMBER($G176),$G176&lt;=IF($S176=MesCiclo,InicioCiclo,$S176+MOD(2-WEEKDAY($S176),7))+6),1,MIN(1,MAX(0,IF(ISNUMBER(OFFSET($A$1,ROW()-1,8)),OFFSET($A$1,ROW()-1,8),0)))))</f>
        <v/>
      </c>
      <c r="AE176" s="62">
        <f>IF($V176&lt;&gt;"Sub","",N($X176)*IF(AND(ISNUMBER($G176),$G176&lt;=IF($S176=MesCiclo,InicioCiclo,$S176+MOD(2-WEEKDAY($S176),7))+13),1,MIN(1,MAX(0,IF(ISNUMBER(OFFSET($A$1,ROW()-1,9)),OFFSET($A$1,ROW()-1,9),IF(ISNUMBER(OFFSET($A$1,ROW()-1,8)),OFFSET($A$1,ROW()-1,8),0))))))</f>
        <v/>
      </c>
      <c r="AF176" s="62">
        <f>IF($V176&lt;&gt;"Sub","",N($X176)*IF(AND(ISNUMBER($G176),$G176&lt;=IF($S176=MesCiclo,InicioCiclo,$S176+MOD(2-WEEKDAY($S176),7))+20),1,MIN(1,MAX(0,IF(ISNUMBER(OFFSET($A$1,ROW()-1,10)),OFFSET($A$1,ROW()-1,10),IF(ISNUMBER(OFFSET($A$1,ROW()-1,9)),OFFSET($A$1,ROW()-1,9),IF(ISNUMBER(OFFSET($A$1,ROW()-1,8)),OFFSET($A$1,ROW()-1,8),0)))))))</f>
        <v/>
      </c>
      <c r="AG176" s="62">
        <f>IF($V176&lt;&gt;"Sub","",N($X176)*IF(AND(ISNUMBER($G176),$G176&lt;=IF($S176=MesCiclo,InicioCiclo,$S176+MOD(2-WEEKDAY($S176),7))+27),1,MIN(1,MAX(0,IF(ISNUMBER(OFFSET($A$1,ROW()-1,11)),OFFSET($A$1,ROW()-1,11),IF(ISNUMBER(OFFSET($A$1,ROW()-1,10)),OFFSET($A$1,ROW()-1,10),IF(ISNUMBER(OFFSET($A$1,ROW()-1,9)),OFFSET($A$1,ROW()-1,9),IF(ISNUMBER(OFFSET($A$1,ROW()-1,8)),OFFSET($A$1,ROW()-1,8),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",IFERROR(MATCH("Riesgo Financiero|"&amp;MID($C176,12,500),rDname_ADM,0),0),"")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IF(N($W177)=0,"",IF(AND($S177=MesCiclo,1&gt;SemanaActual),"",MIN(1,SUMIFS(OFFSET($A$1,ROW(),29,1000-ROW(),1),OFFSET($A$1,ROW(),20,1000-ROW(),1),ROW(),OFFSET($A$1,ROW(),21,1000-ROW(),1),"Sub"))))</f>
        <v/>
      </c>
      <c r="J177" s="60">
        <f>IF(N($W177)=0,"",IF(AND($S177=MesCiclo,2&gt;SemanaActual),"",MIN(1,SUMIFS(OFFSET($A$1,ROW(),30,1000-ROW(),1),OFFSET($A$1,ROW(),20,1000-ROW(),1),ROW(),OFFSET($A$1,ROW(),21,1000-ROW(),1),"Sub"))))</f>
        <v/>
      </c>
      <c r="K177" s="60">
        <f>IF(N($W177)=0,"",IF(AND($S177=MesCiclo,3&gt;SemanaActual),"",MIN(1,SUMIFS(OFFSET($A$1,ROW(),31,1000-ROW(),1),OFFSET($A$1,ROW(),20,1000-ROW(),1),ROW(),OFFSET($A$1,ROW(),21,1000-ROW(),1),"Sub"))))</f>
        <v/>
      </c>
      <c r="L177" s="60">
        <f>IF(N($W177)=0,"",IF(AND($S177=MesCiclo,4&gt;SemanaActual),"",MIN(1,SUMIFS(OFFSET($A$1,ROW(),32,1000-ROW(),1),OFFSET($A$1,ROW(),20,1000-ROW(),1),ROW(),OFFSET($A$1,ROW(),21,1000-ROW(),1),"Sub"))))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IF($V177&lt;&gt;"Sub","",N($X177)*IF(AND(ISNUMBER($G177),$G177&lt;=IF($S177=MesCiclo,InicioCiclo,$S177+MOD(2-WEEKDAY($S177),7))+6),1,MIN(1,MAX(0,IF(ISNUMBER(OFFSET($A$1,ROW()-1,8)),OFFSET($A$1,ROW()-1,8),0)))))</f>
        <v/>
      </c>
      <c r="AE177" s="62">
        <f>IF($V177&lt;&gt;"Sub","",N($X177)*IF(AND(ISNUMBER($G177),$G177&lt;=IF($S177=MesCiclo,InicioCiclo,$S177+MOD(2-WEEKDAY($S177),7))+13),1,MIN(1,MAX(0,IF(ISNUMBER(OFFSET($A$1,ROW()-1,9)),OFFSET($A$1,ROW()-1,9),IF(ISNUMBER(OFFSET($A$1,ROW()-1,8)),OFFSET($A$1,ROW()-1,8),0))))))</f>
        <v/>
      </c>
      <c r="AF177" s="62">
        <f>IF($V177&lt;&gt;"Sub","",N($X177)*IF(AND(ISNUMBER($G177),$G177&lt;=IF($S177=MesCiclo,InicioCiclo,$S177+MOD(2-WEEKDAY($S177),7))+20),1,MIN(1,MAX(0,IF(ISNUMBER(OFFSET($A$1,ROW()-1,10)),OFFSET($A$1,ROW()-1,10),IF(ISNUMBER(OFFSET($A$1,ROW()-1,9)),OFFSET($A$1,ROW()-1,9),IF(ISNUMBER(OFFSET($A$1,ROW()-1,8)),OFFSET($A$1,ROW()-1,8),0)))))))</f>
        <v/>
      </c>
      <c r="AG177" s="62">
        <f>IF($V177&lt;&gt;"Sub","",N($X177)*IF(AND(ISNUMBER($G177),$G177&lt;=IF($S177=MesCiclo,InicioCiclo,$S177+MOD(2-WEEKDAY($S177),7))+27),1,MIN(1,MAX(0,IF(ISNUMBER(OFFSET($A$1,ROW()-1,11)),OFFSET($A$1,ROW()-1,11),IF(ISNUMBER(OFFSET($A$1,ROW()-1,10)),OFFSET($A$1,ROW()-1,10),IF(ISNUMBER(OFFSET($A$1,ROW()-1,9)),OFFSET($A$1,ROW()-1,9),IF(ISNUMBER(OFFSET($A$1,ROW()-1,8)),OFFSET($A$1,ROW()-1,8),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",IFERROR(MATCH("Riesgo Financiero|"&amp;MID($C177,12,500),rDname_ADM,0),0),"")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IF(N($W178)=0,"",IF(AND($S178=MesCiclo,1&gt;SemanaActual),"",MIN(1,SUMIFS(OFFSET($A$1,ROW(),29,1000-ROW(),1),OFFSET($A$1,ROW(),20,1000-ROW(),1),ROW(),OFFSET($A$1,ROW(),21,1000-ROW(),1),"Sub"))))</f>
        <v/>
      </c>
      <c r="J178" s="60">
        <f>IF(N($W178)=0,"",IF(AND($S178=MesCiclo,2&gt;SemanaActual),"",MIN(1,SUMIFS(OFFSET($A$1,ROW(),30,1000-ROW(),1),OFFSET($A$1,ROW(),20,1000-ROW(),1),ROW(),OFFSET($A$1,ROW(),21,1000-ROW(),1),"Sub"))))</f>
        <v/>
      </c>
      <c r="K178" s="60">
        <f>IF(N($W178)=0,"",IF(AND($S178=MesCiclo,3&gt;SemanaActual),"",MIN(1,SUMIFS(OFFSET($A$1,ROW(),31,1000-ROW(),1),OFFSET($A$1,ROW(),20,1000-ROW(),1),ROW(),OFFSET($A$1,ROW(),21,1000-ROW(),1),"Sub"))))</f>
        <v/>
      </c>
      <c r="L178" s="60">
        <f>IF(N($W178)=0,"",IF(AND($S178=MesCiclo,4&gt;SemanaActual),"",MIN(1,SUMIFS(OFFSET($A$1,ROW(),32,1000-ROW(),1),OFFSET($A$1,ROW(),20,1000-ROW(),1),ROW(),OFFSET($A$1,ROW(),21,1000-ROW(),1),"Sub"))))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IF($V178&lt;&gt;"Sub","",N($X178)*IF(AND(ISNUMBER($G178),$G178&lt;=IF($S178=MesCiclo,InicioCiclo,$S178+MOD(2-WEEKDAY($S178),7))+6),1,MIN(1,MAX(0,IF(ISNUMBER(OFFSET($A$1,ROW()-1,8)),OFFSET($A$1,ROW()-1,8),0)))))</f>
        <v/>
      </c>
      <c r="AE178" s="62">
        <f>IF($V178&lt;&gt;"Sub","",N($X178)*IF(AND(ISNUMBER($G178),$G178&lt;=IF($S178=MesCiclo,InicioCiclo,$S178+MOD(2-WEEKDAY($S178),7))+13),1,MIN(1,MAX(0,IF(ISNUMBER(OFFSET($A$1,ROW()-1,9)),OFFSET($A$1,ROW()-1,9),IF(ISNUMBER(OFFSET($A$1,ROW()-1,8)),OFFSET($A$1,ROW()-1,8),0))))))</f>
        <v/>
      </c>
      <c r="AF178" s="62">
        <f>IF($V178&lt;&gt;"Sub","",N($X178)*IF(AND(ISNUMBER($G178),$G178&lt;=IF($S178=MesCiclo,InicioCiclo,$S178+MOD(2-WEEKDAY($S178),7))+20),1,MIN(1,MAX(0,IF(ISNUMBER(OFFSET($A$1,ROW()-1,10)),OFFSET($A$1,ROW()-1,10),IF(ISNUMBER(OFFSET($A$1,ROW()-1,9)),OFFSET($A$1,ROW()-1,9),IF(ISNUMBER(OFFSET($A$1,ROW()-1,8)),OFFSET($A$1,ROW()-1,8),0)))))))</f>
        <v/>
      </c>
      <c r="AG178" s="62">
        <f>IF($V178&lt;&gt;"Sub","",N($X178)*IF(AND(ISNUMBER($G178),$G178&lt;=IF($S178=MesCiclo,InicioCiclo,$S178+MOD(2-WEEKDAY($S178),7))+27),1,MIN(1,MAX(0,IF(ISNUMBER(OFFSET($A$1,ROW()-1,11)),OFFSET($A$1,ROW()-1,11),IF(ISNUMBER(OFFSET($A$1,ROW()-1,10)),OFFSET($A$1,ROW()-1,10),IF(ISNUMBER(OFFSET($A$1,ROW()-1,9)),OFFSET($A$1,ROW()-1,9),IF(ISNUMBER(OFFSET($A$1,ROW()-1,8)),OFFSET($A$1,ROW()-1,8),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",IFERROR(MATCH("Riesgo Financiero|"&amp;MID($C178,12,500),rDname_ADM,0),0),"")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IF(N($W179)=0,"",IF(AND($S179=MesCiclo,1&gt;SemanaActual),"",MIN(1,SUMIFS(OFFSET($A$1,ROW(),29,1000-ROW(),1),OFFSET($A$1,ROW(),20,1000-ROW(),1),ROW(),OFFSET($A$1,ROW(),21,1000-ROW(),1),"Sub"))))</f>
        <v/>
      </c>
      <c r="J179" s="60">
        <f>IF(N($W179)=0,"",IF(AND($S179=MesCiclo,2&gt;SemanaActual),"",MIN(1,SUMIFS(OFFSET($A$1,ROW(),30,1000-ROW(),1),OFFSET($A$1,ROW(),20,1000-ROW(),1),ROW(),OFFSET($A$1,ROW(),21,1000-ROW(),1),"Sub"))))</f>
        <v/>
      </c>
      <c r="K179" s="60">
        <f>IF(N($W179)=0,"",IF(AND($S179=MesCiclo,3&gt;SemanaActual),"",MIN(1,SUMIFS(OFFSET($A$1,ROW(),31,1000-ROW(),1),OFFSET($A$1,ROW(),20,1000-ROW(),1),ROW(),OFFSET($A$1,ROW(),21,1000-ROW(),1),"Sub"))))</f>
        <v/>
      </c>
      <c r="L179" s="60">
        <f>IF(N($W179)=0,"",IF(AND($S179=MesCiclo,4&gt;SemanaActual),"",MIN(1,SUMIFS(OFFSET($A$1,ROW(),32,1000-ROW(),1),OFFSET($A$1,ROW(),20,1000-ROW(),1),ROW(),OFFSET($A$1,ROW(),21,1000-ROW(),1),"Sub"))))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IF($V179&lt;&gt;"Sub","",N($X179)*IF(AND(ISNUMBER($G179),$G179&lt;=IF($S179=MesCiclo,InicioCiclo,$S179+MOD(2-WEEKDAY($S179),7))+6),1,MIN(1,MAX(0,IF(ISNUMBER(OFFSET($A$1,ROW()-1,8)),OFFSET($A$1,ROW()-1,8),0)))))</f>
        <v/>
      </c>
      <c r="AE179" s="62">
        <f>IF($V179&lt;&gt;"Sub","",N($X179)*IF(AND(ISNUMBER($G179),$G179&lt;=IF($S179=MesCiclo,InicioCiclo,$S179+MOD(2-WEEKDAY($S179),7))+13),1,MIN(1,MAX(0,IF(ISNUMBER(OFFSET($A$1,ROW()-1,9)),OFFSET($A$1,ROW()-1,9),IF(ISNUMBER(OFFSET($A$1,ROW()-1,8)),OFFSET($A$1,ROW()-1,8),0))))))</f>
        <v/>
      </c>
      <c r="AF179" s="62">
        <f>IF($V179&lt;&gt;"Sub","",N($X179)*IF(AND(ISNUMBER($G179),$G179&lt;=IF($S179=MesCiclo,InicioCiclo,$S179+MOD(2-WEEKDAY($S179),7))+20),1,MIN(1,MAX(0,IF(ISNUMBER(OFFSET($A$1,ROW()-1,10)),OFFSET($A$1,ROW()-1,10),IF(ISNUMBER(OFFSET($A$1,ROW()-1,9)),OFFSET($A$1,ROW()-1,9),IF(ISNUMBER(OFFSET($A$1,ROW()-1,8)),OFFSET($A$1,ROW()-1,8),0)))))))</f>
        <v/>
      </c>
      <c r="AG179" s="62">
        <f>IF($V179&lt;&gt;"Sub","",N($X179)*IF(AND(ISNUMBER($G179),$G179&lt;=IF($S179=MesCiclo,InicioCiclo,$S179+MOD(2-WEEKDAY($S179),7))+27),1,MIN(1,MAX(0,IF(ISNUMBER(OFFSET($A$1,ROW()-1,11)),OFFSET($A$1,ROW()-1,11),IF(ISNUMBER(OFFSET($A$1,ROW()-1,10)),OFFSET($A$1,ROW()-1,10),IF(ISNUMBER(OFFSET($A$1,ROW()-1,9)),OFFSET($A$1,ROW()-1,9),IF(ISNUMBER(OFFSET($A$1,ROW()-1,8)),OFFSET($A$1,ROW()-1,8),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",IFERROR(MATCH("Riesgo Financiero|"&amp;MID($C179,12,500),rDname_ADM,0),0),"")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IF(N($W180)=0,"",IF(AND($S180=MesCiclo,1&gt;SemanaActual),"",MIN(1,SUMIFS(OFFSET($A$1,ROW(),29,1000-ROW(),1),OFFSET($A$1,ROW(),20,1000-ROW(),1),ROW(),OFFSET($A$1,ROW(),21,1000-ROW(),1),"Sub"))))</f>
        <v/>
      </c>
      <c r="J180" s="60">
        <f>IF(N($W180)=0,"",IF(AND($S180=MesCiclo,2&gt;SemanaActual),"",MIN(1,SUMIFS(OFFSET($A$1,ROW(),30,1000-ROW(),1),OFFSET($A$1,ROW(),20,1000-ROW(),1),ROW(),OFFSET($A$1,ROW(),21,1000-ROW(),1),"Sub"))))</f>
        <v/>
      </c>
      <c r="K180" s="60">
        <f>IF(N($W180)=0,"",IF(AND($S180=MesCiclo,3&gt;SemanaActual),"",MIN(1,SUMIFS(OFFSET($A$1,ROW(),31,1000-ROW(),1),OFFSET($A$1,ROW(),20,1000-ROW(),1),ROW(),OFFSET($A$1,ROW(),21,1000-ROW(),1),"Sub"))))</f>
        <v/>
      </c>
      <c r="L180" s="60">
        <f>IF(N($W180)=0,"",IF(AND($S180=MesCiclo,4&gt;SemanaActual),"",MIN(1,SUMIFS(OFFSET($A$1,ROW(),32,1000-ROW(),1),OFFSET($A$1,ROW(),20,1000-ROW(),1),ROW(),OFFSET($A$1,ROW(),21,1000-ROW(),1),"Sub"))))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IF($V180&lt;&gt;"Sub","",N($X180)*IF(AND(ISNUMBER($G180),$G180&lt;=IF($S180=MesCiclo,InicioCiclo,$S180+MOD(2-WEEKDAY($S180),7))+6),1,MIN(1,MAX(0,IF(ISNUMBER(OFFSET($A$1,ROW()-1,8)),OFFSET($A$1,ROW()-1,8),0)))))</f>
        <v/>
      </c>
      <c r="AE180" s="62">
        <f>IF($V180&lt;&gt;"Sub","",N($X180)*IF(AND(ISNUMBER($G180),$G180&lt;=IF($S180=MesCiclo,InicioCiclo,$S180+MOD(2-WEEKDAY($S180),7))+13),1,MIN(1,MAX(0,IF(ISNUMBER(OFFSET($A$1,ROW()-1,9)),OFFSET($A$1,ROW()-1,9),IF(ISNUMBER(OFFSET($A$1,ROW()-1,8)),OFFSET($A$1,ROW()-1,8),0))))))</f>
        <v/>
      </c>
      <c r="AF180" s="62">
        <f>IF($V180&lt;&gt;"Sub","",N($X180)*IF(AND(ISNUMBER($G180),$G180&lt;=IF($S180=MesCiclo,InicioCiclo,$S180+MOD(2-WEEKDAY($S180),7))+20),1,MIN(1,MAX(0,IF(ISNUMBER(OFFSET($A$1,ROW()-1,10)),OFFSET($A$1,ROW()-1,10),IF(ISNUMBER(OFFSET($A$1,ROW()-1,9)),OFFSET($A$1,ROW()-1,9),IF(ISNUMBER(OFFSET($A$1,ROW()-1,8)),OFFSET($A$1,ROW()-1,8),0)))))))</f>
        <v/>
      </c>
      <c r="AG180" s="62">
        <f>IF($V180&lt;&gt;"Sub","",N($X180)*IF(AND(ISNUMBER($G180),$G180&lt;=IF($S180=MesCiclo,InicioCiclo,$S180+MOD(2-WEEKDAY($S180),7))+27),1,MIN(1,MAX(0,IF(ISNUMBER(OFFSET($A$1,ROW()-1,11)),OFFSET($A$1,ROW()-1,11),IF(ISNUMBER(OFFSET($A$1,ROW()-1,10)),OFFSET($A$1,ROW()-1,10),IF(ISNUMBER(OFFSET($A$1,ROW()-1,9)),OFFSET($A$1,ROW()-1,9),IF(ISNUMBER(OFFSET($A$1,ROW()-1,8)),OFFSET($A$1,ROW()-1,8),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",IFERROR(MATCH("Riesgo Financiero|"&amp;MID($C180,12,500),rDname_ADM,0),0),"")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IF(N($W181)=0,"",IF(AND($S181=MesCiclo,1&gt;SemanaActual),"",MIN(1,SUMIFS(OFFSET($A$1,ROW(),29,1000-ROW(),1),OFFSET($A$1,ROW(),20,1000-ROW(),1),ROW(),OFFSET($A$1,ROW(),21,1000-ROW(),1),"Sub"))))</f>
        <v/>
      </c>
      <c r="J181" s="60">
        <f>IF(N($W181)=0,"",IF(AND($S181=MesCiclo,2&gt;SemanaActual),"",MIN(1,SUMIFS(OFFSET($A$1,ROW(),30,1000-ROW(),1),OFFSET($A$1,ROW(),20,1000-ROW(),1),ROW(),OFFSET($A$1,ROW(),21,1000-ROW(),1),"Sub"))))</f>
        <v/>
      </c>
      <c r="K181" s="60">
        <f>IF(N($W181)=0,"",IF(AND($S181=MesCiclo,3&gt;SemanaActual),"",MIN(1,SUMIFS(OFFSET($A$1,ROW(),31,1000-ROW(),1),OFFSET($A$1,ROW(),20,1000-ROW(),1),ROW(),OFFSET($A$1,ROW(),21,1000-ROW(),1),"Sub"))))</f>
        <v/>
      </c>
      <c r="L181" s="60">
        <f>IF(N($W181)=0,"",IF(AND($S181=MesCiclo,4&gt;SemanaActual),"",MIN(1,SUMIFS(OFFSET($A$1,ROW(),32,1000-ROW(),1),OFFSET($A$1,ROW(),20,1000-ROW(),1),ROW(),OFFSET($A$1,ROW(),21,1000-ROW(),1),"Sub"))))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IF($V181&lt;&gt;"Sub","",N($X181)*IF(AND(ISNUMBER($G181),$G181&lt;=IF($S181=MesCiclo,InicioCiclo,$S181+MOD(2-WEEKDAY($S181),7))+6),1,MIN(1,MAX(0,IF(ISNUMBER(OFFSET($A$1,ROW()-1,8)),OFFSET($A$1,ROW()-1,8),0)))))</f>
        <v/>
      </c>
      <c r="AE181" s="62">
        <f>IF($V181&lt;&gt;"Sub","",N($X181)*IF(AND(ISNUMBER($G181),$G181&lt;=IF($S181=MesCiclo,InicioCiclo,$S181+MOD(2-WEEKDAY($S181),7))+13),1,MIN(1,MAX(0,IF(ISNUMBER(OFFSET($A$1,ROW()-1,9)),OFFSET($A$1,ROW()-1,9),IF(ISNUMBER(OFFSET($A$1,ROW()-1,8)),OFFSET($A$1,ROW()-1,8),0))))))</f>
        <v/>
      </c>
      <c r="AF181" s="62">
        <f>IF($V181&lt;&gt;"Sub","",N($X181)*IF(AND(ISNUMBER($G181),$G181&lt;=IF($S181=MesCiclo,InicioCiclo,$S181+MOD(2-WEEKDAY($S181),7))+20),1,MIN(1,MAX(0,IF(ISNUMBER(OFFSET($A$1,ROW()-1,10)),OFFSET($A$1,ROW()-1,10),IF(ISNUMBER(OFFSET($A$1,ROW()-1,9)),OFFSET($A$1,ROW()-1,9),IF(ISNUMBER(OFFSET($A$1,ROW()-1,8)),OFFSET($A$1,ROW()-1,8),0)))))))</f>
        <v/>
      </c>
      <c r="AG181" s="62">
        <f>IF($V181&lt;&gt;"Sub","",N($X181)*IF(AND(ISNUMBER($G181),$G181&lt;=IF($S181=MesCiclo,InicioCiclo,$S181+MOD(2-WEEKDAY($S181),7))+27),1,MIN(1,MAX(0,IF(ISNUMBER(OFFSET($A$1,ROW()-1,11)),OFFSET($A$1,ROW()-1,11),IF(ISNUMBER(OFFSET($A$1,ROW()-1,10)),OFFSET($A$1,ROW()-1,10),IF(ISNUMBER(OFFSET($A$1,ROW()-1,9)),OFFSET($A$1,ROW()-1,9),IF(ISNUMBER(OFFSET($A$1,ROW()-1,8)),OFFSET($A$1,ROW()-1,8),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",IFERROR(MATCH("Riesgo Financiero|"&amp;MID($C181,12,500),rDname_ADM,0),0),"")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IF(N($W182)=0,"",IF(AND($S182=MesCiclo,1&gt;SemanaActual),"",MIN(1,SUMIFS(OFFSET($A$1,ROW(),29,1000-ROW(),1),OFFSET($A$1,ROW(),20,1000-ROW(),1),ROW(),OFFSET($A$1,ROW(),21,1000-ROW(),1),"Sub"))))</f>
        <v/>
      </c>
      <c r="J182" s="60">
        <f>IF(N($W182)=0,"",IF(AND($S182=MesCiclo,2&gt;SemanaActual),"",MIN(1,SUMIFS(OFFSET($A$1,ROW(),30,1000-ROW(),1),OFFSET($A$1,ROW(),20,1000-ROW(),1),ROW(),OFFSET($A$1,ROW(),21,1000-ROW(),1),"Sub"))))</f>
        <v/>
      </c>
      <c r="K182" s="60">
        <f>IF(N($W182)=0,"",IF(AND($S182=MesCiclo,3&gt;SemanaActual),"",MIN(1,SUMIFS(OFFSET($A$1,ROW(),31,1000-ROW(),1),OFFSET($A$1,ROW(),20,1000-ROW(),1),ROW(),OFFSET($A$1,ROW(),21,1000-ROW(),1),"Sub"))))</f>
        <v/>
      </c>
      <c r="L182" s="60">
        <f>IF(N($W182)=0,"",IF(AND($S182=MesCiclo,4&gt;SemanaActual),"",MIN(1,SUMIFS(OFFSET($A$1,ROW(),32,1000-ROW(),1),OFFSET($A$1,ROW(),20,1000-ROW(),1),ROW(),OFFSET($A$1,ROW(),21,1000-ROW(),1),"Sub"))))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IF($V182&lt;&gt;"Sub","",N($X182)*IF(AND(ISNUMBER($G182),$G182&lt;=IF($S182=MesCiclo,InicioCiclo,$S182+MOD(2-WEEKDAY($S182),7))+6),1,MIN(1,MAX(0,IF(ISNUMBER(OFFSET($A$1,ROW()-1,8)),OFFSET($A$1,ROW()-1,8),0)))))</f>
        <v/>
      </c>
      <c r="AE182" s="62">
        <f>IF($V182&lt;&gt;"Sub","",N($X182)*IF(AND(ISNUMBER($G182),$G182&lt;=IF($S182=MesCiclo,InicioCiclo,$S182+MOD(2-WEEKDAY($S182),7))+13),1,MIN(1,MAX(0,IF(ISNUMBER(OFFSET($A$1,ROW()-1,9)),OFFSET($A$1,ROW()-1,9),IF(ISNUMBER(OFFSET($A$1,ROW()-1,8)),OFFSET($A$1,ROW()-1,8),0))))))</f>
        <v/>
      </c>
      <c r="AF182" s="62">
        <f>IF($V182&lt;&gt;"Sub","",N($X182)*IF(AND(ISNUMBER($G182),$G182&lt;=IF($S182=MesCiclo,InicioCiclo,$S182+MOD(2-WEEKDAY($S182),7))+20),1,MIN(1,MAX(0,IF(ISNUMBER(OFFSET($A$1,ROW()-1,10)),OFFSET($A$1,ROW()-1,10),IF(ISNUMBER(OFFSET($A$1,ROW()-1,9)),OFFSET($A$1,ROW()-1,9),IF(ISNUMBER(OFFSET($A$1,ROW()-1,8)),OFFSET($A$1,ROW()-1,8),0)))))))</f>
        <v/>
      </c>
      <c r="AG182" s="62">
        <f>IF($V182&lt;&gt;"Sub","",N($X182)*IF(AND(ISNUMBER($G182),$G182&lt;=IF($S182=MesCiclo,InicioCiclo,$S182+MOD(2-WEEKDAY($S182),7))+27),1,MIN(1,MAX(0,IF(ISNUMBER(OFFSET($A$1,ROW()-1,11)),OFFSET($A$1,ROW()-1,11),IF(ISNUMBER(OFFSET($A$1,ROW()-1,10)),OFFSET($A$1,ROW()-1,10),IF(ISNUMBER(OFFSET($A$1,ROW()-1,9)),OFFSET($A$1,ROW()-1,9),IF(ISNUMBER(OFFSET($A$1,ROW()-1,8)),OFFSET($A$1,ROW()-1,8),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",IFERROR(MATCH("Riesgo Financiero|"&amp;MID($C182,12,500),rDname_ADM,0),0),"")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IF(N($W183)=0,"",IF(AND($S183=MesCiclo,1&gt;SemanaActual),"",MIN(1,SUMIFS(OFFSET($A$1,ROW(),29,1000-ROW(),1),OFFSET($A$1,ROW(),20,1000-ROW(),1),ROW(),OFFSET($A$1,ROW(),21,1000-ROW(),1),"Sub"))))</f>
        <v/>
      </c>
      <c r="J183" s="60">
        <f>IF(N($W183)=0,"",IF(AND($S183=MesCiclo,2&gt;SemanaActual),"",MIN(1,SUMIFS(OFFSET($A$1,ROW(),30,1000-ROW(),1),OFFSET($A$1,ROW(),20,1000-ROW(),1),ROW(),OFFSET($A$1,ROW(),21,1000-ROW(),1),"Sub"))))</f>
        <v/>
      </c>
      <c r="K183" s="60">
        <f>IF(N($W183)=0,"",IF(AND($S183=MesCiclo,3&gt;SemanaActual),"",MIN(1,SUMIFS(OFFSET($A$1,ROW(),31,1000-ROW(),1),OFFSET($A$1,ROW(),20,1000-ROW(),1),ROW(),OFFSET($A$1,ROW(),21,1000-ROW(),1),"Sub"))))</f>
        <v/>
      </c>
      <c r="L183" s="60">
        <f>IF(N($W183)=0,"",IF(AND($S183=MesCiclo,4&gt;SemanaActual),"",MIN(1,SUMIFS(OFFSET($A$1,ROW(),32,1000-ROW(),1),OFFSET($A$1,ROW(),20,1000-ROW(),1),ROW(),OFFSET($A$1,ROW(),21,1000-ROW(),1),"Sub"))))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IF($V183&lt;&gt;"Sub","",N($X183)*IF(AND(ISNUMBER($G183),$G183&lt;=IF($S183=MesCiclo,InicioCiclo,$S183+MOD(2-WEEKDAY($S183),7))+6),1,MIN(1,MAX(0,IF(ISNUMBER(OFFSET($A$1,ROW()-1,8)),OFFSET($A$1,ROW()-1,8),0)))))</f>
        <v/>
      </c>
      <c r="AE183" s="62">
        <f>IF($V183&lt;&gt;"Sub","",N($X183)*IF(AND(ISNUMBER($G183),$G183&lt;=IF($S183=MesCiclo,InicioCiclo,$S183+MOD(2-WEEKDAY($S183),7))+13),1,MIN(1,MAX(0,IF(ISNUMBER(OFFSET($A$1,ROW()-1,9)),OFFSET($A$1,ROW()-1,9),IF(ISNUMBER(OFFSET($A$1,ROW()-1,8)),OFFSET($A$1,ROW()-1,8),0))))))</f>
        <v/>
      </c>
      <c r="AF183" s="62">
        <f>IF($V183&lt;&gt;"Sub","",N($X183)*IF(AND(ISNUMBER($G183),$G183&lt;=IF($S183=MesCiclo,InicioCiclo,$S183+MOD(2-WEEKDAY($S183),7))+20),1,MIN(1,MAX(0,IF(ISNUMBER(OFFSET($A$1,ROW()-1,10)),OFFSET($A$1,ROW()-1,10),IF(ISNUMBER(OFFSET($A$1,ROW()-1,9)),OFFSET($A$1,ROW()-1,9),IF(ISNUMBER(OFFSET($A$1,ROW()-1,8)),OFFSET($A$1,ROW()-1,8),0)))))))</f>
        <v/>
      </c>
      <c r="AG183" s="62">
        <f>IF($V183&lt;&gt;"Sub","",N($X183)*IF(AND(ISNUMBER($G183),$G183&lt;=IF($S183=MesCiclo,InicioCiclo,$S183+MOD(2-WEEKDAY($S183),7))+27),1,MIN(1,MAX(0,IF(ISNUMBER(OFFSET($A$1,ROW()-1,11)),OFFSET($A$1,ROW()-1,11),IF(ISNUMBER(OFFSET($A$1,ROW()-1,10)),OFFSET($A$1,ROW()-1,10),IF(ISNUMBER(OFFSET($A$1,ROW()-1,9)),OFFSET($A$1,ROW()-1,9),IF(ISNUMBER(OFFSET($A$1,ROW()-1,8)),OFFSET($A$1,ROW()-1,8),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",IFERROR(MATCH("Riesgo Financiero|"&amp;MID($C183,12,500),rDname_ADM,0),0),"")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IF(N($W184)=0,"",IF(AND($S184=MesCiclo,1&gt;SemanaActual),"",MIN(1,SUMIFS(OFFSET($A$1,ROW(),29,1000-ROW(),1),OFFSET($A$1,ROW(),20,1000-ROW(),1),ROW(),OFFSET($A$1,ROW(),21,1000-ROW(),1),"Sub"))))</f>
        <v/>
      </c>
      <c r="J184" s="60">
        <f>IF(N($W184)=0,"",IF(AND($S184=MesCiclo,2&gt;SemanaActual),"",MIN(1,SUMIFS(OFFSET($A$1,ROW(),30,1000-ROW(),1),OFFSET($A$1,ROW(),20,1000-ROW(),1),ROW(),OFFSET($A$1,ROW(),21,1000-ROW(),1),"Sub"))))</f>
        <v/>
      </c>
      <c r="K184" s="60">
        <f>IF(N($W184)=0,"",IF(AND($S184=MesCiclo,3&gt;SemanaActual),"",MIN(1,SUMIFS(OFFSET($A$1,ROW(),31,1000-ROW(),1),OFFSET($A$1,ROW(),20,1000-ROW(),1),ROW(),OFFSET($A$1,ROW(),21,1000-ROW(),1),"Sub"))))</f>
        <v/>
      </c>
      <c r="L184" s="60">
        <f>IF(N($W184)=0,"",IF(AND($S184=MesCiclo,4&gt;SemanaActual),"",MIN(1,SUMIFS(OFFSET($A$1,ROW(),32,1000-ROW(),1),OFFSET($A$1,ROW(),20,1000-ROW(),1),ROW(),OFFSET($A$1,ROW(),21,1000-ROW(),1),"Sub"))))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IF($V184&lt;&gt;"Sub","",N($X184)*IF(AND(ISNUMBER($G184),$G184&lt;=IF($S184=MesCiclo,InicioCiclo,$S184+MOD(2-WEEKDAY($S184),7))+6),1,MIN(1,MAX(0,IF(ISNUMBER(OFFSET($A$1,ROW()-1,8)),OFFSET($A$1,ROW()-1,8),0)))))</f>
        <v/>
      </c>
      <c r="AE184" s="62">
        <f>IF($V184&lt;&gt;"Sub","",N($X184)*IF(AND(ISNUMBER($G184),$G184&lt;=IF($S184=MesCiclo,InicioCiclo,$S184+MOD(2-WEEKDAY($S184),7))+13),1,MIN(1,MAX(0,IF(ISNUMBER(OFFSET($A$1,ROW()-1,9)),OFFSET($A$1,ROW()-1,9),IF(ISNUMBER(OFFSET($A$1,ROW()-1,8)),OFFSET($A$1,ROW()-1,8),0))))))</f>
        <v/>
      </c>
      <c r="AF184" s="62">
        <f>IF($V184&lt;&gt;"Sub","",N($X184)*IF(AND(ISNUMBER($G184),$G184&lt;=IF($S184=MesCiclo,InicioCiclo,$S184+MOD(2-WEEKDAY($S184),7))+20),1,MIN(1,MAX(0,IF(ISNUMBER(OFFSET($A$1,ROW()-1,10)),OFFSET($A$1,ROW()-1,10),IF(ISNUMBER(OFFSET($A$1,ROW()-1,9)),OFFSET($A$1,ROW()-1,9),IF(ISNUMBER(OFFSET($A$1,ROW()-1,8)),OFFSET($A$1,ROW()-1,8),0)))))))</f>
        <v/>
      </c>
      <c r="AG184" s="62">
        <f>IF($V184&lt;&gt;"Sub","",N($X184)*IF(AND(ISNUMBER($G184),$G184&lt;=IF($S184=MesCiclo,InicioCiclo,$S184+MOD(2-WEEKDAY($S184),7))+27),1,MIN(1,MAX(0,IF(ISNUMBER(OFFSET($A$1,ROW()-1,11)),OFFSET($A$1,ROW()-1,11),IF(ISNUMBER(OFFSET($A$1,ROW()-1,10)),OFFSET($A$1,ROW()-1,10),IF(ISNUMBER(OFFSET($A$1,ROW()-1,9)),OFFSET($A$1,ROW()-1,9),IF(ISNUMBER(OFFSET($A$1,ROW()-1,8)),OFFSET($A$1,ROW()-1,8),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",IFERROR(MATCH("Riesgo Financiero|"&amp;MID($C184,12,500),rDname_ADM,0),0),"")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IF(N($W185)=0,"",IF(AND($S185=MesCiclo,1&gt;SemanaActual),"",MIN(1,SUMIFS(OFFSET($A$1,ROW(),29,1000-ROW(),1),OFFSET($A$1,ROW(),20,1000-ROW(),1),ROW(),OFFSET($A$1,ROW(),21,1000-ROW(),1),"Sub"))))</f>
        <v/>
      </c>
      <c r="J185" s="60">
        <f>IF(N($W185)=0,"",IF(AND($S185=MesCiclo,2&gt;SemanaActual),"",MIN(1,SUMIFS(OFFSET($A$1,ROW(),30,1000-ROW(),1),OFFSET($A$1,ROW(),20,1000-ROW(),1),ROW(),OFFSET($A$1,ROW(),21,1000-ROW(),1),"Sub"))))</f>
        <v/>
      </c>
      <c r="K185" s="60">
        <f>IF(N($W185)=0,"",IF(AND($S185=MesCiclo,3&gt;SemanaActual),"",MIN(1,SUMIFS(OFFSET($A$1,ROW(),31,1000-ROW(),1),OFFSET($A$1,ROW(),20,1000-ROW(),1),ROW(),OFFSET($A$1,ROW(),21,1000-ROW(),1),"Sub"))))</f>
        <v/>
      </c>
      <c r="L185" s="60">
        <f>IF(N($W185)=0,"",IF(AND($S185=MesCiclo,4&gt;SemanaActual),"",MIN(1,SUMIFS(OFFSET($A$1,ROW(),32,1000-ROW(),1),OFFSET($A$1,ROW(),20,1000-ROW(),1),ROW(),OFFSET($A$1,ROW(),21,1000-ROW(),1),"Sub"))))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IF($V185&lt;&gt;"Sub","",N($X185)*IF(AND(ISNUMBER($G185),$G185&lt;=IF($S185=MesCiclo,InicioCiclo,$S185+MOD(2-WEEKDAY($S185),7))+6),1,MIN(1,MAX(0,IF(ISNUMBER(OFFSET($A$1,ROW()-1,8)),OFFSET($A$1,ROW()-1,8),0)))))</f>
        <v/>
      </c>
      <c r="AE185" s="62">
        <f>IF($V185&lt;&gt;"Sub","",N($X185)*IF(AND(ISNUMBER($G185),$G185&lt;=IF($S185=MesCiclo,InicioCiclo,$S185+MOD(2-WEEKDAY($S185),7))+13),1,MIN(1,MAX(0,IF(ISNUMBER(OFFSET($A$1,ROW()-1,9)),OFFSET($A$1,ROW()-1,9),IF(ISNUMBER(OFFSET($A$1,ROW()-1,8)),OFFSET($A$1,ROW()-1,8),0))))))</f>
        <v/>
      </c>
      <c r="AF185" s="62">
        <f>IF($V185&lt;&gt;"Sub","",N($X185)*IF(AND(ISNUMBER($G185),$G185&lt;=IF($S185=MesCiclo,InicioCiclo,$S185+MOD(2-WEEKDAY($S185),7))+20),1,MIN(1,MAX(0,IF(ISNUMBER(OFFSET($A$1,ROW()-1,10)),OFFSET($A$1,ROW()-1,10),IF(ISNUMBER(OFFSET($A$1,ROW()-1,9)),OFFSET($A$1,ROW()-1,9),IF(ISNUMBER(OFFSET($A$1,ROW()-1,8)),OFFSET($A$1,ROW()-1,8),0)))))))</f>
        <v/>
      </c>
      <c r="AG185" s="62">
        <f>IF($V185&lt;&gt;"Sub","",N($X185)*IF(AND(ISNUMBER($G185),$G185&lt;=IF($S185=MesCiclo,InicioCiclo,$S185+MOD(2-WEEKDAY($S185),7))+27),1,MIN(1,MAX(0,IF(ISNUMBER(OFFSET($A$1,ROW()-1,11)),OFFSET($A$1,ROW()-1,11),IF(ISNUMBER(OFFSET($A$1,ROW()-1,10)),OFFSET($A$1,ROW()-1,10),IF(ISNUMBER(OFFSET($A$1,ROW()-1,9)),OFFSET($A$1,ROW()-1,9),IF(ISNUMBER(OFFSET($A$1,ROW()-1,8)),OFFSET($A$1,ROW()-1,8),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",IFERROR(MATCH("Riesgo Financiero|"&amp;MID($C185,12,500),rDname_ADM,0),0),"")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IF(N($W186)=0,"",IF(AND($S186=MesCiclo,1&gt;SemanaActual),"",MIN(1,SUMIFS(OFFSET($A$1,ROW(),29,1000-ROW(),1),OFFSET($A$1,ROW(),20,1000-ROW(),1),ROW(),OFFSET($A$1,ROW(),21,1000-ROW(),1),"Sub"))))</f>
        <v/>
      </c>
      <c r="J186" s="60">
        <f>IF(N($W186)=0,"",IF(AND($S186=MesCiclo,2&gt;SemanaActual),"",MIN(1,SUMIFS(OFFSET($A$1,ROW(),30,1000-ROW(),1),OFFSET($A$1,ROW(),20,1000-ROW(),1),ROW(),OFFSET($A$1,ROW(),21,1000-ROW(),1),"Sub"))))</f>
        <v/>
      </c>
      <c r="K186" s="60">
        <f>IF(N($W186)=0,"",IF(AND($S186=MesCiclo,3&gt;SemanaActual),"",MIN(1,SUMIFS(OFFSET($A$1,ROW(),31,1000-ROW(),1),OFFSET($A$1,ROW(),20,1000-ROW(),1),ROW(),OFFSET($A$1,ROW(),21,1000-ROW(),1),"Sub"))))</f>
        <v/>
      </c>
      <c r="L186" s="60">
        <f>IF(N($W186)=0,"",IF(AND($S186=MesCiclo,4&gt;SemanaActual),"",MIN(1,SUMIFS(OFFSET($A$1,ROW(),32,1000-ROW(),1),OFFSET($A$1,ROW(),20,1000-ROW(),1),ROW(),OFFSET($A$1,ROW(),21,1000-ROW(),1),"Sub"))))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IF($V186&lt;&gt;"Sub","",N($X186)*IF(AND(ISNUMBER($G186),$G186&lt;=IF($S186=MesCiclo,InicioCiclo,$S186+MOD(2-WEEKDAY($S186),7))+6),1,MIN(1,MAX(0,IF(ISNUMBER(OFFSET($A$1,ROW()-1,8)),OFFSET($A$1,ROW()-1,8),0)))))</f>
        <v/>
      </c>
      <c r="AE186" s="62">
        <f>IF($V186&lt;&gt;"Sub","",N($X186)*IF(AND(ISNUMBER($G186),$G186&lt;=IF($S186=MesCiclo,InicioCiclo,$S186+MOD(2-WEEKDAY($S186),7))+13),1,MIN(1,MAX(0,IF(ISNUMBER(OFFSET($A$1,ROW()-1,9)),OFFSET($A$1,ROW()-1,9),IF(ISNUMBER(OFFSET($A$1,ROW()-1,8)),OFFSET($A$1,ROW()-1,8),0))))))</f>
        <v/>
      </c>
      <c r="AF186" s="62">
        <f>IF($V186&lt;&gt;"Sub","",N($X186)*IF(AND(ISNUMBER($G186),$G186&lt;=IF($S186=MesCiclo,InicioCiclo,$S186+MOD(2-WEEKDAY($S186),7))+20),1,MIN(1,MAX(0,IF(ISNUMBER(OFFSET($A$1,ROW()-1,10)),OFFSET($A$1,ROW()-1,10),IF(ISNUMBER(OFFSET($A$1,ROW()-1,9)),OFFSET($A$1,ROW()-1,9),IF(ISNUMBER(OFFSET($A$1,ROW()-1,8)),OFFSET($A$1,ROW()-1,8),0)))))))</f>
        <v/>
      </c>
      <c r="AG186" s="62">
        <f>IF($V186&lt;&gt;"Sub","",N($X186)*IF(AND(ISNUMBER($G186),$G186&lt;=IF($S186=MesCiclo,InicioCiclo,$S186+MOD(2-WEEKDAY($S186),7))+27),1,MIN(1,MAX(0,IF(ISNUMBER(OFFSET($A$1,ROW()-1,11)),OFFSET($A$1,ROW()-1,11),IF(ISNUMBER(OFFSET($A$1,ROW()-1,10)),OFFSET($A$1,ROW()-1,10),IF(ISNUMBER(OFFSET($A$1,ROW()-1,9)),OFFSET($A$1,ROW()-1,9),IF(ISNUMBER(OFFSET($A$1,ROW()-1,8)),OFFSET($A$1,ROW()-1,8),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",IFERROR(MATCH("Riesgo Financiero|"&amp;MID($C186,12,500),rDname_ADM,0),0),"")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IF(N($W187)=0,"",IF(AND($S187=MesCiclo,1&gt;SemanaActual),"",MIN(1,SUMIFS(OFFSET($A$1,ROW(),29,1000-ROW(),1),OFFSET($A$1,ROW(),20,1000-ROW(),1),ROW(),OFFSET($A$1,ROW(),21,1000-ROW(),1),"Sub"))))</f>
        <v/>
      </c>
      <c r="J187" s="60">
        <f>IF(N($W187)=0,"",IF(AND($S187=MesCiclo,2&gt;SemanaActual),"",MIN(1,SUMIFS(OFFSET($A$1,ROW(),30,1000-ROW(),1),OFFSET($A$1,ROW(),20,1000-ROW(),1),ROW(),OFFSET($A$1,ROW(),21,1000-ROW(),1),"Sub"))))</f>
        <v/>
      </c>
      <c r="K187" s="60">
        <f>IF(N($W187)=0,"",IF(AND($S187=MesCiclo,3&gt;SemanaActual),"",MIN(1,SUMIFS(OFFSET($A$1,ROW(),31,1000-ROW(),1),OFFSET($A$1,ROW(),20,1000-ROW(),1),ROW(),OFFSET($A$1,ROW(),21,1000-ROW(),1),"Sub"))))</f>
        <v/>
      </c>
      <c r="L187" s="60">
        <f>IF(N($W187)=0,"",IF(AND($S187=MesCiclo,4&gt;SemanaActual),"",MIN(1,SUMIFS(OFFSET($A$1,ROW(),32,1000-ROW(),1),OFFSET($A$1,ROW(),20,1000-ROW(),1),ROW(),OFFSET($A$1,ROW(),21,1000-ROW(),1),"Sub"))))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IF($V187&lt;&gt;"Sub","",N($X187)*IF(AND(ISNUMBER($G187),$G187&lt;=IF($S187=MesCiclo,InicioCiclo,$S187+MOD(2-WEEKDAY($S187),7))+6),1,MIN(1,MAX(0,IF(ISNUMBER(OFFSET($A$1,ROW()-1,8)),OFFSET($A$1,ROW()-1,8),0)))))</f>
        <v/>
      </c>
      <c r="AE187" s="62">
        <f>IF($V187&lt;&gt;"Sub","",N($X187)*IF(AND(ISNUMBER($G187),$G187&lt;=IF($S187=MesCiclo,InicioCiclo,$S187+MOD(2-WEEKDAY($S187),7))+13),1,MIN(1,MAX(0,IF(ISNUMBER(OFFSET($A$1,ROW()-1,9)),OFFSET($A$1,ROW()-1,9),IF(ISNUMBER(OFFSET($A$1,ROW()-1,8)),OFFSET($A$1,ROW()-1,8),0))))))</f>
        <v/>
      </c>
      <c r="AF187" s="62">
        <f>IF($V187&lt;&gt;"Sub","",N($X187)*IF(AND(ISNUMBER($G187),$G187&lt;=IF($S187=MesCiclo,InicioCiclo,$S187+MOD(2-WEEKDAY($S187),7))+20),1,MIN(1,MAX(0,IF(ISNUMBER(OFFSET($A$1,ROW()-1,10)),OFFSET($A$1,ROW()-1,10),IF(ISNUMBER(OFFSET($A$1,ROW()-1,9)),OFFSET($A$1,ROW()-1,9),IF(ISNUMBER(OFFSET($A$1,ROW()-1,8)),OFFSET($A$1,ROW()-1,8),0)))))))</f>
        <v/>
      </c>
      <c r="AG187" s="62">
        <f>IF($V187&lt;&gt;"Sub","",N($X187)*IF(AND(ISNUMBER($G187),$G187&lt;=IF($S187=MesCiclo,InicioCiclo,$S187+MOD(2-WEEKDAY($S187),7))+27),1,MIN(1,MAX(0,IF(ISNUMBER(OFFSET($A$1,ROW()-1,11)),OFFSET($A$1,ROW()-1,11),IF(ISNUMBER(OFFSET($A$1,ROW()-1,10)),OFFSET($A$1,ROW()-1,10),IF(ISNUMBER(OFFSET($A$1,ROW()-1,9)),OFFSET($A$1,ROW()-1,9),IF(ISNUMBER(OFFSET($A$1,ROW()-1,8)),OFFSET($A$1,ROW()-1,8),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",IFERROR(MATCH("Riesgo Financiero|"&amp;MID($C187,12,500),rDname_ADM,0),0),"")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IF(N($W188)=0,"",IF(AND($S188=MesCiclo,1&gt;SemanaActual),"",MIN(1,SUMIFS(OFFSET($A$1,ROW(),29,1000-ROW(),1),OFFSET($A$1,ROW(),20,1000-ROW(),1),ROW(),OFFSET($A$1,ROW(),21,1000-ROW(),1),"Sub"))))</f>
        <v/>
      </c>
      <c r="J188" s="60">
        <f>IF(N($W188)=0,"",IF(AND($S188=MesCiclo,2&gt;SemanaActual),"",MIN(1,SUMIFS(OFFSET($A$1,ROW(),30,1000-ROW(),1),OFFSET($A$1,ROW(),20,1000-ROW(),1),ROW(),OFFSET($A$1,ROW(),21,1000-ROW(),1),"Sub"))))</f>
        <v/>
      </c>
      <c r="K188" s="60">
        <f>IF(N($W188)=0,"",IF(AND($S188=MesCiclo,3&gt;SemanaActual),"",MIN(1,SUMIFS(OFFSET($A$1,ROW(),31,1000-ROW(),1),OFFSET($A$1,ROW(),20,1000-ROW(),1),ROW(),OFFSET($A$1,ROW(),21,1000-ROW(),1),"Sub"))))</f>
        <v/>
      </c>
      <c r="L188" s="60">
        <f>IF(N($W188)=0,"",IF(AND($S188=MesCiclo,4&gt;SemanaActual),"",MIN(1,SUMIFS(OFFSET($A$1,ROW(),32,1000-ROW(),1),OFFSET($A$1,ROW(),20,1000-ROW(),1),ROW(),OFFSET($A$1,ROW(),21,1000-ROW(),1),"Sub"))))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IF($V188&lt;&gt;"Sub","",N($X188)*IF(AND(ISNUMBER($G188),$G188&lt;=IF($S188=MesCiclo,InicioCiclo,$S188+MOD(2-WEEKDAY($S188),7))+6),1,MIN(1,MAX(0,IF(ISNUMBER(OFFSET($A$1,ROW()-1,8)),OFFSET($A$1,ROW()-1,8),0)))))</f>
        <v/>
      </c>
      <c r="AE188" s="62">
        <f>IF($V188&lt;&gt;"Sub","",N($X188)*IF(AND(ISNUMBER($G188),$G188&lt;=IF($S188=MesCiclo,InicioCiclo,$S188+MOD(2-WEEKDAY($S188),7))+13),1,MIN(1,MAX(0,IF(ISNUMBER(OFFSET($A$1,ROW()-1,9)),OFFSET($A$1,ROW()-1,9),IF(ISNUMBER(OFFSET($A$1,ROW()-1,8)),OFFSET($A$1,ROW()-1,8),0))))))</f>
        <v/>
      </c>
      <c r="AF188" s="62">
        <f>IF($V188&lt;&gt;"Sub","",N($X188)*IF(AND(ISNUMBER($G188),$G188&lt;=IF($S188=MesCiclo,InicioCiclo,$S188+MOD(2-WEEKDAY($S188),7))+20),1,MIN(1,MAX(0,IF(ISNUMBER(OFFSET($A$1,ROW()-1,10)),OFFSET($A$1,ROW()-1,10),IF(ISNUMBER(OFFSET($A$1,ROW()-1,9)),OFFSET($A$1,ROW()-1,9),IF(ISNUMBER(OFFSET($A$1,ROW()-1,8)),OFFSET($A$1,ROW()-1,8),0)))))))</f>
        <v/>
      </c>
      <c r="AG188" s="62">
        <f>IF($V188&lt;&gt;"Sub","",N($X188)*IF(AND(ISNUMBER($G188),$G188&lt;=IF($S188=MesCiclo,InicioCiclo,$S188+MOD(2-WEEKDAY($S188),7))+27),1,MIN(1,MAX(0,IF(ISNUMBER(OFFSET($A$1,ROW()-1,11)),OFFSET($A$1,ROW()-1,11),IF(ISNUMBER(OFFSET($A$1,ROW()-1,10)),OFFSET($A$1,ROW()-1,10),IF(ISNUMBER(OFFSET($A$1,ROW()-1,9)),OFFSET($A$1,ROW()-1,9),IF(ISNUMBER(OFFSET($A$1,ROW()-1,8)),OFFSET($A$1,ROW()-1,8),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",IFERROR(MATCH("Riesgo Financiero|"&amp;MID($C188,12,500),rDname_ADM,0),0),"")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IF(N($W189)=0,"",IF(AND($S189=MesCiclo,1&gt;SemanaActual),"",MIN(1,SUMIFS(OFFSET($A$1,ROW(),29,1000-ROW(),1),OFFSET($A$1,ROW(),20,1000-ROW(),1),ROW(),OFFSET($A$1,ROW(),21,1000-ROW(),1),"Sub"))))</f>
        <v/>
      </c>
      <c r="J189" s="60">
        <f>IF(N($W189)=0,"",IF(AND($S189=MesCiclo,2&gt;SemanaActual),"",MIN(1,SUMIFS(OFFSET($A$1,ROW(),30,1000-ROW(),1),OFFSET($A$1,ROW(),20,1000-ROW(),1),ROW(),OFFSET($A$1,ROW(),21,1000-ROW(),1),"Sub"))))</f>
        <v/>
      </c>
      <c r="K189" s="60">
        <f>IF(N($W189)=0,"",IF(AND($S189=MesCiclo,3&gt;SemanaActual),"",MIN(1,SUMIFS(OFFSET($A$1,ROW(),31,1000-ROW(),1),OFFSET($A$1,ROW(),20,1000-ROW(),1),ROW(),OFFSET($A$1,ROW(),21,1000-ROW(),1),"Sub"))))</f>
        <v/>
      </c>
      <c r="L189" s="60">
        <f>IF(N($W189)=0,"",IF(AND($S189=MesCiclo,4&gt;SemanaActual),"",MIN(1,SUMIFS(OFFSET($A$1,ROW(),32,1000-ROW(),1),OFFSET($A$1,ROW(),20,1000-ROW(),1),ROW(),OFFSET($A$1,ROW(),21,1000-ROW(),1),"Sub"))))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IF($V189&lt;&gt;"Sub","",N($X189)*IF(AND(ISNUMBER($G189),$G189&lt;=IF($S189=MesCiclo,InicioCiclo,$S189+MOD(2-WEEKDAY($S189),7))+6),1,MIN(1,MAX(0,IF(ISNUMBER(OFFSET($A$1,ROW()-1,8)),OFFSET($A$1,ROW()-1,8),0)))))</f>
        <v/>
      </c>
      <c r="AE189" s="62">
        <f>IF($V189&lt;&gt;"Sub","",N($X189)*IF(AND(ISNUMBER($G189),$G189&lt;=IF($S189=MesCiclo,InicioCiclo,$S189+MOD(2-WEEKDAY($S189),7))+13),1,MIN(1,MAX(0,IF(ISNUMBER(OFFSET($A$1,ROW()-1,9)),OFFSET($A$1,ROW()-1,9),IF(ISNUMBER(OFFSET($A$1,ROW()-1,8)),OFFSET($A$1,ROW()-1,8),0))))))</f>
        <v/>
      </c>
      <c r="AF189" s="62">
        <f>IF($V189&lt;&gt;"Sub","",N($X189)*IF(AND(ISNUMBER($G189),$G189&lt;=IF($S189=MesCiclo,InicioCiclo,$S189+MOD(2-WEEKDAY($S189),7))+20),1,MIN(1,MAX(0,IF(ISNUMBER(OFFSET($A$1,ROW()-1,10)),OFFSET($A$1,ROW()-1,10),IF(ISNUMBER(OFFSET($A$1,ROW()-1,9)),OFFSET($A$1,ROW()-1,9),IF(ISNUMBER(OFFSET($A$1,ROW()-1,8)),OFFSET($A$1,ROW()-1,8),0)))))))</f>
        <v/>
      </c>
      <c r="AG189" s="62">
        <f>IF($V189&lt;&gt;"Sub","",N($X189)*IF(AND(ISNUMBER($G189),$G189&lt;=IF($S189=MesCiclo,InicioCiclo,$S189+MOD(2-WEEKDAY($S189),7))+27),1,MIN(1,MAX(0,IF(ISNUMBER(OFFSET($A$1,ROW()-1,11)),OFFSET($A$1,ROW()-1,11),IF(ISNUMBER(OFFSET($A$1,ROW()-1,10)),OFFSET($A$1,ROW()-1,10),IF(ISNUMBER(OFFSET($A$1,ROW()-1,9)),OFFSET($A$1,ROW()-1,9),IF(ISNUMBER(OFFSET($A$1,ROW()-1,8)),OFFSET($A$1,ROW()-1,8),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",IFERROR(MATCH("Riesgo Financiero|"&amp;MID($C189,12,500),rDname_ADM,0),0),"")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IF(N($W190)=0,"",IF(AND($S190=MesCiclo,1&gt;SemanaActual),"",MIN(1,SUMIFS(OFFSET($A$1,ROW(),29,1000-ROW(),1),OFFSET($A$1,ROW(),20,1000-ROW(),1),ROW(),OFFSET($A$1,ROW(),21,1000-ROW(),1),"Sub"))))</f>
        <v/>
      </c>
      <c r="J190" s="60">
        <f>IF(N($W190)=0,"",IF(AND($S190=MesCiclo,2&gt;SemanaActual),"",MIN(1,SUMIFS(OFFSET($A$1,ROW(),30,1000-ROW(),1),OFFSET($A$1,ROW(),20,1000-ROW(),1),ROW(),OFFSET($A$1,ROW(),21,1000-ROW(),1),"Sub"))))</f>
        <v/>
      </c>
      <c r="K190" s="60">
        <f>IF(N($W190)=0,"",IF(AND($S190=MesCiclo,3&gt;SemanaActual),"",MIN(1,SUMIFS(OFFSET($A$1,ROW(),31,1000-ROW(),1),OFFSET($A$1,ROW(),20,1000-ROW(),1),ROW(),OFFSET($A$1,ROW(),21,1000-ROW(),1),"Sub"))))</f>
        <v/>
      </c>
      <c r="L190" s="60">
        <f>IF(N($W190)=0,"",IF(AND($S190=MesCiclo,4&gt;SemanaActual),"",MIN(1,SUMIFS(OFFSET($A$1,ROW(),32,1000-ROW(),1),OFFSET($A$1,ROW(),20,1000-ROW(),1),ROW(),OFFSET($A$1,ROW(),21,1000-ROW(),1),"Sub"))))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IF($V190&lt;&gt;"Sub","",N($X190)*IF(AND(ISNUMBER($G190),$G190&lt;=IF($S190=MesCiclo,InicioCiclo,$S190+MOD(2-WEEKDAY($S190),7))+6),1,MIN(1,MAX(0,IF(ISNUMBER(OFFSET($A$1,ROW()-1,8)),OFFSET($A$1,ROW()-1,8),0)))))</f>
        <v/>
      </c>
      <c r="AE190" s="62">
        <f>IF($V190&lt;&gt;"Sub","",N($X190)*IF(AND(ISNUMBER($G190),$G190&lt;=IF($S190=MesCiclo,InicioCiclo,$S190+MOD(2-WEEKDAY($S190),7))+13),1,MIN(1,MAX(0,IF(ISNUMBER(OFFSET($A$1,ROW()-1,9)),OFFSET($A$1,ROW()-1,9),IF(ISNUMBER(OFFSET($A$1,ROW()-1,8)),OFFSET($A$1,ROW()-1,8),0))))))</f>
        <v/>
      </c>
      <c r="AF190" s="62">
        <f>IF($V190&lt;&gt;"Sub","",N($X190)*IF(AND(ISNUMBER($G190),$G190&lt;=IF($S190=MesCiclo,InicioCiclo,$S190+MOD(2-WEEKDAY($S190),7))+20),1,MIN(1,MAX(0,IF(ISNUMBER(OFFSET($A$1,ROW()-1,10)),OFFSET($A$1,ROW()-1,10),IF(ISNUMBER(OFFSET($A$1,ROW()-1,9)),OFFSET($A$1,ROW()-1,9),IF(ISNUMBER(OFFSET($A$1,ROW()-1,8)),OFFSET($A$1,ROW()-1,8),0)))))))</f>
        <v/>
      </c>
      <c r="AG190" s="62">
        <f>IF($V190&lt;&gt;"Sub","",N($X190)*IF(AND(ISNUMBER($G190),$G190&lt;=IF($S190=MesCiclo,InicioCiclo,$S190+MOD(2-WEEKDAY($S190),7))+27),1,MIN(1,MAX(0,IF(ISNUMBER(OFFSET($A$1,ROW()-1,11)),OFFSET($A$1,ROW()-1,11),IF(ISNUMBER(OFFSET($A$1,ROW()-1,10)),OFFSET($A$1,ROW()-1,10),IF(ISNUMBER(OFFSET($A$1,ROW()-1,9)),OFFSET($A$1,ROW()-1,9),IF(ISNUMBER(OFFSET($A$1,ROW()-1,8)),OFFSET($A$1,ROW()-1,8),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",IFERROR(MATCH("Riesgo Financiero|"&amp;MID($C190,12,500),rDname_ADM,0),0),"")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IF(N($W191)=0,"",IF(AND($S191=MesCiclo,1&gt;SemanaActual),"",MIN(1,SUMIFS(OFFSET($A$1,ROW(),29,1000-ROW(),1),OFFSET($A$1,ROW(),20,1000-ROW(),1),ROW(),OFFSET($A$1,ROW(),21,1000-ROW(),1),"Sub"))))</f>
        <v/>
      </c>
      <c r="J191" s="60">
        <f>IF(N($W191)=0,"",IF(AND($S191=MesCiclo,2&gt;SemanaActual),"",MIN(1,SUMIFS(OFFSET($A$1,ROW(),30,1000-ROW(),1),OFFSET($A$1,ROW(),20,1000-ROW(),1),ROW(),OFFSET($A$1,ROW(),21,1000-ROW(),1),"Sub"))))</f>
        <v/>
      </c>
      <c r="K191" s="60">
        <f>IF(N($W191)=0,"",IF(AND($S191=MesCiclo,3&gt;SemanaActual),"",MIN(1,SUMIFS(OFFSET($A$1,ROW(),31,1000-ROW(),1),OFFSET($A$1,ROW(),20,1000-ROW(),1),ROW(),OFFSET($A$1,ROW(),21,1000-ROW(),1),"Sub"))))</f>
        <v/>
      </c>
      <c r="L191" s="60">
        <f>IF(N($W191)=0,"",IF(AND($S191=MesCiclo,4&gt;SemanaActual),"",MIN(1,SUMIFS(OFFSET($A$1,ROW(),32,1000-ROW(),1),OFFSET($A$1,ROW(),20,1000-ROW(),1),ROW(),OFFSET($A$1,ROW(),21,1000-ROW(),1),"Sub"))))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IF($V191&lt;&gt;"Sub","",N($X191)*IF(AND(ISNUMBER($G191),$G191&lt;=IF($S191=MesCiclo,InicioCiclo,$S191+MOD(2-WEEKDAY($S191),7))+6),1,MIN(1,MAX(0,IF(ISNUMBER(OFFSET($A$1,ROW()-1,8)),OFFSET($A$1,ROW()-1,8),0)))))</f>
        <v/>
      </c>
      <c r="AE191" s="62">
        <f>IF($V191&lt;&gt;"Sub","",N($X191)*IF(AND(ISNUMBER($G191),$G191&lt;=IF($S191=MesCiclo,InicioCiclo,$S191+MOD(2-WEEKDAY($S191),7))+13),1,MIN(1,MAX(0,IF(ISNUMBER(OFFSET($A$1,ROW()-1,9)),OFFSET($A$1,ROW()-1,9),IF(ISNUMBER(OFFSET($A$1,ROW()-1,8)),OFFSET($A$1,ROW()-1,8),0))))))</f>
        <v/>
      </c>
      <c r="AF191" s="62">
        <f>IF($V191&lt;&gt;"Sub","",N($X191)*IF(AND(ISNUMBER($G191),$G191&lt;=IF($S191=MesCiclo,InicioCiclo,$S191+MOD(2-WEEKDAY($S191),7))+20),1,MIN(1,MAX(0,IF(ISNUMBER(OFFSET($A$1,ROW()-1,10)),OFFSET($A$1,ROW()-1,10),IF(ISNUMBER(OFFSET($A$1,ROW()-1,9)),OFFSET($A$1,ROW()-1,9),IF(ISNUMBER(OFFSET($A$1,ROW()-1,8)),OFFSET($A$1,ROW()-1,8),0)))))))</f>
        <v/>
      </c>
      <c r="AG191" s="62">
        <f>IF($V191&lt;&gt;"Sub","",N($X191)*IF(AND(ISNUMBER($G191),$G191&lt;=IF($S191=MesCiclo,InicioCiclo,$S191+MOD(2-WEEKDAY($S191),7))+27),1,MIN(1,MAX(0,IF(ISNUMBER(OFFSET($A$1,ROW()-1,11)),OFFSET($A$1,ROW()-1,11),IF(ISNUMBER(OFFSET($A$1,ROW()-1,10)),OFFSET($A$1,ROW()-1,10),IF(ISNUMBER(OFFSET($A$1,ROW()-1,9)),OFFSET($A$1,ROW()-1,9),IF(ISNUMBER(OFFSET($A$1,ROW()-1,8)),OFFSET($A$1,ROW()-1,8),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",IFERROR(MATCH("Riesgo Financiero|"&amp;MID($C191,12,500),rDname_ADM,0),0),"")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IF(N($W192)=0,"",IF(AND($S192=MesCiclo,1&gt;SemanaActual),"",MIN(1,SUMIFS(OFFSET($A$1,ROW(),29,1000-ROW(),1),OFFSET($A$1,ROW(),20,1000-ROW(),1),ROW(),OFFSET($A$1,ROW(),21,1000-ROW(),1),"Sub"))))</f>
        <v/>
      </c>
      <c r="J192" s="60">
        <f>IF(N($W192)=0,"",IF(AND($S192=MesCiclo,2&gt;SemanaActual),"",MIN(1,SUMIFS(OFFSET($A$1,ROW(),30,1000-ROW(),1),OFFSET($A$1,ROW(),20,1000-ROW(),1),ROW(),OFFSET($A$1,ROW(),21,1000-ROW(),1),"Sub"))))</f>
        <v/>
      </c>
      <c r="K192" s="60">
        <f>IF(N($W192)=0,"",IF(AND($S192=MesCiclo,3&gt;SemanaActual),"",MIN(1,SUMIFS(OFFSET($A$1,ROW(),31,1000-ROW(),1),OFFSET($A$1,ROW(),20,1000-ROW(),1),ROW(),OFFSET($A$1,ROW(),21,1000-ROW(),1),"Sub"))))</f>
        <v/>
      </c>
      <c r="L192" s="60">
        <f>IF(N($W192)=0,"",IF(AND($S192=MesCiclo,4&gt;SemanaActual),"",MIN(1,SUMIFS(OFFSET($A$1,ROW(),32,1000-ROW(),1),OFFSET($A$1,ROW(),20,1000-ROW(),1),ROW(),OFFSET($A$1,ROW(),21,1000-ROW(),1),"Sub"))))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IF($V192&lt;&gt;"Sub","",N($X192)*IF(AND(ISNUMBER($G192),$G192&lt;=IF($S192=MesCiclo,InicioCiclo,$S192+MOD(2-WEEKDAY($S192),7))+6),1,MIN(1,MAX(0,IF(ISNUMBER(OFFSET($A$1,ROW()-1,8)),OFFSET($A$1,ROW()-1,8),0)))))</f>
        <v/>
      </c>
      <c r="AE192" s="62">
        <f>IF($V192&lt;&gt;"Sub","",N($X192)*IF(AND(ISNUMBER($G192),$G192&lt;=IF($S192=MesCiclo,InicioCiclo,$S192+MOD(2-WEEKDAY($S192),7))+13),1,MIN(1,MAX(0,IF(ISNUMBER(OFFSET($A$1,ROW()-1,9)),OFFSET($A$1,ROW()-1,9),IF(ISNUMBER(OFFSET($A$1,ROW()-1,8)),OFFSET($A$1,ROW()-1,8),0))))))</f>
        <v/>
      </c>
      <c r="AF192" s="62">
        <f>IF($V192&lt;&gt;"Sub","",N($X192)*IF(AND(ISNUMBER($G192),$G192&lt;=IF($S192=MesCiclo,InicioCiclo,$S192+MOD(2-WEEKDAY($S192),7))+20),1,MIN(1,MAX(0,IF(ISNUMBER(OFFSET($A$1,ROW()-1,10)),OFFSET($A$1,ROW()-1,10),IF(ISNUMBER(OFFSET($A$1,ROW()-1,9)),OFFSET($A$1,ROW()-1,9),IF(ISNUMBER(OFFSET($A$1,ROW()-1,8)),OFFSET($A$1,ROW()-1,8),0)))))))</f>
        <v/>
      </c>
      <c r="AG192" s="62">
        <f>IF($V192&lt;&gt;"Sub","",N($X192)*IF(AND(ISNUMBER($G192),$G192&lt;=IF($S192=MesCiclo,InicioCiclo,$S192+MOD(2-WEEKDAY($S192),7))+27),1,MIN(1,MAX(0,IF(ISNUMBER(OFFSET($A$1,ROW()-1,11)),OFFSET($A$1,ROW()-1,11),IF(ISNUMBER(OFFSET($A$1,ROW()-1,10)),OFFSET($A$1,ROW()-1,10),IF(ISNUMBER(OFFSET($A$1,ROW()-1,9)),OFFSET($A$1,ROW()-1,9),IF(ISNUMBER(OFFSET($A$1,ROW()-1,8)),OFFSET($A$1,ROW()-1,8),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",IFERROR(MATCH("Riesgo Financiero|"&amp;MID($C192,12,500),rDname_ADM,0),0),"")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IF(N($W193)=0,"",IF(AND($S193=MesCiclo,1&gt;SemanaActual),"",MIN(1,SUMIFS(OFFSET($A$1,ROW(),29,1000-ROW(),1),OFFSET($A$1,ROW(),20,1000-ROW(),1),ROW(),OFFSET($A$1,ROW(),21,1000-ROW(),1),"Sub"))))</f>
        <v/>
      </c>
      <c r="J193" s="60">
        <f>IF(N($W193)=0,"",IF(AND($S193=MesCiclo,2&gt;SemanaActual),"",MIN(1,SUMIFS(OFFSET($A$1,ROW(),30,1000-ROW(),1),OFFSET($A$1,ROW(),20,1000-ROW(),1),ROW(),OFFSET($A$1,ROW(),21,1000-ROW(),1),"Sub"))))</f>
        <v/>
      </c>
      <c r="K193" s="60">
        <f>IF(N($W193)=0,"",IF(AND($S193=MesCiclo,3&gt;SemanaActual),"",MIN(1,SUMIFS(OFFSET($A$1,ROW(),31,1000-ROW(),1),OFFSET($A$1,ROW(),20,1000-ROW(),1),ROW(),OFFSET($A$1,ROW(),21,1000-ROW(),1),"Sub"))))</f>
        <v/>
      </c>
      <c r="L193" s="60">
        <f>IF(N($W193)=0,"",IF(AND($S193=MesCiclo,4&gt;SemanaActual),"",MIN(1,SUMIFS(OFFSET($A$1,ROW(),32,1000-ROW(),1),OFFSET($A$1,ROW(),20,1000-ROW(),1),ROW(),OFFSET($A$1,ROW(),21,1000-ROW(),1),"Sub"))))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IF($V193&lt;&gt;"Sub","",N($X193)*IF(AND(ISNUMBER($G193),$G193&lt;=IF($S193=MesCiclo,InicioCiclo,$S193+MOD(2-WEEKDAY($S193),7))+6),1,MIN(1,MAX(0,IF(ISNUMBER(OFFSET($A$1,ROW()-1,8)),OFFSET($A$1,ROW()-1,8),0)))))</f>
        <v/>
      </c>
      <c r="AE193" s="62">
        <f>IF($V193&lt;&gt;"Sub","",N($X193)*IF(AND(ISNUMBER($G193),$G193&lt;=IF($S193=MesCiclo,InicioCiclo,$S193+MOD(2-WEEKDAY($S193),7))+13),1,MIN(1,MAX(0,IF(ISNUMBER(OFFSET($A$1,ROW()-1,9)),OFFSET($A$1,ROW()-1,9),IF(ISNUMBER(OFFSET($A$1,ROW()-1,8)),OFFSET($A$1,ROW()-1,8),0))))))</f>
        <v/>
      </c>
      <c r="AF193" s="62">
        <f>IF($V193&lt;&gt;"Sub","",N($X193)*IF(AND(ISNUMBER($G193),$G193&lt;=IF($S193=MesCiclo,InicioCiclo,$S193+MOD(2-WEEKDAY($S193),7))+20),1,MIN(1,MAX(0,IF(ISNUMBER(OFFSET($A$1,ROW()-1,10)),OFFSET($A$1,ROW()-1,10),IF(ISNUMBER(OFFSET($A$1,ROW()-1,9)),OFFSET($A$1,ROW()-1,9),IF(ISNUMBER(OFFSET($A$1,ROW()-1,8)),OFFSET($A$1,ROW()-1,8),0)))))))</f>
        <v/>
      </c>
      <c r="AG193" s="62">
        <f>IF($V193&lt;&gt;"Sub","",N($X193)*IF(AND(ISNUMBER($G193),$G193&lt;=IF($S193=MesCiclo,InicioCiclo,$S193+MOD(2-WEEKDAY($S193),7))+27),1,MIN(1,MAX(0,IF(ISNUMBER(OFFSET($A$1,ROW()-1,11)),OFFSET($A$1,ROW()-1,11),IF(ISNUMBER(OFFSET($A$1,ROW()-1,10)),OFFSET($A$1,ROW()-1,10),IF(ISNUMBER(OFFSET($A$1,ROW()-1,9)),OFFSET($A$1,ROW()-1,9),IF(ISNUMBER(OFFSET($A$1,ROW()-1,8)),OFFSET($A$1,ROW()-1,8),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",IFERROR(MATCH("Riesgo Financiero|"&amp;MID($C193,12,500),rDname_ADM,0),0),"")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IF(N($W194)=0,"",IF(AND($S194=MesCiclo,1&gt;SemanaActual),"",MIN(1,SUMIFS(OFFSET($A$1,ROW(),29,1000-ROW(),1),OFFSET($A$1,ROW(),20,1000-ROW(),1),ROW(),OFFSET($A$1,ROW(),21,1000-ROW(),1),"Sub"))))</f>
        <v/>
      </c>
      <c r="J194" s="60">
        <f>IF(N($W194)=0,"",IF(AND($S194=MesCiclo,2&gt;SemanaActual),"",MIN(1,SUMIFS(OFFSET($A$1,ROW(),30,1000-ROW(),1),OFFSET($A$1,ROW(),20,1000-ROW(),1),ROW(),OFFSET($A$1,ROW(),21,1000-ROW(),1),"Sub"))))</f>
        <v/>
      </c>
      <c r="K194" s="60">
        <f>IF(N($W194)=0,"",IF(AND($S194=MesCiclo,3&gt;SemanaActual),"",MIN(1,SUMIFS(OFFSET($A$1,ROW(),31,1000-ROW(),1),OFFSET($A$1,ROW(),20,1000-ROW(),1),ROW(),OFFSET($A$1,ROW(),21,1000-ROW(),1),"Sub"))))</f>
        <v/>
      </c>
      <c r="L194" s="60">
        <f>IF(N($W194)=0,"",IF(AND($S194=MesCiclo,4&gt;SemanaActual),"",MIN(1,SUMIFS(OFFSET($A$1,ROW(),32,1000-ROW(),1),OFFSET($A$1,ROW(),20,1000-ROW(),1),ROW(),OFFSET($A$1,ROW(),21,1000-ROW(),1),"Sub"))))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IF($V194&lt;&gt;"Sub","",N($X194)*IF(AND(ISNUMBER($G194),$G194&lt;=IF($S194=MesCiclo,InicioCiclo,$S194+MOD(2-WEEKDAY($S194),7))+6),1,MIN(1,MAX(0,IF(ISNUMBER(OFFSET($A$1,ROW()-1,8)),OFFSET($A$1,ROW()-1,8),0)))))</f>
        <v/>
      </c>
      <c r="AE194" s="62">
        <f>IF($V194&lt;&gt;"Sub","",N($X194)*IF(AND(ISNUMBER($G194),$G194&lt;=IF($S194=MesCiclo,InicioCiclo,$S194+MOD(2-WEEKDAY($S194),7))+13),1,MIN(1,MAX(0,IF(ISNUMBER(OFFSET($A$1,ROW()-1,9)),OFFSET($A$1,ROW()-1,9),IF(ISNUMBER(OFFSET($A$1,ROW()-1,8)),OFFSET($A$1,ROW()-1,8),0))))))</f>
        <v/>
      </c>
      <c r="AF194" s="62">
        <f>IF($V194&lt;&gt;"Sub","",N($X194)*IF(AND(ISNUMBER($G194),$G194&lt;=IF($S194=MesCiclo,InicioCiclo,$S194+MOD(2-WEEKDAY($S194),7))+20),1,MIN(1,MAX(0,IF(ISNUMBER(OFFSET($A$1,ROW()-1,10)),OFFSET($A$1,ROW()-1,10),IF(ISNUMBER(OFFSET($A$1,ROW()-1,9)),OFFSET($A$1,ROW()-1,9),IF(ISNUMBER(OFFSET($A$1,ROW()-1,8)),OFFSET($A$1,ROW()-1,8),0)))))))</f>
        <v/>
      </c>
      <c r="AG194" s="62">
        <f>IF($V194&lt;&gt;"Sub","",N($X194)*IF(AND(ISNUMBER($G194),$G194&lt;=IF($S194=MesCiclo,InicioCiclo,$S194+MOD(2-WEEKDAY($S194),7))+27),1,MIN(1,MAX(0,IF(ISNUMBER(OFFSET($A$1,ROW()-1,11)),OFFSET($A$1,ROW()-1,11),IF(ISNUMBER(OFFSET($A$1,ROW()-1,10)),OFFSET($A$1,ROW()-1,10),IF(ISNUMBER(OFFSET($A$1,ROW()-1,9)),OFFSET($A$1,ROW()-1,9),IF(ISNUMBER(OFFSET($A$1,ROW()-1,8)),OFFSET($A$1,ROW()-1,8),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",IFERROR(MATCH("Riesgo Financiero|"&amp;MID($C194,12,500),rDname_ADM,0),0),"")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IF(N($W195)=0,"",IF(AND($S195=MesCiclo,1&gt;SemanaActual),"",MIN(1,SUMIFS(OFFSET($A$1,ROW(),29,1000-ROW(),1),OFFSET($A$1,ROW(),20,1000-ROW(),1),ROW(),OFFSET($A$1,ROW(),21,1000-ROW(),1),"Sub"))))</f>
        <v/>
      </c>
      <c r="J195" s="60">
        <f>IF(N($W195)=0,"",IF(AND($S195=MesCiclo,2&gt;SemanaActual),"",MIN(1,SUMIFS(OFFSET($A$1,ROW(),30,1000-ROW(),1),OFFSET($A$1,ROW(),20,1000-ROW(),1),ROW(),OFFSET($A$1,ROW(),21,1000-ROW(),1),"Sub"))))</f>
        <v/>
      </c>
      <c r="K195" s="60">
        <f>IF(N($W195)=0,"",IF(AND($S195=MesCiclo,3&gt;SemanaActual),"",MIN(1,SUMIFS(OFFSET($A$1,ROW(),31,1000-ROW(),1),OFFSET($A$1,ROW(),20,1000-ROW(),1),ROW(),OFFSET($A$1,ROW(),21,1000-ROW(),1),"Sub"))))</f>
        <v/>
      </c>
      <c r="L195" s="60">
        <f>IF(N($W195)=0,"",IF(AND($S195=MesCiclo,4&gt;SemanaActual),"",MIN(1,SUMIFS(OFFSET($A$1,ROW(),32,1000-ROW(),1),OFFSET($A$1,ROW(),20,1000-ROW(),1),ROW(),OFFSET($A$1,ROW(),21,1000-ROW(),1),"Sub"))))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IF($V195&lt;&gt;"Sub","",N($X195)*IF(AND(ISNUMBER($G195),$G195&lt;=IF($S195=MesCiclo,InicioCiclo,$S195+MOD(2-WEEKDAY($S195),7))+6),1,MIN(1,MAX(0,IF(ISNUMBER(OFFSET($A$1,ROW()-1,8)),OFFSET($A$1,ROW()-1,8),0)))))</f>
        <v/>
      </c>
      <c r="AE195" s="62">
        <f>IF($V195&lt;&gt;"Sub","",N($X195)*IF(AND(ISNUMBER($G195),$G195&lt;=IF($S195=MesCiclo,InicioCiclo,$S195+MOD(2-WEEKDAY($S195),7))+13),1,MIN(1,MAX(0,IF(ISNUMBER(OFFSET($A$1,ROW()-1,9)),OFFSET($A$1,ROW()-1,9),IF(ISNUMBER(OFFSET($A$1,ROW()-1,8)),OFFSET($A$1,ROW()-1,8),0))))))</f>
        <v/>
      </c>
      <c r="AF195" s="62">
        <f>IF($V195&lt;&gt;"Sub","",N($X195)*IF(AND(ISNUMBER($G195),$G195&lt;=IF($S195=MesCiclo,InicioCiclo,$S195+MOD(2-WEEKDAY($S195),7))+20),1,MIN(1,MAX(0,IF(ISNUMBER(OFFSET($A$1,ROW()-1,10)),OFFSET($A$1,ROW()-1,10),IF(ISNUMBER(OFFSET($A$1,ROW()-1,9)),OFFSET($A$1,ROW()-1,9),IF(ISNUMBER(OFFSET($A$1,ROW()-1,8)),OFFSET($A$1,ROW()-1,8),0)))))))</f>
        <v/>
      </c>
      <c r="AG195" s="62">
        <f>IF($V195&lt;&gt;"Sub","",N($X195)*IF(AND(ISNUMBER($G195),$G195&lt;=IF($S195=MesCiclo,InicioCiclo,$S195+MOD(2-WEEKDAY($S195),7))+27),1,MIN(1,MAX(0,IF(ISNUMBER(OFFSET($A$1,ROW()-1,11)),OFFSET($A$1,ROW()-1,11),IF(ISNUMBER(OFFSET($A$1,ROW()-1,10)),OFFSET($A$1,ROW()-1,10),IF(ISNUMBER(OFFSET($A$1,ROW()-1,9)),OFFSET($A$1,ROW()-1,9),IF(ISNUMBER(OFFSET($A$1,ROW()-1,8)),OFFSET($A$1,ROW()-1,8),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",IFERROR(MATCH("Riesgo Financiero|"&amp;MID($C195,12,500),rDname_ADM,0),0),"")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IF(N($W196)=0,"",IF(AND($S196=MesCiclo,1&gt;SemanaActual),"",MIN(1,SUMIFS(OFFSET($A$1,ROW(),29,1000-ROW(),1),OFFSET($A$1,ROW(),20,1000-ROW(),1),ROW(),OFFSET($A$1,ROW(),21,1000-ROW(),1),"Sub"))))</f>
        <v/>
      </c>
      <c r="J196" s="60">
        <f>IF(N($W196)=0,"",IF(AND($S196=MesCiclo,2&gt;SemanaActual),"",MIN(1,SUMIFS(OFFSET($A$1,ROW(),30,1000-ROW(),1),OFFSET($A$1,ROW(),20,1000-ROW(),1),ROW(),OFFSET($A$1,ROW(),21,1000-ROW(),1),"Sub"))))</f>
        <v/>
      </c>
      <c r="K196" s="60">
        <f>IF(N($W196)=0,"",IF(AND($S196=MesCiclo,3&gt;SemanaActual),"",MIN(1,SUMIFS(OFFSET($A$1,ROW(),31,1000-ROW(),1),OFFSET($A$1,ROW(),20,1000-ROW(),1),ROW(),OFFSET($A$1,ROW(),21,1000-ROW(),1),"Sub"))))</f>
        <v/>
      </c>
      <c r="L196" s="60">
        <f>IF(N($W196)=0,"",IF(AND($S196=MesCiclo,4&gt;SemanaActual),"",MIN(1,SUMIFS(OFFSET($A$1,ROW(),32,1000-ROW(),1),OFFSET($A$1,ROW(),20,1000-ROW(),1),ROW(),OFFSET($A$1,ROW(),21,1000-ROW(),1),"Sub"))))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IF($V196&lt;&gt;"Sub","",N($X196)*IF(AND(ISNUMBER($G196),$G196&lt;=IF($S196=MesCiclo,InicioCiclo,$S196+MOD(2-WEEKDAY($S196),7))+6),1,MIN(1,MAX(0,IF(ISNUMBER(OFFSET($A$1,ROW()-1,8)),OFFSET($A$1,ROW()-1,8),0)))))</f>
        <v/>
      </c>
      <c r="AE196" s="62">
        <f>IF($V196&lt;&gt;"Sub","",N($X196)*IF(AND(ISNUMBER($G196),$G196&lt;=IF($S196=MesCiclo,InicioCiclo,$S196+MOD(2-WEEKDAY($S196),7))+13),1,MIN(1,MAX(0,IF(ISNUMBER(OFFSET($A$1,ROW()-1,9)),OFFSET($A$1,ROW()-1,9),IF(ISNUMBER(OFFSET($A$1,ROW()-1,8)),OFFSET($A$1,ROW()-1,8),0))))))</f>
        <v/>
      </c>
      <c r="AF196" s="62">
        <f>IF($V196&lt;&gt;"Sub","",N($X196)*IF(AND(ISNUMBER($G196),$G196&lt;=IF($S196=MesCiclo,InicioCiclo,$S196+MOD(2-WEEKDAY($S196),7))+20),1,MIN(1,MAX(0,IF(ISNUMBER(OFFSET($A$1,ROW()-1,10)),OFFSET($A$1,ROW()-1,10),IF(ISNUMBER(OFFSET($A$1,ROW()-1,9)),OFFSET($A$1,ROW()-1,9),IF(ISNUMBER(OFFSET($A$1,ROW()-1,8)),OFFSET($A$1,ROW()-1,8),0)))))))</f>
        <v/>
      </c>
      <c r="AG196" s="62">
        <f>IF($V196&lt;&gt;"Sub","",N($X196)*IF(AND(ISNUMBER($G196),$G196&lt;=IF($S196=MesCiclo,InicioCiclo,$S196+MOD(2-WEEKDAY($S196),7))+27),1,MIN(1,MAX(0,IF(ISNUMBER(OFFSET($A$1,ROW()-1,11)),OFFSET($A$1,ROW()-1,11),IF(ISNUMBER(OFFSET($A$1,ROW()-1,10)),OFFSET($A$1,ROW()-1,10),IF(ISNUMBER(OFFSET($A$1,ROW()-1,9)),OFFSET($A$1,ROW()-1,9),IF(ISNUMBER(OFFSET($A$1,ROW()-1,8)),OFFSET($A$1,ROW()-1,8),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",IFERROR(MATCH("Riesgo Financiero|"&amp;MID($C196,12,500),rDname_ADM,0),0),"")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IF(N($W197)=0,"",IF(AND($S197=MesCiclo,1&gt;SemanaActual),"",MIN(1,SUMIFS(OFFSET($A$1,ROW(),29,1000-ROW(),1),OFFSET($A$1,ROW(),20,1000-ROW(),1),ROW(),OFFSET($A$1,ROW(),21,1000-ROW(),1),"Sub"))))</f>
        <v/>
      </c>
      <c r="J197" s="60">
        <f>IF(N($W197)=0,"",IF(AND($S197=MesCiclo,2&gt;SemanaActual),"",MIN(1,SUMIFS(OFFSET($A$1,ROW(),30,1000-ROW(),1),OFFSET($A$1,ROW(),20,1000-ROW(),1),ROW(),OFFSET($A$1,ROW(),21,1000-ROW(),1),"Sub"))))</f>
        <v/>
      </c>
      <c r="K197" s="60">
        <f>IF(N($W197)=0,"",IF(AND($S197=MesCiclo,3&gt;SemanaActual),"",MIN(1,SUMIFS(OFFSET($A$1,ROW(),31,1000-ROW(),1),OFFSET($A$1,ROW(),20,1000-ROW(),1),ROW(),OFFSET($A$1,ROW(),21,1000-ROW(),1),"Sub"))))</f>
        <v/>
      </c>
      <c r="L197" s="60">
        <f>IF(N($W197)=0,"",IF(AND($S197=MesCiclo,4&gt;SemanaActual),"",MIN(1,SUMIFS(OFFSET($A$1,ROW(),32,1000-ROW(),1),OFFSET($A$1,ROW(),20,1000-ROW(),1),ROW(),OFFSET($A$1,ROW(),21,1000-ROW(),1),"Sub"))))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IF($V197&lt;&gt;"Sub","",N($X197)*IF(AND(ISNUMBER($G197),$G197&lt;=IF($S197=MesCiclo,InicioCiclo,$S197+MOD(2-WEEKDAY($S197),7))+6),1,MIN(1,MAX(0,IF(ISNUMBER(OFFSET($A$1,ROW()-1,8)),OFFSET($A$1,ROW()-1,8),0)))))</f>
        <v/>
      </c>
      <c r="AE197" s="62">
        <f>IF($V197&lt;&gt;"Sub","",N($X197)*IF(AND(ISNUMBER($G197),$G197&lt;=IF($S197=MesCiclo,InicioCiclo,$S197+MOD(2-WEEKDAY($S197),7))+13),1,MIN(1,MAX(0,IF(ISNUMBER(OFFSET($A$1,ROW()-1,9)),OFFSET($A$1,ROW()-1,9),IF(ISNUMBER(OFFSET($A$1,ROW()-1,8)),OFFSET($A$1,ROW()-1,8),0))))))</f>
        <v/>
      </c>
      <c r="AF197" s="62">
        <f>IF($V197&lt;&gt;"Sub","",N($X197)*IF(AND(ISNUMBER($G197),$G197&lt;=IF($S197=MesCiclo,InicioCiclo,$S197+MOD(2-WEEKDAY($S197),7))+20),1,MIN(1,MAX(0,IF(ISNUMBER(OFFSET($A$1,ROW()-1,10)),OFFSET($A$1,ROW()-1,10),IF(ISNUMBER(OFFSET($A$1,ROW()-1,9)),OFFSET($A$1,ROW()-1,9),IF(ISNUMBER(OFFSET($A$1,ROW()-1,8)),OFFSET($A$1,ROW()-1,8),0)))))))</f>
        <v/>
      </c>
      <c r="AG197" s="62">
        <f>IF($V197&lt;&gt;"Sub","",N($X197)*IF(AND(ISNUMBER($G197),$G197&lt;=IF($S197=MesCiclo,InicioCiclo,$S197+MOD(2-WEEKDAY($S197),7))+27),1,MIN(1,MAX(0,IF(ISNUMBER(OFFSET($A$1,ROW()-1,11)),OFFSET($A$1,ROW()-1,11),IF(ISNUMBER(OFFSET($A$1,ROW()-1,10)),OFFSET($A$1,ROW()-1,10),IF(ISNUMBER(OFFSET($A$1,ROW()-1,9)),OFFSET($A$1,ROW()-1,9),IF(ISNUMBER(OFFSET($A$1,ROW()-1,8)),OFFSET($A$1,ROW()-1,8),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",IFERROR(MATCH("Riesgo Financiero|"&amp;MID($C197,12,500),rDname_ADM,0),0),"")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IF(N($W198)=0,"",IF(AND($S198=MesCiclo,1&gt;SemanaActual),"",MIN(1,SUMIFS(OFFSET($A$1,ROW(),29,1000-ROW(),1),OFFSET($A$1,ROW(),20,1000-ROW(),1),ROW(),OFFSET($A$1,ROW(),21,1000-ROW(),1),"Sub"))))</f>
        <v/>
      </c>
      <c r="J198" s="60">
        <f>IF(N($W198)=0,"",IF(AND($S198=MesCiclo,2&gt;SemanaActual),"",MIN(1,SUMIFS(OFFSET($A$1,ROW(),30,1000-ROW(),1),OFFSET($A$1,ROW(),20,1000-ROW(),1),ROW(),OFFSET($A$1,ROW(),21,1000-ROW(),1),"Sub"))))</f>
        <v/>
      </c>
      <c r="K198" s="60">
        <f>IF(N($W198)=0,"",IF(AND($S198=MesCiclo,3&gt;SemanaActual),"",MIN(1,SUMIFS(OFFSET($A$1,ROW(),31,1000-ROW(),1),OFFSET($A$1,ROW(),20,1000-ROW(),1),ROW(),OFFSET($A$1,ROW(),21,1000-ROW(),1),"Sub"))))</f>
        <v/>
      </c>
      <c r="L198" s="60">
        <f>IF(N($W198)=0,"",IF(AND($S198=MesCiclo,4&gt;SemanaActual),"",MIN(1,SUMIFS(OFFSET($A$1,ROW(),32,1000-ROW(),1),OFFSET($A$1,ROW(),20,1000-ROW(),1),ROW(),OFFSET($A$1,ROW(),21,1000-ROW(),1),"Sub"))))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IF($V198&lt;&gt;"Sub","",N($X198)*IF(AND(ISNUMBER($G198),$G198&lt;=IF($S198=MesCiclo,InicioCiclo,$S198+MOD(2-WEEKDAY($S198),7))+6),1,MIN(1,MAX(0,IF(ISNUMBER(OFFSET($A$1,ROW()-1,8)),OFFSET($A$1,ROW()-1,8),0)))))</f>
        <v/>
      </c>
      <c r="AE198" s="62">
        <f>IF($V198&lt;&gt;"Sub","",N($X198)*IF(AND(ISNUMBER($G198),$G198&lt;=IF($S198=MesCiclo,InicioCiclo,$S198+MOD(2-WEEKDAY($S198),7))+13),1,MIN(1,MAX(0,IF(ISNUMBER(OFFSET($A$1,ROW()-1,9)),OFFSET($A$1,ROW()-1,9),IF(ISNUMBER(OFFSET($A$1,ROW()-1,8)),OFFSET($A$1,ROW()-1,8),0))))))</f>
        <v/>
      </c>
      <c r="AF198" s="62">
        <f>IF($V198&lt;&gt;"Sub","",N($X198)*IF(AND(ISNUMBER($G198),$G198&lt;=IF($S198=MesCiclo,InicioCiclo,$S198+MOD(2-WEEKDAY($S198),7))+20),1,MIN(1,MAX(0,IF(ISNUMBER(OFFSET($A$1,ROW()-1,10)),OFFSET($A$1,ROW()-1,10),IF(ISNUMBER(OFFSET($A$1,ROW()-1,9)),OFFSET($A$1,ROW()-1,9),IF(ISNUMBER(OFFSET($A$1,ROW()-1,8)),OFFSET($A$1,ROW()-1,8),0)))))))</f>
        <v/>
      </c>
      <c r="AG198" s="62">
        <f>IF($V198&lt;&gt;"Sub","",N($X198)*IF(AND(ISNUMBER($G198),$G198&lt;=IF($S198=MesCiclo,InicioCiclo,$S198+MOD(2-WEEKDAY($S198),7))+27),1,MIN(1,MAX(0,IF(ISNUMBER(OFFSET($A$1,ROW()-1,11)),OFFSET($A$1,ROW()-1,11),IF(ISNUMBER(OFFSET($A$1,ROW()-1,10)),OFFSET($A$1,ROW()-1,10),IF(ISNUMBER(OFFSET($A$1,ROW()-1,9)),OFFSET($A$1,ROW()-1,9),IF(ISNUMBER(OFFSET($A$1,ROW()-1,8)),OFFSET($A$1,ROW()-1,8),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",IFERROR(MATCH("Riesgo Financiero|"&amp;MID($C198,12,500),rDname_ADM,0),0),"")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IF(N($W199)=0,"",IF(AND($S199=MesCiclo,1&gt;SemanaActual),"",MIN(1,SUMIFS(OFFSET($A$1,ROW(),29,1000-ROW(),1),OFFSET($A$1,ROW(),20,1000-ROW(),1),ROW(),OFFSET($A$1,ROW(),21,1000-ROW(),1),"Sub"))))</f>
        <v/>
      </c>
      <c r="J199" s="60">
        <f>IF(N($W199)=0,"",IF(AND($S199=MesCiclo,2&gt;SemanaActual),"",MIN(1,SUMIFS(OFFSET($A$1,ROW(),30,1000-ROW(),1),OFFSET($A$1,ROW(),20,1000-ROW(),1),ROW(),OFFSET($A$1,ROW(),21,1000-ROW(),1),"Sub"))))</f>
        <v/>
      </c>
      <c r="K199" s="60">
        <f>IF(N($W199)=0,"",IF(AND($S199=MesCiclo,3&gt;SemanaActual),"",MIN(1,SUMIFS(OFFSET($A$1,ROW(),31,1000-ROW(),1),OFFSET($A$1,ROW(),20,1000-ROW(),1),ROW(),OFFSET($A$1,ROW(),21,1000-ROW(),1),"Sub"))))</f>
        <v/>
      </c>
      <c r="L199" s="60">
        <f>IF(N($W199)=0,"",IF(AND($S199=MesCiclo,4&gt;SemanaActual),"",MIN(1,SUMIFS(OFFSET($A$1,ROW(),32,1000-ROW(),1),OFFSET($A$1,ROW(),20,1000-ROW(),1),ROW(),OFFSET($A$1,ROW(),21,1000-ROW(),1),"Sub"))))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IF($V199&lt;&gt;"Sub","",N($X199)*IF(AND(ISNUMBER($G199),$G199&lt;=IF($S199=MesCiclo,InicioCiclo,$S199+MOD(2-WEEKDAY($S199),7))+6),1,MIN(1,MAX(0,IF(ISNUMBER(OFFSET($A$1,ROW()-1,8)),OFFSET($A$1,ROW()-1,8),0)))))</f>
        <v/>
      </c>
      <c r="AE199" s="62">
        <f>IF($V199&lt;&gt;"Sub","",N($X199)*IF(AND(ISNUMBER($G199),$G199&lt;=IF($S199=MesCiclo,InicioCiclo,$S199+MOD(2-WEEKDAY($S199),7))+13),1,MIN(1,MAX(0,IF(ISNUMBER(OFFSET($A$1,ROW()-1,9)),OFFSET($A$1,ROW()-1,9),IF(ISNUMBER(OFFSET($A$1,ROW()-1,8)),OFFSET($A$1,ROW()-1,8),0))))))</f>
        <v/>
      </c>
      <c r="AF199" s="62">
        <f>IF($V199&lt;&gt;"Sub","",N($X199)*IF(AND(ISNUMBER($G199),$G199&lt;=IF($S199=MesCiclo,InicioCiclo,$S199+MOD(2-WEEKDAY($S199),7))+20),1,MIN(1,MAX(0,IF(ISNUMBER(OFFSET($A$1,ROW()-1,10)),OFFSET($A$1,ROW()-1,10),IF(ISNUMBER(OFFSET($A$1,ROW()-1,9)),OFFSET($A$1,ROW()-1,9),IF(ISNUMBER(OFFSET($A$1,ROW()-1,8)),OFFSET($A$1,ROW()-1,8),0)))))))</f>
        <v/>
      </c>
      <c r="AG199" s="62">
        <f>IF($V199&lt;&gt;"Sub","",N($X199)*IF(AND(ISNUMBER($G199),$G199&lt;=IF($S199=MesCiclo,InicioCiclo,$S199+MOD(2-WEEKDAY($S199),7))+27),1,MIN(1,MAX(0,IF(ISNUMBER(OFFSET($A$1,ROW()-1,11)),OFFSET($A$1,ROW()-1,11),IF(ISNUMBER(OFFSET($A$1,ROW()-1,10)),OFFSET($A$1,ROW()-1,10),IF(ISNUMBER(OFFSET($A$1,ROW()-1,9)),OFFSET($A$1,ROW()-1,9),IF(ISNUMBER(OFFSET($A$1,ROW()-1,8)),OFFSET($A$1,ROW()-1,8),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",IFERROR(MATCH("Riesgo Financiero|"&amp;MID($C199,12,500),rDname_ADM,0),0),"")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IF(N($W200)=0,"",IF(AND($S200=MesCiclo,1&gt;SemanaActual),"",MIN(1,SUMIFS(OFFSET($A$1,ROW(),29,1000-ROW(),1),OFFSET($A$1,ROW(),20,1000-ROW(),1),ROW(),OFFSET($A$1,ROW(),21,1000-ROW(),1),"Sub"))))</f>
        <v/>
      </c>
      <c r="J200" s="60">
        <f>IF(N($W200)=0,"",IF(AND($S200=MesCiclo,2&gt;SemanaActual),"",MIN(1,SUMIFS(OFFSET($A$1,ROW(),30,1000-ROW(),1),OFFSET($A$1,ROW(),20,1000-ROW(),1),ROW(),OFFSET($A$1,ROW(),21,1000-ROW(),1),"Sub"))))</f>
        <v/>
      </c>
      <c r="K200" s="60">
        <f>IF(N($W200)=0,"",IF(AND($S200=MesCiclo,3&gt;SemanaActual),"",MIN(1,SUMIFS(OFFSET($A$1,ROW(),31,1000-ROW(),1),OFFSET($A$1,ROW(),20,1000-ROW(),1),ROW(),OFFSET($A$1,ROW(),21,1000-ROW(),1),"Sub"))))</f>
        <v/>
      </c>
      <c r="L200" s="60">
        <f>IF(N($W200)=0,"",IF(AND($S200=MesCiclo,4&gt;SemanaActual),"",MIN(1,SUMIFS(OFFSET($A$1,ROW(),32,1000-ROW(),1),OFFSET($A$1,ROW(),20,1000-ROW(),1),ROW(),OFFSET($A$1,ROW(),21,1000-ROW(),1),"Sub"))))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IF($V200&lt;&gt;"Sub","",N($X200)*IF(AND(ISNUMBER($G200),$G200&lt;=IF($S200=MesCiclo,InicioCiclo,$S200+MOD(2-WEEKDAY($S200),7))+6),1,MIN(1,MAX(0,IF(ISNUMBER(OFFSET($A$1,ROW()-1,8)),OFFSET($A$1,ROW()-1,8),0)))))</f>
        <v/>
      </c>
      <c r="AE200" s="62">
        <f>IF($V200&lt;&gt;"Sub","",N($X200)*IF(AND(ISNUMBER($G200),$G200&lt;=IF($S200=MesCiclo,InicioCiclo,$S200+MOD(2-WEEKDAY($S200),7))+13),1,MIN(1,MAX(0,IF(ISNUMBER(OFFSET($A$1,ROW()-1,9)),OFFSET($A$1,ROW()-1,9),IF(ISNUMBER(OFFSET($A$1,ROW()-1,8)),OFFSET($A$1,ROW()-1,8),0))))))</f>
        <v/>
      </c>
      <c r="AF200" s="62">
        <f>IF($V200&lt;&gt;"Sub","",N($X200)*IF(AND(ISNUMBER($G200),$G200&lt;=IF($S200=MesCiclo,InicioCiclo,$S200+MOD(2-WEEKDAY($S200),7))+20),1,MIN(1,MAX(0,IF(ISNUMBER(OFFSET($A$1,ROW()-1,10)),OFFSET($A$1,ROW()-1,10),IF(ISNUMBER(OFFSET($A$1,ROW()-1,9)),OFFSET($A$1,ROW()-1,9),IF(ISNUMBER(OFFSET($A$1,ROW()-1,8)),OFFSET($A$1,ROW()-1,8),0)))))))</f>
        <v/>
      </c>
      <c r="AG200" s="62">
        <f>IF($V200&lt;&gt;"Sub","",N($X200)*IF(AND(ISNUMBER($G200),$G200&lt;=IF($S200=MesCiclo,InicioCiclo,$S200+MOD(2-WEEKDAY($S200),7))+27),1,MIN(1,MAX(0,IF(ISNUMBER(OFFSET($A$1,ROW()-1,11)),OFFSET($A$1,ROW()-1,11),IF(ISNUMBER(OFFSET($A$1,ROW()-1,10)),OFFSET($A$1,ROW()-1,10),IF(ISNUMBER(OFFSET($A$1,ROW()-1,9)),OFFSET($A$1,ROW()-1,9),IF(ISNUMBER(OFFSET($A$1,ROW()-1,8)),OFFSET($A$1,ROW()-1,8),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",IFERROR(MATCH("Riesgo Financiero|"&amp;MID($C200,12,500),rDname_ADM,0),0),"")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IF(N($W201)=0,"",IF(AND($S201=MesCiclo,1&gt;SemanaActual),"",MIN(1,SUMIFS(OFFSET($A$1,ROW(),29,1000-ROW(),1),OFFSET($A$1,ROW(),20,1000-ROW(),1),ROW(),OFFSET($A$1,ROW(),21,1000-ROW(),1),"Sub"))))</f>
        <v/>
      </c>
      <c r="J201" s="60">
        <f>IF(N($W201)=0,"",IF(AND($S201=MesCiclo,2&gt;SemanaActual),"",MIN(1,SUMIFS(OFFSET($A$1,ROW(),30,1000-ROW(),1),OFFSET($A$1,ROW(),20,1000-ROW(),1),ROW(),OFFSET($A$1,ROW(),21,1000-ROW(),1),"Sub"))))</f>
        <v/>
      </c>
      <c r="K201" s="60">
        <f>IF(N($W201)=0,"",IF(AND($S201=MesCiclo,3&gt;SemanaActual),"",MIN(1,SUMIFS(OFFSET($A$1,ROW(),31,1000-ROW(),1),OFFSET($A$1,ROW(),20,1000-ROW(),1),ROW(),OFFSET($A$1,ROW(),21,1000-ROW(),1),"Sub"))))</f>
        <v/>
      </c>
      <c r="L201" s="60">
        <f>IF(N($W201)=0,"",IF(AND($S201=MesCiclo,4&gt;SemanaActual),"",MIN(1,SUMIFS(OFFSET($A$1,ROW(),32,1000-ROW(),1),OFFSET($A$1,ROW(),20,1000-ROW(),1),ROW(),OFFSET($A$1,ROW(),21,1000-ROW(),1),"Sub"))))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IF($V201&lt;&gt;"Sub","",N($X201)*IF(AND(ISNUMBER($G201),$G201&lt;=IF($S201=MesCiclo,InicioCiclo,$S201+MOD(2-WEEKDAY($S201),7))+6),1,MIN(1,MAX(0,IF(ISNUMBER(OFFSET($A$1,ROW()-1,8)),OFFSET($A$1,ROW()-1,8),0)))))</f>
        <v/>
      </c>
      <c r="AE201" s="62">
        <f>IF($V201&lt;&gt;"Sub","",N($X201)*IF(AND(ISNUMBER($G201),$G201&lt;=IF($S201=MesCiclo,InicioCiclo,$S201+MOD(2-WEEKDAY($S201),7))+13),1,MIN(1,MAX(0,IF(ISNUMBER(OFFSET($A$1,ROW()-1,9)),OFFSET($A$1,ROW()-1,9),IF(ISNUMBER(OFFSET($A$1,ROW()-1,8)),OFFSET($A$1,ROW()-1,8),0))))))</f>
        <v/>
      </c>
      <c r="AF201" s="62">
        <f>IF($V201&lt;&gt;"Sub","",N($X201)*IF(AND(ISNUMBER($G201),$G201&lt;=IF($S201=MesCiclo,InicioCiclo,$S201+MOD(2-WEEKDAY($S201),7))+20),1,MIN(1,MAX(0,IF(ISNUMBER(OFFSET($A$1,ROW()-1,10)),OFFSET($A$1,ROW()-1,10),IF(ISNUMBER(OFFSET($A$1,ROW()-1,9)),OFFSET($A$1,ROW()-1,9),IF(ISNUMBER(OFFSET($A$1,ROW()-1,8)),OFFSET($A$1,ROW()-1,8),0)))))))</f>
        <v/>
      </c>
      <c r="AG201" s="62">
        <f>IF($V201&lt;&gt;"Sub","",N($X201)*IF(AND(ISNUMBER($G201),$G201&lt;=IF($S201=MesCiclo,InicioCiclo,$S201+MOD(2-WEEKDAY($S201),7))+27),1,MIN(1,MAX(0,IF(ISNUMBER(OFFSET($A$1,ROW()-1,11)),OFFSET($A$1,ROW()-1,11),IF(ISNUMBER(OFFSET($A$1,ROW()-1,10)),OFFSET($A$1,ROW()-1,10),IF(ISNUMBER(OFFSET($A$1,ROW()-1,9)),OFFSET($A$1,ROW()-1,9),IF(ISNUMBER(OFFSET($A$1,ROW()-1,8)),OFFSET($A$1,ROW()-1,8),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",IFERROR(MATCH("Riesgo Financiero|"&amp;MID($C201,12,500),rDname_ADM,0),0),"")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IF(N($W202)=0,"",IF(AND($S202=MesCiclo,1&gt;SemanaActual),"",MIN(1,SUMIFS(OFFSET($A$1,ROW(),29,1000-ROW(),1),OFFSET($A$1,ROW(),20,1000-ROW(),1),ROW(),OFFSET($A$1,ROW(),21,1000-ROW(),1),"Sub"))))</f>
        <v/>
      </c>
      <c r="J202" s="60">
        <f>IF(N($W202)=0,"",IF(AND($S202=MesCiclo,2&gt;SemanaActual),"",MIN(1,SUMIFS(OFFSET($A$1,ROW(),30,1000-ROW(),1),OFFSET($A$1,ROW(),20,1000-ROW(),1),ROW(),OFFSET($A$1,ROW(),21,1000-ROW(),1),"Sub"))))</f>
        <v/>
      </c>
      <c r="K202" s="60">
        <f>IF(N($W202)=0,"",IF(AND($S202=MesCiclo,3&gt;SemanaActual),"",MIN(1,SUMIFS(OFFSET($A$1,ROW(),31,1000-ROW(),1),OFFSET($A$1,ROW(),20,1000-ROW(),1),ROW(),OFFSET($A$1,ROW(),21,1000-ROW(),1),"Sub"))))</f>
        <v/>
      </c>
      <c r="L202" s="60">
        <f>IF(N($W202)=0,"",IF(AND($S202=MesCiclo,4&gt;SemanaActual),"",MIN(1,SUMIFS(OFFSET($A$1,ROW(),32,1000-ROW(),1),OFFSET($A$1,ROW(),20,1000-ROW(),1),ROW(),OFFSET($A$1,ROW(),21,1000-ROW(),1),"Sub"))))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IF($V202&lt;&gt;"Sub","",N($X202)*IF(AND(ISNUMBER($G202),$G202&lt;=IF($S202=MesCiclo,InicioCiclo,$S202+MOD(2-WEEKDAY($S202),7))+6),1,MIN(1,MAX(0,IF(ISNUMBER(OFFSET($A$1,ROW()-1,8)),OFFSET($A$1,ROW()-1,8),0)))))</f>
        <v/>
      </c>
      <c r="AE202" s="62">
        <f>IF($V202&lt;&gt;"Sub","",N($X202)*IF(AND(ISNUMBER($G202),$G202&lt;=IF($S202=MesCiclo,InicioCiclo,$S202+MOD(2-WEEKDAY($S202),7))+13),1,MIN(1,MAX(0,IF(ISNUMBER(OFFSET($A$1,ROW()-1,9)),OFFSET($A$1,ROW()-1,9),IF(ISNUMBER(OFFSET($A$1,ROW()-1,8)),OFFSET($A$1,ROW()-1,8),0))))))</f>
        <v/>
      </c>
      <c r="AF202" s="62">
        <f>IF($V202&lt;&gt;"Sub","",N($X202)*IF(AND(ISNUMBER($G202),$G202&lt;=IF($S202=MesCiclo,InicioCiclo,$S202+MOD(2-WEEKDAY($S202),7))+20),1,MIN(1,MAX(0,IF(ISNUMBER(OFFSET($A$1,ROW()-1,10)),OFFSET($A$1,ROW()-1,10),IF(ISNUMBER(OFFSET($A$1,ROW()-1,9)),OFFSET($A$1,ROW()-1,9),IF(ISNUMBER(OFFSET($A$1,ROW()-1,8)),OFFSET($A$1,ROW()-1,8),0)))))))</f>
        <v/>
      </c>
      <c r="AG202" s="62">
        <f>IF($V202&lt;&gt;"Sub","",N($X202)*IF(AND(ISNUMBER($G202),$G202&lt;=IF($S202=MesCiclo,InicioCiclo,$S202+MOD(2-WEEKDAY($S202),7))+27),1,MIN(1,MAX(0,IF(ISNUMBER(OFFSET($A$1,ROW()-1,11)),OFFSET($A$1,ROW()-1,11),IF(ISNUMBER(OFFSET($A$1,ROW()-1,10)),OFFSET($A$1,ROW()-1,10),IF(ISNUMBER(OFFSET($A$1,ROW()-1,9)),OFFSET($A$1,ROW()-1,9),IF(ISNUMBER(OFFSET($A$1,ROW()-1,8)),OFFSET($A$1,ROW()-1,8),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",IFERROR(MATCH("Riesgo Financiero|"&amp;MID($C202,12,500),rDname_ADM,0),0),"")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IF(N($W203)=0,"",IF(AND($S203=MesCiclo,1&gt;SemanaActual),"",MIN(1,SUMIFS(OFFSET($A$1,ROW(),29,1000-ROW(),1),OFFSET($A$1,ROW(),20,1000-ROW(),1),ROW(),OFFSET($A$1,ROW(),21,1000-ROW(),1),"Sub"))))</f>
        <v/>
      </c>
      <c r="J203" s="60">
        <f>IF(N($W203)=0,"",IF(AND($S203=MesCiclo,2&gt;SemanaActual),"",MIN(1,SUMIFS(OFFSET($A$1,ROW(),30,1000-ROW(),1),OFFSET($A$1,ROW(),20,1000-ROW(),1),ROW(),OFFSET($A$1,ROW(),21,1000-ROW(),1),"Sub"))))</f>
        <v/>
      </c>
      <c r="K203" s="60">
        <f>IF(N($W203)=0,"",IF(AND($S203=MesCiclo,3&gt;SemanaActual),"",MIN(1,SUMIFS(OFFSET($A$1,ROW(),31,1000-ROW(),1),OFFSET($A$1,ROW(),20,1000-ROW(),1),ROW(),OFFSET($A$1,ROW(),21,1000-ROW(),1),"Sub"))))</f>
        <v/>
      </c>
      <c r="L203" s="60">
        <f>IF(N($W203)=0,"",IF(AND($S203=MesCiclo,4&gt;SemanaActual),"",MIN(1,SUMIFS(OFFSET($A$1,ROW(),32,1000-ROW(),1),OFFSET($A$1,ROW(),20,1000-ROW(),1),ROW(),OFFSET($A$1,ROW(),21,1000-ROW(),1),"Sub"))))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IF($V203&lt;&gt;"Sub","",N($X203)*IF(AND(ISNUMBER($G203),$G203&lt;=IF($S203=MesCiclo,InicioCiclo,$S203+MOD(2-WEEKDAY($S203),7))+6),1,MIN(1,MAX(0,IF(ISNUMBER(OFFSET($A$1,ROW()-1,8)),OFFSET($A$1,ROW()-1,8),0)))))</f>
        <v/>
      </c>
      <c r="AE203" s="62">
        <f>IF($V203&lt;&gt;"Sub","",N($X203)*IF(AND(ISNUMBER($G203),$G203&lt;=IF($S203=MesCiclo,InicioCiclo,$S203+MOD(2-WEEKDAY($S203),7))+13),1,MIN(1,MAX(0,IF(ISNUMBER(OFFSET($A$1,ROW()-1,9)),OFFSET($A$1,ROW()-1,9),IF(ISNUMBER(OFFSET($A$1,ROW()-1,8)),OFFSET($A$1,ROW()-1,8),0))))))</f>
        <v/>
      </c>
      <c r="AF203" s="62">
        <f>IF($V203&lt;&gt;"Sub","",N($X203)*IF(AND(ISNUMBER($G203),$G203&lt;=IF($S203=MesCiclo,InicioCiclo,$S203+MOD(2-WEEKDAY($S203),7))+20),1,MIN(1,MAX(0,IF(ISNUMBER(OFFSET($A$1,ROW()-1,10)),OFFSET($A$1,ROW()-1,10),IF(ISNUMBER(OFFSET($A$1,ROW()-1,9)),OFFSET($A$1,ROW()-1,9),IF(ISNUMBER(OFFSET($A$1,ROW()-1,8)),OFFSET($A$1,ROW()-1,8),0)))))))</f>
        <v/>
      </c>
      <c r="AG203" s="62">
        <f>IF($V203&lt;&gt;"Sub","",N($X203)*IF(AND(ISNUMBER($G203),$G203&lt;=IF($S203=MesCiclo,InicioCiclo,$S203+MOD(2-WEEKDAY($S203),7))+27),1,MIN(1,MAX(0,IF(ISNUMBER(OFFSET($A$1,ROW()-1,11)),OFFSET($A$1,ROW()-1,11),IF(ISNUMBER(OFFSET($A$1,ROW()-1,10)),OFFSET($A$1,ROW()-1,10),IF(ISNUMBER(OFFSET($A$1,ROW()-1,9)),OFFSET($A$1,ROW()-1,9),IF(ISNUMBER(OFFSET($A$1,ROW()-1,8)),OFFSET($A$1,ROW()-1,8),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",IFERROR(MATCH("Riesgo Financiero|"&amp;MID($C203,12,500),rDname_ADM,0),0),"")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IF(N($W204)=0,"",IF(AND($S204=MesCiclo,1&gt;SemanaActual),"",MIN(1,SUMIFS(OFFSET($A$1,ROW(),29,1000-ROW(),1),OFFSET($A$1,ROW(),20,1000-ROW(),1),ROW(),OFFSET($A$1,ROW(),21,1000-ROW(),1),"Sub"))))</f>
        <v/>
      </c>
      <c r="J204" s="60">
        <f>IF(N($W204)=0,"",IF(AND($S204=MesCiclo,2&gt;SemanaActual),"",MIN(1,SUMIFS(OFFSET($A$1,ROW(),30,1000-ROW(),1),OFFSET($A$1,ROW(),20,1000-ROW(),1),ROW(),OFFSET($A$1,ROW(),21,1000-ROW(),1),"Sub"))))</f>
        <v/>
      </c>
      <c r="K204" s="60">
        <f>IF(N($W204)=0,"",IF(AND($S204=MesCiclo,3&gt;SemanaActual),"",MIN(1,SUMIFS(OFFSET($A$1,ROW(),31,1000-ROW(),1),OFFSET($A$1,ROW(),20,1000-ROW(),1),ROW(),OFFSET($A$1,ROW(),21,1000-ROW(),1),"Sub"))))</f>
        <v/>
      </c>
      <c r="L204" s="60">
        <f>IF(N($W204)=0,"",IF(AND($S204=MesCiclo,4&gt;SemanaActual),"",MIN(1,SUMIFS(OFFSET($A$1,ROW(),32,1000-ROW(),1),OFFSET($A$1,ROW(),20,1000-ROW(),1),ROW(),OFFSET($A$1,ROW(),21,1000-ROW(),1),"Sub"))))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IF($V204&lt;&gt;"Sub","",N($X204)*IF(AND(ISNUMBER($G204),$G204&lt;=IF($S204=MesCiclo,InicioCiclo,$S204+MOD(2-WEEKDAY($S204),7))+6),1,MIN(1,MAX(0,IF(ISNUMBER(OFFSET($A$1,ROW()-1,8)),OFFSET($A$1,ROW()-1,8),0)))))</f>
        <v/>
      </c>
      <c r="AE204" s="62">
        <f>IF($V204&lt;&gt;"Sub","",N($X204)*IF(AND(ISNUMBER($G204),$G204&lt;=IF($S204=MesCiclo,InicioCiclo,$S204+MOD(2-WEEKDAY($S204),7))+13),1,MIN(1,MAX(0,IF(ISNUMBER(OFFSET($A$1,ROW()-1,9)),OFFSET($A$1,ROW()-1,9),IF(ISNUMBER(OFFSET($A$1,ROW()-1,8)),OFFSET($A$1,ROW()-1,8),0))))))</f>
        <v/>
      </c>
      <c r="AF204" s="62">
        <f>IF($V204&lt;&gt;"Sub","",N($X204)*IF(AND(ISNUMBER($G204),$G204&lt;=IF($S204=MesCiclo,InicioCiclo,$S204+MOD(2-WEEKDAY($S204),7))+20),1,MIN(1,MAX(0,IF(ISNUMBER(OFFSET($A$1,ROW()-1,10)),OFFSET($A$1,ROW()-1,10),IF(ISNUMBER(OFFSET($A$1,ROW()-1,9)),OFFSET($A$1,ROW()-1,9),IF(ISNUMBER(OFFSET($A$1,ROW()-1,8)),OFFSET($A$1,ROW()-1,8),0)))))))</f>
        <v/>
      </c>
      <c r="AG204" s="62">
        <f>IF($V204&lt;&gt;"Sub","",N($X204)*IF(AND(ISNUMBER($G204),$G204&lt;=IF($S204=MesCiclo,InicioCiclo,$S204+MOD(2-WEEKDAY($S204),7))+27),1,MIN(1,MAX(0,IF(ISNUMBER(OFFSET($A$1,ROW()-1,11)),OFFSET($A$1,ROW()-1,11),IF(ISNUMBER(OFFSET($A$1,ROW()-1,10)),OFFSET($A$1,ROW()-1,10),IF(ISNUMBER(OFFSET($A$1,ROW()-1,9)),OFFSET($A$1,ROW()-1,9),IF(ISNUMBER(OFFSET($A$1,ROW()-1,8)),OFFSET($A$1,ROW()-1,8),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",IFERROR(MATCH("Riesgo Financiero|"&amp;MID($C204,12,500),rDname_ADM,0),0),"")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IF(N($W205)=0,"",IF(AND($S205=MesCiclo,1&gt;SemanaActual),"",MIN(1,SUMIFS(OFFSET($A$1,ROW(),29,1000-ROW(),1),OFFSET($A$1,ROW(),20,1000-ROW(),1),ROW(),OFFSET($A$1,ROW(),21,1000-ROW(),1),"Sub"))))</f>
        <v/>
      </c>
      <c r="J205" s="60">
        <f>IF(N($W205)=0,"",IF(AND($S205=MesCiclo,2&gt;SemanaActual),"",MIN(1,SUMIFS(OFFSET($A$1,ROW(),30,1000-ROW(),1),OFFSET($A$1,ROW(),20,1000-ROW(),1),ROW(),OFFSET($A$1,ROW(),21,1000-ROW(),1),"Sub"))))</f>
        <v/>
      </c>
      <c r="K205" s="60">
        <f>IF(N($W205)=0,"",IF(AND($S205=MesCiclo,3&gt;SemanaActual),"",MIN(1,SUMIFS(OFFSET($A$1,ROW(),31,1000-ROW(),1),OFFSET($A$1,ROW(),20,1000-ROW(),1),ROW(),OFFSET($A$1,ROW(),21,1000-ROW(),1),"Sub"))))</f>
        <v/>
      </c>
      <c r="L205" s="60">
        <f>IF(N($W205)=0,"",IF(AND($S205=MesCiclo,4&gt;SemanaActual),"",MIN(1,SUMIFS(OFFSET($A$1,ROW(),32,1000-ROW(),1),OFFSET($A$1,ROW(),20,1000-ROW(),1),ROW(),OFFSET($A$1,ROW(),21,1000-ROW(),1),"Sub"))))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IF($V205&lt;&gt;"Sub","",N($X205)*IF(AND(ISNUMBER($G205),$G205&lt;=IF($S205=MesCiclo,InicioCiclo,$S205+MOD(2-WEEKDAY($S205),7))+6),1,MIN(1,MAX(0,IF(ISNUMBER(OFFSET($A$1,ROW()-1,8)),OFFSET($A$1,ROW()-1,8),0)))))</f>
        <v/>
      </c>
      <c r="AE205" s="62">
        <f>IF($V205&lt;&gt;"Sub","",N($X205)*IF(AND(ISNUMBER($G205),$G205&lt;=IF($S205=MesCiclo,InicioCiclo,$S205+MOD(2-WEEKDAY($S205),7))+13),1,MIN(1,MAX(0,IF(ISNUMBER(OFFSET($A$1,ROW()-1,9)),OFFSET($A$1,ROW()-1,9),IF(ISNUMBER(OFFSET($A$1,ROW()-1,8)),OFFSET($A$1,ROW()-1,8),0))))))</f>
        <v/>
      </c>
      <c r="AF205" s="62">
        <f>IF($V205&lt;&gt;"Sub","",N($X205)*IF(AND(ISNUMBER($G205),$G205&lt;=IF($S205=MesCiclo,InicioCiclo,$S205+MOD(2-WEEKDAY($S205),7))+20),1,MIN(1,MAX(0,IF(ISNUMBER(OFFSET($A$1,ROW()-1,10)),OFFSET($A$1,ROW()-1,10),IF(ISNUMBER(OFFSET($A$1,ROW()-1,9)),OFFSET($A$1,ROW()-1,9),IF(ISNUMBER(OFFSET($A$1,ROW()-1,8)),OFFSET($A$1,ROW()-1,8),0)))))))</f>
        <v/>
      </c>
      <c r="AG205" s="62">
        <f>IF($V205&lt;&gt;"Sub","",N($X205)*IF(AND(ISNUMBER($G205),$G205&lt;=IF($S205=MesCiclo,InicioCiclo,$S205+MOD(2-WEEKDAY($S205),7))+27),1,MIN(1,MAX(0,IF(ISNUMBER(OFFSET($A$1,ROW()-1,11)),OFFSET($A$1,ROW()-1,11),IF(ISNUMBER(OFFSET($A$1,ROW()-1,10)),OFFSET($A$1,ROW()-1,10),IF(ISNUMBER(OFFSET($A$1,ROW()-1,9)),OFFSET($A$1,ROW()-1,9),IF(ISNUMBER(OFFSET($A$1,ROW()-1,8)),OFFSET($A$1,ROW()-1,8),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",IFERROR(MATCH("Riesgo Financiero|"&amp;MID($C205,12,500),rDname_ADM,0),0),"")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IF(N($W206)=0,"",IF(AND($S206=MesCiclo,1&gt;SemanaActual),"",MIN(1,SUMIFS(OFFSET($A$1,ROW(),29,1000-ROW(),1),OFFSET($A$1,ROW(),20,1000-ROW(),1),ROW(),OFFSET($A$1,ROW(),21,1000-ROW(),1),"Sub"))))</f>
        <v/>
      </c>
      <c r="J206" s="60">
        <f>IF(N($W206)=0,"",IF(AND($S206=MesCiclo,2&gt;SemanaActual),"",MIN(1,SUMIFS(OFFSET($A$1,ROW(),30,1000-ROW(),1),OFFSET($A$1,ROW(),20,1000-ROW(),1),ROW(),OFFSET($A$1,ROW(),21,1000-ROW(),1),"Sub"))))</f>
        <v/>
      </c>
      <c r="K206" s="60">
        <f>IF(N($W206)=0,"",IF(AND($S206=MesCiclo,3&gt;SemanaActual),"",MIN(1,SUMIFS(OFFSET($A$1,ROW(),31,1000-ROW(),1),OFFSET($A$1,ROW(),20,1000-ROW(),1),ROW(),OFFSET($A$1,ROW(),21,1000-ROW(),1),"Sub"))))</f>
        <v/>
      </c>
      <c r="L206" s="60">
        <f>IF(N($W206)=0,"",IF(AND($S206=MesCiclo,4&gt;SemanaActual),"",MIN(1,SUMIFS(OFFSET($A$1,ROW(),32,1000-ROW(),1),OFFSET($A$1,ROW(),20,1000-ROW(),1),ROW(),OFFSET($A$1,ROW(),21,1000-ROW(),1),"Sub"))))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IF($V206&lt;&gt;"Sub","",N($X206)*IF(AND(ISNUMBER($G206),$G206&lt;=IF($S206=MesCiclo,InicioCiclo,$S206+MOD(2-WEEKDAY($S206),7))+6),1,MIN(1,MAX(0,IF(ISNUMBER(OFFSET($A$1,ROW()-1,8)),OFFSET($A$1,ROW()-1,8),0)))))</f>
        <v/>
      </c>
      <c r="AE206" s="62">
        <f>IF($V206&lt;&gt;"Sub","",N($X206)*IF(AND(ISNUMBER($G206),$G206&lt;=IF($S206=MesCiclo,InicioCiclo,$S206+MOD(2-WEEKDAY($S206),7))+13),1,MIN(1,MAX(0,IF(ISNUMBER(OFFSET($A$1,ROW()-1,9)),OFFSET($A$1,ROW()-1,9),IF(ISNUMBER(OFFSET($A$1,ROW()-1,8)),OFFSET($A$1,ROW()-1,8),0))))))</f>
        <v/>
      </c>
      <c r="AF206" s="62">
        <f>IF($V206&lt;&gt;"Sub","",N($X206)*IF(AND(ISNUMBER($G206),$G206&lt;=IF($S206=MesCiclo,InicioCiclo,$S206+MOD(2-WEEKDAY($S206),7))+20),1,MIN(1,MAX(0,IF(ISNUMBER(OFFSET($A$1,ROW()-1,10)),OFFSET($A$1,ROW()-1,10),IF(ISNUMBER(OFFSET($A$1,ROW()-1,9)),OFFSET($A$1,ROW()-1,9),IF(ISNUMBER(OFFSET($A$1,ROW()-1,8)),OFFSET($A$1,ROW()-1,8),0)))))))</f>
        <v/>
      </c>
      <c r="AG206" s="62">
        <f>IF($V206&lt;&gt;"Sub","",N($X206)*IF(AND(ISNUMBER($G206),$G206&lt;=IF($S206=MesCiclo,InicioCiclo,$S206+MOD(2-WEEKDAY($S206),7))+27),1,MIN(1,MAX(0,IF(ISNUMBER(OFFSET($A$1,ROW()-1,11)),OFFSET($A$1,ROW()-1,11),IF(ISNUMBER(OFFSET($A$1,ROW()-1,10)),OFFSET($A$1,ROW()-1,10),IF(ISNUMBER(OFFSET($A$1,ROW()-1,9)),OFFSET($A$1,ROW()-1,9),IF(ISNUMBER(OFFSET($A$1,ROW()-1,8)),OFFSET($A$1,ROW()-1,8),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",IFERROR(MATCH("Riesgo Financiero|"&amp;MID($C206,12,500),rDname_ADM,0),0),"")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IF(N($W207)=0,"",IF(AND($S207=MesCiclo,1&gt;SemanaActual),"",MIN(1,SUMIFS(OFFSET($A$1,ROW(),29,1000-ROW(),1),OFFSET($A$1,ROW(),20,1000-ROW(),1),ROW(),OFFSET($A$1,ROW(),21,1000-ROW(),1),"Sub"))))</f>
        <v/>
      </c>
      <c r="J207" s="60">
        <f>IF(N($W207)=0,"",IF(AND($S207=MesCiclo,2&gt;SemanaActual),"",MIN(1,SUMIFS(OFFSET($A$1,ROW(),30,1000-ROW(),1),OFFSET($A$1,ROW(),20,1000-ROW(),1),ROW(),OFFSET($A$1,ROW(),21,1000-ROW(),1),"Sub"))))</f>
        <v/>
      </c>
      <c r="K207" s="60">
        <f>IF(N($W207)=0,"",IF(AND($S207=MesCiclo,3&gt;SemanaActual),"",MIN(1,SUMIFS(OFFSET($A$1,ROW(),31,1000-ROW(),1),OFFSET($A$1,ROW(),20,1000-ROW(),1),ROW(),OFFSET($A$1,ROW(),21,1000-ROW(),1),"Sub"))))</f>
        <v/>
      </c>
      <c r="L207" s="60">
        <f>IF(N($W207)=0,"",IF(AND($S207=MesCiclo,4&gt;SemanaActual),"",MIN(1,SUMIFS(OFFSET($A$1,ROW(),32,1000-ROW(),1),OFFSET($A$1,ROW(),20,1000-ROW(),1),ROW(),OFFSET($A$1,ROW(),21,1000-ROW(),1),"Sub"))))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IF($V207&lt;&gt;"Sub","",N($X207)*IF(AND(ISNUMBER($G207),$G207&lt;=IF($S207=MesCiclo,InicioCiclo,$S207+MOD(2-WEEKDAY($S207),7))+6),1,MIN(1,MAX(0,IF(ISNUMBER(OFFSET($A$1,ROW()-1,8)),OFFSET($A$1,ROW()-1,8),0)))))</f>
        <v/>
      </c>
      <c r="AE207" s="62">
        <f>IF($V207&lt;&gt;"Sub","",N($X207)*IF(AND(ISNUMBER($G207),$G207&lt;=IF($S207=MesCiclo,InicioCiclo,$S207+MOD(2-WEEKDAY($S207),7))+13),1,MIN(1,MAX(0,IF(ISNUMBER(OFFSET($A$1,ROW()-1,9)),OFFSET($A$1,ROW()-1,9),IF(ISNUMBER(OFFSET($A$1,ROW()-1,8)),OFFSET($A$1,ROW()-1,8),0))))))</f>
        <v/>
      </c>
      <c r="AF207" s="62">
        <f>IF($V207&lt;&gt;"Sub","",N($X207)*IF(AND(ISNUMBER($G207),$G207&lt;=IF($S207=MesCiclo,InicioCiclo,$S207+MOD(2-WEEKDAY($S207),7))+20),1,MIN(1,MAX(0,IF(ISNUMBER(OFFSET($A$1,ROW()-1,10)),OFFSET($A$1,ROW()-1,10),IF(ISNUMBER(OFFSET($A$1,ROW()-1,9)),OFFSET($A$1,ROW()-1,9),IF(ISNUMBER(OFFSET($A$1,ROW()-1,8)),OFFSET($A$1,ROW()-1,8),0)))))))</f>
        <v/>
      </c>
      <c r="AG207" s="62">
        <f>IF($V207&lt;&gt;"Sub","",N($X207)*IF(AND(ISNUMBER($G207),$G207&lt;=IF($S207=MesCiclo,InicioCiclo,$S207+MOD(2-WEEKDAY($S207),7))+27),1,MIN(1,MAX(0,IF(ISNUMBER(OFFSET($A$1,ROW()-1,11)),OFFSET($A$1,ROW()-1,11),IF(ISNUMBER(OFFSET($A$1,ROW()-1,10)),OFFSET($A$1,ROW()-1,10),IF(ISNUMBER(OFFSET($A$1,ROW()-1,9)),OFFSET($A$1,ROW()-1,9),IF(ISNUMBER(OFFSET($A$1,ROW()-1,8)),OFFSET($A$1,ROW()-1,8),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",IFERROR(MATCH("Riesgo Financiero|"&amp;MID($C207,12,500),rDname_ADM,0),0),"")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IF(N($W208)=0,"",IF(AND($S208=MesCiclo,1&gt;SemanaActual),"",MIN(1,SUMIFS(OFFSET($A$1,ROW(),29,1000-ROW(),1),OFFSET($A$1,ROW(),20,1000-ROW(),1),ROW(),OFFSET($A$1,ROW(),21,1000-ROW(),1),"Sub"))))</f>
        <v/>
      </c>
      <c r="J208" s="60">
        <f>IF(N($W208)=0,"",IF(AND($S208=MesCiclo,2&gt;SemanaActual),"",MIN(1,SUMIFS(OFFSET($A$1,ROW(),30,1000-ROW(),1),OFFSET($A$1,ROW(),20,1000-ROW(),1),ROW(),OFFSET($A$1,ROW(),21,1000-ROW(),1),"Sub"))))</f>
        <v/>
      </c>
      <c r="K208" s="60">
        <f>IF(N($W208)=0,"",IF(AND($S208=MesCiclo,3&gt;SemanaActual),"",MIN(1,SUMIFS(OFFSET($A$1,ROW(),31,1000-ROW(),1),OFFSET($A$1,ROW(),20,1000-ROW(),1),ROW(),OFFSET($A$1,ROW(),21,1000-ROW(),1),"Sub"))))</f>
        <v/>
      </c>
      <c r="L208" s="60">
        <f>IF(N($W208)=0,"",IF(AND($S208=MesCiclo,4&gt;SemanaActual),"",MIN(1,SUMIFS(OFFSET($A$1,ROW(),32,1000-ROW(),1),OFFSET($A$1,ROW(),20,1000-ROW(),1),ROW(),OFFSET($A$1,ROW(),21,1000-ROW(),1),"Sub"))))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IF($V208&lt;&gt;"Sub","",N($X208)*IF(AND(ISNUMBER($G208),$G208&lt;=IF($S208=MesCiclo,InicioCiclo,$S208+MOD(2-WEEKDAY($S208),7))+6),1,MIN(1,MAX(0,IF(ISNUMBER(OFFSET($A$1,ROW()-1,8)),OFFSET($A$1,ROW()-1,8),0)))))</f>
        <v/>
      </c>
      <c r="AE208" s="62">
        <f>IF($V208&lt;&gt;"Sub","",N($X208)*IF(AND(ISNUMBER($G208),$G208&lt;=IF($S208=MesCiclo,InicioCiclo,$S208+MOD(2-WEEKDAY($S208),7))+13),1,MIN(1,MAX(0,IF(ISNUMBER(OFFSET($A$1,ROW()-1,9)),OFFSET($A$1,ROW()-1,9),IF(ISNUMBER(OFFSET($A$1,ROW()-1,8)),OFFSET($A$1,ROW()-1,8),0))))))</f>
        <v/>
      </c>
      <c r="AF208" s="62">
        <f>IF($V208&lt;&gt;"Sub","",N($X208)*IF(AND(ISNUMBER($G208),$G208&lt;=IF($S208=MesCiclo,InicioCiclo,$S208+MOD(2-WEEKDAY($S208),7))+20),1,MIN(1,MAX(0,IF(ISNUMBER(OFFSET($A$1,ROW()-1,10)),OFFSET($A$1,ROW()-1,10),IF(ISNUMBER(OFFSET($A$1,ROW()-1,9)),OFFSET($A$1,ROW()-1,9),IF(ISNUMBER(OFFSET($A$1,ROW()-1,8)),OFFSET($A$1,ROW()-1,8),0)))))))</f>
        <v/>
      </c>
      <c r="AG208" s="62">
        <f>IF($V208&lt;&gt;"Sub","",N($X208)*IF(AND(ISNUMBER($G208),$G208&lt;=IF($S208=MesCiclo,InicioCiclo,$S208+MOD(2-WEEKDAY($S208),7))+27),1,MIN(1,MAX(0,IF(ISNUMBER(OFFSET($A$1,ROW()-1,11)),OFFSET($A$1,ROW()-1,11),IF(ISNUMBER(OFFSET($A$1,ROW()-1,10)),OFFSET($A$1,ROW()-1,10),IF(ISNUMBER(OFFSET($A$1,ROW()-1,9)),OFFSET($A$1,ROW()-1,9),IF(ISNUMBER(OFFSET($A$1,ROW()-1,8)),OFFSET($A$1,ROW()-1,8),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",IFERROR(MATCH("Riesgo Financiero|"&amp;MID($C208,12,500),rDname_ADM,0),0),"")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IF(N($W209)=0,"",IF(AND($S209=MesCiclo,1&gt;SemanaActual),"",MIN(1,SUMIFS(OFFSET($A$1,ROW(),29,1000-ROW(),1),OFFSET($A$1,ROW(),20,1000-ROW(),1),ROW(),OFFSET($A$1,ROW(),21,1000-ROW(),1),"Sub"))))</f>
        <v/>
      </c>
      <c r="J209" s="60">
        <f>IF(N($W209)=0,"",IF(AND($S209=MesCiclo,2&gt;SemanaActual),"",MIN(1,SUMIFS(OFFSET($A$1,ROW(),30,1000-ROW(),1),OFFSET($A$1,ROW(),20,1000-ROW(),1),ROW(),OFFSET($A$1,ROW(),21,1000-ROW(),1),"Sub"))))</f>
        <v/>
      </c>
      <c r="K209" s="60">
        <f>IF(N($W209)=0,"",IF(AND($S209=MesCiclo,3&gt;SemanaActual),"",MIN(1,SUMIFS(OFFSET($A$1,ROW(),31,1000-ROW(),1),OFFSET($A$1,ROW(),20,1000-ROW(),1),ROW(),OFFSET($A$1,ROW(),21,1000-ROW(),1),"Sub"))))</f>
        <v/>
      </c>
      <c r="L209" s="60">
        <f>IF(N($W209)=0,"",IF(AND($S209=MesCiclo,4&gt;SemanaActual),"",MIN(1,SUMIFS(OFFSET($A$1,ROW(),32,1000-ROW(),1),OFFSET($A$1,ROW(),20,1000-ROW(),1),ROW(),OFFSET($A$1,ROW(),21,1000-ROW(),1),"Sub"))))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IF($V209&lt;&gt;"Sub","",N($X209)*IF(AND(ISNUMBER($G209),$G209&lt;=IF($S209=MesCiclo,InicioCiclo,$S209+MOD(2-WEEKDAY($S209),7))+6),1,MIN(1,MAX(0,IF(ISNUMBER(OFFSET($A$1,ROW()-1,8)),OFFSET($A$1,ROW()-1,8),0)))))</f>
        <v/>
      </c>
      <c r="AE209" s="62">
        <f>IF($V209&lt;&gt;"Sub","",N($X209)*IF(AND(ISNUMBER($G209),$G209&lt;=IF($S209=MesCiclo,InicioCiclo,$S209+MOD(2-WEEKDAY($S209),7))+13),1,MIN(1,MAX(0,IF(ISNUMBER(OFFSET($A$1,ROW()-1,9)),OFFSET($A$1,ROW()-1,9),IF(ISNUMBER(OFFSET($A$1,ROW()-1,8)),OFFSET($A$1,ROW()-1,8),0))))))</f>
        <v/>
      </c>
      <c r="AF209" s="62">
        <f>IF($V209&lt;&gt;"Sub","",N($X209)*IF(AND(ISNUMBER($G209),$G209&lt;=IF($S209=MesCiclo,InicioCiclo,$S209+MOD(2-WEEKDAY($S209),7))+20),1,MIN(1,MAX(0,IF(ISNUMBER(OFFSET($A$1,ROW()-1,10)),OFFSET($A$1,ROW()-1,10),IF(ISNUMBER(OFFSET($A$1,ROW()-1,9)),OFFSET($A$1,ROW()-1,9),IF(ISNUMBER(OFFSET($A$1,ROW()-1,8)),OFFSET($A$1,ROW()-1,8),0)))))))</f>
        <v/>
      </c>
      <c r="AG209" s="62">
        <f>IF($V209&lt;&gt;"Sub","",N($X209)*IF(AND(ISNUMBER($G209),$G209&lt;=IF($S209=MesCiclo,InicioCiclo,$S209+MOD(2-WEEKDAY($S209),7))+27),1,MIN(1,MAX(0,IF(ISNUMBER(OFFSET($A$1,ROW()-1,11)),OFFSET($A$1,ROW()-1,11),IF(ISNUMBER(OFFSET($A$1,ROW()-1,10)),OFFSET($A$1,ROW()-1,10),IF(ISNUMBER(OFFSET($A$1,ROW()-1,9)),OFFSET($A$1,ROW()-1,9),IF(ISNUMBER(OFFSET($A$1,ROW()-1,8)),OFFSET($A$1,ROW()-1,8),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",IFERROR(MATCH("Riesgo Financiero|"&amp;MID($C209,12,500),rDname_ADM,0),0),"")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IF(N($W210)=0,"",IF(AND($S210=MesCiclo,1&gt;SemanaActual),"",MIN(1,SUMIFS(OFFSET($A$1,ROW(),29,1000-ROW(),1),OFFSET($A$1,ROW(),20,1000-ROW(),1),ROW(),OFFSET($A$1,ROW(),21,1000-ROW(),1),"Sub"))))</f>
        <v/>
      </c>
      <c r="J210" s="60">
        <f>IF(N($W210)=0,"",IF(AND($S210=MesCiclo,2&gt;SemanaActual),"",MIN(1,SUMIFS(OFFSET($A$1,ROW(),30,1000-ROW(),1),OFFSET($A$1,ROW(),20,1000-ROW(),1),ROW(),OFFSET($A$1,ROW(),21,1000-ROW(),1),"Sub"))))</f>
        <v/>
      </c>
      <c r="K210" s="60">
        <f>IF(N($W210)=0,"",IF(AND($S210=MesCiclo,3&gt;SemanaActual),"",MIN(1,SUMIFS(OFFSET($A$1,ROW(),31,1000-ROW(),1),OFFSET($A$1,ROW(),20,1000-ROW(),1),ROW(),OFFSET($A$1,ROW(),21,1000-ROW(),1),"Sub"))))</f>
        <v/>
      </c>
      <c r="L210" s="60">
        <f>IF(N($W210)=0,"",IF(AND($S210=MesCiclo,4&gt;SemanaActual),"",MIN(1,SUMIFS(OFFSET($A$1,ROW(),32,1000-ROW(),1),OFFSET($A$1,ROW(),20,1000-ROW(),1),ROW(),OFFSET($A$1,ROW(),21,1000-ROW(),1),"Sub"))))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IF($V210&lt;&gt;"Sub","",N($X210)*IF(AND(ISNUMBER($G210),$G210&lt;=IF($S210=MesCiclo,InicioCiclo,$S210+MOD(2-WEEKDAY($S210),7))+6),1,MIN(1,MAX(0,IF(ISNUMBER(OFFSET($A$1,ROW()-1,8)),OFFSET($A$1,ROW()-1,8),0)))))</f>
        <v/>
      </c>
      <c r="AE210" s="62">
        <f>IF($V210&lt;&gt;"Sub","",N($X210)*IF(AND(ISNUMBER($G210),$G210&lt;=IF($S210=MesCiclo,InicioCiclo,$S210+MOD(2-WEEKDAY($S210),7))+13),1,MIN(1,MAX(0,IF(ISNUMBER(OFFSET($A$1,ROW()-1,9)),OFFSET($A$1,ROW()-1,9),IF(ISNUMBER(OFFSET($A$1,ROW()-1,8)),OFFSET($A$1,ROW()-1,8),0))))))</f>
        <v/>
      </c>
      <c r="AF210" s="62">
        <f>IF($V210&lt;&gt;"Sub","",N($X210)*IF(AND(ISNUMBER($G210),$G210&lt;=IF($S210=MesCiclo,InicioCiclo,$S210+MOD(2-WEEKDAY($S210),7))+20),1,MIN(1,MAX(0,IF(ISNUMBER(OFFSET($A$1,ROW()-1,10)),OFFSET($A$1,ROW()-1,10),IF(ISNUMBER(OFFSET($A$1,ROW()-1,9)),OFFSET($A$1,ROW()-1,9),IF(ISNUMBER(OFFSET($A$1,ROW()-1,8)),OFFSET($A$1,ROW()-1,8),0)))))))</f>
        <v/>
      </c>
      <c r="AG210" s="62">
        <f>IF($V210&lt;&gt;"Sub","",N($X210)*IF(AND(ISNUMBER($G210),$G210&lt;=IF($S210=MesCiclo,InicioCiclo,$S210+MOD(2-WEEKDAY($S210),7))+27),1,MIN(1,MAX(0,IF(ISNUMBER(OFFSET($A$1,ROW()-1,11)),OFFSET($A$1,ROW()-1,11),IF(ISNUMBER(OFFSET($A$1,ROW()-1,10)),OFFSET($A$1,ROW()-1,10),IF(ISNUMBER(OFFSET($A$1,ROW()-1,9)),OFFSET($A$1,ROW()-1,9),IF(ISNUMBER(OFFSET($A$1,ROW()-1,8)),OFFSET($A$1,ROW()-1,8),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",IFERROR(MATCH("Riesgo Financiero|"&amp;MID($C210,12,500),rDname_ADM,0),0),"")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IF(N($W211)=0,"",IF(AND($S211=MesCiclo,1&gt;SemanaActual),"",MIN(1,SUMIFS(OFFSET($A$1,ROW(),29,1000-ROW(),1),OFFSET($A$1,ROW(),20,1000-ROW(),1),ROW(),OFFSET($A$1,ROW(),21,1000-ROW(),1),"Sub"))))</f>
        <v/>
      </c>
      <c r="J211" s="60">
        <f>IF(N($W211)=0,"",IF(AND($S211=MesCiclo,2&gt;SemanaActual),"",MIN(1,SUMIFS(OFFSET($A$1,ROW(),30,1000-ROW(),1),OFFSET($A$1,ROW(),20,1000-ROW(),1),ROW(),OFFSET($A$1,ROW(),21,1000-ROW(),1),"Sub"))))</f>
        <v/>
      </c>
      <c r="K211" s="60">
        <f>IF(N($W211)=0,"",IF(AND($S211=MesCiclo,3&gt;SemanaActual),"",MIN(1,SUMIFS(OFFSET($A$1,ROW(),31,1000-ROW(),1),OFFSET($A$1,ROW(),20,1000-ROW(),1),ROW(),OFFSET($A$1,ROW(),21,1000-ROW(),1),"Sub"))))</f>
        <v/>
      </c>
      <c r="L211" s="60">
        <f>IF(N($W211)=0,"",IF(AND($S211=MesCiclo,4&gt;SemanaActual),"",MIN(1,SUMIFS(OFFSET($A$1,ROW(),32,1000-ROW(),1),OFFSET($A$1,ROW(),20,1000-ROW(),1),ROW(),OFFSET($A$1,ROW(),21,1000-ROW(),1),"Sub"))))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IF($V211&lt;&gt;"Sub","",N($X211)*IF(AND(ISNUMBER($G211),$G211&lt;=IF($S211=MesCiclo,InicioCiclo,$S211+MOD(2-WEEKDAY($S211),7))+6),1,MIN(1,MAX(0,IF(ISNUMBER(OFFSET($A$1,ROW()-1,8)),OFFSET($A$1,ROW()-1,8),0)))))</f>
        <v/>
      </c>
      <c r="AE211" s="62">
        <f>IF($V211&lt;&gt;"Sub","",N($X211)*IF(AND(ISNUMBER($G211),$G211&lt;=IF($S211=MesCiclo,InicioCiclo,$S211+MOD(2-WEEKDAY($S211),7))+13),1,MIN(1,MAX(0,IF(ISNUMBER(OFFSET($A$1,ROW()-1,9)),OFFSET($A$1,ROW()-1,9),IF(ISNUMBER(OFFSET($A$1,ROW()-1,8)),OFFSET($A$1,ROW()-1,8),0))))))</f>
        <v/>
      </c>
      <c r="AF211" s="62">
        <f>IF($V211&lt;&gt;"Sub","",N($X211)*IF(AND(ISNUMBER($G211),$G211&lt;=IF($S211=MesCiclo,InicioCiclo,$S211+MOD(2-WEEKDAY($S211),7))+20),1,MIN(1,MAX(0,IF(ISNUMBER(OFFSET($A$1,ROW()-1,10)),OFFSET($A$1,ROW()-1,10),IF(ISNUMBER(OFFSET($A$1,ROW()-1,9)),OFFSET($A$1,ROW()-1,9),IF(ISNUMBER(OFFSET($A$1,ROW()-1,8)),OFFSET($A$1,ROW()-1,8),0)))))))</f>
        <v/>
      </c>
      <c r="AG211" s="62">
        <f>IF($V211&lt;&gt;"Sub","",N($X211)*IF(AND(ISNUMBER($G211),$G211&lt;=IF($S211=MesCiclo,InicioCiclo,$S211+MOD(2-WEEKDAY($S211),7))+27),1,MIN(1,MAX(0,IF(ISNUMBER(OFFSET($A$1,ROW()-1,11)),OFFSET($A$1,ROW()-1,11),IF(ISNUMBER(OFFSET($A$1,ROW()-1,10)),OFFSET($A$1,ROW()-1,10),IF(ISNUMBER(OFFSET($A$1,ROW()-1,9)),OFFSET($A$1,ROW()-1,9),IF(ISNUMBER(OFFSET($A$1,ROW()-1,8)),OFFSET($A$1,ROW()-1,8),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",IFERROR(MATCH("Riesgo Financiero|"&amp;MID($C211,12,500),rDname_ADM,0),0),"")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IF(N($W212)=0,"",IF(AND($S212=MesCiclo,1&gt;SemanaActual),"",MIN(1,SUMIFS(OFFSET($A$1,ROW(),29,1000-ROW(),1),OFFSET($A$1,ROW(),20,1000-ROW(),1),ROW(),OFFSET($A$1,ROW(),21,1000-ROW(),1),"Sub"))))</f>
        <v/>
      </c>
      <c r="J212" s="60">
        <f>IF(N($W212)=0,"",IF(AND($S212=MesCiclo,2&gt;SemanaActual),"",MIN(1,SUMIFS(OFFSET($A$1,ROW(),30,1000-ROW(),1),OFFSET($A$1,ROW(),20,1000-ROW(),1),ROW(),OFFSET($A$1,ROW(),21,1000-ROW(),1),"Sub"))))</f>
        <v/>
      </c>
      <c r="K212" s="60">
        <f>IF(N($W212)=0,"",IF(AND($S212=MesCiclo,3&gt;SemanaActual),"",MIN(1,SUMIFS(OFFSET($A$1,ROW(),31,1000-ROW(),1),OFFSET($A$1,ROW(),20,1000-ROW(),1),ROW(),OFFSET($A$1,ROW(),21,1000-ROW(),1),"Sub"))))</f>
        <v/>
      </c>
      <c r="L212" s="60">
        <f>IF(N($W212)=0,"",IF(AND($S212=MesCiclo,4&gt;SemanaActual),"",MIN(1,SUMIFS(OFFSET($A$1,ROW(),32,1000-ROW(),1),OFFSET($A$1,ROW(),20,1000-ROW(),1),ROW(),OFFSET($A$1,ROW(),21,1000-ROW(),1),"Sub"))))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IF($V212&lt;&gt;"Sub","",N($X212)*IF(AND(ISNUMBER($G212),$G212&lt;=IF($S212=MesCiclo,InicioCiclo,$S212+MOD(2-WEEKDAY($S212),7))+6),1,MIN(1,MAX(0,IF(ISNUMBER(OFFSET($A$1,ROW()-1,8)),OFFSET($A$1,ROW()-1,8),0)))))</f>
        <v/>
      </c>
      <c r="AE212" s="62">
        <f>IF($V212&lt;&gt;"Sub","",N($X212)*IF(AND(ISNUMBER($G212),$G212&lt;=IF($S212=MesCiclo,InicioCiclo,$S212+MOD(2-WEEKDAY($S212),7))+13),1,MIN(1,MAX(0,IF(ISNUMBER(OFFSET($A$1,ROW()-1,9)),OFFSET($A$1,ROW()-1,9),IF(ISNUMBER(OFFSET($A$1,ROW()-1,8)),OFFSET($A$1,ROW()-1,8),0))))))</f>
        <v/>
      </c>
      <c r="AF212" s="62">
        <f>IF($V212&lt;&gt;"Sub","",N($X212)*IF(AND(ISNUMBER($G212),$G212&lt;=IF($S212=MesCiclo,InicioCiclo,$S212+MOD(2-WEEKDAY($S212),7))+20),1,MIN(1,MAX(0,IF(ISNUMBER(OFFSET($A$1,ROW()-1,10)),OFFSET($A$1,ROW()-1,10),IF(ISNUMBER(OFFSET($A$1,ROW()-1,9)),OFFSET($A$1,ROW()-1,9),IF(ISNUMBER(OFFSET($A$1,ROW()-1,8)),OFFSET($A$1,ROW()-1,8),0)))))))</f>
        <v/>
      </c>
      <c r="AG212" s="62">
        <f>IF($V212&lt;&gt;"Sub","",N($X212)*IF(AND(ISNUMBER($G212),$G212&lt;=IF($S212=MesCiclo,InicioCiclo,$S212+MOD(2-WEEKDAY($S212),7))+27),1,MIN(1,MAX(0,IF(ISNUMBER(OFFSET($A$1,ROW()-1,11)),OFFSET($A$1,ROW()-1,11),IF(ISNUMBER(OFFSET($A$1,ROW()-1,10)),OFFSET($A$1,ROW()-1,10),IF(ISNUMBER(OFFSET($A$1,ROW()-1,9)),OFFSET($A$1,ROW()-1,9),IF(ISNUMBER(OFFSET($A$1,ROW()-1,8)),OFFSET($A$1,ROW()-1,8),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",IFERROR(MATCH("Riesgo Financiero|"&amp;MID($C212,12,500),rDname_ADM,0),0),"")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IF(N($W213)=0,"",IF(AND($S213=MesCiclo,1&gt;SemanaActual),"",MIN(1,SUMIFS(OFFSET($A$1,ROW(),29,1000-ROW(),1),OFFSET($A$1,ROW(),20,1000-ROW(),1),ROW(),OFFSET($A$1,ROW(),21,1000-ROW(),1),"Sub"))))</f>
        <v/>
      </c>
      <c r="J213" s="60">
        <f>IF(N($W213)=0,"",IF(AND($S213=MesCiclo,2&gt;SemanaActual),"",MIN(1,SUMIFS(OFFSET($A$1,ROW(),30,1000-ROW(),1),OFFSET($A$1,ROW(),20,1000-ROW(),1),ROW(),OFFSET($A$1,ROW(),21,1000-ROW(),1),"Sub"))))</f>
        <v/>
      </c>
      <c r="K213" s="60">
        <f>IF(N($W213)=0,"",IF(AND($S213=MesCiclo,3&gt;SemanaActual),"",MIN(1,SUMIFS(OFFSET($A$1,ROW(),31,1000-ROW(),1),OFFSET($A$1,ROW(),20,1000-ROW(),1),ROW(),OFFSET($A$1,ROW(),21,1000-ROW(),1),"Sub"))))</f>
        <v/>
      </c>
      <c r="L213" s="60">
        <f>IF(N($W213)=0,"",IF(AND($S213=MesCiclo,4&gt;SemanaActual),"",MIN(1,SUMIFS(OFFSET($A$1,ROW(),32,1000-ROW(),1),OFFSET($A$1,ROW(),20,1000-ROW(),1),ROW(),OFFSET($A$1,ROW(),21,1000-ROW(),1),"Sub"))))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IF($V213&lt;&gt;"Sub","",N($X213)*IF(AND(ISNUMBER($G213),$G213&lt;=IF($S213=MesCiclo,InicioCiclo,$S213+MOD(2-WEEKDAY($S213),7))+6),1,MIN(1,MAX(0,IF(ISNUMBER(OFFSET($A$1,ROW()-1,8)),OFFSET($A$1,ROW()-1,8),0)))))</f>
        <v/>
      </c>
      <c r="AE213" s="62">
        <f>IF($V213&lt;&gt;"Sub","",N($X213)*IF(AND(ISNUMBER($G213),$G213&lt;=IF($S213=MesCiclo,InicioCiclo,$S213+MOD(2-WEEKDAY($S213),7))+13),1,MIN(1,MAX(0,IF(ISNUMBER(OFFSET($A$1,ROW()-1,9)),OFFSET($A$1,ROW()-1,9),IF(ISNUMBER(OFFSET($A$1,ROW()-1,8)),OFFSET($A$1,ROW()-1,8),0))))))</f>
        <v/>
      </c>
      <c r="AF213" s="62">
        <f>IF($V213&lt;&gt;"Sub","",N($X213)*IF(AND(ISNUMBER($G213),$G213&lt;=IF($S213=MesCiclo,InicioCiclo,$S213+MOD(2-WEEKDAY($S213),7))+20),1,MIN(1,MAX(0,IF(ISNUMBER(OFFSET($A$1,ROW()-1,10)),OFFSET($A$1,ROW()-1,10),IF(ISNUMBER(OFFSET($A$1,ROW()-1,9)),OFFSET($A$1,ROW()-1,9),IF(ISNUMBER(OFFSET($A$1,ROW()-1,8)),OFFSET($A$1,ROW()-1,8),0)))))))</f>
        <v/>
      </c>
      <c r="AG213" s="62">
        <f>IF($V213&lt;&gt;"Sub","",N($X213)*IF(AND(ISNUMBER($G213),$G213&lt;=IF($S213=MesCiclo,InicioCiclo,$S213+MOD(2-WEEKDAY($S213),7))+27),1,MIN(1,MAX(0,IF(ISNUMBER(OFFSET($A$1,ROW()-1,11)),OFFSET($A$1,ROW()-1,11),IF(ISNUMBER(OFFSET($A$1,ROW()-1,10)),OFFSET($A$1,ROW()-1,10),IF(ISNUMBER(OFFSET($A$1,ROW()-1,9)),OFFSET($A$1,ROW()-1,9),IF(ISNUMBER(OFFSET($A$1,ROW()-1,8)),OFFSET($A$1,ROW()-1,8),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",IFERROR(MATCH("Riesgo Financiero|"&amp;MID($C213,12,500),rDname_ADM,0),0),"")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IF(N($W214)=0,"",IF(AND($S214=MesCiclo,1&gt;SemanaActual),"",MIN(1,SUMIFS(OFFSET($A$1,ROW(),29,1000-ROW(),1),OFFSET($A$1,ROW(),20,1000-ROW(),1),ROW(),OFFSET($A$1,ROW(),21,1000-ROW(),1),"Sub"))))</f>
        <v/>
      </c>
      <c r="J214" s="60">
        <f>IF(N($W214)=0,"",IF(AND($S214=MesCiclo,2&gt;SemanaActual),"",MIN(1,SUMIFS(OFFSET($A$1,ROW(),30,1000-ROW(),1),OFFSET($A$1,ROW(),20,1000-ROW(),1),ROW(),OFFSET($A$1,ROW(),21,1000-ROW(),1),"Sub"))))</f>
        <v/>
      </c>
      <c r="K214" s="60">
        <f>IF(N($W214)=0,"",IF(AND($S214=MesCiclo,3&gt;SemanaActual),"",MIN(1,SUMIFS(OFFSET($A$1,ROW(),31,1000-ROW(),1),OFFSET($A$1,ROW(),20,1000-ROW(),1),ROW(),OFFSET($A$1,ROW(),21,1000-ROW(),1),"Sub"))))</f>
        <v/>
      </c>
      <c r="L214" s="60">
        <f>IF(N($W214)=0,"",IF(AND($S214=MesCiclo,4&gt;SemanaActual),"",MIN(1,SUMIFS(OFFSET($A$1,ROW(),32,1000-ROW(),1),OFFSET($A$1,ROW(),20,1000-ROW(),1),ROW(),OFFSET($A$1,ROW(),21,1000-ROW(),1),"Sub"))))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IF($V214&lt;&gt;"Sub","",N($X214)*IF(AND(ISNUMBER($G214),$G214&lt;=IF($S214=MesCiclo,InicioCiclo,$S214+MOD(2-WEEKDAY($S214),7))+6),1,MIN(1,MAX(0,IF(ISNUMBER(OFFSET($A$1,ROW()-1,8)),OFFSET($A$1,ROW()-1,8),0)))))</f>
        <v/>
      </c>
      <c r="AE214" s="62">
        <f>IF($V214&lt;&gt;"Sub","",N($X214)*IF(AND(ISNUMBER($G214),$G214&lt;=IF($S214=MesCiclo,InicioCiclo,$S214+MOD(2-WEEKDAY($S214),7))+13),1,MIN(1,MAX(0,IF(ISNUMBER(OFFSET($A$1,ROW()-1,9)),OFFSET($A$1,ROW()-1,9),IF(ISNUMBER(OFFSET($A$1,ROW()-1,8)),OFFSET($A$1,ROW()-1,8),0))))))</f>
        <v/>
      </c>
      <c r="AF214" s="62">
        <f>IF($V214&lt;&gt;"Sub","",N($X214)*IF(AND(ISNUMBER($G214),$G214&lt;=IF($S214=MesCiclo,InicioCiclo,$S214+MOD(2-WEEKDAY($S214),7))+20),1,MIN(1,MAX(0,IF(ISNUMBER(OFFSET($A$1,ROW()-1,10)),OFFSET($A$1,ROW()-1,10),IF(ISNUMBER(OFFSET($A$1,ROW()-1,9)),OFFSET($A$1,ROW()-1,9),IF(ISNUMBER(OFFSET($A$1,ROW()-1,8)),OFFSET($A$1,ROW()-1,8),0)))))))</f>
        <v/>
      </c>
      <c r="AG214" s="62">
        <f>IF($V214&lt;&gt;"Sub","",N($X214)*IF(AND(ISNUMBER($G214),$G214&lt;=IF($S214=MesCiclo,InicioCiclo,$S214+MOD(2-WEEKDAY($S214),7))+27),1,MIN(1,MAX(0,IF(ISNUMBER(OFFSET($A$1,ROW()-1,11)),OFFSET($A$1,ROW()-1,11),IF(ISNUMBER(OFFSET($A$1,ROW()-1,10)),OFFSET($A$1,ROW()-1,10),IF(ISNUMBER(OFFSET($A$1,ROW()-1,9)),OFFSET($A$1,ROW()-1,9),IF(ISNUMBER(OFFSET($A$1,ROW()-1,8)),OFFSET($A$1,ROW()-1,8),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",IFERROR(MATCH("Riesgo Financiero|"&amp;MID($C214,12,500),rDname_ADM,0),0),"")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IF(N($W215)=0,"",IF(AND($S215=MesCiclo,1&gt;SemanaActual),"",MIN(1,SUMIFS(OFFSET($A$1,ROW(),29,1000-ROW(),1),OFFSET($A$1,ROW(),20,1000-ROW(),1),ROW(),OFFSET($A$1,ROW(),21,1000-ROW(),1),"Sub"))))</f>
        <v/>
      </c>
      <c r="J215" s="60">
        <f>IF(N($W215)=0,"",IF(AND($S215=MesCiclo,2&gt;SemanaActual),"",MIN(1,SUMIFS(OFFSET($A$1,ROW(),30,1000-ROW(),1),OFFSET($A$1,ROW(),20,1000-ROW(),1),ROW(),OFFSET($A$1,ROW(),21,1000-ROW(),1),"Sub"))))</f>
        <v/>
      </c>
      <c r="K215" s="60">
        <f>IF(N($W215)=0,"",IF(AND($S215=MesCiclo,3&gt;SemanaActual),"",MIN(1,SUMIFS(OFFSET($A$1,ROW(),31,1000-ROW(),1),OFFSET($A$1,ROW(),20,1000-ROW(),1),ROW(),OFFSET($A$1,ROW(),21,1000-ROW(),1),"Sub"))))</f>
        <v/>
      </c>
      <c r="L215" s="60">
        <f>IF(N($W215)=0,"",IF(AND($S215=MesCiclo,4&gt;SemanaActual),"",MIN(1,SUMIFS(OFFSET($A$1,ROW(),32,1000-ROW(),1),OFFSET($A$1,ROW(),20,1000-ROW(),1),ROW(),OFFSET($A$1,ROW(),21,1000-ROW(),1),"Sub"))))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IF($V215&lt;&gt;"Sub","",N($X215)*IF(AND(ISNUMBER($G215),$G215&lt;=IF($S215=MesCiclo,InicioCiclo,$S215+MOD(2-WEEKDAY($S215),7))+6),1,MIN(1,MAX(0,IF(ISNUMBER(OFFSET($A$1,ROW()-1,8)),OFFSET($A$1,ROW()-1,8),0)))))</f>
        <v/>
      </c>
      <c r="AE215" s="62">
        <f>IF($V215&lt;&gt;"Sub","",N($X215)*IF(AND(ISNUMBER($G215),$G215&lt;=IF($S215=MesCiclo,InicioCiclo,$S215+MOD(2-WEEKDAY($S215),7))+13),1,MIN(1,MAX(0,IF(ISNUMBER(OFFSET($A$1,ROW()-1,9)),OFFSET($A$1,ROW()-1,9),IF(ISNUMBER(OFFSET($A$1,ROW()-1,8)),OFFSET($A$1,ROW()-1,8),0))))))</f>
        <v/>
      </c>
      <c r="AF215" s="62">
        <f>IF($V215&lt;&gt;"Sub","",N($X215)*IF(AND(ISNUMBER($G215),$G215&lt;=IF($S215=MesCiclo,InicioCiclo,$S215+MOD(2-WEEKDAY($S215),7))+20),1,MIN(1,MAX(0,IF(ISNUMBER(OFFSET($A$1,ROW()-1,10)),OFFSET($A$1,ROW()-1,10),IF(ISNUMBER(OFFSET($A$1,ROW()-1,9)),OFFSET($A$1,ROW()-1,9),IF(ISNUMBER(OFFSET($A$1,ROW()-1,8)),OFFSET($A$1,ROW()-1,8),0)))))))</f>
        <v/>
      </c>
      <c r="AG215" s="62">
        <f>IF($V215&lt;&gt;"Sub","",N($X215)*IF(AND(ISNUMBER($G215),$G215&lt;=IF($S215=MesCiclo,InicioCiclo,$S215+MOD(2-WEEKDAY($S215),7))+27),1,MIN(1,MAX(0,IF(ISNUMBER(OFFSET($A$1,ROW()-1,11)),OFFSET($A$1,ROW()-1,11),IF(ISNUMBER(OFFSET($A$1,ROW()-1,10)),OFFSET($A$1,ROW()-1,10),IF(ISNUMBER(OFFSET($A$1,ROW()-1,9)),OFFSET($A$1,ROW()-1,9),IF(ISNUMBER(OFFSET($A$1,ROW()-1,8)),OFFSET($A$1,ROW()-1,8),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",IFERROR(MATCH("Riesgo Financiero|"&amp;MID($C215,12,500),rDname_ADM,0),0),"")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IF(N($W216)=0,"",IF(AND($S216=MesCiclo,1&gt;SemanaActual),"",MIN(1,SUMIFS(OFFSET($A$1,ROW(),29,1000-ROW(),1),OFFSET($A$1,ROW(),20,1000-ROW(),1),ROW(),OFFSET($A$1,ROW(),21,1000-ROW(),1),"Sub"))))</f>
        <v/>
      </c>
      <c r="J216" s="60">
        <f>IF(N($W216)=0,"",IF(AND($S216=MesCiclo,2&gt;SemanaActual),"",MIN(1,SUMIFS(OFFSET($A$1,ROW(),30,1000-ROW(),1),OFFSET($A$1,ROW(),20,1000-ROW(),1),ROW(),OFFSET($A$1,ROW(),21,1000-ROW(),1),"Sub"))))</f>
        <v/>
      </c>
      <c r="K216" s="60">
        <f>IF(N($W216)=0,"",IF(AND($S216=MesCiclo,3&gt;SemanaActual),"",MIN(1,SUMIFS(OFFSET($A$1,ROW(),31,1000-ROW(),1),OFFSET($A$1,ROW(),20,1000-ROW(),1),ROW(),OFFSET($A$1,ROW(),21,1000-ROW(),1),"Sub"))))</f>
        <v/>
      </c>
      <c r="L216" s="60">
        <f>IF(N($W216)=0,"",IF(AND($S216=MesCiclo,4&gt;SemanaActual),"",MIN(1,SUMIFS(OFFSET($A$1,ROW(),32,1000-ROW(),1),OFFSET($A$1,ROW(),20,1000-ROW(),1),ROW(),OFFSET($A$1,ROW(),21,1000-ROW(),1),"Sub"))))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IF($V216&lt;&gt;"Sub","",N($X216)*IF(AND(ISNUMBER($G216),$G216&lt;=IF($S216=MesCiclo,InicioCiclo,$S216+MOD(2-WEEKDAY($S216),7))+6),1,MIN(1,MAX(0,IF(ISNUMBER(OFFSET($A$1,ROW()-1,8)),OFFSET($A$1,ROW()-1,8),0)))))</f>
        <v/>
      </c>
      <c r="AE216" s="62">
        <f>IF($V216&lt;&gt;"Sub","",N($X216)*IF(AND(ISNUMBER($G216),$G216&lt;=IF($S216=MesCiclo,InicioCiclo,$S216+MOD(2-WEEKDAY($S216),7))+13),1,MIN(1,MAX(0,IF(ISNUMBER(OFFSET($A$1,ROW()-1,9)),OFFSET($A$1,ROW()-1,9),IF(ISNUMBER(OFFSET($A$1,ROW()-1,8)),OFFSET($A$1,ROW()-1,8),0))))))</f>
        <v/>
      </c>
      <c r="AF216" s="62">
        <f>IF($V216&lt;&gt;"Sub","",N($X216)*IF(AND(ISNUMBER($G216),$G216&lt;=IF($S216=MesCiclo,InicioCiclo,$S216+MOD(2-WEEKDAY($S216),7))+20),1,MIN(1,MAX(0,IF(ISNUMBER(OFFSET($A$1,ROW()-1,10)),OFFSET($A$1,ROW()-1,10),IF(ISNUMBER(OFFSET($A$1,ROW()-1,9)),OFFSET($A$1,ROW()-1,9),IF(ISNUMBER(OFFSET($A$1,ROW()-1,8)),OFFSET($A$1,ROW()-1,8),0)))))))</f>
        <v/>
      </c>
      <c r="AG216" s="62">
        <f>IF($V216&lt;&gt;"Sub","",N($X216)*IF(AND(ISNUMBER($G216),$G216&lt;=IF($S216=MesCiclo,InicioCiclo,$S216+MOD(2-WEEKDAY($S216),7))+27),1,MIN(1,MAX(0,IF(ISNUMBER(OFFSET($A$1,ROW()-1,11)),OFFSET($A$1,ROW()-1,11),IF(ISNUMBER(OFFSET($A$1,ROW()-1,10)),OFFSET($A$1,ROW()-1,10),IF(ISNUMBER(OFFSET($A$1,ROW()-1,9)),OFFSET($A$1,ROW()-1,9),IF(ISNUMBER(OFFSET($A$1,ROW()-1,8)),OFFSET($A$1,ROW()-1,8),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",IFERROR(MATCH("Riesgo Financiero|"&amp;MID($C216,12,500),rDname_ADM,0),0),"")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IF(N($W217)=0,"",IF(AND($S217=MesCiclo,1&gt;SemanaActual),"",MIN(1,SUMIFS(OFFSET($A$1,ROW(),29,1000-ROW(),1),OFFSET($A$1,ROW(),20,1000-ROW(),1),ROW(),OFFSET($A$1,ROW(),21,1000-ROW(),1),"Sub"))))</f>
        <v/>
      </c>
      <c r="J217" s="60">
        <f>IF(N($W217)=0,"",IF(AND($S217=MesCiclo,2&gt;SemanaActual),"",MIN(1,SUMIFS(OFFSET($A$1,ROW(),30,1000-ROW(),1),OFFSET($A$1,ROW(),20,1000-ROW(),1),ROW(),OFFSET($A$1,ROW(),21,1000-ROW(),1),"Sub"))))</f>
        <v/>
      </c>
      <c r="K217" s="60">
        <f>IF(N($W217)=0,"",IF(AND($S217=MesCiclo,3&gt;SemanaActual),"",MIN(1,SUMIFS(OFFSET($A$1,ROW(),31,1000-ROW(),1),OFFSET($A$1,ROW(),20,1000-ROW(),1),ROW(),OFFSET($A$1,ROW(),21,1000-ROW(),1),"Sub"))))</f>
        <v/>
      </c>
      <c r="L217" s="60">
        <f>IF(N($W217)=0,"",IF(AND($S217=MesCiclo,4&gt;SemanaActual),"",MIN(1,SUMIFS(OFFSET($A$1,ROW(),32,1000-ROW(),1),OFFSET($A$1,ROW(),20,1000-ROW(),1),ROW(),OFFSET($A$1,ROW(),21,1000-ROW(),1),"Sub"))))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IF($V217&lt;&gt;"Sub","",N($X217)*IF(AND(ISNUMBER($G217),$G217&lt;=IF($S217=MesCiclo,InicioCiclo,$S217+MOD(2-WEEKDAY($S217),7))+6),1,MIN(1,MAX(0,IF(ISNUMBER(OFFSET($A$1,ROW()-1,8)),OFFSET($A$1,ROW()-1,8),0)))))</f>
        <v/>
      </c>
      <c r="AE217" s="62">
        <f>IF($V217&lt;&gt;"Sub","",N($X217)*IF(AND(ISNUMBER($G217),$G217&lt;=IF($S217=MesCiclo,InicioCiclo,$S217+MOD(2-WEEKDAY($S217),7))+13),1,MIN(1,MAX(0,IF(ISNUMBER(OFFSET($A$1,ROW()-1,9)),OFFSET($A$1,ROW()-1,9),IF(ISNUMBER(OFFSET($A$1,ROW()-1,8)),OFFSET($A$1,ROW()-1,8),0))))))</f>
        <v/>
      </c>
      <c r="AF217" s="62">
        <f>IF($V217&lt;&gt;"Sub","",N($X217)*IF(AND(ISNUMBER($G217),$G217&lt;=IF($S217=MesCiclo,InicioCiclo,$S217+MOD(2-WEEKDAY($S217),7))+20),1,MIN(1,MAX(0,IF(ISNUMBER(OFFSET($A$1,ROW()-1,10)),OFFSET($A$1,ROW()-1,10),IF(ISNUMBER(OFFSET($A$1,ROW()-1,9)),OFFSET($A$1,ROW()-1,9),IF(ISNUMBER(OFFSET($A$1,ROW()-1,8)),OFFSET($A$1,ROW()-1,8),0)))))))</f>
        <v/>
      </c>
      <c r="AG217" s="62">
        <f>IF($V217&lt;&gt;"Sub","",N($X217)*IF(AND(ISNUMBER($G217),$G217&lt;=IF($S217=MesCiclo,InicioCiclo,$S217+MOD(2-WEEKDAY($S217),7))+27),1,MIN(1,MAX(0,IF(ISNUMBER(OFFSET($A$1,ROW()-1,11)),OFFSET($A$1,ROW()-1,11),IF(ISNUMBER(OFFSET($A$1,ROW()-1,10)),OFFSET($A$1,ROW()-1,10),IF(ISNUMBER(OFFSET($A$1,ROW()-1,9)),OFFSET($A$1,ROW()-1,9),IF(ISNUMBER(OFFSET($A$1,ROW()-1,8)),OFFSET($A$1,ROW()-1,8),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",IFERROR(MATCH("Riesgo Financiero|"&amp;MID($C217,12,500),rDname_ADM,0),0),"")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IF(N($W218)=0,"",IF(AND($S218=MesCiclo,1&gt;SemanaActual),"",MIN(1,SUMIFS(OFFSET($A$1,ROW(),29,1000-ROW(),1),OFFSET($A$1,ROW(),20,1000-ROW(),1),ROW(),OFFSET($A$1,ROW(),21,1000-ROW(),1),"Sub"))))</f>
        <v/>
      </c>
      <c r="J218" s="60">
        <f>IF(N($W218)=0,"",IF(AND($S218=MesCiclo,2&gt;SemanaActual),"",MIN(1,SUMIFS(OFFSET($A$1,ROW(),30,1000-ROW(),1),OFFSET($A$1,ROW(),20,1000-ROW(),1),ROW(),OFFSET($A$1,ROW(),21,1000-ROW(),1),"Sub"))))</f>
        <v/>
      </c>
      <c r="K218" s="60">
        <f>IF(N($W218)=0,"",IF(AND($S218=MesCiclo,3&gt;SemanaActual),"",MIN(1,SUMIFS(OFFSET($A$1,ROW(),31,1000-ROW(),1),OFFSET($A$1,ROW(),20,1000-ROW(),1),ROW(),OFFSET($A$1,ROW(),21,1000-ROW(),1),"Sub"))))</f>
        <v/>
      </c>
      <c r="L218" s="60">
        <f>IF(N($W218)=0,"",IF(AND($S218=MesCiclo,4&gt;SemanaActual),"",MIN(1,SUMIFS(OFFSET($A$1,ROW(),32,1000-ROW(),1),OFFSET($A$1,ROW(),20,1000-ROW(),1),ROW(),OFFSET($A$1,ROW(),21,1000-ROW(),1),"Sub"))))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IF($V218&lt;&gt;"Sub","",N($X218)*IF(AND(ISNUMBER($G218),$G218&lt;=IF($S218=MesCiclo,InicioCiclo,$S218+MOD(2-WEEKDAY($S218),7))+6),1,MIN(1,MAX(0,IF(ISNUMBER(OFFSET($A$1,ROW()-1,8)),OFFSET($A$1,ROW()-1,8),0)))))</f>
        <v/>
      </c>
      <c r="AE218" s="62">
        <f>IF($V218&lt;&gt;"Sub","",N($X218)*IF(AND(ISNUMBER($G218),$G218&lt;=IF($S218=MesCiclo,InicioCiclo,$S218+MOD(2-WEEKDAY($S218),7))+13),1,MIN(1,MAX(0,IF(ISNUMBER(OFFSET($A$1,ROW()-1,9)),OFFSET($A$1,ROW()-1,9),IF(ISNUMBER(OFFSET($A$1,ROW()-1,8)),OFFSET($A$1,ROW()-1,8),0))))))</f>
        <v/>
      </c>
      <c r="AF218" s="62">
        <f>IF($V218&lt;&gt;"Sub","",N($X218)*IF(AND(ISNUMBER($G218),$G218&lt;=IF($S218=MesCiclo,InicioCiclo,$S218+MOD(2-WEEKDAY($S218),7))+20),1,MIN(1,MAX(0,IF(ISNUMBER(OFFSET($A$1,ROW()-1,10)),OFFSET($A$1,ROW()-1,10),IF(ISNUMBER(OFFSET($A$1,ROW()-1,9)),OFFSET($A$1,ROW()-1,9),IF(ISNUMBER(OFFSET($A$1,ROW()-1,8)),OFFSET($A$1,ROW()-1,8),0)))))))</f>
        <v/>
      </c>
      <c r="AG218" s="62">
        <f>IF($V218&lt;&gt;"Sub","",N($X218)*IF(AND(ISNUMBER($G218),$G218&lt;=IF($S218=MesCiclo,InicioCiclo,$S218+MOD(2-WEEKDAY($S218),7))+27),1,MIN(1,MAX(0,IF(ISNUMBER(OFFSET($A$1,ROW()-1,11)),OFFSET($A$1,ROW()-1,11),IF(ISNUMBER(OFFSET($A$1,ROW()-1,10)),OFFSET($A$1,ROW()-1,10),IF(ISNUMBER(OFFSET($A$1,ROW()-1,9)),OFFSET($A$1,ROW()-1,9),IF(ISNUMBER(OFFSET($A$1,ROW()-1,8)),OFFSET($A$1,ROW()-1,8),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",IFERROR(MATCH("Riesgo Financiero|"&amp;MID($C218,12,500),rDname_ADM,0),0),"")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IF(N($W219)=0,"",IF(AND($S219=MesCiclo,1&gt;SemanaActual),"",MIN(1,SUMIFS(OFFSET($A$1,ROW(),29,1000-ROW(),1),OFFSET($A$1,ROW(),20,1000-ROW(),1),ROW(),OFFSET($A$1,ROW(),21,1000-ROW(),1),"Sub"))))</f>
        <v/>
      </c>
      <c r="J219" s="60">
        <f>IF(N($W219)=0,"",IF(AND($S219=MesCiclo,2&gt;SemanaActual),"",MIN(1,SUMIFS(OFFSET($A$1,ROW(),30,1000-ROW(),1),OFFSET($A$1,ROW(),20,1000-ROW(),1),ROW(),OFFSET($A$1,ROW(),21,1000-ROW(),1),"Sub"))))</f>
        <v/>
      </c>
      <c r="K219" s="60">
        <f>IF(N($W219)=0,"",IF(AND($S219=MesCiclo,3&gt;SemanaActual),"",MIN(1,SUMIFS(OFFSET($A$1,ROW(),31,1000-ROW(),1),OFFSET($A$1,ROW(),20,1000-ROW(),1),ROW(),OFFSET($A$1,ROW(),21,1000-ROW(),1),"Sub"))))</f>
        <v/>
      </c>
      <c r="L219" s="60">
        <f>IF(N($W219)=0,"",IF(AND($S219=MesCiclo,4&gt;SemanaActual),"",MIN(1,SUMIFS(OFFSET($A$1,ROW(),32,1000-ROW(),1),OFFSET($A$1,ROW(),20,1000-ROW(),1),ROW(),OFFSET($A$1,ROW(),21,1000-ROW(),1),"Sub"))))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IF($V219&lt;&gt;"Sub","",N($X219)*IF(AND(ISNUMBER($G219),$G219&lt;=IF($S219=MesCiclo,InicioCiclo,$S219+MOD(2-WEEKDAY($S219),7))+6),1,MIN(1,MAX(0,IF(ISNUMBER(OFFSET($A$1,ROW()-1,8)),OFFSET($A$1,ROW()-1,8),0)))))</f>
        <v/>
      </c>
      <c r="AE219" s="62">
        <f>IF($V219&lt;&gt;"Sub","",N($X219)*IF(AND(ISNUMBER($G219),$G219&lt;=IF($S219=MesCiclo,InicioCiclo,$S219+MOD(2-WEEKDAY($S219),7))+13),1,MIN(1,MAX(0,IF(ISNUMBER(OFFSET($A$1,ROW()-1,9)),OFFSET($A$1,ROW()-1,9),IF(ISNUMBER(OFFSET($A$1,ROW()-1,8)),OFFSET($A$1,ROW()-1,8),0))))))</f>
        <v/>
      </c>
      <c r="AF219" s="62">
        <f>IF($V219&lt;&gt;"Sub","",N($X219)*IF(AND(ISNUMBER($G219),$G219&lt;=IF($S219=MesCiclo,InicioCiclo,$S219+MOD(2-WEEKDAY($S219),7))+20),1,MIN(1,MAX(0,IF(ISNUMBER(OFFSET($A$1,ROW()-1,10)),OFFSET($A$1,ROW()-1,10),IF(ISNUMBER(OFFSET($A$1,ROW()-1,9)),OFFSET($A$1,ROW()-1,9),IF(ISNUMBER(OFFSET($A$1,ROW()-1,8)),OFFSET($A$1,ROW()-1,8),0)))))))</f>
        <v/>
      </c>
      <c r="AG219" s="62">
        <f>IF($V219&lt;&gt;"Sub","",N($X219)*IF(AND(ISNUMBER($G219),$G219&lt;=IF($S219=MesCiclo,InicioCiclo,$S219+MOD(2-WEEKDAY($S219),7))+27),1,MIN(1,MAX(0,IF(ISNUMBER(OFFSET($A$1,ROW()-1,11)),OFFSET($A$1,ROW()-1,11),IF(ISNUMBER(OFFSET($A$1,ROW()-1,10)),OFFSET($A$1,ROW()-1,10),IF(ISNUMBER(OFFSET($A$1,ROW()-1,9)),OFFSET($A$1,ROW()-1,9),IF(ISNUMBER(OFFSET($A$1,ROW()-1,8)),OFFSET($A$1,ROW()-1,8),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",IFERROR(MATCH("Riesgo Financiero|"&amp;MID($C219,12,500),rDname_ADM,0),0),"")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IF(N($W220)=0,"",IF(AND($S220=MesCiclo,1&gt;SemanaActual),"",MIN(1,SUMIFS(OFFSET($A$1,ROW(),29,1000-ROW(),1),OFFSET($A$1,ROW(),20,1000-ROW(),1),ROW(),OFFSET($A$1,ROW(),21,1000-ROW(),1),"Sub"))))</f>
        <v/>
      </c>
      <c r="J220" s="60">
        <f>IF(N($W220)=0,"",IF(AND($S220=MesCiclo,2&gt;SemanaActual),"",MIN(1,SUMIFS(OFFSET($A$1,ROW(),30,1000-ROW(),1),OFFSET($A$1,ROW(),20,1000-ROW(),1),ROW(),OFFSET($A$1,ROW(),21,1000-ROW(),1),"Sub"))))</f>
        <v/>
      </c>
      <c r="K220" s="60">
        <f>IF(N($W220)=0,"",IF(AND($S220=MesCiclo,3&gt;SemanaActual),"",MIN(1,SUMIFS(OFFSET($A$1,ROW(),31,1000-ROW(),1),OFFSET($A$1,ROW(),20,1000-ROW(),1),ROW(),OFFSET($A$1,ROW(),21,1000-ROW(),1),"Sub"))))</f>
        <v/>
      </c>
      <c r="L220" s="60">
        <f>IF(N($W220)=0,"",IF(AND($S220=MesCiclo,4&gt;SemanaActual),"",MIN(1,SUMIFS(OFFSET($A$1,ROW(),32,1000-ROW(),1),OFFSET($A$1,ROW(),20,1000-ROW(),1),ROW(),OFFSET($A$1,ROW(),21,1000-ROW(),1),"Sub"))))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IF($V220&lt;&gt;"Sub","",N($X220)*IF(AND(ISNUMBER($G220),$G220&lt;=IF($S220=MesCiclo,InicioCiclo,$S220+MOD(2-WEEKDAY($S220),7))+6),1,MIN(1,MAX(0,IF(ISNUMBER(OFFSET($A$1,ROW()-1,8)),OFFSET($A$1,ROW()-1,8),0)))))</f>
        <v/>
      </c>
      <c r="AE220" s="62">
        <f>IF($V220&lt;&gt;"Sub","",N($X220)*IF(AND(ISNUMBER($G220),$G220&lt;=IF($S220=MesCiclo,InicioCiclo,$S220+MOD(2-WEEKDAY($S220),7))+13),1,MIN(1,MAX(0,IF(ISNUMBER(OFFSET($A$1,ROW()-1,9)),OFFSET($A$1,ROW()-1,9),IF(ISNUMBER(OFFSET($A$1,ROW()-1,8)),OFFSET($A$1,ROW()-1,8),0))))))</f>
        <v/>
      </c>
      <c r="AF220" s="62">
        <f>IF($V220&lt;&gt;"Sub","",N($X220)*IF(AND(ISNUMBER($G220),$G220&lt;=IF($S220=MesCiclo,InicioCiclo,$S220+MOD(2-WEEKDAY($S220),7))+20),1,MIN(1,MAX(0,IF(ISNUMBER(OFFSET($A$1,ROW()-1,10)),OFFSET($A$1,ROW()-1,10),IF(ISNUMBER(OFFSET($A$1,ROW()-1,9)),OFFSET($A$1,ROW()-1,9),IF(ISNUMBER(OFFSET($A$1,ROW()-1,8)),OFFSET($A$1,ROW()-1,8),0)))))))</f>
        <v/>
      </c>
      <c r="AG220" s="62">
        <f>IF($V220&lt;&gt;"Sub","",N($X220)*IF(AND(ISNUMBER($G220),$G220&lt;=IF($S220=MesCiclo,InicioCiclo,$S220+MOD(2-WEEKDAY($S220),7))+27),1,MIN(1,MAX(0,IF(ISNUMBER(OFFSET($A$1,ROW()-1,11)),OFFSET($A$1,ROW()-1,11),IF(ISNUMBER(OFFSET($A$1,ROW()-1,10)),OFFSET($A$1,ROW()-1,10),IF(ISNUMBER(OFFSET($A$1,ROW()-1,9)),OFFSET($A$1,ROW()-1,9),IF(ISNUMBER(OFFSET($A$1,ROW()-1,8)),OFFSET($A$1,ROW()-1,8),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",IFERROR(MATCH("Riesgo Financiero|"&amp;MID($C220,12,500),rDname_ADM,0),0),"")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IF(N($W221)=0,"",IF(AND($S221=MesCiclo,1&gt;SemanaActual),"",MIN(1,SUMIFS(OFFSET($A$1,ROW(),29,1000-ROW(),1),OFFSET($A$1,ROW(),20,1000-ROW(),1),ROW(),OFFSET($A$1,ROW(),21,1000-ROW(),1),"Sub"))))</f>
        <v/>
      </c>
      <c r="J221" s="60">
        <f>IF(N($W221)=0,"",IF(AND($S221=MesCiclo,2&gt;SemanaActual),"",MIN(1,SUMIFS(OFFSET($A$1,ROW(),30,1000-ROW(),1),OFFSET($A$1,ROW(),20,1000-ROW(),1),ROW(),OFFSET($A$1,ROW(),21,1000-ROW(),1),"Sub"))))</f>
        <v/>
      </c>
      <c r="K221" s="60">
        <f>IF(N($W221)=0,"",IF(AND($S221=MesCiclo,3&gt;SemanaActual),"",MIN(1,SUMIFS(OFFSET($A$1,ROW(),31,1000-ROW(),1),OFFSET($A$1,ROW(),20,1000-ROW(),1),ROW(),OFFSET($A$1,ROW(),21,1000-ROW(),1),"Sub"))))</f>
        <v/>
      </c>
      <c r="L221" s="60">
        <f>IF(N($W221)=0,"",IF(AND($S221=MesCiclo,4&gt;SemanaActual),"",MIN(1,SUMIFS(OFFSET($A$1,ROW(),32,1000-ROW(),1),OFFSET($A$1,ROW(),20,1000-ROW(),1),ROW(),OFFSET($A$1,ROW(),21,1000-ROW(),1),"Sub"))))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IF($V221&lt;&gt;"Sub","",N($X221)*IF(AND(ISNUMBER($G221),$G221&lt;=IF($S221=MesCiclo,InicioCiclo,$S221+MOD(2-WEEKDAY($S221),7))+6),1,MIN(1,MAX(0,IF(ISNUMBER(OFFSET($A$1,ROW()-1,8)),OFFSET($A$1,ROW()-1,8),0)))))</f>
        <v/>
      </c>
      <c r="AE221" s="62">
        <f>IF($V221&lt;&gt;"Sub","",N($X221)*IF(AND(ISNUMBER($G221),$G221&lt;=IF($S221=MesCiclo,InicioCiclo,$S221+MOD(2-WEEKDAY($S221),7))+13),1,MIN(1,MAX(0,IF(ISNUMBER(OFFSET($A$1,ROW()-1,9)),OFFSET($A$1,ROW()-1,9),IF(ISNUMBER(OFFSET($A$1,ROW()-1,8)),OFFSET($A$1,ROW()-1,8),0))))))</f>
        <v/>
      </c>
      <c r="AF221" s="62">
        <f>IF($V221&lt;&gt;"Sub","",N($X221)*IF(AND(ISNUMBER($G221),$G221&lt;=IF($S221=MesCiclo,InicioCiclo,$S221+MOD(2-WEEKDAY($S221),7))+20),1,MIN(1,MAX(0,IF(ISNUMBER(OFFSET($A$1,ROW()-1,10)),OFFSET($A$1,ROW()-1,10),IF(ISNUMBER(OFFSET($A$1,ROW()-1,9)),OFFSET($A$1,ROW()-1,9),IF(ISNUMBER(OFFSET($A$1,ROW()-1,8)),OFFSET($A$1,ROW()-1,8),0)))))))</f>
        <v/>
      </c>
      <c r="AG221" s="62">
        <f>IF($V221&lt;&gt;"Sub","",N($X221)*IF(AND(ISNUMBER($G221),$G221&lt;=IF($S221=MesCiclo,InicioCiclo,$S221+MOD(2-WEEKDAY($S221),7))+27),1,MIN(1,MAX(0,IF(ISNUMBER(OFFSET($A$1,ROW()-1,11)),OFFSET($A$1,ROW()-1,11),IF(ISNUMBER(OFFSET($A$1,ROW()-1,10)),OFFSET($A$1,ROW()-1,10),IF(ISNUMBER(OFFSET($A$1,ROW()-1,9)),OFFSET($A$1,ROW()-1,9),IF(ISNUMBER(OFFSET($A$1,ROW()-1,8)),OFFSET($A$1,ROW()-1,8),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",IFERROR(MATCH("Riesgo Financiero|"&amp;MID($C221,12,500),rDname_ADM,0),0),"")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IF(N($W222)=0,"",IF(AND($S222=MesCiclo,1&gt;SemanaActual),"",MIN(1,SUMIFS(OFFSET($A$1,ROW(),29,1000-ROW(),1),OFFSET($A$1,ROW(),20,1000-ROW(),1),ROW(),OFFSET($A$1,ROW(),21,1000-ROW(),1),"Sub"))))</f>
        <v/>
      </c>
      <c r="J222" s="60">
        <f>IF(N($W222)=0,"",IF(AND($S222=MesCiclo,2&gt;SemanaActual),"",MIN(1,SUMIFS(OFFSET($A$1,ROW(),30,1000-ROW(),1),OFFSET($A$1,ROW(),20,1000-ROW(),1),ROW(),OFFSET($A$1,ROW(),21,1000-ROW(),1),"Sub"))))</f>
        <v/>
      </c>
      <c r="K222" s="60">
        <f>IF(N($W222)=0,"",IF(AND($S222=MesCiclo,3&gt;SemanaActual),"",MIN(1,SUMIFS(OFFSET($A$1,ROW(),31,1000-ROW(),1),OFFSET($A$1,ROW(),20,1000-ROW(),1),ROW(),OFFSET($A$1,ROW(),21,1000-ROW(),1),"Sub"))))</f>
        <v/>
      </c>
      <c r="L222" s="60">
        <f>IF(N($W222)=0,"",IF(AND($S222=MesCiclo,4&gt;SemanaActual),"",MIN(1,SUMIFS(OFFSET($A$1,ROW(),32,1000-ROW(),1),OFFSET($A$1,ROW(),20,1000-ROW(),1),ROW(),OFFSET($A$1,ROW(),21,1000-ROW(),1),"Sub"))))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IF($V222&lt;&gt;"Sub","",N($X222)*IF(AND(ISNUMBER($G222),$G222&lt;=IF($S222=MesCiclo,InicioCiclo,$S222+MOD(2-WEEKDAY($S222),7))+6),1,MIN(1,MAX(0,IF(ISNUMBER(OFFSET($A$1,ROW()-1,8)),OFFSET($A$1,ROW()-1,8),0)))))</f>
        <v/>
      </c>
      <c r="AE222" s="62">
        <f>IF($V222&lt;&gt;"Sub","",N($X222)*IF(AND(ISNUMBER($G222),$G222&lt;=IF($S222=MesCiclo,InicioCiclo,$S222+MOD(2-WEEKDAY($S222),7))+13),1,MIN(1,MAX(0,IF(ISNUMBER(OFFSET($A$1,ROW()-1,9)),OFFSET($A$1,ROW()-1,9),IF(ISNUMBER(OFFSET($A$1,ROW()-1,8)),OFFSET($A$1,ROW()-1,8),0))))))</f>
        <v/>
      </c>
      <c r="AF222" s="62">
        <f>IF($V222&lt;&gt;"Sub","",N($X222)*IF(AND(ISNUMBER($G222),$G222&lt;=IF($S222=MesCiclo,InicioCiclo,$S222+MOD(2-WEEKDAY($S222),7))+20),1,MIN(1,MAX(0,IF(ISNUMBER(OFFSET($A$1,ROW()-1,10)),OFFSET($A$1,ROW()-1,10),IF(ISNUMBER(OFFSET($A$1,ROW()-1,9)),OFFSET($A$1,ROW()-1,9),IF(ISNUMBER(OFFSET($A$1,ROW()-1,8)),OFFSET($A$1,ROW()-1,8),0)))))))</f>
        <v/>
      </c>
      <c r="AG222" s="62">
        <f>IF($V222&lt;&gt;"Sub","",N($X222)*IF(AND(ISNUMBER($G222),$G222&lt;=IF($S222=MesCiclo,InicioCiclo,$S222+MOD(2-WEEKDAY($S222),7))+27),1,MIN(1,MAX(0,IF(ISNUMBER(OFFSET($A$1,ROW()-1,11)),OFFSET($A$1,ROW()-1,11),IF(ISNUMBER(OFFSET($A$1,ROW()-1,10)),OFFSET($A$1,ROW()-1,10),IF(ISNUMBER(OFFSET($A$1,ROW()-1,9)),OFFSET($A$1,ROW()-1,9),IF(ISNUMBER(OFFSET($A$1,ROW()-1,8)),OFFSET($A$1,ROW()-1,8),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",IFERROR(MATCH("Riesgo Financiero|"&amp;MID($C222,12,500),rDname_ADM,0),0),"")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IF(N($W223)=0,"",IF(AND($S223=MesCiclo,1&gt;SemanaActual),"",MIN(1,SUMIFS(OFFSET($A$1,ROW(),29,1000-ROW(),1),OFFSET($A$1,ROW(),20,1000-ROW(),1),ROW(),OFFSET($A$1,ROW(),21,1000-ROW(),1),"Sub"))))</f>
        <v/>
      </c>
      <c r="J223" s="60">
        <f>IF(N($W223)=0,"",IF(AND($S223=MesCiclo,2&gt;SemanaActual),"",MIN(1,SUMIFS(OFFSET($A$1,ROW(),30,1000-ROW(),1),OFFSET($A$1,ROW(),20,1000-ROW(),1),ROW(),OFFSET($A$1,ROW(),21,1000-ROW(),1),"Sub"))))</f>
        <v/>
      </c>
      <c r="K223" s="60">
        <f>IF(N($W223)=0,"",IF(AND($S223=MesCiclo,3&gt;SemanaActual),"",MIN(1,SUMIFS(OFFSET($A$1,ROW(),31,1000-ROW(),1),OFFSET($A$1,ROW(),20,1000-ROW(),1),ROW(),OFFSET($A$1,ROW(),21,1000-ROW(),1),"Sub"))))</f>
        <v/>
      </c>
      <c r="L223" s="60">
        <f>IF(N($W223)=0,"",IF(AND($S223=MesCiclo,4&gt;SemanaActual),"",MIN(1,SUMIFS(OFFSET($A$1,ROW(),32,1000-ROW(),1),OFFSET($A$1,ROW(),20,1000-ROW(),1),ROW(),OFFSET($A$1,ROW(),21,1000-ROW(),1),"Sub"))))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IF($V223&lt;&gt;"Sub","",N($X223)*IF(AND(ISNUMBER($G223),$G223&lt;=IF($S223=MesCiclo,InicioCiclo,$S223+MOD(2-WEEKDAY($S223),7))+6),1,MIN(1,MAX(0,IF(ISNUMBER(OFFSET($A$1,ROW()-1,8)),OFFSET($A$1,ROW()-1,8),0)))))</f>
        <v/>
      </c>
      <c r="AE223" s="62">
        <f>IF($V223&lt;&gt;"Sub","",N($X223)*IF(AND(ISNUMBER($G223),$G223&lt;=IF($S223=MesCiclo,InicioCiclo,$S223+MOD(2-WEEKDAY($S223),7))+13),1,MIN(1,MAX(0,IF(ISNUMBER(OFFSET($A$1,ROW()-1,9)),OFFSET($A$1,ROW()-1,9),IF(ISNUMBER(OFFSET($A$1,ROW()-1,8)),OFFSET($A$1,ROW()-1,8),0))))))</f>
        <v/>
      </c>
      <c r="AF223" s="62">
        <f>IF($V223&lt;&gt;"Sub","",N($X223)*IF(AND(ISNUMBER($G223),$G223&lt;=IF($S223=MesCiclo,InicioCiclo,$S223+MOD(2-WEEKDAY($S223),7))+20),1,MIN(1,MAX(0,IF(ISNUMBER(OFFSET($A$1,ROW()-1,10)),OFFSET($A$1,ROW()-1,10),IF(ISNUMBER(OFFSET($A$1,ROW()-1,9)),OFFSET($A$1,ROW()-1,9),IF(ISNUMBER(OFFSET($A$1,ROW()-1,8)),OFFSET($A$1,ROW()-1,8),0)))))))</f>
        <v/>
      </c>
      <c r="AG223" s="62">
        <f>IF($V223&lt;&gt;"Sub","",N($X223)*IF(AND(ISNUMBER($G223),$G223&lt;=IF($S223=MesCiclo,InicioCiclo,$S223+MOD(2-WEEKDAY($S223),7))+27),1,MIN(1,MAX(0,IF(ISNUMBER(OFFSET($A$1,ROW()-1,11)),OFFSET($A$1,ROW()-1,11),IF(ISNUMBER(OFFSET($A$1,ROW()-1,10)),OFFSET($A$1,ROW()-1,10),IF(ISNUMBER(OFFSET($A$1,ROW()-1,9)),OFFSET($A$1,ROW()-1,9),IF(ISNUMBER(OFFSET($A$1,ROW()-1,8)),OFFSET($A$1,ROW()-1,8),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",IFERROR(MATCH("Riesgo Financiero|"&amp;MID($C223,12,500),rDname_ADM,0),0),"")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IF(N($W224)=0,"",IF(AND($S224=MesCiclo,1&gt;SemanaActual),"",MIN(1,SUMIFS(OFFSET($A$1,ROW(),29,1000-ROW(),1),OFFSET($A$1,ROW(),20,1000-ROW(),1),ROW(),OFFSET($A$1,ROW(),21,1000-ROW(),1),"Sub"))))</f>
        <v/>
      </c>
      <c r="J224" s="60">
        <f>IF(N($W224)=0,"",IF(AND($S224=MesCiclo,2&gt;SemanaActual),"",MIN(1,SUMIFS(OFFSET($A$1,ROW(),30,1000-ROW(),1),OFFSET($A$1,ROW(),20,1000-ROW(),1),ROW(),OFFSET($A$1,ROW(),21,1000-ROW(),1),"Sub"))))</f>
        <v/>
      </c>
      <c r="K224" s="60">
        <f>IF(N($W224)=0,"",IF(AND($S224=MesCiclo,3&gt;SemanaActual),"",MIN(1,SUMIFS(OFFSET($A$1,ROW(),31,1000-ROW(),1),OFFSET($A$1,ROW(),20,1000-ROW(),1),ROW(),OFFSET($A$1,ROW(),21,1000-ROW(),1),"Sub"))))</f>
        <v/>
      </c>
      <c r="L224" s="60">
        <f>IF(N($W224)=0,"",IF(AND($S224=MesCiclo,4&gt;SemanaActual),"",MIN(1,SUMIFS(OFFSET($A$1,ROW(),32,1000-ROW(),1),OFFSET($A$1,ROW(),20,1000-ROW(),1),ROW(),OFFSET($A$1,ROW(),21,1000-ROW(),1),"Sub"))))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IF($V224&lt;&gt;"Sub","",N($X224)*IF(AND(ISNUMBER($G224),$G224&lt;=IF($S224=MesCiclo,InicioCiclo,$S224+MOD(2-WEEKDAY($S224),7))+6),1,MIN(1,MAX(0,IF(ISNUMBER(OFFSET($A$1,ROW()-1,8)),OFFSET($A$1,ROW()-1,8),0)))))</f>
        <v/>
      </c>
      <c r="AE224" s="62">
        <f>IF($V224&lt;&gt;"Sub","",N($X224)*IF(AND(ISNUMBER($G224),$G224&lt;=IF($S224=MesCiclo,InicioCiclo,$S224+MOD(2-WEEKDAY($S224),7))+13),1,MIN(1,MAX(0,IF(ISNUMBER(OFFSET($A$1,ROW()-1,9)),OFFSET($A$1,ROW()-1,9),IF(ISNUMBER(OFFSET($A$1,ROW()-1,8)),OFFSET($A$1,ROW()-1,8),0))))))</f>
        <v/>
      </c>
      <c r="AF224" s="62">
        <f>IF($V224&lt;&gt;"Sub","",N($X224)*IF(AND(ISNUMBER($G224),$G224&lt;=IF($S224=MesCiclo,InicioCiclo,$S224+MOD(2-WEEKDAY($S224),7))+20),1,MIN(1,MAX(0,IF(ISNUMBER(OFFSET($A$1,ROW()-1,10)),OFFSET($A$1,ROW()-1,10),IF(ISNUMBER(OFFSET($A$1,ROW()-1,9)),OFFSET($A$1,ROW()-1,9),IF(ISNUMBER(OFFSET($A$1,ROW()-1,8)),OFFSET($A$1,ROW()-1,8),0)))))))</f>
        <v/>
      </c>
      <c r="AG224" s="62">
        <f>IF($V224&lt;&gt;"Sub","",N($X224)*IF(AND(ISNUMBER($G224),$G224&lt;=IF($S224=MesCiclo,InicioCiclo,$S224+MOD(2-WEEKDAY($S224),7))+27),1,MIN(1,MAX(0,IF(ISNUMBER(OFFSET($A$1,ROW()-1,11)),OFFSET($A$1,ROW()-1,11),IF(ISNUMBER(OFFSET($A$1,ROW()-1,10)),OFFSET($A$1,ROW()-1,10),IF(ISNUMBER(OFFSET($A$1,ROW()-1,9)),OFFSET($A$1,ROW()-1,9),IF(ISNUMBER(OFFSET($A$1,ROW()-1,8)),OFFSET($A$1,ROW()-1,8),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",IFERROR(MATCH("Riesgo Financiero|"&amp;MID($C224,12,500),rDname_ADM,0),0),"")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IF(N($W225)=0,"",IF(AND($S225=MesCiclo,1&gt;SemanaActual),"",MIN(1,SUMIFS(OFFSET($A$1,ROW(),29,1000-ROW(),1),OFFSET($A$1,ROW(),20,1000-ROW(),1),ROW(),OFFSET($A$1,ROW(),21,1000-ROW(),1),"Sub"))))</f>
        <v/>
      </c>
      <c r="J225" s="60">
        <f>IF(N($W225)=0,"",IF(AND($S225=MesCiclo,2&gt;SemanaActual),"",MIN(1,SUMIFS(OFFSET($A$1,ROW(),30,1000-ROW(),1),OFFSET($A$1,ROW(),20,1000-ROW(),1),ROW(),OFFSET($A$1,ROW(),21,1000-ROW(),1),"Sub"))))</f>
        <v/>
      </c>
      <c r="K225" s="60">
        <f>IF(N($W225)=0,"",IF(AND($S225=MesCiclo,3&gt;SemanaActual),"",MIN(1,SUMIFS(OFFSET($A$1,ROW(),31,1000-ROW(),1),OFFSET($A$1,ROW(),20,1000-ROW(),1),ROW(),OFFSET($A$1,ROW(),21,1000-ROW(),1),"Sub"))))</f>
        <v/>
      </c>
      <c r="L225" s="60">
        <f>IF(N($W225)=0,"",IF(AND($S225=MesCiclo,4&gt;SemanaActual),"",MIN(1,SUMIFS(OFFSET($A$1,ROW(),32,1000-ROW(),1),OFFSET($A$1,ROW(),20,1000-ROW(),1),ROW(),OFFSET($A$1,ROW(),21,1000-ROW(),1),"Sub"))))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IF($V225&lt;&gt;"Sub","",N($X225)*IF(AND(ISNUMBER($G225),$G225&lt;=IF($S225=MesCiclo,InicioCiclo,$S225+MOD(2-WEEKDAY($S225),7))+6),1,MIN(1,MAX(0,IF(ISNUMBER(OFFSET($A$1,ROW()-1,8)),OFFSET($A$1,ROW()-1,8),0)))))</f>
        <v/>
      </c>
      <c r="AE225" s="62">
        <f>IF($V225&lt;&gt;"Sub","",N($X225)*IF(AND(ISNUMBER($G225),$G225&lt;=IF($S225=MesCiclo,InicioCiclo,$S225+MOD(2-WEEKDAY($S225),7))+13),1,MIN(1,MAX(0,IF(ISNUMBER(OFFSET($A$1,ROW()-1,9)),OFFSET($A$1,ROW()-1,9),IF(ISNUMBER(OFFSET($A$1,ROW()-1,8)),OFFSET($A$1,ROW()-1,8),0))))))</f>
        <v/>
      </c>
      <c r="AF225" s="62">
        <f>IF($V225&lt;&gt;"Sub","",N($X225)*IF(AND(ISNUMBER($G225),$G225&lt;=IF($S225=MesCiclo,InicioCiclo,$S225+MOD(2-WEEKDAY($S225),7))+20),1,MIN(1,MAX(0,IF(ISNUMBER(OFFSET($A$1,ROW()-1,10)),OFFSET($A$1,ROW()-1,10),IF(ISNUMBER(OFFSET($A$1,ROW()-1,9)),OFFSET($A$1,ROW()-1,9),IF(ISNUMBER(OFFSET($A$1,ROW()-1,8)),OFFSET($A$1,ROW()-1,8),0)))))))</f>
        <v/>
      </c>
      <c r="AG225" s="62">
        <f>IF($V225&lt;&gt;"Sub","",N($X225)*IF(AND(ISNUMBER($G225),$G225&lt;=IF($S225=MesCiclo,InicioCiclo,$S225+MOD(2-WEEKDAY($S225),7))+27),1,MIN(1,MAX(0,IF(ISNUMBER(OFFSET($A$1,ROW()-1,11)),OFFSET($A$1,ROW()-1,11),IF(ISNUMBER(OFFSET($A$1,ROW()-1,10)),OFFSET($A$1,ROW()-1,10),IF(ISNUMBER(OFFSET($A$1,ROW()-1,9)),OFFSET($A$1,ROW()-1,9),IF(ISNUMBER(OFFSET($A$1,ROW()-1,8)),OFFSET($A$1,ROW()-1,8),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",IFERROR(MATCH("Riesgo Financiero|"&amp;MID($C225,12,500),rDname_ADM,0),0),"")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IF(N($W226)=0,"",IF(AND($S226=MesCiclo,1&gt;SemanaActual),"",MIN(1,SUMIFS(OFFSET($A$1,ROW(),29,1000-ROW(),1),OFFSET($A$1,ROW(),20,1000-ROW(),1),ROW(),OFFSET($A$1,ROW(),21,1000-ROW(),1),"Sub"))))</f>
        <v/>
      </c>
      <c r="J226" s="60">
        <f>IF(N($W226)=0,"",IF(AND($S226=MesCiclo,2&gt;SemanaActual),"",MIN(1,SUMIFS(OFFSET($A$1,ROW(),30,1000-ROW(),1),OFFSET($A$1,ROW(),20,1000-ROW(),1),ROW(),OFFSET($A$1,ROW(),21,1000-ROW(),1),"Sub"))))</f>
        <v/>
      </c>
      <c r="K226" s="60">
        <f>IF(N($W226)=0,"",IF(AND($S226=MesCiclo,3&gt;SemanaActual),"",MIN(1,SUMIFS(OFFSET($A$1,ROW(),31,1000-ROW(),1),OFFSET($A$1,ROW(),20,1000-ROW(),1),ROW(),OFFSET($A$1,ROW(),21,1000-ROW(),1),"Sub"))))</f>
        <v/>
      </c>
      <c r="L226" s="60">
        <f>IF(N($W226)=0,"",IF(AND($S226=MesCiclo,4&gt;SemanaActual),"",MIN(1,SUMIFS(OFFSET($A$1,ROW(),32,1000-ROW(),1),OFFSET($A$1,ROW(),20,1000-ROW(),1),ROW(),OFFSET($A$1,ROW(),21,1000-ROW(),1),"Sub"))))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IF($V226&lt;&gt;"Sub","",N($X226)*IF(AND(ISNUMBER($G226),$G226&lt;=IF($S226=MesCiclo,InicioCiclo,$S226+MOD(2-WEEKDAY($S226),7))+6),1,MIN(1,MAX(0,IF(ISNUMBER(OFFSET($A$1,ROW()-1,8)),OFFSET($A$1,ROW()-1,8),0)))))</f>
        <v/>
      </c>
      <c r="AE226" s="62">
        <f>IF($V226&lt;&gt;"Sub","",N($X226)*IF(AND(ISNUMBER($G226),$G226&lt;=IF($S226=MesCiclo,InicioCiclo,$S226+MOD(2-WEEKDAY($S226),7))+13),1,MIN(1,MAX(0,IF(ISNUMBER(OFFSET($A$1,ROW()-1,9)),OFFSET($A$1,ROW()-1,9),IF(ISNUMBER(OFFSET($A$1,ROW()-1,8)),OFFSET($A$1,ROW()-1,8),0))))))</f>
        <v/>
      </c>
      <c r="AF226" s="62">
        <f>IF($V226&lt;&gt;"Sub","",N($X226)*IF(AND(ISNUMBER($G226),$G226&lt;=IF($S226=MesCiclo,InicioCiclo,$S226+MOD(2-WEEKDAY($S226),7))+20),1,MIN(1,MAX(0,IF(ISNUMBER(OFFSET($A$1,ROW()-1,10)),OFFSET($A$1,ROW()-1,10),IF(ISNUMBER(OFFSET($A$1,ROW()-1,9)),OFFSET($A$1,ROW()-1,9),IF(ISNUMBER(OFFSET($A$1,ROW()-1,8)),OFFSET($A$1,ROW()-1,8),0)))))))</f>
        <v/>
      </c>
      <c r="AG226" s="62">
        <f>IF($V226&lt;&gt;"Sub","",N($X226)*IF(AND(ISNUMBER($G226),$G226&lt;=IF($S226=MesCiclo,InicioCiclo,$S226+MOD(2-WEEKDAY($S226),7))+27),1,MIN(1,MAX(0,IF(ISNUMBER(OFFSET($A$1,ROW()-1,11)),OFFSET($A$1,ROW()-1,11),IF(ISNUMBER(OFFSET($A$1,ROW()-1,10)),OFFSET($A$1,ROW()-1,10),IF(ISNUMBER(OFFSET($A$1,ROW()-1,9)),OFFSET($A$1,ROW()-1,9),IF(ISNUMBER(OFFSET($A$1,ROW()-1,8)),OFFSET($A$1,ROW()-1,8),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",IFERROR(MATCH("Riesgo Financiero|"&amp;MID($C226,12,500),rDname_ADM,0),0),"")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IF(N($W227)=0,"",IF(AND($S227=MesCiclo,1&gt;SemanaActual),"",MIN(1,SUMIFS(OFFSET($A$1,ROW(),29,1000-ROW(),1),OFFSET($A$1,ROW(),20,1000-ROW(),1),ROW(),OFFSET($A$1,ROW(),21,1000-ROW(),1),"Sub"))))</f>
        <v/>
      </c>
      <c r="J227" s="60">
        <f>IF(N($W227)=0,"",IF(AND($S227=MesCiclo,2&gt;SemanaActual),"",MIN(1,SUMIFS(OFFSET($A$1,ROW(),30,1000-ROW(),1),OFFSET($A$1,ROW(),20,1000-ROW(),1),ROW(),OFFSET($A$1,ROW(),21,1000-ROW(),1),"Sub"))))</f>
        <v/>
      </c>
      <c r="K227" s="60">
        <f>IF(N($W227)=0,"",IF(AND($S227=MesCiclo,3&gt;SemanaActual),"",MIN(1,SUMIFS(OFFSET($A$1,ROW(),31,1000-ROW(),1),OFFSET($A$1,ROW(),20,1000-ROW(),1),ROW(),OFFSET($A$1,ROW(),21,1000-ROW(),1),"Sub"))))</f>
        <v/>
      </c>
      <c r="L227" s="60">
        <f>IF(N($W227)=0,"",IF(AND($S227=MesCiclo,4&gt;SemanaActual),"",MIN(1,SUMIFS(OFFSET($A$1,ROW(),32,1000-ROW(),1),OFFSET($A$1,ROW(),20,1000-ROW(),1),ROW(),OFFSET($A$1,ROW(),21,1000-ROW(),1),"Sub"))))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IF($V227&lt;&gt;"Sub","",N($X227)*IF(AND(ISNUMBER($G227),$G227&lt;=IF($S227=MesCiclo,InicioCiclo,$S227+MOD(2-WEEKDAY($S227),7))+6),1,MIN(1,MAX(0,IF(ISNUMBER(OFFSET($A$1,ROW()-1,8)),OFFSET($A$1,ROW()-1,8),0)))))</f>
        <v/>
      </c>
      <c r="AE227" s="62">
        <f>IF($V227&lt;&gt;"Sub","",N($X227)*IF(AND(ISNUMBER($G227),$G227&lt;=IF($S227=MesCiclo,InicioCiclo,$S227+MOD(2-WEEKDAY($S227),7))+13),1,MIN(1,MAX(0,IF(ISNUMBER(OFFSET($A$1,ROW()-1,9)),OFFSET($A$1,ROW()-1,9),IF(ISNUMBER(OFFSET($A$1,ROW()-1,8)),OFFSET($A$1,ROW()-1,8),0))))))</f>
        <v/>
      </c>
      <c r="AF227" s="62">
        <f>IF($V227&lt;&gt;"Sub","",N($X227)*IF(AND(ISNUMBER($G227),$G227&lt;=IF($S227=MesCiclo,InicioCiclo,$S227+MOD(2-WEEKDAY($S227),7))+20),1,MIN(1,MAX(0,IF(ISNUMBER(OFFSET($A$1,ROW()-1,10)),OFFSET($A$1,ROW()-1,10),IF(ISNUMBER(OFFSET($A$1,ROW()-1,9)),OFFSET($A$1,ROW()-1,9),IF(ISNUMBER(OFFSET($A$1,ROW()-1,8)),OFFSET($A$1,ROW()-1,8),0)))))))</f>
        <v/>
      </c>
      <c r="AG227" s="62">
        <f>IF($V227&lt;&gt;"Sub","",N($X227)*IF(AND(ISNUMBER($G227),$G227&lt;=IF($S227=MesCiclo,InicioCiclo,$S227+MOD(2-WEEKDAY($S227),7))+27),1,MIN(1,MAX(0,IF(ISNUMBER(OFFSET($A$1,ROW()-1,11)),OFFSET($A$1,ROW()-1,11),IF(ISNUMBER(OFFSET($A$1,ROW()-1,10)),OFFSET($A$1,ROW()-1,10),IF(ISNUMBER(OFFSET($A$1,ROW()-1,9)),OFFSET($A$1,ROW()-1,9),IF(ISNUMBER(OFFSET($A$1,ROW()-1,8)),OFFSET($A$1,ROW()-1,8),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",IFERROR(MATCH("Riesgo Financiero|"&amp;MID($C227,12,500),rDname_ADM,0),0),"")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IF(N($W228)=0,"",IF(AND($S228=MesCiclo,1&gt;SemanaActual),"",MIN(1,SUMIFS(OFFSET($A$1,ROW(),29,1000-ROW(),1),OFFSET($A$1,ROW(),20,1000-ROW(),1),ROW(),OFFSET($A$1,ROW(),21,1000-ROW(),1),"Sub"))))</f>
        <v/>
      </c>
      <c r="J228" s="60">
        <f>IF(N($W228)=0,"",IF(AND($S228=MesCiclo,2&gt;SemanaActual),"",MIN(1,SUMIFS(OFFSET($A$1,ROW(),30,1000-ROW(),1),OFFSET($A$1,ROW(),20,1000-ROW(),1),ROW(),OFFSET($A$1,ROW(),21,1000-ROW(),1),"Sub"))))</f>
        <v/>
      </c>
      <c r="K228" s="60">
        <f>IF(N($W228)=0,"",IF(AND($S228=MesCiclo,3&gt;SemanaActual),"",MIN(1,SUMIFS(OFFSET($A$1,ROW(),31,1000-ROW(),1),OFFSET($A$1,ROW(),20,1000-ROW(),1),ROW(),OFFSET($A$1,ROW(),21,1000-ROW(),1),"Sub"))))</f>
        <v/>
      </c>
      <c r="L228" s="60">
        <f>IF(N($W228)=0,"",IF(AND($S228=MesCiclo,4&gt;SemanaActual),"",MIN(1,SUMIFS(OFFSET($A$1,ROW(),32,1000-ROW(),1),OFFSET($A$1,ROW(),20,1000-ROW(),1),ROW(),OFFSET($A$1,ROW(),21,1000-ROW(),1),"Sub"))))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IF($V228&lt;&gt;"Sub","",N($X228)*IF(AND(ISNUMBER($G228),$G228&lt;=IF($S228=MesCiclo,InicioCiclo,$S228+MOD(2-WEEKDAY($S228),7))+6),1,MIN(1,MAX(0,IF(ISNUMBER(OFFSET($A$1,ROW()-1,8)),OFFSET($A$1,ROW()-1,8),0)))))</f>
        <v/>
      </c>
      <c r="AE228" s="62">
        <f>IF($V228&lt;&gt;"Sub","",N($X228)*IF(AND(ISNUMBER($G228),$G228&lt;=IF($S228=MesCiclo,InicioCiclo,$S228+MOD(2-WEEKDAY($S228),7))+13),1,MIN(1,MAX(0,IF(ISNUMBER(OFFSET($A$1,ROW()-1,9)),OFFSET($A$1,ROW()-1,9),IF(ISNUMBER(OFFSET($A$1,ROW()-1,8)),OFFSET($A$1,ROW()-1,8),0))))))</f>
        <v/>
      </c>
      <c r="AF228" s="62">
        <f>IF($V228&lt;&gt;"Sub","",N($X228)*IF(AND(ISNUMBER($G228),$G228&lt;=IF($S228=MesCiclo,InicioCiclo,$S228+MOD(2-WEEKDAY($S228),7))+20),1,MIN(1,MAX(0,IF(ISNUMBER(OFFSET($A$1,ROW()-1,10)),OFFSET($A$1,ROW()-1,10),IF(ISNUMBER(OFFSET($A$1,ROW()-1,9)),OFFSET($A$1,ROW()-1,9),IF(ISNUMBER(OFFSET($A$1,ROW()-1,8)),OFFSET($A$1,ROW()-1,8),0)))))))</f>
        <v/>
      </c>
      <c r="AG228" s="62">
        <f>IF($V228&lt;&gt;"Sub","",N($X228)*IF(AND(ISNUMBER($G228),$G228&lt;=IF($S228=MesCiclo,InicioCiclo,$S228+MOD(2-WEEKDAY($S228),7))+27),1,MIN(1,MAX(0,IF(ISNUMBER(OFFSET($A$1,ROW()-1,11)),OFFSET($A$1,ROW()-1,11),IF(ISNUMBER(OFFSET($A$1,ROW()-1,10)),OFFSET($A$1,ROW()-1,10),IF(ISNUMBER(OFFSET($A$1,ROW()-1,9)),OFFSET($A$1,ROW()-1,9),IF(ISNUMBER(OFFSET($A$1,ROW()-1,8)),OFFSET($A$1,ROW()-1,8),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",IFERROR(MATCH("Riesgo Financiero|"&amp;MID($C228,12,500),rDname_ADM,0),0),"")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IF(N($W229)=0,"",IF(AND($S229=MesCiclo,1&gt;SemanaActual),"",MIN(1,SUMIFS(OFFSET($A$1,ROW(),29,1000-ROW(),1),OFFSET($A$1,ROW(),20,1000-ROW(),1),ROW(),OFFSET($A$1,ROW(),21,1000-ROW(),1),"Sub"))))</f>
        <v/>
      </c>
      <c r="J229" s="60">
        <f>IF(N($W229)=0,"",IF(AND($S229=MesCiclo,2&gt;SemanaActual),"",MIN(1,SUMIFS(OFFSET($A$1,ROW(),30,1000-ROW(),1),OFFSET($A$1,ROW(),20,1000-ROW(),1),ROW(),OFFSET($A$1,ROW(),21,1000-ROW(),1),"Sub"))))</f>
        <v/>
      </c>
      <c r="K229" s="60">
        <f>IF(N($W229)=0,"",IF(AND($S229=MesCiclo,3&gt;SemanaActual),"",MIN(1,SUMIFS(OFFSET($A$1,ROW(),31,1000-ROW(),1),OFFSET($A$1,ROW(),20,1000-ROW(),1),ROW(),OFFSET($A$1,ROW(),21,1000-ROW(),1),"Sub"))))</f>
        <v/>
      </c>
      <c r="L229" s="60">
        <f>IF(N($W229)=0,"",IF(AND($S229=MesCiclo,4&gt;SemanaActual),"",MIN(1,SUMIFS(OFFSET($A$1,ROW(),32,1000-ROW(),1),OFFSET($A$1,ROW(),20,1000-ROW(),1),ROW(),OFFSET($A$1,ROW(),21,1000-ROW(),1),"Sub"))))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IF($V229&lt;&gt;"Sub","",N($X229)*IF(AND(ISNUMBER($G229),$G229&lt;=IF($S229=MesCiclo,InicioCiclo,$S229+MOD(2-WEEKDAY($S229),7))+6),1,MIN(1,MAX(0,IF(ISNUMBER(OFFSET($A$1,ROW()-1,8)),OFFSET($A$1,ROW()-1,8),0)))))</f>
        <v/>
      </c>
      <c r="AE229" s="62">
        <f>IF($V229&lt;&gt;"Sub","",N($X229)*IF(AND(ISNUMBER($G229),$G229&lt;=IF($S229=MesCiclo,InicioCiclo,$S229+MOD(2-WEEKDAY($S229),7))+13),1,MIN(1,MAX(0,IF(ISNUMBER(OFFSET($A$1,ROW()-1,9)),OFFSET($A$1,ROW()-1,9),IF(ISNUMBER(OFFSET($A$1,ROW()-1,8)),OFFSET($A$1,ROW()-1,8),0))))))</f>
        <v/>
      </c>
      <c r="AF229" s="62">
        <f>IF($V229&lt;&gt;"Sub","",N($X229)*IF(AND(ISNUMBER($G229),$G229&lt;=IF($S229=MesCiclo,InicioCiclo,$S229+MOD(2-WEEKDAY($S229),7))+20),1,MIN(1,MAX(0,IF(ISNUMBER(OFFSET($A$1,ROW()-1,10)),OFFSET($A$1,ROW()-1,10),IF(ISNUMBER(OFFSET($A$1,ROW()-1,9)),OFFSET($A$1,ROW()-1,9),IF(ISNUMBER(OFFSET($A$1,ROW()-1,8)),OFFSET($A$1,ROW()-1,8),0)))))))</f>
        <v/>
      </c>
      <c r="AG229" s="62">
        <f>IF($V229&lt;&gt;"Sub","",N($X229)*IF(AND(ISNUMBER($G229),$G229&lt;=IF($S229=MesCiclo,InicioCiclo,$S229+MOD(2-WEEKDAY($S229),7))+27),1,MIN(1,MAX(0,IF(ISNUMBER(OFFSET($A$1,ROW()-1,11)),OFFSET($A$1,ROW()-1,11),IF(ISNUMBER(OFFSET($A$1,ROW()-1,10)),OFFSET($A$1,ROW()-1,10),IF(ISNUMBER(OFFSET($A$1,ROW()-1,9)),OFFSET($A$1,ROW()-1,9),IF(ISNUMBER(OFFSET($A$1,ROW()-1,8)),OFFSET($A$1,ROW()-1,8),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",IFERROR(MATCH("Riesgo Financiero|"&amp;MID($C229,12,500),rDname_ADM,0),0),"")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IF(N($W230)=0,"",IF(AND($S230=MesCiclo,1&gt;SemanaActual),"",MIN(1,SUMIFS(OFFSET($A$1,ROW(),29,1000-ROW(),1),OFFSET($A$1,ROW(),20,1000-ROW(),1),ROW(),OFFSET($A$1,ROW(),21,1000-ROW(),1),"Sub"))))</f>
        <v/>
      </c>
      <c r="J230" s="60">
        <f>IF(N($W230)=0,"",IF(AND($S230=MesCiclo,2&gt;SemanaActual),"",MIN(1,SUMIFS(OFFSET($A$1,ROW(),30,1000-ROW(),1),OFFSET($A$1,ROW(),20,1000-ROW(),1),ROW(),OFFSET($A$1,ROW(),21,1000-ROW(),1),"Sub"))))</f>
        <v/>
      </c>
      <c r="K230" s="60">
        <f>IF(N($W230)=0,"",IF(AND($S230=MesCiclo,3&gt;SemanaActual),"",MIN(1,SUMIFS(OFFSET($A$1,ROW(),31,1000-ROW(),1),OFFSET($A$1,ROW(),20,1000-ROW(),1),ROW(),OFFSET($A$1,ROW(),21,1000-ROW(),1),"Sub"))))</f>
        <v/>
      </c>
      <c r="L230" s="60">
        <f>IF(N($W230)=0,"",IF(AND($S230=MesCiclo,4&gt;SemanaActual),"",MIN(1,SUMIFS(OFFSET($A$1,ROW(),32,1000-ROW(),1),OFFSET($A$1,ROW(),20,1000-ROW(),1),ROW(),OFFSET($A$1,ROW(),21,1000-ROW(),1),"Sub"))))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IF($V230&lt;&gt;"Sub","",N($X230)*IF(AND(ISNUMBER($G230),$G230&lt;=IF($S230=MesCiclo,InicioCiclo,$S230+MOD(2-WEEKDAY($S230),7))+6),1,MIN(1,MAX(0,IF(ISNUMBER(OFFSET($A$1,ROW()-1,8)),OFFSET($A$1,ROW()-1,8),0)))))</f>
        <v/>
      </c>
      <c r="AE230" s="62">
        <f>IF($V230&lt;&gt;"Sub","",N($X230)*IF(AND(ISNUMBER($G230),$G230&lt;=IF($S230=MesCiclo,InicioCiclo,$S230+MOD(2-WEEKDAY($S230),7))+13),1,MIN(1,MAX(0,IF(ISNUMBER(OFFSET($A$1,ROW()-1,9)),OFFSET($A$1,ROW()-1,9),IF(ISNUMBER(OFFSET($A$1,ROW()-1,8)),OFFSET($A$1,ROW()-1,8),0))))))</f>
        <v/>
      </c>
      <c r="AF230" s="62">
        <f>IF($V230&lt;&gt;"Sub","",N($X230)*IF(AND(ISNUMBER($G230),$G230&lt;=IF($S230=MesCiclo,InicioCiclo,$S230+MOD(2-WEEKDAY($S230),7))+20),1,MIN(1,MAX(0,IF(ISNUMBER(OFFSET($A$1,ROW()-1,10)),OFFSET($A$1,ROW()-1,10),IF(ISNUMBER(OFFSET($A$1,ROW()-1,9)),OFFSET($A$1,ROW()-1,9),IF(ISNUMBER(OFFSET($A$1,ROW()-1,8)),OFFSET($A$1,ROW()-1,8),0)))))))</f>
        <v/>
      </c>
      <c r="AG230" s="62">
        <f>IF($V230&lt;&gt;"Sub","",N($X230)*IF(AND(ISNUMBER($G230),$G230&lt;=IF($S230=MesCiclo,InicioCiclo,$S230+MOD(2-WEEKDAY($S230),7))+27),1,MIN(1,MAX(0,IF(ISNUMBER(OFFSET($A$1,ROW()-1,11)),OFFSET($A$1,ROW()-1,11),IF(ISNUMBER(OFFSET($A$1,ROW()-1,10)),OFFSET($A$1,ROW()-1,10),IF(ISNUMBER(OFFSET($A$1,ROW()-1,9)),OFFSET($A$1,ROW()-1,9),IF(ISNUMBER(OFFSET($A$1,ROW()-1,8)),OFFSET($A$1,ROW()-1,8),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",IFERROR(MATCH("Riesgo Financiero|"&amp;MID($C230,12,500),rDname_ADM,0),0),"")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IF(N($W231)=0,"",IF(AND($S231=MesCiclo,1&gt;SemanaActual),"",MIN(1,SUMIFS(OFFSET($A$1,ROW(),29,1000-ROW(),1),OFFSET($A$1,ROW(),20,1000-ROW(),1),ROW(),OFFSET($A$1,ROW(),21,1000-ROW(),1),"Sub"))))</f>
        <v/>
      </c>
      <c r="J231" s="60">
        <f>IF(N($W231)=0,"",IF(AND($S231=MesCiclo,2&gt;SemanaActual),"",MIN(1,SUMIFS(OFFSET($A$1,ROW(),30,1000-ROW(),1),OFFSET($A$1,ROW(),20,1000-ROW(),1),ROW(),OFFSET($A$1,ROW(),21,1000-ROW(),1),"Sub"))))</f>
        <v/>
      </c>
      <c r="K231" s="60">
        <f>IF(N($W231)=0,"",IF(AND($S231=MesCiclo,3&gt;SemanaActual),"",MIN(1,SUMIFS(OFFSET($A$1,ROW(),31,1000-ROW(),1),OFFSET($A$1,ROW(),20,1000-ROW(),1),ROW(),OFFSET($A$1,ROW(),21,1000-ROW(),1),"Sub"))))</f>
        <v/>
      </c>
      <c r="L231" s="60">
        <f>IF(N($W231)=0,"",IF(AND($S231=MesCiclo,4&gt;SemanaActual),"",MIN(1,SUMIFS(OFFSET($A$1,ROW(),32,1000-ROW(),1),OFFSET($A$1,ROW(),20,1000-ROW(),1),ROW(),OFFSET($A$1,ROW(),21,1000-ROW(),1),"Sub"))))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IF($V231&lt;&gt;"Sub","",N($X231)*IF(AND(ISNUMBER($G231),$G231&lt;=IF($S231=MesCiclo,InicioCiclo,$S231+MOD(2-WEEKDAY($S231),7))+6),1,MIN(1,MAX(0,IF(ISNUMBER(OFFSET($A$1,ROW()-1,8)),OFFSET($A$1,ROW()-1,8),0)))))</f>
        <v/>
      </c>
      <c r="AE231" s="62">
        <f>IF($V231&lt;&gt;"Sub","",N($X231)*IF(AND(ISNUMBER($G231),$G231&lt;=IF($S231=MesCiclo,InicioCiclo,$S231+MOD(2-WEEKDAY($S231),7))+13),1,MIN(1,MAX(0,IF(ISNUMBER(OFFSET($A$1,ROW()-1,9)),OFFSET($A$1,ROW()-1,9),IF(ISNUMBER(OFFSET($A$1,ROW()-1,8)),OFFSET($A$1,ROW()-1,8),0))))))</f>
        <v/>
      </c>
      <c r="AF231" s="62">
        <f>IF($V231&lt;&gt;"Sub","",N($X231)*IF(AND(ISNUMBER($G231),$G231&lt;=IF($S231=MesCiclo,InicioCiclo,$S231+MOD(2-WEEKDAY($S231),7))+20),1,MIN(1,MAX(0,IF(ISNUMBER(OFFSET($A$1,ROW()-1,10)),OFFSET($A$1,ROW()-1,10),IF(ISNUMBER(OFFSET($A$1,ROW()-1,9)),OFFSET($A$1,ROW()-1,9),IF(ISNUMBER(OFFSET($A$1,ROW()-1,8)),OFFSET($A$1,ROW()-1,8),0)))))))</f>
        <v/>
      </c>
      <c r="AG231" s="62">
        <f>IF($V231&lt;&gt;"Sub","",N($X231)*IF(AND(ISNUMBER($G231),$G231&lt;=IF($S231=MesCiclo,InicioCiclo,$S231+MOD(2-WEEKDAY($S231),7))+27),1,MIN(1,MAX(0,IF(ISNUMBER(OFFSET($A$1,ROW()-1,11)),OFFSET($A$1,ROW()-1,11),IF(ISNUMBER(OFFSET($A$1,ROW()-1,10)),OFFSET($A$1,ROW()-1,10),IF(ISNUMBER(OFFSET($A$1,ROW()-1,9)),OFFSET($A$1,ROW()-1,9),IF(ISNUMBER(OFFSET($A$1,ROW()-1,8)),OFFSET($A$1,ROW()-1,8),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",IFERROR(MATCH("Riesgo Financiero|"&amp;MID($C231,12,500),rDname_ADM,0),0),"")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IF(N($W232)=0,"",IF(AND($S232=MesCiclo,1&gt;SemanaActual),"",MIN(1,SUMIFS(OFFSET($A$1,ROW(),29,1000-ROW(),1),OFFSET($A$1,ROW(),20,1000-ROW(),1),ROW(),OFFSET($A$1,ROW(),21,1000-ROW(),1),"Sub"))))</f>
        <v/>
      </c>
      <c r="J232" s="60">
        <f>IF(N($W232)=0,"",IF(AND($S232=MesCiclo,2&gt;SemanaActual),"",MIN(1,SUMIFS(OFFSET($A$1,ROW(),30,1000-ROW(),1),OFFSET($A$1,ROW(),20,1000-ROW(),1),ROW(),OFFSET($A$1,ROW(),21,1000-ROW(),1),"Sub"))))</f>
        <v/>
      </c>
      <c r="K232" s="60">
        <f>IF(N($W232)=0,"",IF(AND($S232=MesCiclo,3&gt;SemanaActual),"",MIN(1,SUMIFS(OFFSET($A$1,ROW(),31,1000-ROW(),1),OFFSET($A$1,ROW(),20,1000-ROW(),1),ROW(),OFFSET($A$1,ROW(),21,1000-ROW(),1),"Sub"))))</f>
        <v/>
      </c>
      <c r="L232" s="60">
        <f>IF(N($W232)=0,"",IF(AND($S232=MesCiclo,4&gt;SemanaActual),"",MIN(1,SUMIFS(OFFSET($A$1,ROW(),32,1000-ROW(),1),OFFSET($A$1,ROW(),20,1000-ROW(),1),ROW(),OFFSET($A$1,ROW(),21,1000-ROW(),1),"Sub"))))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IF($V232&lt;&gt;"Sub","",N($X232)*IF(AND(ISNUMBER($G232),$G232&lt;=IF($S232=MesCiclo,InicioCiclo,$S232+MOD(2-WEEKDAY($S232),7))+6),1,MIN(1,MAX(0,IF(ISNUMBER(OFFSET($A$1,ROW()-1,8)),OFFSET($A$1,ROW()-1,8),0)))))</f>
        <v/>
      </c>
      <c r="AE232" s="62">
        <f>IF($V232&lt;&gt;"Sub","",N($X232)*IF(AND(ISNUMBER($G232),$G232&lt;=IF($S232=MesCiclo,InicioCiclo,$S232+MOD(2-WEEKDAY($S232),7))+13),1,MIN(1,MAX(0,IF(ISNUMBER(OFFSET($A$1,ROW()-1,9)),OFFSET($A$1,ROW()-1,9),IF(ISNUMBER(OFFSET($A$1,ROW()-1,8)),OFFSET($A$1,ROW()-1,8),0))))))</f>
        <v/>
      </c>
      <c r="AF232" s="62">
        <f>IF($V232&lt;&gt;"Sub","",N($X232)*IF(AND(ISNUMBER($G232),$G232&lt;=IF($S232=MesCiclo,InicioCiclo,$S232+MOD(2-WEEKDAY($S232),7))+20),1,MIN(1,MAX(0,IF(ISNUMBER(OFFSET($A$1,ROW()-1,10)),OFFSET($A$1,ROW()-1,10),IF(ISNUMBER(OFFSET($A$1,ROW()-1,9)),OFFSET($A$1,ROW()-1,9),IF(ISNUMBER(OFFSET($A$1,ROW()-1,8)),OFFSET($A$1,ROW()-1,8),0)))))))</f>
        <v/>
      </c>
      <c r="AG232" s="62">
        <f>IF($V232&lt;&gt;"Sub","",N($X232)*IF(AND(ISNUMBER($G232),$G232&lt;=IF($S232=MesCiclo,InicioCiclo,$S232+MOD(2-WEEKDAY($S232),7))+27),1,MIN(1,MAX(0,IF(ISNUMBER(OFFSET($A$1,ROW()-1,11)),OFFSET($A$1,ROW()-1,11),IF(ISNUMBER(OFFSET($A$1,ROW()-1,10)),OFFSET($A$1,ROW()-1,10),IF(ISNUMBER(OFFSET($A$1,ROW()-1,9)),OFFSET($A$1,ROW()-1,9),IF(ISNUMBER(OFFSET($A$1,ROW()-1,8)),OFFSET($A$1,ROW()-1,8),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",IFERROR(MATCH("Riesgo Financiero|"&amp;MID($C232,12,500),rDname_ADM,0),0),"")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IF(N($W233)=0,"",IF(AND($S233=MesCiclo,1&gt;SemanaActual),"",MIN(1,SUMIFS(OFFSET($A$1,ROW(),29,1000-ROW(),1),OFFSET($A$1,ROW(),20,1000-ROW(),1),ROW(),OFFSET($A$1,ROW(),21,1000-ROW(),1),"Sub"))))</f>
        <v/>
      </c>
      <c r="J233" s="60">
        <f>IF(N($W233)=0,"",IF(AND($S233=MesCiclo,2&gt;SemanaActual),"",MIN(1,SUMIFS(OFFSET($A$1,ROW(),30,1000-ROW(),1),OFFSET($A$1,ROW(),20,1000-ROW(),1),ROW(),OFFSET($A$1,ROW(),21,1000-ROW(),1),"Sub"))))</f>
        <v/>
      </c>
      <c r="K233" s="60">
        <f>IF(N($W233)=0,"",IF(AND($S233=MesCiclo,3&gt;SemanaActual),"",MIN(1,SUMIFS(OFFSET($A$1,ROW(),31,1000-ROW(),1),OFFSET($A$1,ROW(),20,1000-ROW(),1),ROW(),OFFSET($A$1,ROW(),21,1000-ROW(),1),"Sub"))))</f>
        <v/>
      </c>
      <c r="L233" s="60">
        <f>IF(N($W233)=0,"",IF(AND($S233=MesCiclo,4&gt;SemanaActual),"",MIN(1,SUMIFS(OFFSET($A$1,ROW(),32,1000-ROW(),1),OFFSET($A$1,ROW(),20,1000-ROW(),1),ROW(),OFFSET($A$1,ROW(),21,1000-ROW(),1),"Sub"))))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IF($V233&lt;&gt;"Sub","",N($X233)*IF(AND(ISNUMBER($G233),$G233&lt;=IF($S233=MesCiclo,InicioCiclo,$S233+MOD(2-WEEKDAY($S233),7))+6),1,MIN(1,MAX(0,IF(ISNUMBER(OFFSET($A$1,ROW()-1,8)),OFFSET($A$1,ROW()-1,8),0)))))</f>
        <v/>
      </c>
      <c r="AE233" s="62">
        <f>IF($V233&lt;&gt;"Sub","",N($X233)*IF(AND(ISNUMBER($G233),$G233&lt;=IF($S233=MesCiclo,InicioCiclo,$S233+MOD(2-WEEKDAY($S233),7))+13),1,MIN(1,MAX(0,IF(ISNUMBER(OFFSET($A$1,ROW()-1,9)),OFFSET($A$1,ROW()-1,9),IF(ISNUMBER(OFFSET($A$1,ROW()-1,8)),OFFSET($A$1,ROW()-1,8),0))))))</f>
        <v/>
      </c>
      <c r="AF233" s="62">
        <f>IF($V233&lt;&gt;"Sub","",N($X233)*IF(AND(ISNUMBER($G233),$G233&lt;=IF($S233=MesCiclo,InicioCiclo,$S233+MOD(2-WEEKDAY($S233),7))+20),1,MIN(1,MAX(0,IF(ISNUMBER(OFFSET($A$1,ROW()-1,10)),OFFSET($A$1,ROW()-1,10),IF(ISNUMBER(OFFSET($A$1,ROW()-1,9)),OFFSET($A$1,ROW()-1,9),IF(ISNUMBER(OFFSET($A$1,ROW()-1,8)),OFFSET($A$1,ROW()-1,8),0)))))))</f>
        <v/>
      </c>
      <c r="AG233" s="62">
        <f>IF($V233&lt;&gt;"Sub","",N($X233)*IF(AND(ISNUMBER($G233),$G233&lt;=IF($S233=MesCiclo,InicioCiclo,$S233+MOD(2-WEEKDAY($S233),7))+27),1,MIN(1,MAX(0,IF(ISNUMBER(OFFSET($A$1,ROW()-1,11)),OFFSET($A$1,ROW()-1,11),IF(ISNUMBER(OFFSET($A$1,ROW()-1,10)),OFFSET($A$1,ROW()-1,10),IF(ISNUMBER(OFFSET($A$1,ROW()-1,9)),OFFSET($A$1,ROW()-1,9),IF(ISNUMBER(OFFSET($A$1,ROW()-1,8)),OFFSET($A$1,ROW()-1,8),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",IFERROR(MATCH("Riesgo Financiero|"&amp;MID($C233,12,500),rDname_ADM,0),0),"")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IF(N($W234)=0,"",IF(AND($S234=MesCiclo,1&gt;SemanaActual),"",MIN(1,SUMIFS(OFFSET($A$1,ROW(),29,1000-ROW(),1),OFFSET($A$1,ROW(),20,1000-ROW(),1),ROW(),OFFSET($A$1,ROW(),21,1000-ROW(),1),"Sub"))))</f>
        <v/>
      </c>
      <c r="J234" s="60">
        <f>IF(N($W234)=0,"",IF(AND($S234=MesCiclo,2&gt;SemanaActual),"",MIN(1,SUMIFS(OFFSET($A$1,ROW(),30,1000-ROW(),1),OFFSET($A$1,ROW(),20,1000-ROW(),1),ROW(),OFFSET($A$1,ROW(),21,1000-ROW(),1),"Sub"))))</f>
        <v/>
      </c>
      <c r="K234" s="60">
        <f>IF(N($W234)=0,"",IF(AND($S234=MesCiclo,3&gt;SemanaActual),"",MIN(1,SUMIFS(OFFSET($A$1,ROW(),31,1000-ROW(),1),OFFSET($A$1,ROW(),20,1000-ROW(),1),ROW(),OFFSET($A$1,ROW(),21,1000-ROW(),1),"Sub"))))</f>
        <v/>
      </c>
      <c r="L234" s="60">
        <f>IF(N($W234)=0,"",IF(AND($S234=MesCiclo,4&gt;SemanaActual),"",MIN(1,SUMIFS(OFFSET($A$1,ROW(),32,1000-ROW(),1),OFFSET($A$1,ROW(),20,1000-ROW(),1),ROW(),OFFSET($A$1,ROW(),21,1000-ROW(),1),"Sub"))))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IF($V234&lt;&gt;"Sub","",N($X234)*IF(AND(ISNUMBER($G234),$G234&lt;=IF($S234=MesCiclo,InicioCiclo,$S234+MOD(2-WEEKDAY($S234),7))+6),1,MIN(1,MAX(0,IF(ISNUMBER(OFFSET($A$1,ROW()-1,8)),OFFSET($A$1,ROW()-1,8),0)))))</f>
        <v/>
      </c>
      <c r="AE234" s="62">
        <f>IF($V234&lt;&gt;"Sub","",N($X234)*IF(AND(ISNUMBER($G234),$G234&lt;=IF($S234=MesCiclo,InicioCiclo,$S234+MOD(2-WEEKDAY($S234),7))+13),1,MIN(1,MAX(0,IF(ISNUMBER(OFFSET($A$1,ROW()-1,9)),OFFSET($A$1,ROW()-1,9),IF(ISNUMBER(OFFSET($A$1,ROW()-1,8)),OFFSET($A$1,ROW()-1,8),0))))))</f>
        <v/>
      </c>
      <c r="AF234" s="62">
        <f>IF($V234&lt;&gt;"Sub","",N($X234)*IF(AND(ISNUMBER($G234),$G234&lt;=IF($S234=MesCiclo,InicioCiclo,$S234+MOD(2-WEEKDAY($S234),7))+20),1,MIN(1,MAX(0,IF(ISNUMBER(OFFSET($A$1,ROW()-1,10)),OFFSET($A$1,ROW()-1,10),IF(ISNUMBER(OFFSET($A$1,ROW()-1,9)),OFFSET($A$1,ROW()-1,9),IF(ISNUMBER(OFFSET($A$1,ROW()-1,8)),OFFSET($A$1,ROW()-1,8),0)))))))</f>
        <v/>
      </c>
      <c r="AG234" s="62">
        <f>IF($V234&lt;&gt;"Sub","",N($X234)*IF(AND(ISNUMBER($G234),$G234&lt;=IF($S234=MesCiclo,InicioCiclo,$S234+MOD(2-WEEKDAY($S234),7))+27),1,MIN(1,MAX(0,IF(ISNUMBER(OFFSET($A$1,ROW()-1,11)),OFFSET($A$1,ROW()-1,11),IF(ISNUMBER(OFFSET($A$1,ROW()-1,10)),OFFSET($A$1,ROW()-1,10),IF(ISNUMBER(OFFSET($A$1,ROW()-1,9)),OFFSET($A$1,ROW()-1,9),IF(ISNUMBER(OFFSET($A$1,ROW()-1,8)),OFFSET($A$1,ROW()-1,8),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",IFERROR(MATCH("Riesgo Financiero|"&amp;MID($C234,12,500),rDname_ADM,0),0),"")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IF(N($W235)=0,"",IF(AND($S235=MesCiclo,1&gt;SemanaActual),"",MIN(1,SUMIFS(OFFSET($A$1,ROW(),29,1000-ROW(),1),OFFSET($A$1,ROW(),20,1000-ROW(),1),ROW(),OFFSET($A$1,ROW(),21,1000-ROW(),1),"Sub"))))</f>
        <v/>
      </c>
      <c r="J235" s="60">
        <f>IF(N($W235)=0,"",IF(AND($S235=MesCiclo,2&gt;SemanaActual),"",MIN(1,SUMIFS(OFFSET($A$1,ROW(),30,1000-ROW(),1),OFFSET($A$1,ROW(),20,1000-ROW(),1),ROW(),OFFSET($A$1,ROW(),21,1000-ROW(),1),"Sub"))))</f>
        <v/>
      </c>
      <c r="K235" s="60">
        <f>IF(N($W235)=0,"",IF(AND($S235=MesCiclo,3&gt;SemanaActual),"",MIN(1,SUMIFS(OFFSET($A$1,ROW(),31,1000-ROW(),1),OFFSET($A$1,ROW(),20,1000-ROW(),1),ROW(),OFFSET($A$1,ROW(),21,1000-ROW(),1),"Sub"))))</f>
        <v/>
      </c>
      <c r="L235" s="60">
        <f>IF(N($W235)=0,"",IF(AND($S235=MesCiclo,4&gt;SemanaActual),"",MIN(1,SUMIFS(OFFSET($A$1,ROW(),32,1000-ROW(),1),OFFSET($A$1,ROW(),20,1000-ROW(),1),ROW(),OFFSET($A$1,ROW(),21,1000-ROW(),1),"Sub"))))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IF($V235&lt;&gt;"Sub","",N($X235)*IF(AND(ISNUMBER($G235),$G235&lt;=IF($S235=MesCiclo,InicioCiclo,$S235+MOD(2-WEEKDAY($S235),7))+6),1,MIN(1,MAX(0,IF(ISNUMBER(OFFSET($A$1,ROW()-1,8)),OFFSET($A$1,ROW()-1,8),0)))))</f>
        <v/>
      </c>
      <c r="AE235" s="62">
        <f>IF($V235&lt;&gt;"Sub","",N($X235)*IF(AND(ISNUMBER($G235),$G235&lt;=IF($S235=MesCiclo,InicioCiclo,$S235+MOD(2-WEEKDAY($S235),7))+13),1,MIN(1,MAX(0,IF(ISNUMBER(OFFSET($A$1,ROW()-1,9)),OFFSET($A$1,ROW()-1,9),IF(ISNUMBER(OFFSET($A$1,ROW()-1,8)),OFFSET($A$1,ROW()-1,8),0))))))</f>
        <v/>
      </c>
      <c r="AF235" s="62">
        <f>IF($V235&lt;&gt;"Sub","",N($X235)*IF(AND(ISNUMBER($G235),$G235&lt;=IF($S235=MesCiclo,InicioCiclo,$S235+MOD(2-WEEKDAY($S235),7))+20),1,MIN(1,MAX(0,IF(ISNUMBER(OFFSET($A$1,ROW()-1,10)),OFFSET($A$1,ROW()-1,10),IF(ISNUMBER(OFFSET($A$1,ROW()-1,9)),OFFSET($A$1,ROW()-1,9),IF(ISNUMBER(OFFSET($A$1,ROW()-1,8)),OFFSET($A$1,ROW()-1,8),0)))))))</f>
        <v/>
      </c>
      <c r="AG235" s="62">
        <f>IF($V235&lt;&gt;"Sub","",N($X235)*IF(AND(ISNUMBER($G235),$G235&lt;=IF($S235=MesCiclo,InicioCiclo,$S235+MOD(2-WEEKDAY($S235),7))+27),1,MIN(1,MAX(0,IF(ISNUMBER(OFFSET($A$1,ROW()-1,11)),OFFSET($A$1,ROW()-1,11),IF(ISNUMBER(OFFSET($A$1,ROW()-1,10)),OFFSET($A$1,ROW()-1,10),IF(ISNUMBER(OFFSET($A$1,ROW()-1,9)),OFFSET($A$1,ROW()-1,9),IF(ISNUMBER(OFFSET($A$1,ROW()-1,8)),OFFSET($A$1,ROW()-1,8),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",IFERROR(MATCH("Riesgo Financiero|"&amp;MID($C235,12,500),rDname_ADM,0),0),"")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IF(N($W236)=0,"",IF(AND($S236=MesCiclo,1&gt;SemanaActual),"",MIN(1,SUMIFS(OFFSET($A$1,ROW(),29,1000-ROW(),1),OFFSET($A$1,ROW(),20,1000-ROW(),1),ROW(),OFFSET($A$1,ROW(),21,1000-ROW(),1),"Sub"))))</f>
        <v/>
      </c>
      <c r="J236" s="60">
        <f>IF(N($W236)=0,"",IF(AND($S236=MesCiclo,2&gt;SemanaActual),"",MIN(1,SUMIFS(OFFSET($A$1,ROW(),30,1000-ROW(),1),OFFSET($A$1,ROW(),20,1000-ROW(),1),ROW(),OFFSET($A$1,ROW(),21,1000-ROW(),1),"Sub"))))</f>
        <v/>
      </c>
      <c r="K236" s="60">
        <f>IF(N($W236)=0,"",IF(AND($S236=MesCiclo,3&gt;SemanaActual),"",MIN(1,SUMIFS(OFFSET($A$1,ROW(),31,1000-ROW(),1),OFFSET($A$1,ROW(),20,1000-ROW(),1),ROW(),OFFSET($A$1,ROW(),21,1000-ROW(),1),"Sub"))))</f>
        <v/>
      </c>
      <c r="L236" s="60">
        <f>IF(N($W236)=0,"",IF(AND($S236=MesCiclo,4&gt;SemanaActual),"",MIN(1,SUMIFS(OFFSET($A$1,ROW(),32,1000-ROW(),1),OFFSET($A$1,ROW(),20,1000-ROW(),1),ROW(),OFFSET($A$1,ROW(),21,1000-ROW(),1),"Sub"))))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IF($V236&lt;&gt;"Sub","",N($X236)*IF(AND(ISNUMBER($G236),$G236&lt;=IF($S236=MesCiclo,InicioCiclo,$S236+MOD(2-WEEKDAY($S236),7))+6),1,MIN(1,MAX(0,IF(ISNUMBER(OFFSET($A$1,ROW()-1,8)),OFFSET($A$1,ROW()-1,8),0)))))</f>
        <v/>
      </c>
      <c r="AE236" s="62">
        <f>IF($V236&lt;&gt;"Sub","",N($X236)*IF(AND(ISNUMBER($G236),$G236&lt;=IF($S236=MesCiclo,InicioCiclo,$S236+MOD(2-WEEKDAY($S236),7))+13),1,MIN(1,MAX(0,IF(ISNUMBER(OFFSET($A$1,ROW()-1,9)),OFFSET($A$1,ROW()-1,9),IF(ISNUMBER(OFFSET($A$1,ROW()-1,8)),OFFSET($A$1,ROW()-1,8),0))))))</f>
        <v/>
      </c>
      <c r="AF236" s="62">
        <f>IF($V236&lt;&gt;"Sub","",N($X236)*IF(AND(ISNUMBER($G236),$G236&lt;=IF($S236=MesCiclo,InicioCiclo,$S236+MOD(2-WEEKDAY($S236),7))+20),1,MIN(1,MAX(0,IF(ISNUMBER(OFFSET($A$1,ROW()-1,10)),OFFSET($A$1,ROW()-1,10),IF(ISNUMBER(OFFSET($A$1,ROW()-1,9)),OFFSET($A$1,ROW()-1,9),IF(ISNUMBER(OFFSET($A$1,ROW()-1,8)),OFFSET($A$1,ROW()-1,8),0)))))))</f>
        <v/>
      </c>
      <c r="AG236" s="62">
        <f>IF($V236&lt;&gt;"Sub","",N($X236)*IF(AND(ISNUMBER($G236),$G236&lt;=IF($S236=MesCiclo,InicioCiclo,$S236+MOD(2-WEEKDAY($S236),7))+27),1,MIN(1,MAX(0,IF(ISNUMBER(OFFSET($A$1,ROW()-1,11)),OFFSET($A$1,ROW()-1,11),IF(ISNUMBER(OFFSET($A$1,ROW()-1,10)),OFFSET($A$1,ROW()-1,10),IF(ISNUMBER(OFFSET($A$1,ROW()-1,9)),OFFSET($A$1,ROW()-1,9),IF(ISNUMBER(OFFSET($A$1,ROW()-1,8)),OFFSET($A$1,ROW()-1,8),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",IFERROR(MATCH("Riesgo Financiero|"&amp;MID($C236,12,500),rDname_ADM,0),0),"")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IF(N($W237)=0,"",IF(AND($S237=MesCiclo,1&gt;SemanaActual),"",MIN(1,SUMIFS(OFFSET($A$1,ROW(),29,1000-ROW(),1),OFFSET($A$1,ROW(),20,1000-ROW(),1),ROW(),OFFSET($A$1,ROW(),21,1000-ROW(),1),"Sub"))))</f>
        <v/>
      </c>
      <c r="J237" s="60">
        <f>IF(N($W237)=0,"",IF(AND($S237=MesCiclo,2&gt;SemanaActual),"",MIN(1,SUMIFS(OFFSET($A$1,ROW(),30,1000-ROW(),1),OFFSET($A$1,ROW(),20,1000-ROW(),1),ROW(),OFFSET($A$1,ROW(),21,1000-ROW(),1),"Sub"))))</f>
        <v/>
      </c>
      <c r="K237" s="60">
        <f>IF(N($W237)=0,"",IF(AND($S237=MesCiclo,3&gt;SemanaActual),"",MIN(1,SUMIFS(OFFSET($A$1,ROW(),31,1000-ROW(),1),OFFSET($A$1,ROW(),20,1000-ROW(),1),ROW(),OFFSET($A$1,ROW(),21,1000-ROW(),1),"Sub"))))</f>
        <v/>
      </c>
      <c r="L237" s="60">
        <f>IF(N($W237)=0,"",IF(AND($S237=MesCiclo,4&gt;SemanaActual),"",MIN(1,SUMIFS(OFFSET($A$1,ROW(),32,1000-ROW(),1),OFFSET($A$1,ROW(),20,1000-ROW(),1),ROW(),OFFSET($A$1,ROW(),21,1000-ROW(),1),"Sub"))))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IF($V237&lt;&gt;"Sub","",N($X237)*IF(AND(ISNUMBER($G237),$G237&lt;=IF($S237=MesCiclo,InicioCiclo,$S237+MOD(2-WEEKDAY($S237),7))+6),1,MIN(1,MAX(0,IF(ISNUMBER(OFFSET($A$1,ROW()-1,8)),OFFSET($A$1,ROW()-1,8),0)))))</f>
        <v/>
      </c>
      <c r="AE237" s="62">
        <f>IF($V237&lt;&gt;"Sub","",N($X237)*IF(AND(ISNUMBER($G237),$G237&lt;=IF($S237=MesCiclo,InicioCiclo,$S237+MOD(2-WEEKDAY($S237),7))+13),1,MIN(1,MAX(0,IF(ISNUMBER(OFFSET($A$1,ROW()-1,9)),OFFSET($A$1,ROW()-1,9),IF(ISNUMBER(OFFSET($A$1,ROW()-1,8)),OFFSET($A$1,ROW()-1,8),0))))))</f>
        <v/>
      </c>
      <c r="AF237" s="62">
        <f>IF($V237&lt;&gt;"Sub","",N($X237)*IF(AND(ISNUMBER($G237),$G237&lt;=IF($S237=MesCiclo,InicioCiclo,$S237+MOD(2-WEEKDAY($S237),7))+20),1,MIN(1,MAX(0,IF(ISNUMBER(OFFSET($A$1,ROW()-1,10)),OFFSET($A$1,ROW()-1,10),IF(ISNUMBER(OFFSET($A$1,ROW()-1,9)),OFFSET($A$1,ROW()-1,9),IF(ISNUMBER(OFFSET($A$1,ROW()-1,8)),OFFSET($A$1,ROW()-1,8),0)))))))</f>
        <v/>
      </c>
      <c r="AG237" s="62">
        <f>IF($V237&lt;&gt;"Sub","",N($X237)*IF(AND(ISNUMBER($G237),$G237&lt;=IF($S237=MesCiclo,InicioCiclo,$S237+MOD(2-WEEKDAY($S237),7))+27),1,MIN(1,MAX(0,IF(ISNUMBER(OFFSET($A$1,ROW()-1,11)),OFFSET($A$1,ROW()-1,11),IF(ISNUMBER(OFFSET($A$1,ROW()-1,10)),OFFSET($A$1,ROW()-1,10),IF(ISNUMBER(OFFSET($A$1,ROW()-1,9)),OFFSET($A$1,ROW()-1,9),IF(ISNUMBER(OFFSET($A$1,ROW()-1,8)),OFFSET($A$1,ROW()-1,8),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",IFERROR(MATCH("Riesgo Financiero|"&amp;MID($C237,12,500),rDname_ADM,0),0),"")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IF(N($W238)=0,"",IF(AND($S238=MesCiclo,1&gt;SemanaActual),"",MIN(1,SUMIFS(OFFSET($A$1,ROW(),29,1000-ROW(),1),OFFSET($A$1,ROW(),20,1000-ROW(),1),ROW(),OFFSET($A$1,ROW(),21,1000-ROW(),1),"Sub"))))</f>
        <v/>
      </c>
      <c r="J238" s="60">
        <f>IF(N($W238)=0,"",IF(AND($S238=MesCiclo,2&gt;SemanaActual),"",MIN(1,SUMIFS(OFFSET($A$1,ROW(),30,1000-ROW(),1),OFFSET($A$1,ROW(),20,1000-ROW(),1),ROW(),OFFSET($A$1,ROW(),21,1000-ROW(),1),"Sub"))))</f>
        <v/>
      </c>
      <c r="K238" s="60">
        <f>IF(N($W238)=0,"",IF(AND($S238=MesCiclo,3&gt;SemanaActual),"",MIN(1,SUMIFS(OFFSET($A$1,ROW(),31,1000-ROW(),1),OFFSET($A$1,ROW(),20,1000-ROW(),1),ROW(),OFFSET($A$1,ROW(),21,1000-ROW(),1),"Sub"))))</f>
        <v/>
      </c>
      <c r="L238" s="60">
        <f>IF(N($W238)=0,"",IF(AND($S238=MesCiclo,4&gt;SemanaActual),"",MIN(1,SUMIFS(OFFSET($A$1,ROW(),32,1000-ROW(),1),OFFSET($A$1,ROW(),20,1000-ROW(),1),ROW(),OFFSET($A$1,ROW(),21,1000-ROW(),1),"Sub"))))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IF($V238&lt;&gt;"Sub","",N($X238)*IF(AND(ISNUMBER($G238),$G238&lt;=IF($S238=MesCiclo,InicioCiclo,$S238+MOD(2-WEEKDAY($S238),7))+6),1,MIN(1,MAX(0,IF(ISNUMBER(OFFSET($A$1,ROW()-1,8)),OFFSET($A$1,ROW()-1,8),0)))))</f>
        <v/>
      </c>
      <c r="AE238" s="62">
        <f>IF($V238&lt;&gt;"Sub","",N($X238)*IF(AND(ISNUMBER($G238),$G238&lt;=IF($S238=MesCiclo,InicioCiclo,$S238+MOD(2-WEEKDAY($S238),7))+13),1,MIN(1,MAX(0,IF(ISNUMBER(OFFSET($A$1,ROW()-1,9)),OFFSET($A$1,ROW()-1,9),IF(ISNUMBER(OFFSET($A$1,ROW()-1,8)),OFFSET($A$1,ROW()-1,8),0))))))</f>
        <v/>
      </c>
      <c r="AF238" s="62">
        <f>IF($V238&lt;&gt;"Sub","",N($X238)*IF(AND(ISNUMBER($G238),$G238&lt;=IF($S238=MesCiclo,InicioCiclo,$S238+MOD(2-WEEKDAY($S238),7))+20),1,MIN(1,MAX(0,IF(ISNUMBER(OFFSET($A$1,ROW()-1,10)),OFFSET($A$1,ROW()-1,10),IF(ISNUMBER(OFFSET($A$1,ROW()-1,9)),OFFSET($A$1,ROW()-1,9),IF(ISNUMBER(OFFSET($A$1,ROW()-1,8)),OFFSET($A$1,ROW()-1,8),0)))))))</f>
        <v/>
      </c>
      <c r="AG238" s="62">
        <f>IF($V238&lt;&gt;"Sub","",N($X238)*IF(AND(ISNUMBER($G238),$G238&lt;=IF($S238=MesCiclo,InicioCiclo,$S238+MOD(2-WEEKDAY($S238),7))+27),1,MIN(1,MAX(0,IF(ISNUMBER(OFFSET($A$1,ROW()-1,11)),OFFSET($A$1,ROW()-1,11),IF(ISNUMBER(OFFSET($A$1,ROW()-1,10)),OFFSET($A$1,ROW()-1,10),IF(ISNUMBER(OFFSET($A$1,ROW()-1,9)),OFFSET($A$1,ROW()-1,9),IF(ISNUMBER(OFFSET($A$1,ROW()-1,8)),OFFSET($A$1,ROW()-1,8),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",IFERROR(MATCH("Riesgo Financiero|"&amp;MID($C238,12,500),rDname_ADM,0),0),"")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IF(N($W239)=0,"",IF(AND($S239=MesCiclo,1&gt;SemanaActual),"",MIN(1,SUMIFS(OFFSET($A$1,ROW(),29,1000-ROW(),1),OFFSET($A$1,ROW(),20,1000-ROW(),1),ROW(),OFFSET($A$1,ROW(),21,1000-ROW(),1),"Sub"))))</f>
        <v/>
      </c>
      <c r="J239" s="60">
        <f>IF(N($W239)=0,"",IF(AND($S239=MesCiclo,2&gt;SemanaActual),"",MIN(1,SUMIFS(OFFSET($A$1,ROW(),30,1000-ROW(),1),OFFSET($A$1,ROW(),20,1000-ROW(),1),ROW(),OFFSET($A$1,ROW(),21,1000-ROW(),1),"Sub"))))</f>
        <v/>
      </c>
      <c r="K239" s="60">
        <f>IF(N($W239)=0,"",IF(AND($S239=MesCiclo,3&gt;SemanaActual),"",MIN(1,SUMIFS(OFFSET($A$1,ROW(),31,1000-ROW(),1),OFFSET($A$1,ROW(),20,1000-ROW(),1),ROW(),OFFSET($A$1,ROW(),21,1000-ROW(),1),"Sub"))))</f>
        <v/>
      </c>
      <c r="L239" s="60">
        <f>IF(N($W239)=0,"",IF(AND($S239=MesCiclo,4&gt;SemanaActual),"",MIN(1,SUMIFS(OFFSET($A$1,ROW(),32,1000-ROW(),1),OFFSET($A$1,ROW(),20,1000-ROW(),1),ROW(),OFFSET($A$1,ROW(),21,1000-ROW(),1),"Sub"))))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IF($V239&lt;&gt;"Sub","",N($X239)*IF(AND(ISNUMBER($G239),$G239&lt;=IF($S239=MesCiclo,InicioCiclo,$S239+MOD(2-WEEKDAY($S239),7))+6),1,MIN(1,MAX(0,IF(ISNUMBER(OFFSET($A$1,ROW()-1,8)),OFFSET($A$1,ROW()-1,8),0)))))</f>
        <v/>
      </c>
      <c r="AE239" s="62">
        <f>IF($V239&lt;&gt;"Sub","",N($X239)*IF(AND(ISNUMBER($G239),$G239&lt;=IF($S239=MesCiclo,InicioCiclo,$S239+MOD(2-WEEKDAY($S239),7))+13),1,MIN(1,MAX(0,IF(ISNUMBER(OFFSET($A$1,ROW()-1,9)),OFFSET($A$1,ROW()-1,9),IF(ISNUMBER(OFFSET($A$1,ROW()-1,8)),OFFSET($A$1,ROW()-1,8),0))))))</f>
        <v/>
      </c>
      <c r="AF239" s="62">
        <f>IF($V239&lt;&gt;"Sub","",N($X239)*IF(AND(ISNUMBER($G239),$G239&lt;=IF($S239=MesCiclo,InicioCiclo,$S239+MOD(2-WEEKDAY($S239),7))+20),1,MIN(1,MAX(0,IF(ISNUMBER(OFFSET($A$1,ROW()-1,10)),OFFSET($A$1,ROW()-1,10),IF(ISNUMBER(OFFSET($A$1,ROW()-1,9)),OFFSET($A$1,ROW()-1,9),IF(ISNUMBER(OFFSET($A$1,ROW()-1,8)),OFFSET($A$1,ROW()-1,8),0)))))))</f>
        <v/>
      </c>
      <c r="AG239" s="62">
        <f>IF($V239&lt;&gt;"Sub","",N($X239)*IF(AND(ISNUMBER($G239),$G239&lt;=IF($S239=MesCiclo,InicioCiclo,$S239+MOD(2-WEEKDAY($S239),7))+27),1,MIN(1,MAX(0,IF(ISNUMBER(OFFSET($A$1,ROW()-1,11)),OFFSET($A$1,ROW()-1,11),IF(ISNUMBER(OFFSET($A$1,ROW()-1,10)),OFFSET($A$1,ROW()-1,10),IF(ISNUMBER(OFFSET($A$1,ROW()-1,9)),OFFSET($A$1,ROW()-1,9),IF(ISNUMBER(OFFSET($A$1,ROW()-1,8)),OFFSET($A$1,ROW()-1,8),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",IFERROR(MATCH("Riesgo Financiero|"&amp;MID($C239,12,500),rDname_ADM,0),0),"")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IF(N($W240)=0,"",IF(AND($S240=MesCiclo,1&gt;SemanaActual),"",MIN(1,SUMIFS(OFFSET($A$1,ROW(),29,1000-ROW(),1),OFFSET($A$1,ROW(),20,1000-ROW(),1),ROW(),OFFSET($A$1,ROW(),21,1000-ROW(),1),"Sub"))))</f>
        <v/>
      </c>
      <c r="J240" s="60">
        <f>IF(N($W240)=0,"",IF(AND($S240=MesCiclo,2&gt;SemanaActual),"",MIN(1,SUMIFS(OFFSET($A$1,ROW(),30,1000-ROW(),1),OFFSET($A$1,ROW(),20,1000-ROW(),1),ROW(),OFFSET($A$1,ROW(),21,1000-ROW(),1),"Sub"))))</f>
        <v/>
      </c>
      <c r="K240" s="60">
        <f>IF(N($W240)=0,"",IF(AND($S240=MesCiclo,3&gt;SemanaActual),"",MIN(1,SUMIFS(OFFSET($A$1,ROW(),31,1000-ROW(),1),OFFSET($A$1,ROW(),20,1000-ROW(),1),ROW(),OFFSET($A$1,ROW(),21,1000-ROW(),1),"Sub"))))</f>
        <v/>
      </c>
      <c r="L240" s="60">
        <f>IF(N($W240)=0,"",IF(AND($S240=MesCiclo,4&gt;SemanaActual),"",MIN(1,SUMIFS(OFFSET($A$1,ROW(),32,1000-ROW(),1),OFFSET($A$1,ROW(),20,1000-ROW(),1),ROW(),OFFSET($A$1,ROW(),21,1000-ROW(),1),"Sub"))))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IF($V240&lt;&gt;"Sub","",N($X240)*IF(AND(ISNUMBER($G240),$G240&lt;=IF($S240=MesCiclo,InicioCiclo,$S240+MOD(2-WEEKDAY($S240),7))+6),1,MIN(1,MAX(0,IF(ISNUMBER(OFFSET($A$1,ROW()-1,8)),OFFSET($A$1,ROW()-1,8),0)))))</f>
        <v/>
      </c>
      <c r="AE240" s="62">
        <f>IF($V240&lt;&gt;"Sub","",N($X240)*IF(AND(ISNUMBER($G240),$G240&lt;=IF($S240=MesCiclo,InicioCiclo,$S240+MOD(2-WEEKDAY($S240),7))+13),1,MIN(1,MAX(0,IF(ISNUMBER(OFFSET($A$1,ROW()-1,9)),OFFSET($A$1,ROW()-1,9),IF(ISNUMBER(OFFSET($A$1,ROW()-1,8)),OFFSET($A$1,ROW()-1,8),0))))))</f>
        <v/>
      </c>
      <c r="AF240" s="62">
        <f>IF($V240&lt;&gt;"Sub","",N($X240)*IF(AND(ISNUMBER($G240),$G240&lt;=IF($S240=MesCiclo,InicioCiclo,$S240+MOD(2-WEEKDAY($S240),7))+20),1,MIN(1,MAX(0,IF(ISNUMBER(OFFSET($A$1,ROW()-1,10)),OFFSET($A$1,ROW()-1,10),IF(ISNUMBER(OFFSET($A$1,ROW()-1,9)),OFFSET($A$1,ROW()-1,9),IF(ISNUMBER(OFFSET($A$1,ROW()-1,8)),OFFSET($A$1,ROW()-1,8),0)))))))</f>
        <v/>
      </c>
      <c r="AG240" s="62">
        <f>IF($V240&lt;&gt;"Sub","",N($X240)*IF(AND(ISNUMBER($G240),$G240&lt;=IF($S240=MesCiclo,InicioCiclo,$S240+MOD(2-WEEKDAY($S240),7))+27),1,MIN(1,MAX(0,IF(ISNUMBER(OFFSET($A$1,ROW()-1,11)),OFFSET($A$1,ROW()-1,11),IF(ISNUMBER(OFFSET($A$1,ROW()-1,10)),OFFSET($A$1,ROW()-1,10),IF(ISNUMBER(OFFSET($A$1,ROW()-1,9)),OFFSET($A$1,ROW()-1,9),IF(ISNUMBER(OFFSET($A$1,ROW()-1,8)),OFFSET($A$1,ROW()-1,8),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",IFERROR(MATCH("Riesgo Financiero|"&amp;MID($C240,12,500),rDname_ADM,0),0),"")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IF(N($W241)=0,"",IF(AND($S241=MesCiclo,1&gt;SemanaActual),"",MIN(1,SUMIFS(OFFSET($A$1,ROW(),29,1000-ROW(),1),OFFSET($A$1,ROW(),20,1000-ROW(),1),ROW(),OFFSET($A$1,ROW(),21,1000-ROW(),1),"Sub"))))</f>
        <v/>
      </c>
      <c r="J241" s="60">
        <f>IF(N($W241)=0,"",IF(AND($S241=MesCiclo,2&gt;SemanaActual),"",MIN(1,SUMIFS(OFFSET($A$1,ROW(),30,1000-ROW(),1),OFFSET($A$1,ROW(),20,1000-ROW(),1),ROW(),OFFSET($A$1,ROW(),21,1000-ROW(),1),"Sub"))))</f>
        <v/>
      </c>
      <c r="K241" s="60">
        <f>IF(N($W241)=0,"",IF(AND($S241=MesCiclo,3&gt;SemanaActual),"",MIN(1,SUMIFS(OFFSET($A$1,ROW(),31,1000-ROW(),1),OFFSET($A$1,ROW(),20,1000-ROW(),1),ROW(),OFFSET($A$1,ROW(),21,1000-ROW(),1),"Sub"))))</f>
        <v/>
      </c>
      <c r="L241" s="60">
        <f>IF(N($W241)=0,"",IF(AND($S241=MesCiclo,4&gt;SemanaActual),"",MIN(1,SUMIFS(OFFSET($A$1,ROW(),32,1000-ROW(),1),OFFSET($A$1,ROW(),20,1000-ROW(),1),ROW(),OFFSET($A$1,ROW(),21,1000-ROW(),1),"Sub"))))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IF($V241&lt;&gt;"Sub","",N($X241)*IF(AND(ISNUMBER($G241),$G241&lt;=IF($S241=MesCiclo,InicioCiclo,$S241+MOD(2-WEEKDAY($S241),7))+6),1,MIN(1,MAX(0,IF(ISNUMBER(OFFSET($A$1,ROW()-1,8)),OFFSET($A$1,ROW()-1,8),0)))))</f>
        <v/>
      </c>
      <c r="AE241" s="62">
        <f>IF($V241&lt;&gt;"Sub","",N($X241)*IF(AND(ISNUMBER($G241),$G241&lt;=IF($S241=MesCiclo,InicioCiclo,$S241+MOD(2-WEEKDAY($S241),7))+13),1,MIN(1,MAX(0,IF(ISNUMBER(OFFSET($A$1,ROW()-1,9)),OFFSET($A$1,ROW()-1,9),IF(ISNUMBER(OFFSET($A$1,ROW()-1,8)),OFFSET($A$1,ROW()-1,8),0))))))</f>
        <v/>
      </c>
      <c r="AF241" s="62">
        <f>IF($V241&lt;&gt;"Sub","",N($X241)*IF(AND(ISNUMBER($G241),$G241&lt;=IF($S241=MesCiclo,InicioCiclo,$S241+MOD(2-WEEKDAY($S241),7))+20),1,MIN(1,MAX(0,IF(ISNUMBER(OFFSET($A$1,ROW()-1,10)),OFFSET($A$1,ROW()-1,10),IF(ISNUMBER(OFFSET($A$1,ROW()-1,9)),OFFSET($A$1,ROW()-1,9),IF(ISNUMBER(OFFSET($A$1,ROW()-1,8)),OFFSET($A$1,ROW()-1,8),0)))))))</f>
        <v/>
      </c>
      <c r="AG241" s="62">
        <f>IF($V241&lt;&gt;"Sub","",N($X241)*IF(AND(ISNUMBER($G241),$G241&lt;=IF($S241=MesCiclo,InicioCiclo,$S241+MOD(2-WEEKDAY($S241),7))+27),1,MIN(1,MAX(0,IF(ISNUMBER(OFFSET($A$1,ROW()-1,11)),OFFSET($A$1,ROW()-1,11),IF(ISNUMBER(OFFSET($A$1,ROW()-1,10)),OFFSET($A$1,ROW()-1,10),IF(ISNUMBER(OFFSET($A$1,ROW()-1,9)),OFFSET($A$1,ROW()-1,9),IF(ISNUMBER(OFFSET($A$1,ROW()-1,8)),OFFSET($A$1,ROW()-1,8),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",IFERROR(MATCH("Riesgo Financiero|"&amp;MID($C241,12,500),rDname_ADM,0),0),"")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IF(N($W242)=0,"",IF(AND($S242=MesCiclo,1&gt;SemanaActual),"",MIN(1,SUMIFS(OFFSET($A$1,ROW(),29,1000-ROW(),1),OFFSET($A$1,ROW(),20,1000-ROW(),1),ROW(),OFFSET($A$1,ROW(),21,1000-ROW(),1),"Sub"))))</f>
        <v/>
      </c>
      <c r="J242" s="60">
        <f>IF(N($W242)=0,"",IF(AND($S242=MesCiclo,2&gt;SemanaActual),"",MIN(1,SUMIFS(OFFSET($A$1,ROW(),30,1000-ROW(),1),OFFSET($A$1,ROW(),20,1000-ROW(),1),ROW(),OFFSET($A$1,ROW(),21,1000-ROW(),1),"Sub"))))</f>
        <v/>
      </c>
      <c r="K242" s="60">
        <f>IF(N($W242)=0,"",IF(AND($S242=MesCiclo,3&gt;SemanaActual),"",MIN(1,SUMIFS(OFFSET($A$1,ROW(),31,1000-ROW(),1),OFFSET($A$1,ROW(),20,1000-ROW(),1),ROW(),OFFSET($A$1,ROW(),21,1000-ROW(),1),"Sub"))))</f>
        <v/>
      </c>
      <c r="L242" s="60">
        <f>IF(N($W242)=0,"",IF(AND($S242=MesCiclo,4&gt;SemanaActual),"",MIN(1,SUMIFS(OFFSET($A$1,ROW(),32,1000-ROW(),1),OFFSET($A$1,ROW(),20,1000-ROW(),1),ROW(),OFFSET($A$1,ROW(),21,1000-ROW(),1),"Sub"))))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IF($V242&lt;&gt;"Sub","",N($X242)*IF(AND(ISNUMBER($G242),$G242&lt;=IF($S242=MesCiclo,InicioCiclo,$S242+MOD(2-WEEKDAY($S242),7))+6),1,MIN(1,MAX(0,IF(ISNUMBER(OFFSET($A$1,ROW()-1,8)),OFFSET($A$1,ROW()-1,8),0)))))</f>
        <v/>
      </c>
      <c r="AE242" s="62">
        <f>IF($V242&lt;&gt;"Sub","",N($X242)*IF(AND(ISNUMBER($G242),$G242&lt;=IF($S242=MesCiclo,InicioCiclo,$S242+MOD(2-WEEKDAY($S242),7))+13),1,MIN(1,MAX(0,IF(ISNUMBER(OFFSET($A$1,ROW()-1,9)),OFFSET($A$1,ROW()-1,9),IF(ISNUMBER(OFFSET($A$1,ROW()-1,8)),OFFSET($A$1,ROW()-1,8),0))))))</f>
        <v/>
      </c>
      <c r="AF242" s="62">
        <f>IF($V242&lt;&gt;"Sub","",N($X242)*IF(AND(ISNUMBER($G242),$G242&lt;=IF($S242=MesCiclo,InicioCiclo,$S242+MOD(2-WEEKDAY($S242),7))+20),1,MIN(1,MAX(0,IF(ISNUMBER(OFFSET($A$1,ROW()-1,10)),OFFSET($A$1,ROW()-1,10),IF(ISNUMBER(OFFSET($A$1,ROW()-1,9)),OFFSET($A$1,ROW()-1,9),IF(ISNUMBER(OFFSET($A$1,ROW()-1,8)),OFFSET($A$1,ROW()-1,8),0)))))))</f>
        <v/>
      </c>
      <c r="AG242" s="62">
        <f>IF($V242&lt;&gt;"Sub","",N($X242)*IF(AND(ISNUMBER($G242),$G242&lt;=IF($S242=MesCiclo,InicioCiclo,$S242+MOD(2-WEEKDAY($S242),7))+27),1,MIN(1,MAX(0,IF(ISNUMBER(OFFSET($A$1,ROW()-1,11)),OFFSET($A$1,ROW()-1,11),IF(ISNUMBER(OFFSET($A$1,ROW()-1,10)),OFFSET($A$1,ROW()-1,10),IF(ISNUMBER(OFFSET($A$1,ROW()-1,9)),OFFSET($A$1,ROW()-1,9),IF(ISNUMBER(OFFSET($A$1,ROW()-1,8)),OFFSET($A$1,ROW()-1,8),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",IFERROR(MATCH("Riesgo Financiero|"&amp;MID($C242,12,500),rDname_ADM,0),0),"")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IF(N($W243)=0,"",IF(AND($S243=MesCiclo,1&gt;SemanaActual),"",MIN(1,SUMIFS(OFFSET($A$1,ROW(),29,1000-ROW(),1),OFFSET($A$1,ROW(),20,1000-ROW(),1),ROW(),OFFSET($A$1,ROW(),21,1000-ROW(),1),"Sub"))))</f>
        <v/>
      </c>
      <c r="J243" s="60">
        <f>IF(N($W243)=0,"",IF(AND($S243=MesCiclo,2&gt;SemanaActual),"",MIN(1,SUMIFS(OFFSET($A$1,ROW(),30,1000-ROW(),1),OFFSET($A$1,ROW(),20,1000-ROW(),1),ROW(),OFFSET($A$1,ROW(),21,1000-ROW(),1),"Sub"))))</f>
        <v/>
      </c>
      <c r="K243" s="60">
        <f>IF(N($W243)=0,"",IF(AND($S243=MesCiclo,3&gt;SemanaActual),"",MIN(1,SUMIFS(OFFSET($A$1,ROW(),31,1000-ROW(),1),OFFSET($A$1,ROW(),20,1000-ROW(),1),ROW(),OFFSET($A$1,ROW(),21,1000-ROW(),1),"Sub"))))</f>
        <v/>
      </c>
      <c r="L243" s="60">
        <f>IF(N($W243)=0,"",IF(AND($S243=MesCiclo,4&gt;SemanaActual),"",MIN(1,SUMIFS(OFFSET($A$1,ROW(),32,1000-ROW(),1),OFFSET($A$1,ROW(),20,1000-ROW(),1),ROW(),OFFSET($A$1,ROW(),21,1000-ROW(),1),"Sub"))))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IF($V243&lt;&gt;"Sub","",N($X243)*IF(AND(ISNUMBER($G243),$G243&lt;=IF($S243=MesCiclo,InicioCiclo,$S243+MOD(2-WEEKDAY($S243),7))+6),1,MIN(1,MAX(0,IF(ISNUMBER(OFFSET($A$1,ROW()-1,8)),OFFSET($A$1,ROW()-1,8),0)))))</f>
        <v/>
      </c>
      <c r="AE243" s="62">
        <f>IF($V243&lt;&gt;"Sub","",N($X243)*IF(AND(ISNUMBER($G243),$G243&lt;=IF($S243=MesCiclo,InicioCiclo,$S243+MOD(2-WEEKDAY($S243),7))+13),1,MIN(1,MAX(0,IF(ISNUMBER(OFFSET($A$1,ROW()-1,9)),OFFSET($A$1,ROW()-1,9),IF(ISNUMBER(OFFSET($A$1,ROW()-1,8)),OFFSET($A$1,ROW()-1,8),0))))))</f>
        <v/>
      </c>
      <c r="AF243" s="62">
        <f>IF($V243&lt;&gt;"Sub","",N($X243)*IF(AND(ISNUMBER($G243),$G243&lt;=IF($S243=MesCiclo,InicioCiclo,$S243+MOD(2-WEEKDAY($S243),7))+20),1,MIN(1,MAX(0,IF(ISNUMBER(OFFSET($A$1,ROW()-1,10)),OFFSET($A$1,ROW()-1,10),IF(ISNUMBER(OFFSET($A$1,ROW()-1,9)),OFFSET($A$1,ROW()-1,9),IF(ISNUMBER(OFFSET($A$1,ROW()-1,8)),OFFSET($A$1,ROW()-1,8),0)))))))</f>
        <v/>
      </c>
      <c r="AG243" s="62">
        <f>IF($V243&lt;&gt;"Sub","",N($X243)*IF(AND(ISNUMBER($G243),$G243&lt;=IF($S243=MesCiclo,InicioCiclo,$S243+MOD(2-WEEKDAY($S243),7))+27),1,MIN(1,MAX(0,IF(ISNUMBER(OFFSET($A$1,ROW()-1,11)),OFFSET($A$1,ROW()-1,11),IF(ISNUMBER(OFFSET($A$1,ROW()-1,10)),OFFSET($A$1,ROW()-1,10),IF(ISNUMBER(OFFSET($A$1,ROW()-1,9)),OFFSET($A$1,ROW()-1,9),IF(ISNUMBER(OFFSET($A$1,ROW()-1,8)),OFFSET($A$1,ROW()-1,8),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",IFERROR(MATCH("Riesgo Financiero|"&amp;MID($C243,12,500),rDname_ADM,0),0),"")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IF(N($W244)=0,"",IF(AND($S244=MesCiclo,1&gt;SemanaActual),"",MIN(1,SUMIFS(OFFSET($A$1,ROW(),29,1000-ROW(),1),OFFSET($A$1,ROW(),20,1000-ROW(),1),ROW(),OFFSET($A$1,ROW(),21,1000-ROW(),1),"Sub"))))</f>
        <v/>
      </c>
      <c r="J244" s="60">
        <f>IF(N($W244)=0,"",IF(AND($S244=MesCiclo,2&gt;SemanaActual),"",MIN(1,SUMIFS(OFFSET($A$1,ROW(),30,1000-ROW(),1),OFFSET($A$1,ROW(),20,1000-ROW(),1),ROW(),OFFSET($A$1,ROW(),21,1000-ROW(),1),"Sub"))))</f>
        <v/>
      </c>
      <c r="K244" s="60">
        <f>IF(N($W244)=0,"",IF(AND($S244=MesCiclo,3&gt;SemanaActual),"",MIN(1,SUMIFS(OFFSET($A$1,ROW(),31,1000-ROW(),1),OFFSET($A$1,ROW(),20,1000-ROW(),1),ROW(),OFFSET($A$1,ROW(),21,1000-ROW(),1),"Sub"))))</f>
        <v/>
      </c>
      <c r="L244" s="60">
        <f>IF(N($W244)=0,"",IF(AND($S244=MesCiclo,4&gt;SemanaActual),"",MIN(1,SUMIFS(OFFSET($A$1,ROW(),32,1000-ROW(),1),OFFSET($A$1,ROW(),20,1000-ROW(),1),ROW(),OFFSET($A$1,ROW(),21,1000-ROW(),1),"Sub"))))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IF($V244&lt;&gt;"Sub","",N($X244)*IF(AND(ISNUMBER($G244),$G244&lt;=IF($S244=MesCiclo,InicioCiclo,$S244+MOD(2-WEEKDAY($S244),7))+6),1,MIN(1,MAX(0,IF(ISNUMBER(OFFSET($A$1,ROW()-1,8)),OFFSET($A$1,ROW()-1,8),0)))))</f>
        <v/>
      </c>
      <c r="AE244" s="62">
        <f>IF($V244&lt;&gt;"Sub","",N($X244)*IF(AND(ISNUMBER($G244),$G244&lt;=IF($S244=MesCiclo,InicioCiclo,$S244+MOD(2-WEEKDAY($S244),7))+13),1,MIN(1,MAX(0,IF(ISNUMBER(OFFSET($A$1,ROW()-1,9)),OFFSET($A$1,ROW()-1,9),IF(ISNUMBER(OFFSET($A$1,ROW()-1,8)),OFFSET($A$1,ROW()-1,8),0))))))</f>
        <v/>
      </c>
      <c r="AF244" s="62">
        <f>IF($V244&lt;&gt;"Sub","",N($X244)*IF(AND(ISNUMBER($G244),$G244&lt;=IF($S244=MesCiclo,InicioCiclo,$S244+MOD(2-WEEKDAY($S244),7))+20),1,MIN(1,MAX(0,IF(ISNUMBER(OFFSET($A$1,ROW()-1,10)),OFFSET($A$1,ROW()-1,10),IF(ISNUMBER(OFFSET($A$1,ROW()-1,9)),OFFSET($A$1,ROW()-1,9),IF(ISNUMBER(OFFSET($A$1,ROW()-1,8)),OFFSET($A$1,ROW()-1,8),0)))))))</f>
        <v/>
      </c>
      <c r="AG244" s="62">
        <f>IF($V244&lt;&gt;"Sub","",N($X244)*IF(AND(ISNUMBER($G244),$G244&lt;=IF($S244=MesCiclo,InicioCiclo,$S244+MOD(2-WEEKDAY($S244),7))+27),1,MIN(1,MAX(0,IF(ISNUMBER(OFFSET($A$1,ROW()-1,11)),OFFSET($A$1,ROW()-1,11),IF(ISNUMBER(OFFSET($A$1,ROW()-1,10)),OFFSET($A$1,ROW()-1,10),IF(ISNUMBER(OFFSET($A$1,ROW()-1,9)),OFFSET($A$1,ROW()-1,9),IF(ISNUMBER(OFFSET($A$1,ROW()-1,8)),OFFSET($A$1,ROW()-1,8),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",IFERROR(MATCH("Riesgo Financiero|"&amp;MID($C244,12,500),rDname_ADM,0),0),"")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IF(N($W245)=0,"",IF(AND($S245=MesCiclo,1&gt;SemanaActual),"",MIN(1,SUMIFS(OFFSET($A$1,ROW(),29,1000-ROW(),1),OFFSET($A$1,ROW(),20,1000-ROW(),1),ROW(),OFFSET($A$1,ROW(),21,1000-ROW(),1),"Sub"))))</f>
        <v/>
      </c>
      <c r="J245" s="60">
        <f>IF(N($W245)=0,"",IF(AND($S245=MesCiclo,2&gt;SemanaActual),"",MIN(1,SUMIFS(OFFSET($A$1,ROW(),30,1000-ROW(),1),OFFSET($A$1,ROW(),20,1000-ROW(),1),ROW(),OFFSET($A$1,ROW(),21,1000-ROW(),1),"Sub"))))</f>
        <v/>
      </c>
      <c r="K245" s="60">
        <f>IF(N($W245)=0,"",IF(AND($S245=MesCiclo,3&gt;SemanaActual),"",MIN(1,SUMIFS(OFFSET($A$1,ROW(),31,1000-ROW(),1),OFFSET($A$1,ROW(),20,1000-ROW(),1),ROW(),OFFSET($A$1,ROW(),21,1000-ROW(),1),"Sub"))))</f>
        <v/>
      </c>
      <c r="L245" s="60">
        <f>IF(N($W245)=0,"",IF(AND($S245=MesCiclo,4&gt;SemanaActual),"",MIN(1,SUMIFS(OFFSET($A$1,ROW(),32,1000-ROW(),1),OFFSET($A$1,ROW(),20,1000-ROW(),1),ROW(),OFFSET($A$1,ROW(),21,1000-ROW(),1),"Sub"))))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IF($V245&lt;&gt;"Sub","",N($X245)*IF(AND(ISNUMBER($G245),$G245&lt;=IF($S245=MesCiclo,InicioCiclo,$S245+MOD(2-WEEKDAY($S245),7))+6),1,MIN(1,MAX(0,IF(ISNUMBER(OFFSET($A$1,ROW()-1,8)),OFFSET($A$1,ROW()-1,8),0)))))</f>
        <v/>
      </c>
      <c r="AE245" s="62">
        <f>IF($V245&lt;&gt;"Sub","",N($X245)*IF(AND(ISNUMBER($G245),$G245&lt;=IF($S245=MesCiclo,InicioCiclo,$S245+MOD(2-WEEKDAY($S245),7))+13),1,MIN(1,MAX(0,IF(ISNUMBER(OFFSET($A$1,ROW()-1,9)),OFFSET($A$1,ROW()-1,9),IF(ISNUMBER(OFFSET($A$1,ROW()-1,8)),OFFSET($A$1,ROW()-1,8),0))))))</f>
        <v/>
      </c>
      <c r="AF245" s="62">
        <f>IF($V245&lt;&gt;"Sub","",N($X245)*IF(AND(ISNUMBER($G245),$G245&lt;=IF($S245=MesCiclo,InicioCiclo,$S245+MOD(2-WEEKDAY($S245),7))+20),1,MIN(1,MAX(0,IF(ISNUMBER(OFFSET($A$1,ROW()-1,10)),OFFSET($A$1,ROW()-1,10),IF(ISNUMBER(OFFSET($A$1,ROW()-1,9)),OFFSET($A$1,ROW()-1,9),IF(ISNUMBER(OFFSET($A$1,ROW()-1,8)),OFFSET($A$1,ROW()-1,8),0)))))))</f>
        <v/>
      </c>
      <c r="AG245" s="62">
        <f>IF($V245&lt;&gt;"Sub","",N($X245)*IF(AND(ISNUMBER($G245),$G245&lt;=IF($S245=MesCiclo,InicioCiclo,$S245+MOD(2-WEEKDAY($S245),7))+27),1,MIN(1,MAX(0,IF(ISNUMBER(OFFSET($A$1,ROW()-1,11)),OFFSET($A$1,ROW()-1,11),IF(ISNUMBER(OFFSET($A$1,ROW()-1,10)),OFFSET($A$1,ROW()-1,10),IF(ISNUMBER(OFFSET($A$1,ROW()-1,9)),OFFSET($A$1,ROW()-1,9),IF(ISNUMBER(OFFSET($A$1,ROW()-1,8)),OFFSET($A$1,ROW()-1,8),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",IFERROR(MATCH("Riesgo Financiero|"&amp;MID($C245,12,500),rDname_ADM,0),0),"")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IF(N($W246)=0,"",IF(AND($S246=MesCiclo,1&gt;SemanaActual),"",MIN(1,SUMIFS(OFFSET($A$1,ROW(),29,1000-ROW(),1),OFFSET($A$1,ROW(),20,1000-ROW(),1),ROW(),OFFSET($A$1,ROW(),21,1000-ROW(),1),"Sub"))))</f>
        <v/>
      </c>
      <c r="J246" s="60">
        <f>IF(N($W246)=0,"",IF(AND($S246=MesCiclo,2&gt;SemanaActual),"",MIN(1,SUMIFS(OFFSET($A$1,ROW(),30,1000-ROW(),1),OFFSET($A$1,ROW(),20,1000-ROW(),1),ROW(),OFFSET($A$1,ROW(),21,1000-ROW(),1),"Sub"))))</f>
        <v/>
      </c>
      <c r="K246" s="60">
        <f>IF(N($W246)=0,"",IF(AND($S246=MesCiclo,3&gt;SemanaActual),"",MIN(1,SUMIFS(OFFSET($A$1,ROW(),31,1000-ROW(),1),OFFSET($A$1,ROW(),20,1000-ROW(),1),ROW(),OFFSET($A$1,ROW(),21,1000-ROW(),1),"Sub"))))</f>
        <v/>
      </c>
      <c r="L246" s="60">
        <f>IF(N($W246)=0,"",IF(AND($S246=MesCiclo,4&gt;SemanaActual),"",MIN(1,SUMIFS(OFFSET($A$1,ROW(),32,1000-ROW(),1),OFFSET($A$1,ROW(),20,1000-ROW(),1),ROW(),OFFSET($A$1,ROW(),21,1000-ROW(),1),"Sub"))))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IF($V246&lt;&gt;"Sub","",N($X246)*IF(AND(ISNUMBER($G246),$G246&lt;=IF($S246=MesCiclo,InicioCiclo,$S246+MOD(2-WEEKDAY($S246),7))+6),1,MIN(1,MAX(0,IF(ISNUMBER(OFFSET($A$1,ROW()-1,8)),OFFSET($A$1,ROW()-1,8),0)))))</f>
        <v/>
      </c>
      <c r="AE246" s="62">
        <f>IF($V246&lt;&gt;"Sub","",N($X246)*IF(AND(ISNUMBER($G246),$G246&lt;=IF($S246=MesCiclo,InicioCiclo,$S246+MOD(2-WEEKDAY($S246),7))+13),1,MIN(1,MAX(0,IF(ISNUMBER(OFFSET($A$1,ROW()-1,9)),OFFSET($A$1,ROW()-1,9),IF(ISNUMBER(OFFSET($A$1,ROW()-1,8)),OFFSET($A$1,ROW()-1,8),0))))))</f>
        <v/>
      </c>
      <c r="AF246" s="62">
        <f>IF($V246&lt;&gt;"Sub","",N($X246)*IF(AND(ISNUMBER($G246),$G246&lt;=IF($S246=MesCiclo,InicioCiclo,$S246+MOD(2-WEEKDAY($S246),7))+20),1,MIN(1,MAX(0,IF(ISNUMBER(OFFSET($A$1,ROW()-1,10)),OFFSET($A$1,ROW()-1,10),IF(ISNUMBER(OFFSET($A$1,ROW()-1,9)),OFFSET($A$1,ROW()-1,9),IF(ISNUMBER(OFFSET($A$1,ROW()-1,8)),OFFSET($A$1,ROW()-1,8),0)))))))</f>
        <v/>
      </c>
      <c r="AG246" s="62">
        <f>IF($V246&lt;&gt;"Sub","",N($X246)*IF(AND(ISNUMBER($G246),$G246&lt;=IF($S246=MesCiclo,InicioCiclo,$S246+MOD(2-WEEKDAY($S246),7))+27),1,MIN(1,MAX(0,IF(ISNUMBER(OFFSET($A$1,ROW()-1,11)),OFFSET($A$1,ROW()-1,11),IF(ISNUMBER(OFFSET($A$1,ROW()-1,10)),OFFSET($A$1,ROW()-1,10),IF(ISNUMBER(OFFSET($A$1,ROW()-1,9)),OFFSET($A$1,ROW()-1,9),IF(ISNUMBER(OFFSET($A$1,ROW()-1,8)),OFFSET($A$1,ROW()-1,8),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",IFERROR(MATCH("Riesgo Financiero|"&amp;MID($C246,12,500),rDname_ADM,0),0),"")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IF(N($W247)=0,"",IF(AND($S247=MesCiclo,1&gt;SemanaActual),"",MIN(1,SUMIFS(OFFSET($A$1,ROW(),29,1000-ROW(),1),OFFSET($A$1,ROW(),20,1000-ROW(),1),ROW(),OFFSET($A$1,ROW(),21,1000-ROW(),1),"Sub"))))</f>
        <v/>
      </c>
      <c r="J247" s="60">
        <f>IF(N($W247)=0,"",IF(AND($S247=MesCiclo,2&gt;SemanaActual),"",MIN(1,SUMIFS(OFFSET($A$1,ROW(),30,1000-ROW(),1),OFFSET($A$1,ROW(),20,1000-ROW(),1),ROW(),OFFSET($A$1,ROW(),21,1000-ROW(),1),"Sub"))))</f>
        <v/>
      </c>
      <c r="K247" s="60">
        <f>IF(N($W247)=0,"",IF(AND($S247=MesCiclo,3&gt;SemanaActual),"",MIN(1,SUMIFS(OFFSET($A$1,ROW(),31,1000-ROW(),1),OFFSET($A$1,ROW(),20,1000-ROW(),1),ROW(),OFFSET($A$1,ROW(),21,1000-ROW(),1),"Sub"))))</f>
        <v/>
      </c>
      <c r="L247" s="60">
        <f>IF(N($W247)=0,"",IF(AND($S247=MesCiclo,4&gt;SemanaActual),"",MIN(1,SUMIFS(OFFSET($A$1,ROW(),32,1000-ROW(),1),OFFSET($A$1,ROW(),20,1000-ROW(),1),ROW(),OFFSET($A$1,ROW(),21,1000-ROW(),1),"Sub"))))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IF($V247&lt;&gt;"Sub","",N($X247)*IF(AND(ISNUMBER($G247),$G247&lt;=IF($S247=MesCiclo,InicioCiclo,$S247+MOD(2-WEEKDAY($S247),7))+6),1,MIN(1,MAX(0,IF(ISNUMBER(OFFSET($A$1,ROW()-1,8)),OFFSET($A$1,ROW()-1,8),0)))))</f>
        <v/>
      </c>
      <c r="AE247" s="62">
        <f>IF($V247&lt;&gt;"Sub","",N($X247)*IF(AND(ISNUMBER($G247),$G247&lt;=IF($S247=MesCiclo,InicioCiclo,$S247+MOD(2-WEEKDAY($S247),7))+13),1,MIN(1,MAX(0,IF(ISNUMBER(OFFSET($A$1,ROW()-1,9)),OFFSET($A$1,ROW()-1,9),IF(ISNUMBER(OFFSET($A$1,ROW()-1,8)),OFFSET($A$1,ROW()-1,8),0))))))</f>
        <v/>
      </c>
      <c r="AF247" s="62">
        <f>IF($V247&lt;&gt;"Sub","",N($X247)*IF(AND(ISNUMBER($G247),$G247&lt;=IF($S247=MesCiclo,InicioCiclo,$S247+MOD(2-WEEKDAY($S247),7))+20),1,MIN(1,MAX(0,IF(ISNUMBER(OFFSET($A$1,ROW()-1,10)),OFFSET($A$1,ROW()-1,10),IF(ISNUMBER(OFFSET($A$1,ROW()-1,9)),OFFSET($A$1,ROW()-1,9),IF(ISNUMBER(OFFSET($A$1,ROW()-1,8)),OFFSET($A$1,ROW()-1,8),0)))))))</f>
        <v/>
      </c>
      <c r="AG247" s="62">
        <f>IF($V247&lt;&gt;"Sub","",N($X247)*IF(AND(ISNUMBER($G247),$G247&lt;=IF($S247=MesCiclo,InicioCiclo,$S247+MOD(2-WEEKDAY($S247),7))+27),1,MIN(1,MAX(0,IF(ISNUMBER(OFFSET($A$1,ROW()-1,11)),OFFSET($A$1,ROW()-1,11),IF(ISNUMBER(OFFSET($A$1,ROW()-1,10)),OFFSET($A$1,ROW()-1,10),IF(ISNUMBER(OFFSET($A$1,ROW()-1,9)),OFFSET($A$1,ROW()-1,9),IF(ISNUMBER(OFFSET($A$1,ROW()-1,8)),OFFSET($A$1,ROW()-1,8),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",IFERROR(MATCH("Riesgo Financiero|"&amp;MID($C247,12,500),rDname_ADM,0),0),"")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IF(N($W248)=0,"",IF(AND($S248=MesCiclo,1&gt;SemanaActual),"",MIN(1,SUMIFS(OFFSET($A$1,ROW(),29,1000-ROW(),1),OFFSET($A$1,ROW(),20,1000-ROW(),1),ROW(),OFFSET($A$1,ROW(),21,1000-ROW(),1),"Sub"))))</f>
        <v/>
      </c>
      <c r="J248" s="60">
        <f>IF(N($W248)=0,"",IF(AND($S248=MesCiclo,2&gt;SemanaActual),"",MIN(1,SUMIFS(OFFSET($A$1,ROW(),30,1000-ROW(),1),OFFSET($A$1,ROW(),20,1000-ROW(),1),ROW(),OFFSET($A$1,ROW(),21,1000-ROW(),1),"Sub"))))</f>
        <v/>
      </c>
      <c r="K248" s="60">
        <f>IF(N($W248)=0,"",IF(AND($S248=MesCiclo,3&gt;SemanaActual),"",MIN(1,SUMIFS(OFFSET($A$1,ROW(),31,1000-ROW(),1),OFFSET($A$1,ROW(),20,1000-ROW(),1),ROW(),OFFSET($A$1,ROW(),21,1000-ROW(),1),"Sub"))))</f>
        <v/>
      </c>
      <c r="L248" s="60">
        <f>IF(N($W248)=0,"",IF(AND($S248=MesCiclo,4&gt;SemanaActual),"",MIN(1,SUMIFS(OFFSET($A$1,ROW(),32,1000-ROW(),1),OFFSET($A$1,ROW(),20,1000-ROW(),1),ROW(),OFFSET($A$1,ROW(),21,1000-ROW(),1),"Sub"))))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IF($V248&lt;&gt;"Sub","",N($X248)*IF(AND(ISNUMBER($G248),$G248&lt;=IF($S248=MesCiclo,InicioCiclo,$S248+MOD(2-WEEKDAY($S248),7))+6),1,MIN(1,MAX(0,IF(ISNUMBER(OFFSET($A$1,ROW()-1,8)),OFFSET($A$1,ROW()-1,8),0)))))</f>
        <v/>
      </c>
      <c r="AE248" s="62">
        <f>IF($V248&lt;&gt;"Sub","",N($X248)*IF(AND(ISNUMBER($G248),$G248&lt;=IF($S248=MesCiclo,InicioCiclo,$S248+MOD(2-WEEKDAY($S248),7))+13),1,MIN(1,MAX(0,IF(ISNUMBER(OFFSET($A$1,ROW()-1,9)),OFFSET($A$1,ROW()-1,9),IF(ISNUMBER(OFFSET($A$1,ROW()-1,8)),OFFSET($A$1,ROW()-1,8),0))))))</f>
        <v/>
      </c>
      <c r="AF248" s="62">
        <f>IF($V248&lt;&gt;"Sub","",N($X248)*IF(AND(ISNUMBER($G248),$G248&lt;=IF($S248=MesCiclo,InicioCiclo,$S248+MOD(2-WEEKDAY($S248),7))+20),1,MIN(1,MAX(0,IF(ISNUMBER(OFFSET($A$1,ROW()-1,10)),OFFSET($A$1,ROW()-1,10),IF(ISNUMBER(OFFSET($A$1,ROW()-1,9)),OFFSET($A$1,ROW()-1,9),IF(ISNUMBER(OFFSET($A$1,ROW()-1,8)),OFFSET($A$1,ROW()-1,8),0)))))))</f>
        <v/>
      </c>
      <c r="AG248" s="62">
        <f>IF($V248&lt;&gt;"Sub","",N($X248)*IF(AND(ISNUMBER($G248),$G248&lt;=IF($S248=MesCiclo,InicioCiclo,$S248+MOD(2-WEEKDAY($S248),7))+27),1,MIN(1,MAX(0,IF(ISNUMBER(OFFSET($A$1,ROW()-1,11)),OFFSET($A$1,ROW()-1,11),IF(ISNUMBER(OFFSET($A$1,ROW()-1,10)),OFFSET($A$1,ROW()-1,10),IF(ISNUMBER(OFFSET($A$1,ROW()-1,9)),OFFSET($A$1,ROW()-1,9),IF(ISNUMBER(OFFSET($A$1,ROW()-1,8)),OFFSET($A$1,ROW()-1,8),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",IFERROR(MATCH("Riesgo Financiero|"&amp;MID($C248,12,500),rDname_ADM,0),0),"")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IF(N($W249)=0,"",IF(AND($S249=MesCiclo,1&gt;SemanaActual),"",MIN(1,SUMIFS(OFFSET($A$1,ROW(),29,1000-ROW(),1),OFFSET($A$1,ROW(),20,1000-ROW(),1),ROW(),OFFSET($A$1,ROW(),21,1000-ROW(),1),"Sub"))))</f>
        <v/>
      </c>
      <c r="J249" s="60">
        <f>IF(N($W249)=0,"",IF(AND($S249=MesCiclo,2&gt;SemanaActual),"",MIN(1,SUMIFS(OFFSET($A$1,ROW(),30,1000-ROW(),1),OFFSET($A$1,ROW(),20,1000-ROW(),1),ROW(),OFFSET($A$1,ROW(),21,1000-ROW(),1),"Sub"))))</f>
        <v/>
      </c>
      <c r="K249" s="60">
        <f>IF(N($W249)=0,"",IF(AND($S249=MesCiclo,3&gt;SemanaActual),"",MIN(1,SUMIFS(OFFSET($A$1,ROW(),31,1000-ROW(),1),OFFSET($A$1,ROW(),20,1000-ROW(),1),ROW(),OFFSET($A$1,ROW(),21,1000-ROW(),1),"Sub"))))</f>
        <v/>
      </c>
      <c r="L249" s="60">
        <f>IF(N($W249)=0,"",IF(AND($S249=MesCiclo,4&gt;SemanaActual),"",MIN(1,SUMIFS(OFFSET($A$1,ROW(),32,1000-ROW(),1),OFFSET($A$1,ROW(),20,1000-ROW(),1),ROW(),OFFSET($A$1,ROW(),21,1000-ROW(),1),"Sub"))))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IF($V249&lt;&gt;"Sub","",N($X249)*IF(AND(ISNUMBER($G249),$G249&lt;=IF($S249=MesCiclo,InicioCiclo,$S249+MOD(2-WEEKDAY($S249),7))+6),1,MIN(1,MAX(0,IF(ISNUMBER(OFFSET($A$1,ROW()-1,8)),OFFSET($A$1,ROW()-1,8),0)))))</f>
        <v/>
      </c>
      <c r="AE249" s="62">
        <f>IF($V249&lt;&gt;"Sub","",N($X249)*IF(AND(ISNUMBER($G249),$G249&lt;=IF($S249=MesCiclo,InicioCiclo,$S249+MOD(2-WEEKDAY($S249),7))+13),1,MIN(1,MAX(0,IF(ISNUMBER(OFFSET($A$1,ROW()-1,9)),OFFSET($A$1,ROW()-1,9),IF(ISNUMBER(OFFSET($A$1,ROW()-1,8)),OFFSET($A$1,ROW()-1,8),0))))))</f>
        <v/>
      </c>
      <c r="AF249" s="62">
        <f>IF($V249&lt;&gt;"Sub","",N($X249)*IF(AND(ISNUMBER($G249),$G249&lt;=IF($S249=MesCiclo,InicioCiclo,$S249+MOD(2-WEEKDAY($S249),7))+20),1,MIN(1,MAX(0,IF(ISNUMBER(OFFSET($A$1,ROW()-1,10)),OFFSET($A$1,ROW()-1,10),IF(ISNUMBER(OFFSET($A$1,ROW()-1,9)),OFFSET($A$1,ROW()-1,9),IF(ISNUMBER(OFFSET($A$1,ROW()-1,8)),OFFSET($A$1,ROW()-1,8),0)))))))</f>
        <v/>
      </c>
      <c r="AG249" s="62">
        <f>IF($V249&lt;&gt;"Sub","",N($X249)*IF(AND(ISNUMBER($G249),$G249&lt;=IF($S249=MesCiclo,InicioCiclo,$S249+MOD(2-WEEKDAY($S249),7))+27),1,MIN(1,MAX(0,IF(ISNUMBER(OFFSET($A$1,ROW()-1,11)),OFFSET($A$1,ROW()-1,11),IF(ISNUMBER(OFFSET($A$1,ROW()-1,10)),OFFSET($A$1,ROW()-1,10),IF(ISNUMBER(OFFSET($A$1,ROW()-1,9)),OFFSET($A$1,ROW()-1,9),IF(ISNUMBER(OFFSET($A$1,ROW()-1,8)),OFFSET($A$1,ROW()-1,8),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",IFERROR(MATCH("Riesgo Financiero|"&amp;MID($C249,12,500),rDname_ADM,0),0),"")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IF(N($W250)=0,"",IF(AND($S250=MesCiclo,1&gt;SemanaActual),"",MIN(1,SUMIFS(OFFSET($A$1,ROW(),29,1000-ROW(),1),OFFSET($A$1,ROW(),20,1000-ROW(),1),ROW(),OFFSET($A$1,ROW(),21,1000-ROW(),1),"Sub"))))</f>
        <v/>
      </c>
      <c r="J250" s="60">
        <f>IF(N($W250)=0,"",IF(AND($S250=MesCiclo,2&gt;SemanaActual),"",MIN(1,SUMIFS(OFFSET($A$1,ROW(),30,1000-ROW(),1),OFFSET($A$1,ROW(),20,1000-ROW(),1),ROW(),OFFSET($A$1,ROW(),21,1000-ROW(),1),"Sub"))))</f>
        <v/>
      </c>
      <c r="K250" s="60">
        <f>IF(N($W250)=0,"",IF(AND($S250=MesCiclo,3&gt;SemanaActual),"",MIN(1,SUMIFS(OFFSET($A$1,ROW(),31,1000-ROW(),1),OFFSET($A$1,ROW(),20,1000-ROW(),1),ROW(),OFFSET($A$1,ROW(),21,1000-ROW(),1),"Sub"))))</f>
        <v/>
      </c>
      <c r="L250" s="60">
        <f>IF(N($W250)=0,"",IF(AND($S250=MesCiclo,4&gt;SemanaActual),"",MIN(1,SUMIFS(OFFSET($A$1,ROW(),32,1000-ROW(),1),OFFSET($A$1,ROW(),20,1000-ROW(),1),ROW(),OFFSET($A$1,ROW(),21,1000-ROW(),1),"Sub"))))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IF($V250&lt;&gt;"Sub","",N($X250)*IF(AND(ISNUMBER($G250),$G250&lt;=IF($S250=MesCiclo,InicioCiclo,$S250+MOD(2-WEEKDAY($S250),7))+6),1,MIN(1,MAX(0,IF(ISNUMBER(OFFSET($A$1,ROW()-1,8)),OFFSET($A$1,ROW()-1,8),0)))))</f>
        <v/>
      </c>
      <c r="AE250" s="62">
        <f>IF($V250&lt;&gt;"Sub","",N($X250)*IF(AND(ISNUMBER($G250),$G250&lt;=IF($S250=MesCiclo,InicioCiclo,$S250+MOD(2-WEEKDAY($S250),7))+13),1,MIN(1,MAX(0,IF(ISNUMBER(OFFSET($A$1,ROW()-1,9)),OFFSET($A$1,ROW()-1,9),IF(ISNUMBER(OFFSET($A$1,ROW()-1,8)),OFFSET($A$1,ROW()-1,8),0))))))</f>
        <v/>
      </c>
      <c r="AF250" s="62">
        <f>IF($V250&lt;&gt;"Sub","",N($X250)*IF(AND(ISNUMBER($G250),$G250&lt;=IF($S250=MesCiclo,InicioCiclo,$S250+MOD(2-WEEKDAY($S250),7))+20),1,MIN(1,MAX(0,IF(ISNUMBER(OFFSET($A$1,ROW()-1,10)),OFFSET($A$1,ROW()-1,10),IF(ISNUMBER(OFFSET($A$1,ROW()-1,9)),OFFSET($A$1,ROW()-1,9),IF(ISNUMBER(OFFSET($A$1,ROW()-1,8)),OFFSET($A$1,ROW()-1,8),0)))))))</f>
        <v/>
      </c>
      <c r="AG250" s="62">
        <f>IF($V250&lt;&gt;"Sub","",N($X250)*IF(AND(ISNUMBER($G250),$G250&lt;=IF($S250=MesCiclo,InicioCiclo,$S250+MOD(2-WEEKDAY($S250),7))+27),1,MIN(1,MAX(0,IF(ISNUMBER(OFFSET($A$1,ROW()-1,11)),OFFSET($A$1,ROW()-1,11),IF(ISNUMBER(OFFSET($A$1,ROW()-1,10)),OFFSET($A$1,ROW()-1,10),IF(ISNUMBER(OFFSET($A$1,ROW()-1,9)),OFFSET($A$1,ROW()-1,9),IF(ISNUMBER(OFFSET($A$1,ROW()-1,8)),OFFSET($A$1,ROW()-1,8),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",IFERROR(MATCH("Riesgo Financiero|"&amp;MID($C250,12,500),rDname_ADM,0),0),"")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IF(N($W251)=0,"",IF(AND($S251=MesCiclo,1&gt;SemanaActual),"",MIN(1,SUMIFS(OFFSET($A$1,ROW(),29,1000-ROW(),1),OFFSET($A$1,ROW(),20,1000-ROW(),1),ROW(),OFFSET($A$1,ROW(),21,1000-ROW(),1),"Sub"))))</f>
        <v/>
      </c>
      <c r="J251" s="60">
        <f>IF(N($W251)=0,"",IF(AND($S251=MesCiclo,2&gt;SemanaActual),"",MIN(1,SUMIFS(OFFSET($A$1,ROW(),30,1000-ROW(),1),OFFSET($A$1,ROW(),20,1000-ROW(),1),ROW(),OFFSET($A$1,ROW(),21,1000-ROW(),1),"Sub"))))</f>
        <v/>
      </c>
      <c r="K251" s="60">
        <f>IF(N($W251)=0,"",IF(AND($S251=MesCiclo,3&gt;SemanaActual),"",MIN(1,SUMIFS(OFFSET($A$1,ROW(),31,1000-ROW(),1),OFFSET($A$1,ROW(),20,1000-ROW(),1),ROW(),OFFSET($A$1,ROW(),21,1000-ROW(),1),"Sub"))))</f>
        <v/>
      </c>
      <c r="L251" s="60">
        <f>IF(N($W251)=0,"",IF(AND($S251=MesCiclo,4&gt;SemanaActual),"",MIN(1,SUMIFS(OFFSET($A$1,ROW(),32,1000-ROW(),1),OFFSET($A$1,ROW(),20,1000-ROW(),1),ROW(),OFFSET($A$1,ROW(),21,1000-ROW(),1),"Sub"))))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IF($V251&lt;&gt;"Sub","",N($X251)*IF(AND(ISNUMBER($G251),$G251&lt;=IF($S251=MesCiclo,InicioCiclo,$S251+MOD(2-WEEKDAY($S251),7))+6),1,MIN(1,MAX(0,IF(ISNUMBER(OFFSET($A$1,ROW()-1,8)),OFFSET($A$1,ROW()-1,8),0)))))</f>
        <v/>
      </c>
      <c r="AE251" s="62">
        <f>IF($V251&lt;&gt;"Sub","",N($X251)*IF(AND(ISNUMBER($G251),$G251&lt;=IF($S251=MesCiclo,InicioCiclo,$S251+MOD(2-WEEKDAY($S251),7))+13),1,MIN(1,MAX(0,IF(ISNUMBER(OFFSET($A$1,ROW()-1,9)),OFFSET($A$1,ROW()-1,9),IF(ISNUMBER(OFFSET($A$1,ROW()-1,8)),OFFSET($A$1,ROW()-1,8),0))))))</f>
        <v/>
      </c>
      <c r="AF251" s="62">
        <f>IF($V251&lt;&gt;"Sub","",N($X251)*IF(AND(ISNUMBER($G251),$G251&lt;=IF($S251=MesCiclo,InicioCiclo,$S251+MOD(2-WEEKDAY($S251),7))+20),1,MIN(1,MAX(0,IF(ISNUMBER(OFFSET($A$1,ROW()-1,10)),OFFSET($A$1,ROW()-1,10),IF(ISNUMBER(OFFSET($A$1,ROW()-1,9)),OFFSET($A$1,ROW()-1,9),IF(ISNUMBER(OFFSET($A$1,ROW()-1,8)),OFFSET($A$1,ROW()-1,8),0)))))))</f>
        <v/>
      </c>
      <c r="AG251" s="62">
        <f>IF($V251&lt;&gt;"Sub","",N($X251)*IF(AND(ISNUMBER($G251),$G251&lt;=IF($S251=MesCiclo,InicioCiclo,$S251+MOD(2-WEEKDAY($S251),7))+27),1,MIN(1,MAX(0,IF(ISNUMBER(OFFSET($A$1,ROW()-1,11)),OFFSET($A$1,ROW()-1,11),IF(ISNUMBER(OFFSET($A$1,ROW()-1,10)),OFFSET($A$1,ROW()-1,10),IF(ISNUMBER(OFFSET($A$1,ROW()-1,9)),OFFSET($A$1,ROW()-1,9),IF(ISNUMBER(OFFSET($A$1,ROW()-1,8)),OFFSET($A$1,ROW()-1,8),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",IFERROR(MATCH("Riesgo Financiero|"&amp;MID($C251,12,500),rDname_ADM,0),0),"")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IF(N($W252)=0,"",IF(AND($S252=MesCiclo,1&gt;SemanaActual),"",MIN(1,SUMIFS(OFFSET($A$1,ROW(),29,1000-ROW(),1),OFFSET($A$1,ROW(),20,1000-ROW(),1),ROW(),OFFSET($A$1,ROW(),21,1000-ROW(),1),"Sub"))))</f>
        <v/>
      </c>
      <c r="J252" s="60">
        <f>IF(N($W252)=0,"",IF(AND($S252=MesCiclo,2&gt;SemanaActual),"",MIN(1,SUMIFS(OFFSET($A$1,ROW(),30,1000-ROW(),1),OFFSET($A$1,ROW(),20,1000-ROW(),1),ROW(),OFFSET($A$1,ROW(),21,1000-ROW(),1),"Sub"))))</f>
        <v/>
      </c>
      <c r="K252" s="60">
        <f>IF(N($W252)=0,"",IF(AND($S252=MesCiclo,3&gt;SemanaActual),"",MIN(1,SUMIFS(OFFSET($A$1,ROW(),31,1000-ROW(),1),OFFSET($A$1,ROW(),20,1000-ROW(),1),ROW(),OFFSET($A$1,ROW(),21,1000-ROW(),1),"Sub"))))</f>
        <v/>
      </c>
      <c r="L252" s="60">
        <f>IF(N($W252)=0,"",IF(AND($S252=MesCiclo,4&gt;SemanaActual),"",MIN(1,SUMIFS(OFFSET($A$1,ROW(),32,1000-ROW(),1),OFFSET($A$1,ROW(),20,1000-ROW(),1),ROW(),OFFSET($A$1,ROW(),21,1000-ROW(),1),"Sub"))))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IF($V252&lt;&gt;"Sub","",N($X252)*IF(AND(ISNUMBER($G252),$G252&lt;=IF($S252=MesCiclo,InicioCiclo,$S252+MOD(2-WEEKDAY($S252),7))+6),1,MIN(1,MAX(0,IF(ISNUMBER(OFFSET($A$1,ROW()-1,8)),OFFSET($A$1,ROW()-1,8),0)))))</f>
        <v/>
      </c>
      <c r="AE252" s="62">
        <f>IF($V252&lt;&gt;"Sub","",N($X252)*IF(AND(ISNUMBER($G252),$G252&lt;=IF($S252=MesCiclo,InicioCiclo,$S252+MOD(2-WEEKDAY($S252),7))+13),1,MIN(1,MAX(0,IF(ISNUMBER(OFFSET($A$1,ROW()-1,9)),OFFSET($A$1,ROW()-1,9),IF(ISNUMBER(OFFSET($A$1,ROW()-1,8)),OFFSET($A$1,ROW()-1,8),0))))))</f>
        <v/>
      </c>
      <c r="AF252" s="62">
        <f>IF($V252&lt;&gt;"Sub","",N($X252)*IF(AND(ISNUMBER($G252),$G252&lt;=IF($S252=MesCiclo,InicioCiclo,$S252+MOD(2-WEEKDAY($S252),7))+20),1,MIN(1,MAX(0,IF(ISNUMBER(OFFSET($A$1,ROW()-1,10)),OFFSET($A$1,ROW()-1,10),IF(ISNUMBER(OFFSET($A$1,ROW()-1,9)),OFFSET($A$1,ROW()-1,9),IF(ISNUMBER(OFFSET($A$1,ROW()-1,8)),OFFSET($A$1,ROW()-1,8),0)))))))</f>
        <v/>
      </c>
      <c r="AG252" s="62">
        <f>IF($V252&lt;&gt;"Sub","",N($X252)*IF(AND(ISNUMBER($G252),$G252&lt;=IF($S252=MesCiclo,InicioCiclo,$S252+MOD(2-WEEKDAY($S252),7))+27),1,MIN(1,MAX(0,IF(ISNUMBER(OFFSET($A$1,ROW()-1,11)),OFFSET($A$1,ROW()-1,11),IF(ISNUMBER(OFFSET($A$1,ROW()-1,10)),OFFSET($A$1,ROW()-1,10),IF(ISNUMBER(OFFSET($A$1,ROW()-1,9)),OFFSET($A$1,ROW()-1,9),IF(ISNUMBER(OFFSET($A$1,ROW()-1,8)),OFFSET($A$1,ROW()-1,8),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",IFERROR(MATCH("Riesgo Financiero|"&amp;MID($C252,12,500),rDname_ADM,0),0),"")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IF(N($W253)=0,"",IF(AND($S253=MesCiclo,1&gt;SemanaActual),"",MIN(1,SUMIFS(OFFSET($A$1,ROW(),29,1000-ROW(),1),OFFSET($A$1,ROW(),20,1000-ROW(),1),ROW(),OFFSET($A$1,ROW(),21,1000-ROW(),1),"Sub"))))</f>
        <v/>
      </c>
      <c r="J253" s="60">
        <f>IF(N($W253)=0,"",IF(AND($S253=MesCiclo,2&gt;SemanaActual),"",MIN(1,SUMIFS(OFFSET($A$1,ROW(),30,1000-ROW(),1),OFFSET($A$1,ROW(),20,1000-ROW(),1),ROW(),OFFSET($A$1,ROW(),21,1000-ROW(),1),"Sub"))))</f>
        <v/>
      </c>
      <c r="K253" s="60">
        <f>IF(N($W253)=0,"",IF(AND($S253=MesCiclo,3&gt;SemanaActual),"",MIN(1,SUMIFS(OFFSET($A$1,ROW(),31,1000-ROW(),1),OFFSET($A$1,ROW(),20,1000-ROW(),1),ROW(),OFFSET($A$1,ROW(),21,1000-ROW(),1),"Sub"))))</f>
        <v/>
      </c>
      <c r="L253" s="60">
        <f>IF(N($W253)=0,"",IF(AND($S253=MesCiclo,4&gt;SemanaActual),"",MIN(1,SUMIFS(OFFSET($A$1,ROW(),32,1000-ROW(),1),OFFSET($A$1,ROW(),20,1000-ROW(),1),ROW(),OFFSET($A$1,ROW(),21,1000-ROW(),1),"Sub"))))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IF($V253&lt;&gt;"Sub","",N($X253)*IF(AND(ISNUMBER($G253),$G253&lt;=IF($S253=MesCiclo,InicioCiclo,$S253+MOD(2-WEEKDAY($S253),7))+6),1,MIN(1,MAX(0,IF(ISNUMBER(OFFSET($A$1,ROW()-1,8)),OFFSET($A$1,ROW()-1,8),0)))))</f>
        <v/>
      </c>
      <c r="AE253" s="62">
        <f>IF($V253&lt;&gt;"Sub","",N($X253)*IF(AND(ISNUMBER($G253),$G253&lt;=IF($S253=MesCiclo,InicioCiclo,$S253+MOD(2-WEEKDAY($S253),7))+13),1,MIN(1,MAX(0,IF(ISNUMBER(OFFSET($A$1,ROW()-1,9)),OFFSET($A$1,ROW()-1,9),IF(ISNUMBER(OFFSET($A$1,ROW()-1,8)),OFFSET($A$1,ROW()-1,8),0))))))</f>
        <v/>
      </c>
      <c r="AF253" s="62">
        <f>IF($V253&lt;&gt;"Sub","",N($X253)*IF(AND(ISNUMBER($G253),$G253&lt;=IF($S253=MesCiclo,InicioCiclo,$S253+MOD(2-WEEKDAY($S253),7))+20),1,MIN(1,MAX(0,IF(ISNUMBER(OFFSET($A$1,ROW()-1,10)),OFFSET($A$1,ROW()-1,10),IF(ISNUMBER(OFFSET($A$1,ROW()-1,9)),OFFSET($A$1,ROW()-1,9),IF(ISNUMBER(OFFSET($A$1,ROW()-1,8)),OFFSET($A$1,ROW()-1,8),0)))))))</f>
        <v/>
      </c>
      <c r="AG253" s="62">
        <f>IF($V253&lt;&gt;"Sub","",N($X253)*IF(AND(ISNUMBER($G253),$G253&lt;=IF($S253=MesCiclo,InicioCiclo,$S253+MOD(2-WEEKDAY($S253),7))+27),1,MIN(1,MAX(0,IF(ISNUMBER(OFFSET($A$1,ROW()-1,11)),OFFSET($A$1,ROW()-1,11),IF(ISNUMBER(OFFSET($A$1,ROW()-1,10)),OFFSET($A$1,ROW()-1,10),IF(ISNUMBER(OFFSET($A$1,ROW()-1,9)),OFFSET($A$1,ROW()-1,9),IF(ISNUMBER(OFFSET($A$1,ROW()-1,8)),OFFSET($A$1,ROW()-1,8),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",IFERROR(MATCH("Riesgo Financiero|"&amp;MID($C253,12,500),rDname_ADM,0),0),"")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IF(N($W254)=0,"",IF(AND($S254=MesCiclo,1&gt;SemanaActual),"",MIN(1,SUMIFS(OFFSET($A$1,ROW(),29,1000-ROW(),1),OFFSET($A$1,ROW(),20,1000-ROW(),1),ROW(),OFFSET($A$1,ROW(),21,1000-ROW(),1),"Sub"))))</f>
        <v/>
      </c>
      <c r="J254" s="60">
        <f>IF(N($W254)=0,"",IF(AND($S254=MesCiclo,2&gt;SemanaActual),"",MIN(1,SUMIFS(OFFSET($A$1,ROW(),30,1000-ROW(),1),OFFSET($A$1,ROW(),20,1000-ROW(),1),ROW(),OFFSET($A$1,ROW(),21,1000-ROW(),1),"Sub"))))</f>
        <v/>
      </c>
      <c r="K254" s="60">
        <f>IF(N($W254)=0,"",IF(AND($S254=MesCiclo,3&gt;SemanaActual),"",MIN(1,SUMIFS(OFFSET($A$1,ROW(),31,1000-ROW(),1),OFFSET($A$1,ROW(),20,1000-ROW(),1),ROW(),OFFSET($A$1,ROW(),21,1000-ROW(),1),"Sub"))))</f>
        <v/>
      </c>
      <c r="L254" s="60">
        <f>IF(N($W254)=0,"",IF(AND($S254=MesCiclo,4&gt;SemanaActual),"",MIN(1,SUMIFS(OFFSET($A$1,ROW(),32,1000-ROW(),1),OFFSET($A$1,ROW(),20,1000-ROW(),1),ROW(),OFFSET($A$1,ROW(),21,1000-ROW(),1),"Sub"))))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IF($V254&lt;&gt;"Sub","",N($X254)*IF(AND(ISNUMBER($G254),$G254&lt;=IF($S254=MesCiclo,InicioCiclo,$S254+MOD(2-WEEKDAY($S254),7))+6),1,MIN(1,MAX(0,IF(ISNUMBER(OFFSET($A$1,ROW()-1,8)),OFFSET($A$1,ROW()-1,8),0)))))</f>
        <v/>
      </c>
      <c r="AE254" s="62">
        <f>IF($V254&lt;&gt;"Sub","",N($X254)*IF(AND(ISNUMBER($G254),$G254&lt;=IF($S254=MesCiclo,InicioCiclo,$S254+MOD(2-WEEKDAY($S254),7))+13),1,MIN(1,MAX(0,IF(ISNUMBER(OFFSET($A$1,ROW()-1,9)),OFFSET($A$1,ROW()-1,9),IF(ISNUMBER(OFFSET($A$1,ROW()-1,8)),OFFSET($A$1,ROW()-1,8),0))))))</f>
        <v/>
      </c>
      <c r="AF254" s="62">
        <f>IF($V254&lt;&gt;"Sub","",N($X254)*IF(AND(ISNUMBER($G254),$G254&lt;=IF($S254=MesCiclo,InicioCiclo,$S254+MOD(2-WEEKDAY($S254),7))+20),1,MIN(1,MAX(0,IF(ISNUMBER(OFFSET($A$1,ROW()-1,10)),OFFSET($A$1,ROW()-1,10),IF(ISNUMBER(OFFSET($A$1,ROW()-1,9)),OFFSET($A$1,ROW()-1,9),IF(ISNUMBER(OFFSET($A$1,ROW()-1,8)),OFFSET($A$1,ROW()-1,8),0)))))))</f>
        <v/>
      </c>
      <c r="AG254" s="62">
        <f>IF($V254&lt;&gt;"Sub","",N($X254)*IF(AND(ISNUMBER($G254),$G254&lt;=IF($S254=MesCiclo,InicioCiclo,$S254+MOD(2-WEEKDAY($S254),7))+27),1,MIN(1,MAX(0,IF(ISNUMBER(OFFSET($A$1,ROW()-1,11)),OFFSET($A$1,ROW()-1,11),IF(ISNUMBER(OFFSET($A$1,ROW()-1,10)),OFFSET($A$1,ROW()-1,10),IF(ISNUMBER(OFFSET($A$1,ROW()-1,9)),OFFSET($A$1,ROW()-1,9),IF(ISNUMBER(OFFSET($A$1,ROW()-1,8)),OFFSET($A$1,ROW()-1,8),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",IFERROR(MATCH("Riesgo Financiero|"&amp;MID($C254,12,500),rDname_ADM,0),0),"")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IF(N($W255)=0,"",IF(AND($S255=MesCiclo,1&gt;SemanaActual),"",MIN(1,SUMIFS(OFFSET($A$1,ROW(),29,1000-ROW(),1),OFFSET($A$1,ROW(),20,1000-ROW(),1),ROW(),OFFSET($A$1,ROW(),21,1000-ROW(),1),"Sub"))))</f>
        <v/>
      </c>
      <c r="J255" s="60">
        <f>IF(N($W255)=0,"",IF(AND($S255=MesCiclo,2&gt;SemanaActual),"",MIN(1,SUMIFS(OFFSET($A$1,ROW(),30,1000-ROW(),1),OFFSET($A$1,ROW(),20,1000-ROW(),1),ROW(),OFFSET($A$1,ROW(),21,1000-ROW(),1),"Sub"))))</f>
        <v/>
      </c>
      <c r="K255" s="60">
        <f>IF(N($W255)=0,"",IF(AND($S255=MesCiclo,3&gt;SemanaActual),"",MIN(1,SUMIFS(OFFSET($A$1,ROW(),31,1000-ROW(),1),OFFSET($A$1,ROW(),20,1000-ROW(),1),ROW(),OFFSET($A$1,ROW(),21,1000-ROW(),1),"Sub"))))</f>
        <v/>
      </c>
      <c r="L255" s="60">
        <f>IF(N($W255)=0,"",IF(AND($S255=MesCiclo,4&gt;SemanaActual),"",MIN(1,SUMIFS(OFFSET($A$1,ROW(),32,1000-ROW(),1),OFFSET($A$1,ROW(),20,1000-ROW(),1),ROW(),OFFSET($A$1,ROW(),21,1000-ROW(),1),"Sub"))))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IF($V255&lt;&gt;"Sub","",N($X255)*IF(AND(ISNUMBER($G255),$G255&lt;=IF($S255=MesCiclo,InicioCiclo,$S255+MOD(2-WEEKDAY($S255),7))+6),1,MIN(1,MAX(0,IF(ISNUMBER(OFFSET($A$1,ROW()-1,8)),OFFSET($A$1,ROW()-1,8),0)))))</f>
        <v/>
      </c>
      <c r="AE255" s="62">
        <f>IF($V255&lt;&gt;"Sub","",N($X255)*IF(AND(ISNUMBER($G255),$G255&lt;=IF($S255=MesCiclo,InicioCiclo,$S255+MOD(2-WEEKDAY($S255),7))+13),1,MIN(1,MAX(0,IF(ISNUMBER(OFFSET($A$1,ROW()-1,9)),OFFSET($A$1,ROW()-1,9),IF(ISNUMBER(OFFSET($A$1,ROW()-1,8)),OFFSET($A$1,ROW()-1,8),0))))))</f>
        <v/>
      </c>
      <c r="AF255" s="62">
        <f>IF($V255&lt;&gt;"Sub","",N($X255)*IF(AND(ISNUMBER($G255),$G255&lt;=IF($S255=MesCiclo,InicioCiclo,$S255+MOD(2-WEEKDAY($S255),7))+20),1,MIN(1,MAX(0,IF(ISNUMBER(OFFSET($A$1,ROW()-1,10)),OFFSET($A$1,ROW()-1,10),IF(ISNUMBER(OFFSET($A$1,ROW()-1,9)),OFFSET($A$1,ROW()-1,9),IF(ISNUMBER(OFFSET($A$1,ROW()-1,8)),OFFSET($A$1,ROW()-1,8),0)))))))</f>
        <v/>
      </c>
      <c r="AG255" s="62">
        <f>IF($V255&lt;&gt;"Sub","",N($X255)*IF(AND(ISNUMBER($G255),$G255&lt;=IF($S255=MesCiclo,InicioCiclo,$S255+MOD(2-WEEKDAY($S255),7))+27),1,MIN(1,MAX(0,IF(ISNUMBER(OFFSET($A$1,ROW()-1,11)),OFFSET($A$1,ROW()-1,11),IF(ISNUMBER(OFFSET($A$1,ROW()-1,10)),OFFSET($A$1,ROW()-1,10),IF(ISNUMBER(OFFSET($A$1,ROW()-1,9)),OFFSET($A$1,ROW()-1,9),IF(ISNUMBER(OFFSET($A$1,ROW()-1,8)),OFFSET($A$1,ROW()-1,8),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",IFERROR(MATCH("Riesgo Financiero|"&amp;MID($C255,12,500),rDname_ADM,0),0),"")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IF(N($W256)=0,"",IF(AND($S256=MesCiclo,1&gt;SemanaActual),"",MIN(1,SUMIFS(OFFSET($A$1,ROW(),29,1000-ROW(),1),OFFSET($A$1,ROW(),20,1000-ROW(),1),ROW(),OFFSET($A$1,ROW(),21,1000-ROW(),1),"Sub"))))</f>
        <v/>
      </c>
      <c r="J256" s="60">
        <f>IF(N($W256)=0,"",IF(AND($S256=MesCiclo,2&gt;SemanaActual),"",MIN(1,SUMIFS(OFFSET($A$1,ROW(),30,1000-ROW(),1),OFFSET($A$1,ROW(),20,1000-ROW(),1),ROW(),OFFSET($A$1,ROW(),21,1000-ROW(),1),"Sub"))))</f>
        <v/>
      </c>
      <c r="K256" s="60">
        <f>IF(N($W256)=0,"",IF(AND($S256=MesCiclo,3&gt;SemanaActual),"",MIN(1,SUMIFS(OFFSET($A$1,ROW(),31,1000-ROW(),1),OFFSET($A$1,ROW(),20,1000-ROW(),1),ROW(),OFFSET($A$1,ROW(),21,1000-ROW(),1),"Sub"))))</f>
        <v/>
      </c>
      <c r="L256" s="60">
        <f>IF(N($W256)=0,"",IF(AND($S256=MesCiclo,4&gt;SemanaActual),"",MIN(1,SUMIFS(OFFSET($A$1,ROW(),32,1000-ROW(),1),OFFSET($A$1,ROW(),20,1000-ROW(),1),ROW(),OFFSET($A$1,ROW(),21,1000-ROW(),1),"Sub"))))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IF($V256&lt;&gt;"Sub","",N($X256)*IF(AND(ISNUMBER($G256),$G256&lt;=IF($S256=MesCiclo,InicioCiclo,$S256+MOD(2-WEEKDAY($S256),7))+6),1,MIN(1,MAX(0,IF(ISNUMBER(OFFSET($A$1,ROW()-1,8)),OFFSET($A$1,ROW()-1,8),0)))))</f>
        <v/>
      </c>
      <c r="AE256" s="62">
        <f>IF($V256&lt;&gt;"Sub","",N($X256)*IF(AND(ISNUMBER($G256),$G256&lt;=IF($S256=MesCiclo,InicioCiclo,$S256+MOD(2-WEEKDAY($S256),7))+13),1,MIN(1,MAX(0,IF(ISNUMBER(OFFSET($A$1,ROW()-1,9)),OFFSET($A$1,ROW()-1,9),IF(ISNUMBER(OFFSET($A$1,ROW()-1,8)),OFFSET($A$1,ROW()-1,8),0))))))</f>
        <v/>
      </c>
      <c r="AF256" s="62">
        <f>IF($V256&lt;&gt;"Sub","",N($X256)*IF(AND(ISNUMBER($G256),$G256&lt;=IF($S256=MesCiclo,InicioCiclo,$S256+MOD(2-WEEKDAY($S256),7))+20),1,MIN(1,MAX(0,IF(ISNUMBER(OFFSET($A$1,ROW()-1,10)),OFFSET($A$1,ROW()-1,10),IF(ISNUMBER(OFFSET($A$1,ROW()-1,9)),OFFSET($A$1,ROW()-1,9),IF(ISNUMBER(OFFSET($A$1,ROW()-1,8)),OFFSET($A$1,ROW()-1,8),0)))))))</f>
        <v/>
      </c>
      <c r="AG256" s="62">
        <f>IF($V256&lt;&gt;"Sub","",N($X256)*IF(AND(ISNUMBER($G256),$G256&lt;=IF($S256=MesCiclo,InicioCiclo,$S256+MOD(2-WEEKDAY($S256),7))+27),1,MIN(1,MAX(0,IF(ISNUMBER(OFFSET($A$1,ROW()-1,11)),OFFSET($A$1,ROW()-1,11),IF(ISNUMBER(OFFSET($A$1,ROW()-1,10)),OFFSET($A$1,ROW()-1,10),IF(ISNUMBER(OFFSET($A$1,ROW()-1,9)),OFFSET($A$1,ROW()-1,9),IF(ISNUMBER(OFFSET($A$1,ROW()-1,8)),OFFSET($A$1,ROW()-1,8),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",IFERROR(MATCH("Riesgo Financiero|"&amp;MID($C256,12,500),rDname_ADM,0),0),"")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IF(N($W257)=0,"",IF(AND($S257=MesCiclo,1&gt;SemanaActual),"",MIN(1,SUMIFS(OFFSET($A$1,ROW(),29,1000-ROW(),1),OFFSET($A$1,ROW(),20,1000-ROW(),1),ROW(),OFFSET($A$1,ROW(),21,1000-ROW(),1),"Sub"))))</f>
        <v/>
      </c>
      <c r="J257" s="60">
        <f>IF(N($W257)=0,"",IF(AND($S257=MesCiclo,2&gt;SemanaActual),"",MIN(1,SUMIFS(OFFSET($A$1,ROW(),30,1000-ROW(),1),OFFSET($A$1,ROW(),20,1000-ROW(),1),ROW(),OFFSET($A$1,ROW(),21,1000-ROW(),1),"Sub"))))</f>
        <v/>
      </c>
      <c r="K257" s="60">
        <f>IF(N($W257)=0,"",IF(AND($S257=MesCiclo,3&gt;SemanaActual),"",MIN(1,SUMIFS(OFFSET($A$1,ROW(),31,1000-ROW(),1),OFFSET($A$1,ROW(),20,1000-ROW(),1),ROW(),OFFSET($A$1,ROW(),21,1000-ROW(),1),"Sub"))))</f>
        <v/>
      </c>
      <c r="L257" s="60">
        <f>IF(N($W257)=0,"",IF(AND($S257=MesCiclo,4&gt;SemanaActual),"",MIN(1,SUMIFS(OFFSET($A$1,ROW(),32,1000-ROW(),1),OFFSET($A$1,ROW(),20,1000-ROW(),1),ROW(),OFFSET($A$1,ROW(),21,1000-ROW(),1),"Sub"))))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IF($V257&lt;&gt;"Sub","",N($X257)*IF(AND(ISNUMBER($G257),$G257&lt;=IF($S257=MesCiclo,InicioCiclo,$S257+MOD(2-WEEKDAY($S257),7))+6),1,MIN(1,MAX(0,IF(ISNUMBER(OFFSET($A$1,ROW()-1,8)),OFFSET($A$1,ROW()-1,8),0)))))</f>
        <v/>
      </c>
      <c r="AE257" s="62">
        <f>IF($V257&lt;&gt;"Sub","",N($X257)*IF(AND(ISNUMBER($G257),$G257&lt;=IF($S257=MesCiclo,InicioCiclo,$S257+MOD(2-WEEKDAY($S257),7))+13),1,MIN(1,MAX(0,IF(ISNUMBER(OFFSET($A$1,ROW()-1,9)),OFFSET($A$1,ROW()-1,9),IF(ISNUMBER(OFFSET($A$1,ROW()-1,8)),OFFSET($A$1,ROW()-1,8),0))))))</f>
        <v/>
      </c>
      <c r="AF257" s="62">
        <f>IF($V257&lt;&gt;"Sub","",N($X257)*IF(AND(ISNUMBER($G257),$G257&lt;=IF($S257=MesCiclo,InicioCiclo,$S257+MOD(2-WEEKDAY($S257),7))+20),1,MIN(1,MAX(0,IF(ISNUMBER(OFFSET($A$1,ROW()-1,10)),OFFSET($A$1,ROW()-1,10),IF(ISNUMBER(OFFSET($A$1,ROW()-1,9)),OFFSET($A$1,ROW()-1,9),IF(ISNUMBER(OFFSET($A$1,ROW()-1,8)),OFFSET($A$1,ROW()-1,8),0)))))))</f>
        <v/>
      </c>
      <c r="AG257" s="62">
        <f>IF($V257&lt;&gt;"Sub","",N($X257)*IF(AND(ISNUMBER($G257),$G257&lt;=IF($S257=MesCiclo,InicioCiclo,$S257+MOD(2-WEEKDAY($S257),7))+27),1,MIN(1,MAX(0,IF(ISNUMBER(OFFSET($A$1,ROW()-1,11)),OFFSET($A$1,ROW()-1,11),IF(ISNUMBER(OFFSET($A$1,ROW()-1,10)),OFFSET($A$1,ROW()-1,10),IF(ISNUMBER(OFFSET($A$1,ROW()-1,9)),OFFSET($A$1,ROW()-1,9),IF(ISNUMBER(OFFSET($A$1,ROW()-1,8)),OFFSET($A$1,ROW()-1,8),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",IFERROR(MATCH("Riesgo Financiero|"&amp;MID($C257,12,500),rDname_ADM,0),0),"")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IF(N($W258)=0,"",IF(AND($S258=MesCiclo,1&gt;SemanaActual),"",MIN(1,SUMIFS(OFFSET($A$1,ROW(),29,1000-ROW(),1),OFFSET($A$1,ROW(),20,1000-ROW(),1),ROW(),OFFSET($A$1,ROW(),21,1000-ROW(),1),"Sub"))))</f>
        <v/>
      </c>
      <c r="J258" s="60">
        <f>IF(N($W258)=0,"",IF(AND($S258=MesCiclo,2&gt;SemanaActual),"",MIN(1,SUMIFS(OFFSET($A$1,ROW(),30,1000-ROW(),1),OFFSET($A$1,ROW(),20,1000-ROW(),1),ROW(),OFFSET($A$1,ROW(),21,1000-ROW(),1),"Sub"))))</f>
        <v/>
      </c>
      <c r="K258" s="60">
        <f>IF(N($W258)=0,"",IF(AND($S258=MesCiclo,3&gt;SemanaActual),"",MIN(1,SUMIFS(OFFSET($A$1,ROW(),31,1000-ROW(),1),OFFSET($A$1,ROW(),20,1000-ROW(),1),ROW(),OFFSET($A$1,ROW(),21,1000-ROW(),1),"Sub"))))</f>
        <v/>
      </c>
      <c r="L258" s="60">
        <f>IF(N($W258)=0,"",IF(AND($S258=MesCiclo,4&gt;SemanaActual),"",MIN(1,SUMIFS(OFFSET($A$1,ROW(),32,1000-ROW(),1),OFFSET($A$1,ROW(),20,1000-ROW(),1),ROW(),OFFSET($A$1,ROW(),21,1000-ROW(),1),"Sub"))))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IF($V258&lt;&gt;"Sub","",N($X258)*IF(AND(ISNUMBER($G258),$G258&lt;=IF($S258=MesCiclo,InicioCiclo,$S258+MOD(2-WEEKDAY($S258),7))+6),1,MIN(1,MAX(0,IF(ISNUMBER(OFFSET($A$1,ROW()-1,8)),OFFSET($A$1,ROW()-1,8),0)))))</f>
        <v/>
      </c>
      <c r="AE258" s="62">
        <f>IF($V258&lt;&gt;"Sub","",N($X258)*IF(AND(ISNUMBER($G258),$G258&lt;=IF($S258=MesCiclo,InicioCiclo,$S258+MOD(2-WEEKDAY($S258),7))+13),1,MIN(1,MAX(0,IF(ISNUMBER(OFFSET($A$1,ROW()-1,9)),OFFSET($A$1,ROW()-1,9),IF(ISNUMBER(OFFSET($A$1,ROW()-1,8)),OFFSET($A$1,ROW()-1,8),0))))))</f>
        <v/>
      </c>
      <c r="AF258" s="62">
        <f>IF($V258&lt;&gt;"Sub","",N($X258)*IF(AND(ISNUMBER($G258),$G258&lt;=IF($S258=MesCiclo,InicioCiclo,$S258+MOD(2-WEEKDAY($S258),7))+20),1,MIN(1,MAX(0,IF(ISNUMBER(OFFSET($A$1,ROW()-1,10)),OFFSET($A$1,ROW()-1,10),IF(ISNUMBER(OFFSET($A$1,ROW()-1,9)),OFFSET($A$1,ROW()-1,9),IF(ISNUMBER(OFFSET($A$1,ROW()-1,8)),OFFSET($A$1,ROW()-1,8),0)))))))</f>
        <v/>
      </c>
      <c r="AG258" s="62">
        <f>IF($V258&lt;&gt;"Sub","",N($X258)*IF(AND(ISNUMBER($G258),$G258&lt;=IF($S258=MesCiclo,InicioCiclo,$S258+MOD(2-WEEKDAY($S258),7))+27),1,MIN(1,MAX(0,IF(ISNUMBER(OFFSET($A$1,ROW()-1,11)),OFFSET($A$1,ROW()-1,11),IF(ISNUMBER(OFFSET($A$1,ROW()-1,10)),OFFSET($A$1,ROW()-1,10),IF(ISNUMBER(OFFSET($A$1,ROW()-1,9)),OFFSET($A$1,ROW()-1,9),IF(ISNUMBER(OFFSET($A$1,ROW()-1,8)),OFFSET($A$1,ROW()-1,8),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",IFERROR(MATCH("Riesgo Financiero|"&amp;MID($C258,12,500),rDname_ADM,0),0),"")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IF(N($W259)=0,"",IF(AND($S259=MesCiclo,1&gt;SemanaActual),"",MIN(1,SUMIFS(OFFSET($A$1,ROW(),29,1000-ROW(),1),OFFSET($A$1,ROW(),20,1000-ROW(),1),ROW(),OFFSET($A$1,ROW(),21,1000-ROW(),1),"Sub"))))</f>
        <v/>
      </c>
      <c r="J259" s="60">
        <f>IF(N($W259)=0,"",IF(AND($S259=MesCiclo,2&gt;SemanaActual),"",MIN(1,SUMIFS(OFFSET($A$1,ROW(),30,1000-ROW(),1),OFFSET($A$1,ROW(),20,1000-ROW(),1),ROW(),OFFSET($A$1,ROW(),21,1000-ROW(),1),"Sub"))))</f>
        <v/>
      </c>
      <c r="K259" s="60">
        <f>IF(N($W259)=0,"",IF(AND($S259=MesCiclo,3&gt;SemanaActual),"",MIN(1,SUMIFS(OFFSET($A$1,ROW(),31,1000-ROW(),1),OFFSET($A$1,ROW(),20,1000-ROW(),1),ROW(),OFFSET($A$1,ROW(),21,1000-ROW(),1),"Sub"))))</f>
        <v/>
      </c>
      <c r="L259" s="60">
        <f>IF(N($W259)=0,"",IF(AND($S259=MesCiclo,4&gt;SemanaActual),"",MIN(1,SUMIFS(OFFSET($A$1,ROW(),32,1000-ROW(),1),OFFSET($A$1,ROW(),20,1000-ROW(),1),ROW(),OFFSET($A$1,ROW(),21,1000-ROW(),1),"Sub"))))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IF($V259&lt;&gt;"Sub","",N($X259)*IF(AND(ISNUMBER($G259),$G259&lt;=IF($S259=MesCiclo,InicioCiclo,$S259+MOD(2-WEEKDAY($S259),7))+6),1,MIN(1,MAX(0,IF(ISNUMBER(OFFSET($A$1,ROW()-1,8)),OFFSET($A$1,ROW()-1,8),0)))))</f>
        <v/>
      </c>
      <c r="AE259" s="62">
        <f>IF($V259&lt;&gt;"Sub","",N($X259)*IF(AND(ISNUMBER($G259),$G259&lt;=IF($S259=MesCiclo,InicioCiclo,$S259+MOD(2-WEEKDAY($S259),7))+13),1,MIN(1,MAX(0,IF(ISNUMBER(OFFSET($A$1,ROW()-1,9)),OFFSET($A$1,ROW()-1,9),IF(ISNUMBER(OFFSET($A$1,ROW()-1,8)),OFFSET($A$1,ROW()-1,8),0))))))</f>
        <v/>
      </c>
      <c r="AF259" s="62">
        <f>IF($V259&lt;&gt;"Sub","",N($X259)*IF(AND(ISNUMBER($G259),$G259&lt;=IF($S259=MesCiclo,InicioCiclo,$S259+MOD(2-WEEKDAY($S259),7))+20),1,MIN(1,MAX(0,IF(ISNUMBER(OFFSET($A$1,ROW()-1,10)),OFFSET($A$1,ROW()-1,10),IF(ISNUMBER(OFFSET($A$1,ROW()-1,9)),OFFSET($A$1,ROW()-1,9),IF(ISNUMBER(OFFSET($A$1,ROW()-1,8)),OFFSET($A$1,ROW()-1,8),0)))))))</f>
        <v/>
      </c>
      <c r="AG259" s="62">
        <f>IF($V259&lt;&gt;"Sub","",N($X259)*IF(AND(ISNUMBER($G259),$G259&lt;=IF($S259=MesCiclo,InicioCiclo,$S259+MOD(2-WEEKDAY($S259),7))+27),1,MIN(1,MAX(0,IF(ISNUMBER(OFFSET($A$1,ROW()-1,11)),OFFSET($A$1,ROW()-1,11),IF(ISNUMBER(OFFSET($A$1,ROW()-1,10)),OFFSET($A$1,ROW()-1,10),IF(ISNUMBER(OFFSET($A$1,ROW()-1,9)),OFFSET($A$1,ROW()-1,9),IF(ISNUMBER(OFFSET($A$1,ROW()-1,8)),OFFSET($A$1,ROW()-1,8),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",IFERROR(MATCH("Riesgo Financiero|"&amp;MID($C259,12,500),rDname_ADM,0),0),"")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IF(N($W260)=0,"",IF(AND($S260=MesCiclo,1&gt;SemanaActual),"",MIN(1,SUMIFS(OFFSET($A$1,ROW(),29,1000-ROW(),1),OFFSET($A$1,ROW(),20,1000-ROW(),1),ROW(),OFFSET($A$1,ROW(),21,1000-ROW(),1),"Sub"))))</f>
        <v/>
      </c>
      <c r="J260" s="60">
        <f>IF(N($W260)=0,"",IF(AND($S260=MesCiclo,2&gt;SemanaActual),"",MIN(1,SUMIFS(OFFSET($A$1,ROW(),30,1000-ROW(),1),OFFSET($A$1,ROW(),20,1000-ROW(),1),ROW(),OFFSET($A$1,ROW(),21,1000-ROW(),1),"Sub"))))</f>
        <v/>
      </c>
      <c r="K260" s="60">
        <f>IF(N($W260)=0,"",IF(AND($S260=MesCiclo,3&gt;SemanaActual),"",MIN(1,SUMIFS(OFFSET($A$1,ROW(),31,1000-ROW(),1),OFFSET($A$1,ROW(),20,1000-ROW(),1),ROW(),OFFSET($A$1,ROW(),21,1000-ROW(),1),"Sub"))))</f>
        <v/>
      </c>
      <c r="L260" s="60">
        <f>IF(N($W260)=0,"",IF(AND($S260=MesCiclo,4&gt;SemanaActual),"",MIN(1,SUMIFS(OFFSET($A$1,ROW(),32,1000-ROW(),1),OFFSET($A$1,ROW(),20,1000-ROW(),1),ROW(),OFFSET($A$1,ROW(),21,1000-ROW(),1),"Sub"))))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IF($V260&lt;&gt;"Sub","",N($X260)*IF(AND(ISNUMBER($G260),$G260&lt;=IF($S260=MesCiclo,InicioCiclo,$S260+MOD(2-WEEKDAY($S260),7))+6),1,MIN(1,MAX(0,IF(ISNUMBER(OFFSET($A$1,ROW()-1,8)),OFFSET($A$1,ROW()-1,8),0)))))</f>
        <v/>
      </c>
      <c r="AE260" s="62">
        <f>IF($V260&lt;&gt;"Sub","",N($X260)*IF(AND(ISNUMBER($G260),$G260&lt;=IF($S260=MesCiclo,InicioCiclo,$S260+MOD(2-WEEKDAY($S260),7))+13),1,MIN(1,MAX(0,IF(ISNUMBER(OFFSET($A$1,ROW()-1,9)),OFFSET($A$1,ROW()-1,9),IF(ISNUMBER(OFFSET($A$1,ROW()-1,8)),OFFSET($A$1,ROW()-1,8),0))))))</f>
        <v/>
      </c>
      <c r="AF260" s="62">
        <f>IF($V260&lt;&gt;"Sub","",N($X260)*IF(AND(ISNUMBER($G260),$G260&lt;=IF($S260=MesCiclo,InicioCiclo,$S260+MOD(2-WEEKDAY($S260),7))+20),1,MIN(1,MAX(0,IF(ISNUMBER(OFFSET($A$1,ROW()-1,10)),OFFSET($A$1,ROW()-1,10),IF(ISNUMBER(OFFSET($A$1,ROW()-1,9)),OFFSET($A$1,ROW()-1,9),IF(ISNUMBER(OFFSET($A$1,ROW()-1,8)),OFFSET($A$1,ROW()-1,8),0)))))))</f>
        <v/>
      </c>
      <c r="AG260" s="62">
        <f>IF($V260&lt;&gt;"Sub","",N($X260)*IF(AND(ISNUMBER($G260),$G260&lt;=IF($S260=MesCiclo,InicioCiclo,$S260+MOD(2-WEEKDAY($S260),7))+27),1,MIN(1,MAX(0,IF(ISNUMBER(OFFSET($A$1,ROW()-1,11)),OFFSET($A$1,ROW()-1,11),IF(ISNUMBER(OFFSET($A$1,ROW()-1,10)),OFFSET($A$1,ROW()-1,10),IF(ISNUMBER(OFFSET($A$1,ROW()-1,9)),OFFSET($A$1,ROW()-1,9),IF(ISNUMBER(OFFSET($A$1,ROW()-1,8)),OFFSET($A$1,ROW()-1,8),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",IFERROR(MATCH("Riesgo Financiero|"&amp;MID($C260,12,500),rDname_ADM,0),0),"")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IF(N($W261)=0,"",IF(AND($S261=MesCiclo,1&gt;SemanaActual),"",MIN(1,SUMIFS(OFFSET($A$1,ROW(),29,1000-ROW(),1),OFFSET($A$1,ROW(),20,1000-ROW(),1),ROW(),OFFSET($A$1,ROW(),21,1000-ROW(),1),"Sub"))))</f>
        <v/>
      </c>
      <c r="J261" s="60">
        <f>IF(N($W261)=0,"",IF(AND($S261=MesCiclo,2&gt;SemanaActual),"",MIN(1,SUMIFS(OFFSET($A$1,ROW(),30,1000-ROW(),1),OFFSET($A$1,ROW(),20,1000-ROW(),1),ROW(),OFFSET($A$1,ROW(),21,1000-ROW(),1),"Sub"))))</f>
        <v/>
      </c>
      <c r="K261" s="60">
        <f>IF(N($W261)=0,"",IF(AND($S261=MesCiclo,3&gt;SemanaActual),"",MIN(1,SUMIFS(OFFSET($A$1,ROW(),31,1000-ROW(),1),OFFSET($A$1,ROW(),20,1000-ROW(),1),ROW(),OFFSET($A$1,ROW(),21,1000-ROW(),1),"Sub"))))</f>
        <v/>
      </c>
      <c r="L261" s="60">
        <f>IF(N($W261)=0,"",IF(AND($S261=MesCiclo,4&gt;SemanaActual),"",MIN(1,SUMIFS(OFFSET($A$1,ROW(),32,1000-ROW(),1),OFFSET($A$1,ROW(),20,1000-ROW(),1),ROW(),OFFSET($A$1,ROW(),21,1000-ROW(),1),"Sub"))))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IF($V261&lt;&gt;"Sub","",N($X261)*IF(AND(ISNUMBER($G261),$G261&lt;=IF($S261=MesCiclo,InicioCiclo,$S261+MOD(2-WEEKDAY($S261),7))+6),1,MIN(1,MAX(0,IF(ISNUMBER(OFFSET($A$1,ROW()-1,8)),OFFSET($A$1,ROW()-1,8),0)))))</f>
        <v/>
      </c>
      <c r="AE261" s="62">
        <f>IF($V261&lt;&gt;"Sub","",N($X261)*IF(AND(ISNUMBER($G261),$G261&lt;=IF($S261=MesCiclo,InicioCiclo,$S261+MOD(2-WEEKDAY($S261),7))+13),1,MIN(1,MAX(0,IF(ISNUMBER(OFFSET($A$1,ROW()-1,9)),OFFSET($A$1,ROW()-1,9),IF(ISNUMBER(OFFSET($A$1,ROW()-1,8)),OFFSET($A$1,ROW()-1,8),0))))))</f>
        <v/>
      </c>
      <c r="AF261" s="62">
        <f>IF($V261&lt;&gt;"Sub","",N($X261)*IF(AND(ISNUMBER($G261),$G261&lt;=IF($S261=MesCiclo,InicioCiclo,$S261+MOD(2-WEEKDAY($S261),7))+20),1,MIN(1,MAX(0,IF(ISNUMBER(OFFSET($A$1,ROW()-1,10)),OFFSET($A$1,ROW()-1,10),IF(ISNUMBER(OFFSET($A$1,ROW()-1,9)),OFFSET($A$1,ROW()-1,9),IF(ISNUMBER(OFFSET($A$1,ROW()-1,8)),OFFSET($A$1,ROW()-1,8),0)))))))</f>
        <v/>
      </c>
      <c r="AG261" s="62">
        <f>IF($V261&lt;&gt;"Sub","",N($X261)*IF(AND(ISNUMBER($G261),$G261&lt;=IF($S261=MesCiclo,InicioCiclo,$S261+MOD(2-WEEKDAY($S261),7))+27),1,MIN(1,MAX(0,IF(ISNUMBER(OFFSET($A$1,ROW()-1,11)),OFFSET($A$1,ROW()-1,11),IF(ISNUMBER(OFFSET($A$1,ROW()-1,10)),OFFSET($A$1,ROW()-1,10),IF(ISNUMBER(OFFSET($A$1,ROW()-1,9)),OFFSET($A$1,ROW()-1,9),IF(ISNUMBER(OFFSET($A$1,ROW()-1,8)),OFFSET($A$1,ROW()-1,8),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",IFERROR(MATCH("Riesgo Financiero|"&amp;MID($C261,12,500),rDname_ADM,0),0),"")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IF(N($W262)=0,"",IF(AND($S262=MesCiclo,1&gt;SemanaActual),"",MIN(1,SUMIFS(OFFSET($A$1,ROW(),29,1000-ROW(),1),OFFSET($A$1,ROW(),20,1000-ROW(),1),ROW(),OFFSET($A$1,ROW(),21,1000-ROW(),1),"Sub"))))</f>
        <v/>
      </c>
      <c r="J262" s="60">
        <f>IF(N($W262)=0,"",IF(AND($S262=MesCiclo,2&gt;SemanaActual),"",MIN(1,SUMIFS(OFFSET($A$1,ROW(),30,1000-ROW(),1),OFFSET($A$1,ROW(),20,1000-ROW(),1),ROW(),OFFSET($A$1,ROW(),21,1000-ROW(),1),"Sub"))))</f>
        <v/>
      </c>
      <c r="K262" s="60">
        <f>IF(N($W262)=0,"",IF(AND($S262=MesCiclo,3&gt;SemanaActual),"",MIN(1,SUMIFS(OFFSET($A$1,ROW(),31,1000-ROW(),1),OFFSET($A$1,ROW(),20,1000-ROW(),1),ROW(),OFFSET($A$1,ROW(),21,1000-ROW(),1),"Sub"))))</f>
        <v/>
      </c>
      <c r="L262" s="60">
        <f>IF(N($W262)=0,"",IF(AND($S262=MesCiclo,4&gt;SemanaActual),"",MIN(1,SUMIFS(OFFSET($A$1,ROW(),32,1000-ROW(),1),OFFSET($A$1,ROW(),20,1000-ROW(),1),ROW(),OFFSET($A$1,ROW(),21,1000-ROW(),1),"Sub"))))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IF($V262&lt;&gt;"Sub","",N($X262)*IF(AND(ISNUMBER($G262),$G262&lt;=IF($S262=MesCiclo,InicioCiclo,$S262+MOD(2-WEEKDAY($S262),7))+6),1,MIN(1,MAX(0,IF(ISNUMBER(OFFSET($A$1,ROW()-1,8)),OFFSET($A$1,ROW()-1,8),0)))))</f>
        <v/>
      </c>
      <c r="AE262" s="62">
        <f>IF($V262&lt;&gt;"Sub","",N($X262)*IF(AND(ISNUMBER($G262),$G262&lt;=IF($S262=MesCiclo,InicioCiclo,$S262+MOD(2-WEEKDAY($S262),7))+13),1,MIN(1,MAX(0,IF(ISNUMBER(OFFSET($A$1,ROW()-1,9)),OFFSET($A$1,ROW()-1,9),IF(ISNUMBER(OFFSET($A$1,ROW()-1,8)),OFFSET($A$1,ROW()-1,8),0))))))</f>
        <v/>
      </c>
      <c r="AF262" s="62">
        <f>IF($V262&lt;&gt;"Sub","",N($X262)*IF(AND(ISNUMBER($G262),$G262&lt;=IF($S262=MesCiclo,InicioCiclo,$S262+MOD(2-WEEKDAY($S262),7))+20),1,MIN(1,MAX(0,IF(ISNUMBER(OFFSET($A$1,ROW()-1,10)),OFFSET($A$1,ROW()-1,10),IF(ISNUMBER(OFFSET($A$1,ROW()-1,9)),OFFSET($A$1,ROW()-1,9),IF(ISNUMBER(OFFSET($A$1,ROW()-1,8)),OFFSET($A$1,ROW()-1,8),0)))))))</f>
        <v/>
      </c>
      <c r="AG262" s="62">
        <f>IF($V262&lt;&gt;"Sub","",N($X262)*IF(AND(ISNUMBER($G262),$G262&lt;=IF($S262=MesCiclo,InicioCiclo,$S262+MOD(2-WEEKDAY($S262),7))+27),1,MIN(1,MAX(0,IF(ISNUMBER(OFFSET($A$1,ROW()-1,11)),OFFSET($A$1,ROW()-1,11),IF(ISNUMBER(OFFSET($A$1,ROW()-1,10)),OFFSET($A$1,ROW()-1,10),IF(ISNUMBER(OFFSET($A$1,ROW()-1,9)),OFFSET($A$1,ROW()-1,9),IF(ISNUMBER(OFFSET($A$1,ROW()-1,8)),OFFSET($A$1,ROW()-1,8),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",IFERROR(MATCH("Riesgo Financiero|"&amp;MID($C262,12,500),rDname_ADM,0),0),"")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IF(N($W263)=0,"",IF(AND($S263=MesCiclo,1&gt;SemanaActual),"",MIN(1,SUMIFS(OFFSET($A$1,ROW(),29,1000-ROW(),1),OFFSET($A$1,ROW(),20,1000-ROW(),1),ROW(),OFFSET($A$1,ROW(),21,1000-ROW(),1),"Sub"))))</f>
        <v/>
      </c>
      <c r="J263" s="60">
        <f>IF(N($W263)=0,"",IF(AND($S263=MesCiclo,2&gt;SemanaActual),"",MIN(1,SUMIFS(OFFSET($A$1,ROW(),30,1000-ROW(),1),OFFSET($A$1,ROW(),20,1000-ROW(),1),ROW(),OFFSET($A$1,ROW(),21,1000-ROW(),1),"Sub"))))</f>
        <v/>
      </c>
      <c r="K263" s="60">
        <f>IF(N($W263)=0,"",IF(AND($S263=MesCiclo,3&gt;SemanaActual),"",MIN(1,SUMIFS(OFFSET($A$1,ROW(),31,1000-ROW(),1),OFFSET($A$1,ROW(),20,1000-ROW(),1),ROW(),OFFSET($A$1,ROW(),21,1000-ROW(),1),"Sub"))))</f>
        <v/>
      </c>
      <c r="L263" s="60">
        <f>IF(N($W263)=0,"",IF(AND($S263=MesCiclo,4&gt;SemanaActual),"",MIN(1,SUMIFS(OFFSET($A$1,ROW(),32,1000-ROW(),1),OFFSET($A$1,ROW(),20,1000-ROW(),1),ROW(),OFFSET($A$1,ROW(),21,1000-ROW(),1),"Sub"))))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IF($V263&lt;&gt;"Sub","",N($X263)*IF(AND(ISNUMBER($G263),$G263&lt;=IF($S263=MesCiclo,InicioCiclo,$S263+MOD(2-WEEKDAY($S263),7))+6),1,MIN(1,MAX(0,IF(ISNUMBER(OFFSET($A$1,ROW()-1,8)),OFFSET($A$1,ROW()-1,8),0)))))</f>
        <v/>
      </c>
      <c r="AE263" s="62">
        <f>IF($V263&lt;&gt;"Sub","",N($X263)*IF(AND(ISNUMBER($G263),$G263&lt;=IF($S263=MesCiclo,InicioCiclo,$S263+MOD(2-WEEKDAY($S263),7))+13),1,MIN(1,MAX(0,IF(ISNUMBER(OFFSET($A$1,ROW()-1,9)),OFFSET($A$1,ROW()-1,9),IF(ISNUMBER(OFFSET($A$1,ROW()-1,8)),OFFSET($A$1,ROW()-1,8),0))))))</f>
        <v/>
      </c>
      <c r="AF263" s="62">
        <f>IF($V263&lt;&gt;"Sub","",N($X263)*IF(AND(ISNUMBER($G263),$G263&lt;=IF($S263=MesCiclo,InicioCiclo,$S263+MOD(2-WEEKDAY($S263),7))+20),1,MIN(1,MAX(0,IF(ISNUMBER(OFFSET($A$1,ROW()-1,10)),OFFSET($A$1,ROW()-1,10),IF(ISNUMBER(OFFSET($A$1,ROW()-1,9)),OFFSET($A$1,ROW()-1,9),IF(ISNUMBER(OFFSET($A$1,ROW()-1,8)),OFFSET($A$1,ROW()-1,8),0)))))))</f>
        <v/>
      </c>
      <c r="AG263" s="62">
        <f>IF($V263&lt;&gt;"Sub","",N($X263)*IF(AND(ISNUMBER($G263),$G263&lt;=IF($S263=MesCiclo,InicioCiclo,$S263+MOD(2-WEEKDAY($S263),7))+27),1,MIN(1,MAX(0,IF(ISNUMBER(OFFSET($A$1,ROW()-1,11)),OFFSET($A$1,ROW()-1,11),IF(ISNUMBER(OFFSET($A$1,ROW()-1,10)),OFFSET($A$1,ROW()-1,10),IF(ISNUMBER(OFFSET($A$1,ROW()-1,9)),OFFSET($A$1,ROW()-1,9),IF(ISNUMBER(OFFSET($A$1,ROW()-1,8)),OFFSET($A$1,ROW()-1,8),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",IFERROR(MATCH("Riesgo Financiero|"&amp;MID($C263,12,500),rDname_ADM,0),0),"")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IF(N($W264)=0,"",IF(AND($S264=MesCiclo,1&gt;SemanaActual),"",MIN(1,SUMIFS(OFFSET($A$1,ROW(),29,1000-ROW(),1),OFFSET($A$1,ROW(),20,1000-ROW(),1),ROW(),OFFSET($A$1,ROW(),21,1000-ROW(),1),"Sub"))))</f>
        <v/>
      </c>
      <c r="J264" s="60">
        <f>IF(N($W264)=0,"",IF(AND($S264=MesCiclo,2&gt;SemanaActual),"",MIN(1,SUMIFS(OFFSET($A$1,ROW(),30,1000-ROW(),1),OFFSET($A$1,ROW(),20,1000-ROW(),1),ROW(),OFFSET($A$1,ROW(),21,1000-ROW(),1),"Sub"))))</f>
        <v/>
      </c>
      <c r="K264" s="60">
        <f>IF(N($W264)=0,"",IF(AND($S264=MesCiclo,3&gt;SemanaActual),"",MIN(1,SUMIFS(OFFSET($A$1,ROW(),31,1000-ROW(),1),OFFSET($A$1,ROW(),20,1000-ROW(),1),ROW(),OFFSET($A$1,ROW(),21,1000-ROW(),1),"Sub"))))</f>
        <v/>
      </c>
      <c r="L264" s="60">
        <f>IF(N($W264)=0,"",IF(AND($S264=MesCiclo,4&gt;SemanaActual),"",MIN(1,SUMIFS(OFFSET($A$1,ROW(),32,1000-ROW(),1),OFFSET($A$1,ROW(),20,1000-ROW(),1),ROW(),OFFSET($A$1,ROW(),21,1000-ROW(),1),"Sub"))))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IF($V264&lt;&gt;"Sub","",N($X264)*IF(AND(ISNUMBER($G264),$G264&lt;=IF($S264=MesCiclo,InicioCiclo,$S264+MOD(2-WEEKDAY($S264),7))+6),1,MIN(1,MAX(0,IF(ISNUMBER(OFFSET($A$1,ROW()-1,8)),OFFSET($A$1,ROW()-1,8),0)))))</f>
        <v/>
      </c>
      <c r="AE264" s="62">
        <f>IF($V264&lt;&gt;"Sub","",N($X264)*IF(AND(ISNUMBER($G264),$G264&lt;=IF($S264=MesCiclo,InicioCiclo,$S264+MOD(2-WEEKDAY($S264),7))+13),1,MIN(1,MAX(0,IF(ISNUMBER(OFFSET($A$1,ROW()-1,9)),OFFSET($A$1,ROW()-1,9),IF(ISNUMBER(OFFSET($A$1,ROW()-1,8)),OFFSET($A$1,ROW()-1,8),0))))))</f>
        <v/>
      </c>
      <c r="AF264" s="62">
        <f>IF($V264&lt;&gt;"Sub","",N($X264)*IF(AND(ISNUMBER($G264),$G264&lt;=IF($S264=MesCiclo,InicioCiclo,$S264+MOD(2-WEEKDAY($S264),7))+20),1,MIN(1,MAX(0,IF(ISNUMBER(OFFSET($A$1,ROW()-1,10)),OFFSET($A$1,ROW()-1,10),IF(ISNUMBER(OFFSET($A$1,ROW()-1,9)),OFFSET($A$1,ROW()-1,9),IF(ISNUMBER(OFFSET($A$1,ROW()-1,8)),OFFSET($A$1,ROW()-1,8),0)))))))</f>
        <v/>
      </c>
      <c r="AG264" s="62">
        <f>IF($V264&lt;&gt;"Sub","",N($X264)*IF(AND(ISNUMBER($G264),$G264&lt;=IF($S264=MesCiclo,InicioCiclo,$S264+MOD(2-WEEKDAY($S264),7))+27),1,MIN(1,MAX(0,IF(ISNUMBER(OFFSET($A$1,ROW()-1,11)),OFFSET($A$1,ROW()-1,11),IF(ISNUMBER(OFFSET($A$1,ROW()-1,10)),OFFSET($A$1,ROW()-1,10),IF(ISNUMBER(OFFSET($A$1,ROW()-1,9)),OFFSET($A$1,ROW()-1,9),IF(ISNUMBER(OFFSET($A$1,ROW()-1,8)),OFFSET($A$1,ROW()-1,8),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",IFERROR(MATCH("Riesgo Financiero|"&amp;MID($C264,12,500),rDname_ADM,0),0),"")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IF(N($W265)=0,"",IF(AND($S265=MesCiclo,1&gt;SemanaActual),"",MIN(1,SUMIFS(OFFSET($A$1,ROW(),29,1000-ROW(),1),OFFSET($A$1,ROW(),20,1000-ROW(),1),ROW(),OFFSET($A$1,ROW(),21,1000-ROW(),1),"Sub"))))</f>
        <v/>
      </c>
      <c r="J265" s="60">
        <f>IF(N($W265)=0,"",IF(AND($S265=MesCiclo,2&gt;SemanaActual),"",MIN(1,SUMIFS(OFFSET($A$1,ROW(),30,1000-ROW(),1),OFFSET($A$1,ROW(),20,1000-ROW(),1),ROW(),OFFSET($A$1,ROW(),21,1000-ROW(),1),"Sub"))))</f>
        <v/>
      </c>
      <c r="K265" s="60">
        <f>IF(N($W265)=0,"",IF(AND($S265=MesCiclo,3&gt;SemanaActual),"",MIN(1,SUMIFS(OFFSET($A$1,ROW(),31,1000-ROW(),1),OFFSET($A$1,ROW(),20,1000-ROW(),1),ROW(),OFFSET($A$1,ROW(),21,1000-ROW(),1),"Sub"))))</f>
        <v/>
      </c>
      <c r="L265" s="60">
        <f>IF(N($W265)=0,"",IF(AND($S265=MesCiclo,4&gt;SemanaActual),"",MIN(1,SUMIFS(OFFSET($A$1,ROW(),32,1000-ROW(),1),OFFSET($A$1,ROW(),20,1000-ROW(),1),ROW(),OFFSET($A$1,ROW(),21,1000-ROW(),1),"Sub"))))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IF($V265&lt;&gt;"Sub","",N($X265)*IF(AND(ISNUMBER($G265),$G265&lt;=IF($S265=MesCiclo,InicioCiclo,$S265+MOD(2-WEEKDAY($S265),7))+6),1,MIN(1,MAX(0,IF(ISNUMBER(OFFSET($A$1,ROW()-1,8)),OFFSET($A$1,ROW()-1,8),0)))))</f>
        <v/>
      </c>
      <c r="AE265" s="62">
        <f>IF($V265&lt;&gt;"Sub","",N($X265)*IF(AND(ISNUMBER($G265),$G265&lt;=IF($S265=MesCiclo,InicioCiclo,$S265+MOD(2-WEEKDAY($S265),7))+13),1,MIN(1,MAX(0,IF(ISNUMBER(OFFSET($A$1,ROW()-1,9)),OFFSET($A$1,ROW()-1,9),IF(ISNUMBER(OFFSET($A$1,ROW()-1,8)),OFFSET($A$1,ROW()-1,8),0))))))</f>
        <v/>
      </c>
      <c r="AF265" s="62">
        <f>IF($V265&lt;&gt;"Sub","",N($X265)*IF(AND(ISNUMBER($G265),$G265&lt;=IF($S265=MesCiclo,InicioCiclo,$S265+MOD(2-WEEKDAY($S265),7))+20),1,MIN(1,MAX(0,IF(ISNUMBER(OFFSET($A$1,ROW()-1,10)),OFFSET($A$1,ROW()-1,10),IF(ISNUMBER(OFFSET($A$1,ROW()-1,9)),OFFSET($A$1,ROW()-1,9),IF(ISNUMBER(OFFSET($A$1,ROW()-1,8)),OFFSET($A$1,ROW()-1,8),0)))))))</f>
        <v/>
      </c>
      <c r="AG265" s="62">
        <f>IF($V265&lt;&gt;"Sub","",N($X265)*IF(AND(ISNUMBER($G265),$G265&lt;=IF($S265=MesCiclo,InicioCiclo,$S265+MOD(2-WEEKDAY($S265),7))+27),1,MIN(1,MAX(0,IF(ISNUMBER(OFFSET($A$1,ROW()-1,11)),OFFSET($A$1,ROW()-1,11),IF(ISNUMBER(OFFSET($A$1,ROW()-1,10)),OFFSET($A$1,ROW()-1,10),IF(ISNUMBER(OFFSET($A$1,ROW()-1,9)),OFFSET($A$1,ROW()-1,9),IF(ISNUMBER(OFFSET($A$1,ROW()-1,8)),OFFSET($A$1,ROW()-1,8),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",IFERROR(MATCH("Riesgo Financiero|"&amp;MID($C265,12,500),rDname_ADM,0),0),"")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IF(N($W266)=0,"",IF(AND($S266=MesCiclo,1&gt;SemanaActual),"",MIN(1,SUMIFS(OFFSET($A$1,ROW(),29,1000-ROW(),1),OFFSET($A$1,ROW(),20,1000-ROW(),1),ROW(),OFFSET($A$1,ROW(),21,1000-ROW(),1),"Sub"))))</f>
        <v/>
      </c>
      <c r="J266" s="60">
        <f>IF(N($W266)=0,"",IF(AND($S266=MesCiclo,2&gt;SemanaActual),"",MIN(1,SUMIFS(OFFSET($A$1,ROW(),30,1000-ROW(),1),OFFSET($A$1,ROW(),20,1000-ROW(),1),ROW(),OFFSET($A$1,ROW(),21,1000-ROW(),1),"Sub"))))</f>
        <v/>
      </c>
      <c r="K266" s="60">
        <f>IF(N($W266)=0,"",IF(AND($S266=MesCiclo,3&gt;SemanaActual),"",MIN(1,SUMIFS(OFFSET($A$1,ROW(),31,1000-ROW(),1),OFFSET($A$1,ROW(),20,1000-ROW(),1),ROW(),OFFSET($A$1,ROW(),21,1000-ROW(),1),"Sub"))))</f>
        <v/>
      </c>
      <c r="L266" s="60">
        <f>IF(N($W266)=0,"",IF(AND($S266=MesCiclo,4&gt;SemanaActual),"",MIN(1,SUMIFS(OFFSET($A$1,ROW(),32,1000-ROW(),1),OFFSET($A$1,ROW(),20,1000-ROW(),1),ROW(),OFFSET($A$1,ROW(),21,1000-ROW(),1),"Sub"))))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IF($V266&lt;&gt;"Sub","",N($X266)*IF(AND(ISNUMBER($G266),$G266&lt;=IF($S266=MesCiclo,InicioCiclo,$S266+MOD(2-WEEKDAY($S266),7))+6),1,MIN(1,MAX(0,IF(ISNUMBER(OFFSET($A$1,ROW()-1,8)),OFFSET($A$1,ROW()-1,8),0)))))</f>
        <v/>
      </c>
      <c r="AE266" s="62">
        <f>IF($V266&lt;&gt;"Sub","",N($X266)*IF(AND(ISNUMBER($G266),$G266&lt;=IF($S266=MesCiclo,InicioCiclo,$S266+MOD(2-WEEKDAY($S266),7))+13),1,MIN(1,MAX(0,IF(ISNUMBER(OFFSET($A$1,ROW()-1,9)),OFFSET($A$1,ROW()-1,9),IF(ISNUMBER(OFFSET($A$1,ROW()-1,8)),OFFSET($A$1,ROW()-1,8),0))))))</f>
        <v/>
      </c>
      <c r="AF266" s="62">
        <f>IF($V266&lt;&gt;"Sub","",N($X266)*IF(AND(ISNUMBER($G266),$G266&lt;=IF($S266=MesCiclo,InicioCiclo,$S266+MOD(2-WEEKDAY($S266),7))+20),1,MIN(1,MAX(0,IF(ISNUMBER(OFFSET($A$1,ROW()-1,10)),OFFSET($A$1,ROW()-1,10),IF(ISNUMBER(OFFSET($A$1,ROW()-1,9)),OFFSET($A$1,ROW()-1,9),IF(ISNUMBER(OFFSET($A$1,ROW()-1,8)),OFFSET($A$1,ROW()-1,8),0)))))))</f>
        <v/>
      </c>
      <c r="AG266" s="62">
        <f>IF($V266&lt;&gt;"Sub","",N($X266)*IF(AND(ISNUMBER($G266),$G266&lt;=IF($S266=MesCiclo,InicioCiclo,$S266+MOD(2-WEEKDAY($S266),7))+27),1,MIN(1,MAX(0,IF(ISNUMBER(OFFSET($A$1,ROW()-1,11)),OFFSET($A$1,ROW()-1,11),IF(ISNUMBER(OFFSET($A$1,ROW()-1,10)),OFFSET($A$1,ROW()-1,10),IF(ISNUMBER(OFFSET($A$1,ROW()-1,9)),OFFSET($A$1,ROW()-1,9),IF(ISNUMBER(OFFSET($A$1,ROW()-1,8)),OFFSET($A$1,ROW()-1,8),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",IFERROR(MATCH("Riesgo Financiero|"&amp;MID($C266,12,500),rDname_ADM,0),0),"")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IF(N($W267)=0,"",IF(AND($S267=MesCiclo,1&gt;SemanaActual),"",MIN(1,SUMIFS(OFFSET($A$1,ROW(),29,1000-ROW(),1),OFFSET($A$1,ROW(),20,1000-ROW(),1),ROW(),OFFSET($A$1,ROW(),21,1000-ROW(),1),"Sub"))))</f>
        <v/>
      </c>
      <c r="J267" s="60">
        <f>IF(N($W267)=0,"",IF(AND($S267=MesCiclo,2&gt;SemanaActual),"",MIN(1,SUMIFS(OFFSET($A$1,ROW(),30,1000-ROW(),1),OFFSET($A$1,ROW(),20,1000-ROW(),1),ROW(),OFFSET($A$1,ROW(),21,1000-ROW(),1),"Sub"))))</f>
        <v/>
      </c>
      <c r="K267" s="60">
        <f>IF(N($W267)=0,"",IF(AND($S267=MesCiclo,3&gt;SemanaActual),"",MIN(1,SUMIFS(OFFSET($A$1,ROW(),31,1000-ROW(),1),OFFSET($A$1,ROW(),20,1000-ROW(),1),ROW(),OFFSET($A$1,ROW(),21,1000-ROW(),1),"Sub"))))</f>
        <v/>
      </c>
      <c r="L267" s="60">
        <f>IF(N($W267)=0,"",IF(AND($S267=MesCiclo,4&gt;SemanaActual),"",MIN(1,SUMIFS(OFFSET($A$1,ROW(),32,1000-ROW(),1),OFFSET($A$1,ROW(),20,1000-ROW(),1),ROW(),OFFSET($A$1,ROW(),21,1000-ROW(),1),"Sub"))))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IF($V267&lt;&gt;"Sub","",N($X267)*IF(AND(ISNUMBER($G267),$G267&lt;=IF($S267=MesCiclo,InicioCiclo,$S267+MOD(2-WEEKDAY($S267),7))+6),1,MIN(1,MAX(0,IF(ISNUMBER(OFFSET($A$1,ROW()-1,8)),OFFSET($A$1,ROW()-1,8),0)))))</f>
        <v/>
      </c>
      <c r="AE267" s="62">
        <f>IF($V267&lt;&gt;"Sub","",N($X267)*IF(AND(ISNUMBER($G267),$G267&lt;=IF($S267=MesCiclo,InicioCiclo,$S267+MOD(2-WEEKDAY($S267),7))+13),1,MIN(1,MAX(0,IF(ISNUMBER(OFFSET($A$1,ROW()-1,9)),OFFSET($A$1,ROW()-1,9),IF(ISNUMBER(OFFSET($A$1,ROW()-1,8)),OFFSET($A$1,ROW()-1,8),0))))))</f>
        <v/>
      </c>
      <c r="AF267" s="62">
        <f>IF($V267&lt;&gt;"Sub","",N($X267)*IF(AND(ISNUMBER($G267),$G267&lt;=IF($S267=MesCiclo,InicioCiclo,$S267+MOD(2-WEEKDAY($S267),7))+20),1,MIN(1,MAX(0,IF(ISNUMBER(OFFSET($A$1,ROW()-1,10)),OFFSET($A$1,ROW()-1,10),IF(ISNUMBER(OFFSET($A$1,ROW()-1,9)),OFFSET($A$1,ROW()-1,9),IF(ISNUMBER(OFFSET($A$1,ROW()-1,8)),OFFSET($A$1,ROW()-1,8),0)))))))</f>
        <v/>
      </c>
      <c r="AG267" s="62">
        <f>IF($V267&lt;&gt;"Sub","",N($X267)*IF(AND(ISNUMBER($G267),$G267&lt;=IF($S267=MesCiclo,InicioCiclo,$S267+MOD(2-WEEKDAY($S267),7))+27),1,MIN(1,MAX(0,IF(ISNUMBER(OFFSET($A$1,ROW()-1,11)),OFFSET($A$1,ROW()-1,11),IF(ISNUMBER(OFFSET($A$1,ROW()-1,10)),OFFSET($A$1,ROW()-1,10),IF(ISNUMBER(OFFSET($A$1,ROW()-1,9)),OFFSET($A$1,ROW()-1,9),IF(ISNUMBER(OFFSET($A$1,ROW()-1,8)),OFFSET($A$1,ROW()-1,8),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",IFERROR(MATCH("Riesgo Financiero|"&amp;MID($C267,12,500),rDname_ADM,0),0),"")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IF(N($W268)=0,"",IF(AND($S268=MesCiclo,1&gt;SemanaActual),"",MIN(1,SUMIFS(OFFSET($A$1,ROW(),29,1000-ROW(),1),OFFSET($A$1,ROW(),20,1000-ROW(),1),ROW(),OFFSET($A$1,ROW(),21,1000-ROW(),1),"Sub"))))</f>
        <v/>
      </c>
      <c r="J268" s="60">
        <f>IF(N($W268)=0,"",IF(AND($S268=MesCiclo,2&gt;SemanaActual),"",MIN(1,SUMIFS(OFFSET($A$1,ROW(),30,1000-ROW(),1),OFFSET($A$1,ROW(),20,1000-ROW(),1),ROW(),OFFSET($A$1,ROW(),21,1000-ROW(),1),"Sub"))))</f>
        <v/>
      </c>
      <c r="K268" s="60">
        <f>IF(N($W268)=0,"",IF(AND($S268=MesCiclo,3&gt;SemanaActual),"",MIN(1,SUMIFS(OFFSET($A$1,ROW(),31,1000-ROW(),1),OFFSET($A$1,ROW(),20,1000-ROW(),1),ROW(),OFFSET($A$1,ROW(),21,1000-ROW(),1),"Sub"))))</f>
        <v/>
      </c>
      <c r="L268" s="60">
        <f>IF(N($W268)=0,"",IF(AND($S268=MesCiclo,4&gt;SemanaActual),"",MIN(1,SUMIFS(OFFSET($A$1,ROW(),32,1000-ROW(),1),OFFSET($A$1,ROW(),20,1000-ROW(),1),ROW(),OFFSET($A$1,ROW(),21,1000-ROW(),1),"Sub"))))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IF($V268&lt;&gt;"Sub","",N($X268)*IF(AND(ISNUMBER($G268),$G268&lt;=IF($S268=MesCiclo,InicioCiclo,$S268+MOD(2-WEEKDAY($S268),7))+6),1,MIN(1,MAX(0,IF(ISNUMBER(OFFSET($A$1,ROW()-1,8)),OFFSET($A$1,ROW()-1,8),0)))))</f>
        <v/>
      </c>
      <c r="AE268" s="62">
        <f>IF($V268&lt;&gt;"Sub","",N($X268)*IF(AND(ISNUMBER($G268),$G268&lt;=IF($S268=MesCiclo,InicioCiclo,$S268+MOD(2-WEEKDAY($S268),7))+13),1,MIN(1,MAX(0,IF(ISNUMBER(OFFSET($A$1,ROW()-1,9)),OFFSET($A$1,ROW()-1,9),IF(ISNUMBER(OFFSET($A$1,ROW()-1,8)),OFFSET($A$1,ROW()-1,8),0))))))</f>
        <v/>
      </c>
      <c r="AF268" s="62">
        <f>IF($V268&lt;&gt;"Sub","",N($X268)*IF(AND(ISNUMBER($G268),$G268&lt;=IF($S268=MesCiclo,InicioCiclo,$S268+MOD(2-WEEKDAY($S268),7))+20),1,MIN(1,MAX(0,IF(ISNUMBER(OFFSET($A$1,ROW()-1,10)),OFFSET($A$1,ROW()-1,10),IF(ISNUMBER(OFFSET($A$1,ROW()-1,9)),OFFSET($A$1,ROW()-1,9),IF(ISNUMBER(OFFSET($A$1,ROW()-1,8)),OFFSET($A$1,ROW()-1,8),0)))))))</f>
        <v/>
      </c>
      <c r="AG268" s="62">
        <f>IF($V268&lt;&gt;"Sub","",N($X268)*IF(AND(ISNUMBER($G268),$G268&lt;=IF($S268=MesCiclo,InicioCiclo,$S268+MOD(2-WEEKDAY($S268),7))+27),1,MIN(1,MAX(0,IF(ISNUMBER(OFFSET($A$1,ROW()-1,11)),OFFSET($A$1,ROW()-1,11),IF(ISNUMBER(OFFSET($A$1,ROW()-1,10)),OFFSET($A$1,ROW()-1,10),IF(ISNUMBER(OFFSET($A$1,ROW()-1,9)),OFFSET($A$1,ROW()-1,9),IF(ISNUMBER(OFFSET($A$1,ROW()-1,8)),OFFSET($A$1,ROW()-1,8),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",IFERROR(MATCH("Riesgo Financiero|"&amp;MID($C268,12,500),rDname_ADM,0),0),"")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IF(N($W269)=0,"",IF(AND($S269=MesCiclo,1&gt;SemanaActual),"",MIN(1,SUMIFS(OFFSET($A$1,ROW(),29,1000-ROW(),1),OFFSET($A$1,ROW(),20,1000-ROW(),1),ROW(),OFFSET($A$1,ROW(),21,1000-ROW(),1),"Sub"))))</f>
        <v/>
      </c>
      <c r="J269" s="60">
        <f>IF(N($W269)=0,"",IF(AND($S269=MesCiclo,2&gt;SemanaActual),"",MIN(1,SUMIFS(OFFSET($A$1,ROW(),30,1000-ROW(),1),OFFSET($A$1,ROW(),20,1000-ROW(),1),ROW(),OFFSET($A$1,ROW(),21,1000-ROW(),1),"Sub"))))</f>
        <v/>
      </c>
      <c r="K269" s="60">
        <f>IF(N($W269)=0,"",IF(AND($S269=MesCiclo,3&gt;SemanaActual),"",MIN(1,SUMIFS(OFFSET($A$1,ROW(),31,1000-ROW(),1),OFFSET($A$1,ROW(),20,1000-ROW(),1),ROW(),OFFSET($A$1,ROW(),21,1000-ROW(),1),"Sub"))))</f>
        <v/>
      </c>
      <c r="L269" s="60">
        <f>IF(N($W269)=0,"",IF(AND($S269=MesCiclo,4&gt;SemanaActual),"",MIN(1,SUMIFS(OFFSET($A$1,ROW(),32,1000-ROW(),1),OFFSET($A$1,ROW(),20,1000-ROW(),1),ROW(),OFFSET($A$1,ROW(),21,1000-ROW(),1),"Sub"))))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IF($V269&lt;&gt;"Sub","",N($X269)*IF(AND(ISNUMBER($G269),$G269&lt;=IF($S269=MesCiclo,InicioCiclo,$S269+MOD(2-WEEKDAY($S269),7))+6),1,MIN(1,MAX(0,IF(ISNUMBER(OFFSET($A$1,ROW()-1,8)),OFFSET($A$1,ROW()-1,8),0)))))</f>
        <v/>
      </c>
      <c r="AE269" s="62">
        <f>IF($V269&lt;&gt;"Sub","",N($X269)*IF(AND(ISNUMBER($G269),$G269&lt;=IF($S269=MesCiclo,InicioCiclo,$S269+MOD(2-WEEKDAY($S269),7))+13),1,MIN(1,MAX(0,IF(ISNUMBER(OFFSET($A$1,ROW()-1,9)),OFFSET($A$1,ROW()-1,9),IF(ISNUMBER(OFFSET($A$1,ROW()-1,8)),OFFSET($A$1,ROW()-1,8),0))))))</f>
        <v/>
      </c>
      <c r="AF269" s="62">
        <f>IF($V269&lt;&gt;"Sub","",N($X269)*IF(AND(ISNUMBER($G269),$G269&lt;=IF($S269=MesCiclo,InicioCiclo,$S269+MOD(2-WEEKDAY($S269),7))+20),1,MIN(1,MAX(0,IF(ISNUMBER(OFFSET($A$1,ROW()-1,10)),OFFSET($A$1,ROW()-1,10),IF(ISNUMBER(OFFSET($A$1,ROW()-1,9)),OFFSET($A$1,ROW()-1,9),IF(ISNUMBER(OFFSET($A$1,ROW()-1,8)),OFFSET($A$1,ROW()-1,8),0)))))))</f>
        <v/>
      </c>
      <c r="AG269" s="62">
        <f>IF($V269&lt;&gt;"Sub","",N($X269)*IF(AND(ISNUMBER($G269),$G269&lt;=IF($S269=MesCiclo,InicioCiclo,$S269+MOD(2-WEEKDAY($S269),7))+27),1,MIN(1,MAX(0,IF(ISNUMBER(OFFSET($A$1,ROW()-1,11)),OFFSET($A$1,ROW()-1,11),IF(ISNUMBER(OFFSET($A$1,ROW()-1,10)),OFFSET($A$1,ROW()-1,10),IF(ISNUMBER(OFFSET($A$1,ROW()-1,9)),OFFSET($A$1,ROW()-1,9),IF(ISNUMBER(OFFSET($A$1,ROW()-1,8)),OFFSET($A$1,ROW()-1,8),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",IFERROR(MATCH("Riesgo Financiero|"&amp;MID($C269,12,500),rDname_ADM,0),0),"")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IF(N($W270)=0,"",IF(AND($S270=MesCiclo,1&gt;SemanaActual),"",MIN(1,SUMIFS(OFFSET($A$1,ROW(),29,1000-ROW(),1),OFFSET($A$1,ROW(),20,1000-ROW(),1),ROW(),OFFSET($A$1,ROW(),21,1000-ROW(),1),"Sub"))))</f>
        <v/>
      </c>
      <c r="J270" s="60">
        <f>IF(N($W270)=0,"",IF(AND($S270=MesCiclo,2&gt;SemanaActual),"",MIN(1,SUMIFS(OFFSET($A$1,ROW(),30,1000-ROW(),1),OFFSET($A$1,ROW(),20,1000-ROW(),1),ROW(),OFFSET($A$1,ROW(),21,1000-ROW(),1),"Sub"))))</f>
        <v/>
      </c>
      <c r="K270" s="60">
        <f>IF(N($W270)=0,"",IF(AND($S270=MesCiclo,3&gt;SemanaActual),"",MIN(1,SUMIFS(OFFSET($A$1,ROW(),31,1000-ROW(),1),OFFSET($A$1,ROW(),20,1000-ROW(),1),ROW(),OFFSET($A$1,ROW(),21,1000-ROW(),1),"Sub"))))</f>
        <v/>
      </c>
      <c r="L270" s="60">
        <f>IF(N($W270)=0,"",IF(AND($S270=MesCiclo,4&gt;SemanaActual),"",MIN(1,SUMIFS(OFFSET($A$1,ROW(),32,1000-ROW(),1),OFFSET($A$1,ROW(),20,1000-ROW(),1),ROW(),OFFSET($A$1,ROW(),21,1000-ROW(),1),"Sub"))))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IF($V270&lt;&gt;"Sub","",N($X270)*IF(AND(ISNUMBER($G270),$G270&lt;=IF($S270=MesCiclo,InicioCiclo,$S270+MOD(2-WEEKDAY($S270),7))+6),1,MIN(1,MAX(0,IF(ISNUMBER(OFFSET($A$1,ROW()-1,8)),OFFSET($A$1,ROW()-1,8),0)))))</f>
        <v/>
      </c>
      <c r="AE270" s="62">
        <f>IF($V270&lt;&gt;"Sub","",N($X270)*IF(AND(ISNUMBER($G270),$G270&lt;=IF($S270=MesCiclo,InicioCiclo,$S270+MOD(2-WEEKDAY($S270),7))+13),1,MIN(1,MAX(0,IF(ISNUMBER(OFFSET($A$1,ROW()-1,9)),OFFSET($A$1,ROW()-1,9),IF(ISNUMBER(OFFSET($A$1,ROW()-1,8)),OFFSET($A$1,ROW()-1,8),0))))))</f>
        <v/>
      </c>
      <c r="AF270" s="62">
        <f>IF($V270&lt;&gt;"Sub","",N($X270)*IF(AND(ISNUMBER($G270),$G270&lt;=IF($S270=MesCiclo,InicioCiclo,$S270+MOD(2-WEEKDAY($S270),7))+20),1,MIN(1,MAX(0,IF(ISNUMBER(OFFSET($A$1,ROW()-1,10)),OFFSET($A$1,ROW()-1,10),IF(ISNUMBER(OFFSET($A$1,ROW()-1,9)),OFFSET($A$1,ROW()-1,9),IF(ISNUMBER(OFFSET($A$1,ROW()-1,8)),OFFSET($A$1,ROW()-1,8),0)))))))</f>
        <v/>
      </c>
      <c r="AG270" s="62">
        <f>IF($V270&lt;&gt;"Sub","",N($X270)*IF(AND(ISNUMBER($G270),$G270&lt;=IF($S270=MesCiclo,InicioCiclo,$S270+MOD(2-WEEKDAY($S270),7))+27),1,MIN(1,MAX(0,IF(ISNUMBER(OFFSET($A$1,ROW()-1,11)),OFFSET($A$1,ROW()-1,11),IF(ISNUMBER(OFFSET($A$1,ROW()-1,10)),OFFSET($A$1,ROW()-1,10),IF(ISNUMBER(OFFSET($A$1,ROW()-1,9)),OFFSET($A$1,ROW()-1,9),IF(ISNUMBER(OFFSET($A$1,ROW()-1,8)),OFFSET($A$1,ROW()-1,8),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",IFERROR(MATCH("Riesgo Financiero|"&amp;MID($C270,12,500),rDname_ADM,0),0),"")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IF(N($W271)=0,"",IF(AND($S271=MesCiclo,1&gt;SemanaActual),"",MIN(1,SUMIFS(OFFSET($A$1,ROW(),29,1000-ROW(),1),OFFSET($A$1,ROW(),20,1000-ROW(),1),ROW(),OFFSET($A$1,ROW(),21,1000-ROW(),1),"Sub"))))</f>
        <v/>
      </c>
      <c r="J271" s="60">
        <f>IF(N($W271)=0,"",IF(AND($S271=MesCiclo,2&gt;SemanaActual),"",MIN(1,SUMIFS(OFFSET($A$1,ROW(),30,1000-ROW(),1),OFFSET($A$1,ROW(),20,1000-ROW(),1),ROW(),OFFSET($A$1,ROW(),21,1000-ROW(),1),"Sub"))))</f>
        <v/>
      </c>
      <c r="K271" s="60">
        <f>IF(N($W271)=0,"",IF(AND($S271=MesCiclo,3&gt;SemanaActual),"",MIN(1,SUMIFS(OFFSET($A$1,ROW(),31,1000-ROW(),1),OFFSET($A$1,ROW(),20,1000-ROW(),1),ROW(),OFFSET($A$1,ROW(),21,1000-ROW(),1),"Sub"))))</f>
        <v/>
      </c>
      <c r="L271" s="60">
        <f>IF(N($W271)=0,"",IF(AND($S271=MesCiclo,4&gt;SemanaActual),"",MIN(1,SUMIFS(OFFSET($A$1,ROW(),32,1000-ROW(),1),OFFSET($A$1,ROW(),20,1000-ROW(),1),ROW(),OFFSET($A$1,ROW(),21,1000-ROW(),1),"Sub"))))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IF($V271&lt;&gt;"Sub","",N($X271)*IF(AND(ISNUMBER($G271),$G271&lt;=IF($S271=MesCiclo,InicioCiclo,$S271+MOD(2-WEEKDAY($S271),7))+6),1,MIN(1,MAX(0,IF(ISNUMBER(OFFSET($A$1,ROW()-1,8)),OFFSET($A$1,ROW()-1,8),0)))))</f>
        <v/>
      </c>
      <c r="AE271" s="62">
        <f>IF($V271&lt;&gt;"Sub","",N($X271)*IF(AND(ISNUMBER($G271),$G271&lt;=IF($S271=MesCiclo,InicioCiclo,$S271+MOD(2-WEEKDAY($S271),7))+13),1,MIN(1,MAX(0,IF(ISNUMBER(OFFSET($A$1,ROW()-1,9)),OFFSET($A$1,ROW()-1,9),IF(ISNUMBER(OFFSET($A$1,ROW()-1,8)),OFFSET($A$1,ROW()-1,8),0))))))</f>
        <v/>
      </c>
      <c r="AF271" s="62">
        <f>IF($V271&lt;&gt;"Sub","",N($X271)*IF(AND(ISNUMBER($G271),$G271&lt;=IF($S271=MesCiclo,InicioCiclo,$S271+MOD(2-WEEKDAY($S271),7))+20),1,MIN(1,MAX(0,IF(ISNUMBER(OFFSET($A$1,ROW()-1,10)),OFFSET($A$1,ROW()-1,10),IF(ISNUMBER(OFFSET($A$1,ROW()-1,9)),OFFSET($A$1,ROW()-1,9),IF(ISNUMBER(OFFSET($A$1,ROW()-1,8)),OFFSET($A$1,ROW()-1,8),0)))))))</f>
        <v/>
      </c>
      <c r="AG271" s="62">
        <f>IF($V271&lt;&gt;"Sub","",N($X271)*IF(AND(ISNUMBER($G271),$G271&lt;=IF($S271=MesCiclo,InicioCiclo,$S271+MOD(2-WEEKDAY($S271),7))+27),1,MIN(1,MAX(0,IF(ISNUMBER(OFFSET($A$1,ROW()-1,11)),OFFSET($A$1,ROW()-1,11),IF(ISNUMBER(OFFSET($A$1,ROW()-1,10)),OFFSET($A$1,ROW()-1,10),IF(ISNUMBER(OFFSET($A$1,ROW()-1,9)),OFFSET($A$1,ROW()-1,9),IF(ISNUMBER(OFFSET($A$1,ROW()-1,8)),OFFSET($A$1,ROW()-1,8),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",IFERROR(MATCH("Riesgo Financiero|"&amp;MID($C271,12,500),rDname_ADM,0),0),"")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IF(N($W272)=0,"",IF(AND($S272=MesCiclo,1&gt;SemanaActual),"",MIN(1,SUMIFS(OFFSET($A$1,ROW(),29,1000-ROW(),1),OFFSET($A$1,ROW(),20,1000-ROW(),1),ROW(),OFFSET($A$1,ROW(),21,1000-ROW(),1),"Sub"))))</f>
        <v/>
      </c>
      <c r="J272" s="60">
        <f>IF(N($W272)=0,"",IF(AND($S272=MesCiclo,2&gt;SemanaActual),"",MIN(1,SUMIFS(OFFSET($A$1,ROW(),30,1000-ROW(),1),OFFSET($A$1,ROW(),20,1000-ROW(),1),ROW(),OFFSET($A$1,ROW(),21,1000-ROW(),1),"Sub"))))</f>
        <v/>
      </c>
      <c r="K272" s="60">
        <f>IF(N($W272)=0,"",IF(AND($S272=MesCiclo,3&gt;SemanaActual),"",MIN(1,SUMIFS(OFFSET($A$1,ROW(),31,1000-ROW(),1),OFFSET($A$1,ROW(),20,1000-ROW(),1),ROW(),OFFSET($A$1,ROW(),21,1000-ROW(),1),"Sub"))))</f>
        <v/>
      </c>
      <c r="L272" s="60">
        <f>IF(N($W272)=0,"",IF(AND($S272=MesCiclo,4&gt;SemanaActual),"",MIN(1,SUMIFS(OFFSET($A$1,ROW(),32,1000-ROW(),1),OFFSET($A$1,ROW(),20,1000-ROW(),1),ROW(),OFFSET($A$1,ROW(),21,1000-ROW(),1),"Sub"))))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IF($V272&lt;&gt;"Sub","",N($X272)*IF(AND(ISNUMBER($G272),$G272&lt;=IF($S272=MesCiclo,InicioCiclo,$S272+MOD(2-WEEKDAY($S272),7))+6),1,MIN(1,MAX(0,IF(ISNUMBER(OFFSET($A$1,ROW()-1,8)),OFFSET($A$1,ROW()-1,8),0)))))</f>
        <v/>
      </c>
      <c r="AE272" s="62">
        <f>IF($V272&lt;&gt;"Sub","",N($X272)*IF(AND(ISNUMBER($G272),$G272&lt;=IF($S272=MesCiclo,InicioCiclo,$S272+MOD(2-WEEKDAY($S272),7))+13),1,MIN(1,MAX(0,IF(ISNUMBER(OFFSET($A$1,ROW()-1,9)),OFFSET($A$1,ROW()-1,9),IF(ISNUMBER(OFFSET($A$1,ROW()-1,8)),OFFSET($A$1,ROW()-1,8),0))))))</f>
        <v/>
      </c>
      <c r="AF272" s="62">
        <f>IF($V272&lt;&gt;"Sub","",N($X272)*IF(AND(ISNUMBER($G272),$G272&lt;=IF($S272=MesCiclo,InicioCiclo,$S272+MOD(2-WEEKDAY($S272),7))+20),1,MIN(1,MAX(0,IF(ISNUMBER(OFFSET($A$1,ROW()-1,10)),OFFSET($A$1,ROW()-1,10),IF(ISNUMBER(OFFSET($A$1,ROW()-1,9)),OFFSET($A$1,ROW()-1,9),IF(ISNUMBER(OFFSET($A$1,ROW()-1,8)),OFFSET($A$1,ROW()-1,8),0)))))))</f>
        <v/>
      </c>
      <c r="AG272" s="62">
        <f>IF($V272&lt;&gt;"Sub","",N($X272)*IF(AND(ISNUMBER($G272),$G272&lt;=IF($S272=MesCiclo,InicioCiclo,$S272+MOD(2-WEEKDAY($S272),7))+27),1,MIN(1,MAX(0,IF(ISNUMBER(OFFSET($A$1,ROW()-1,11)),OFFSET($A$1,ROW()-1,11),IF(ISNUMBER(OFFSET($A$1,ROW()-1,10)),OFFSET($A$1,ROW()-1,10),IF(ISNUMBER(OFFSET($A$1,ROW()-1,9)),OFFSET($A$1,ROW()-1,9),IF(ISNUMBER(OFFSET($A$1,ROW()-1,8)),OFFSET($A$1,ROW()-1,8),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",IFERROR(MATCH("Riesgo Financiero|"&amp;MID($C272,12,500),rDname_ADM,0),0),"")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IF(N($W273)=0,"",IF(AND($S273=MesCiclo,1&gt;SemanaActual),"",MIN(1,SUMIFS(OFFSET($A$1,ROW(),29,1000-ROW(),1),OFFSET($A$1,ROW(),20,1000-ROW(),1),ROW(),OFFSET($A$1,ROW(),21,1000-ROW(),1),"Sub"))))</f>
        <v/>
      </c>
      <c r="J273" s="60">
        <f>IF(N($W273)=0,"",IF(AND($S273=MesCiclo,2&gt;SemanaActual),"",MIN(1,SUMIFS(OFFSET($A$1,ROW(),30,1000-ROW(),1),OFFSET($A$1,ROW(),20,1000-ROW(),1),ROW(),OFFSET($A$1,ROW(),21,1000-ROW(),1),"Sub"))))</f>
        <v/>
      </c>
      <c r="K273" s="60">
        <f>IF(N($W273)=0,"",IF(AND($S273=MesCiclo,3&gt;SemanaActual),"",MIN(1,SUMIFS(OFFSET($A$1,ROW(),31,1000-ROW(),1),OFFSET($A$1,ROW(),20,1000-ROW(),1),ROW(),OFFSET($A$1,ROW(),21,1000-ROW(),1),"Sub"))))</f>
        <v/>
      </c>
      <c r="L273" s="60">
        <f>IF(N($W273)=0,"",IF(AND($S273=MesCiclo,4&gt;SemanaActual),"",MIN(1,SUMIFS(OFFSET($A$1,ROW(),32,1000-ROW(),1),OFFSET($A$1,ROW(),20,1000-ROW(),1),ROW(),OFFSET($A$1,ROW(),21,1000-ROW(),1),"Sub"))))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IF($V273&lt;&gt;"Sub","",N($X273)*IF(AND(ISNUMBER($G273),$G273&lt;=IF($S273=MesCiclo,InicioCiclo,$S273+MOD(2-WEEKDAY($S273),7))+6),1,MIN(1,MAX(0,IF(ISNUMBER(OFFSET($A$1,ROW()-1,8)),OFFSET($A$1,ROW()-1,8),0)))))</f>
        <v/>
      </c>
      <c r="AE273" s="62">
        <f>IF($V273&lt;&gt;"Sub","",N($X273)*IF(AND(ISNUMBER($G273),$G273&lt;=IF($S273=MesCiclo,InicioCiclo,$S273+MOD(2-WEEKDAY($S273),7))+13),1,MIN(1,MAX(0,IF(ISNUMBER(OFFSET($A$1,ROW()-1,9)),OFFSET($A$1,ROW()-1,9),IF(ISNUMBER(OFFSET($A$1,ROW()-1,8)),OFFSET($A$1,ROW()-1,8),0))))))</f>
        <v/>
      </c>
      <c r="AF273" s="62">
        <f>IF($V273&lt;&gt;"Sub","",N($X273)*IF(AND(ISNUMBER($G273),$G273&lt;=IF($S273=MesCiclo,InicioCiclo,$S273+MOD(2-WEEKDAY($S273),7))+20),1,MIN(1,MAX(0,IF(ISNUMBER(OFFSET($A$1,ROW()-1,10)),OFFSET($A$1,ROW()-1,10),IF(ISNUMBER(OFFSET($A$1,ROW()-1,9)),OFFSET($A$1,ROW()-1,9),IF(ISNUMBER(OFFSET($A$1,ROW()-1,8)),OFFSET($A$1,ROW()-1,8),0)))))))</f>
        <v/>
      </c>
      <c r="AG273" s="62">
        <f>IF($V273&lt;&gt;"Sub","",N($X273)*IF(AND(ISNUMBER($G273),$G273&lt;=IF($S273=MesCiclo,InicioCiclo,$S273+MOD(2-WEEKDAY($S273),7))+27),1,MIN(1,MAX(0,IF(ISNUMBER(OFFSET($A$1,ROW()-1,11)),OFFSET($A$1,ROW()-1,11),IF(ISNUMBER(OFFSET($A$1,ROW()-1,10)),OFFSET($A$1,ROW()-1,10),IF(ISNUMBER(OFFSET($A$1,ROW()-1,9)),OFFSET($A$1,ROW()-1,9),IF(ISNUMBER(OFFSET($A$1,ROW()-1,8)),OFFSET($A$1,ROW()-1,8),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",IFERROR(MATCH("Riesgo Financiero|"&amp;MID($C273,12,500),rDname_ADM,0),0),"")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IF(N($W274)=0,"",IF(AND($S274=MesCiclo,1&gt;SemanaActual),"",MIN(1,SUMIFS(OFFSET($A$1,ROW(),29,1000-ROW(),1),OFFSET($A$1,ROW(),20,1000-ROW(),1),ROW(),OFFSET($A$1,ROW(),21,1000-ROW(),1),"Sub"))))</f>
        <v/>
      </c>
      <c r="J274" s="60">
        <f>IF(N($W274)=0,"",IF(AND($S274=MesCiclo,2&gt;SemanaActual),"",MIN(1,SUMIFS(OFFSET($A$1,ROW(),30,1000-ROW(),1),OFFSET($A$1,ROW(),20,1000-ROW(),1),ROW(),OFFSET($A$1,ROW(),21,1000-ROW(),1),"Sub"))))</f>
        <v/>
      </c>
      <c r="K274" s="60">
        <f>IF(N($W274)=0,"",IF(AND($S274=MesCiclo,3&gt;SemanaActual),"",MIN(1,SUMIFS(OFFSET($A$1,ROW(),31,1000-ROW(),1),OFFSET($A$1,ROW(),20,1000-ROW(),1),ROW(),OFFSET($A$1,ROW(),21,1000-ROW(),1),"Sub"))))</f>
        <v/>
      </c>
      <c r="L274" s="60">
        <f>IF(N($W274)=0,"",IF(AND($S274=MesCiclo,4&gt;SemanaActual),"",MIN(1,SUMIFS(OFFSET($A$1,ROW(),32,1000-ROW(),1),OFFSET($A$1,ROW(),20,1000-ROW(),1),ROW(),OFFSET($A$1,ROW(),21,1000-ROW(),1),"Sub"))))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IF($V274&lt;&gt;"Sub","",N($X274)*IF(AND(ISNUMBER($G274),$G274&lt;=IF($S274=MesCiclo,InicioCiclo,$S274+MOD(2-WEEKDAY($S274),7))+6),1,MIN(1,MAX(0,IF(ISNUMBER(OFFSET($A$1,ROW()-1,8)),OFFSET($A$1,ROW()-1,8),0)))))</f>
        <v/>
      </c>
      <c r="AE274" s="62">
        <f>IF($V274&lt;&gt;"Sub","",N($X274)*IF(AND(ISNUMBER($G274),$G274&lt;=IF($S274=MesCiclo,InicioCiclo,$S274+MOD(2-WEEKDAY($S274),7))+13),1,MIN(1,MAX(0,IF(ISNUMBER(OFFSET($A$1,ROW()-1,9)),OFFSET($A$1,ROW()-1,9),IF(ISNUMBER(OFFSET($A$1,ROW()-1,8)),OFFSET($A$1,ROW()-1,8),0))))))</f>
        <v/>
      </c>
      <c r="AF274" s="62">
        <f>IF($V274&lt;&gt;"Sub","",N($X274)*IF(AND(ISNUMBER($G274),$G274&lt;=IF($S274=MesCiclo,InicioCiclo,$S274+MOD(2-WEEKDAY($S274),7))+20),1,MIN(1,MAX(0,IF(ISNUMBER(OFFSET($A$1,ROW()-1,10)),OFFSET($A$1,ROW()-1,10),IF(ISNUMBER(OFFSET($A$1,ROW()-1,9)),OFFSET($A$1,ROW()-1,9),IF(ISNUMBER(OFFSET($A$1,ROW()-1,8)),OFFSET($A$1,ROW()-1,8),0)))))))</f>
        <v/>
      </c>
      <c r="AG274" s="62">
        <f>IF($V274&lt;&gt;"Sub","",N($X274)*IF(AND(ISNUMBER($G274),$G274&lt;=IF($S274=MesCiclo,InicioCiclo,$S274+MOD(2-WEEKDAY($S274),7))+27),1,MIN(1,MAX(0,IF(ISNUMBER(OFFSET($A$1,ROW()-1,11)),OFFSET($A$1,ROW()-1,11),IF(ISNUMBER(OFFSET($A$1,ROW()-1,10)),OFFSET($A$1,ROW()-1,10),IF(ISNUMBER(OFFSET($A$1,ROW()-1,9)),OFFSET($A$1,ROW()-1,9),IF(ISNUMBER(OFFSET($A$1,ROW()-1,8)),OFFSET($A$1,ROW()-1,8),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",IFERROR(MATCH("Riesgo Financiero|"&amp;MID($C274,12,500),rDname_ADM,0),0),"")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IF(N($W275)=0,"",IF(AND($S275=MesCiclo,1&gt;SemanaActual),"",MIN(1,SUMIFS(OFFSET($A$1,ROW(),29,1000-ROW(),1),OFFSET($A$1,ROW(),20,1000-ROW(),1),ROW(),OFFSET($A$1,ROW(),21,1000-ROW(),1),"Sub"))))</f>
        <v/>
      </c>
      <c r="J275" s="60">
        <f>IF(N($W275)=0,"",IF(AND($S275=MesCiclo,2&gt;SemanaActual),"",MIN(1,SUMIFS(OFFSET($A$1,ROW(),30,1000-ROW(),1),OFFSET($A$1,ROW(),20,1000-ROW(),1),ROW(),OFFSET($A$1,ROW(),21,1000-ROW(),1),"Sub"))))</f>
        <v/>
      </c>
      <c r="K275" s="60">
        <f>IF(N($W275)=0,"",IF(AND($S275=MesCiclo,3&gt;SemanaActual),"",MIN(1,SUMIFS(OFFSET($A$1,ROW(),31,1000-ROW(),1),OFFSET($A$1,ROW(),20,1000-ROW(),1),ROW(),OFFSET($A$1,ROW(),21,1000-ROW(),1),"Sub"))))</f>
        <v/>
      </c>
      <c r="L275" s="60">
        <f>IF(N($W275)=0,"",IF(AND($S275=MesCiclo,4&gt;SemanaActual),"",MIN(1,SUMIFS(OFFSET($A$1,ROW(),32,1000-ROW(),1),OFFSET($A$1,ROW(),20,1000-ROW(),1),ROW(),OFFSET($A$1,ROW(),21,1000-ROW(),1),"Sub"))))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IF($V275&lt;&gt;"Sub","",N($X275)*IF(AND(ISNUMBER($G275),$G275&lt;=IF($S275=MesCiclo,InicioCiclo,$S275+MOD(2-WEEKDAY($S275),7))+6),1,MIN(1,MAX(0,IF(ISNUMBER(OFFSET($A$1,ROW()-1,8)),OFFSET($A$1,ROW()-1,8),0)))))</f>
        <v/>
      </c>
      <c r="AE275" s="62">
        <f>IF($V275&lt;&gt;"Sub","",N($X275)*IF(AND(ISNUMBER($G275),$G275&lt;=IF($S275=MesCiclo,InicioCiclo,$S275+MOD(2-WEEKDAY($S275),7))+13),1,MIN(1,MAX(0,IF(ISNUMBER(OFFSET($A$1,ROW()-1,9)),OFFSET($A$1,ROW()-1,9),IF(ISNUMBER(OFFSET($A$1,ROW()-1,8)),OFFSET($A$1,ROW()-1,8),0))))))</f>
        <v/>
      </c>
      <c r="AF275" s="62">
        <f>IF($V275&lt;&gt;"Sub","",N($X275)*IF(AND(ISNUMBER($G275),$G275&lt;=IF($S275=MesCiclo,InicioCiclo,$S275+MOD(2-WEEKDAY($S275),7))+20),1,MIN(1,MAX(0,IF(ISNUMBER(OFFSET($A$1,ROW()-1,10)),OFFSET($A$1,ROW()-1,10),IF(ISNUMBER(OFFSET($A$1,ROW()-1,9)),OFFSET($A$1,ROW()-1,9),IF(ISNUMBER(OFFSET($A$1,ROW()-1,8)),OFFSET($A$1,ROW()-1,8),0)))))))</f>
        <v/>
      </c>
      <c r="AG275" s="62">
        <f>IF($V275&lt;&gt;"Sub","",N($X275)*IF(AND(ISNUMBER($G275),$G275&lt;=IF($S275=MesCiclo,InicioCiclo,$S275+MOD(2-WEEKDAY($S275),7))+27),1,MIN(1,MAX(0,IF(ISNUMBER(OFFSET($A$1,ROW()-1,11)),OFFSET($A$1,ROW()-1,11),IF(ISNUMBER(OFFSET($A$1,ROW()-1,10)),OFFSET($A$1,ROW()-1,10),IF(ISNUMBER(OFFSET($A$1,ROW()-1,9)),OFFSET($A$1,ROW()-1,9),IF(ISNUMBER(OFFSET($A$1,ROW()-1,8)),OFFSET($A$1,ROW()-1,8),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",IFERROR(MATCH("Riesgo Financiero|"&amp;MID($C275,12,500),rDname_ADM,0),0),"")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IF(N($W276)=0,"",IF(AND($S276=MesCiclo,1&gt;SemanaActual),"",MIN(1,SUMIFS(OFFSET($A$1,ROW(),29,1000-ROW(),1),OFFSET($A$1,ROW(),20,1000-ROW(),1),ROW(),OFFSET($A$1,ROW(),21,1000-ROW(),1),"Sub"))))</f>
        <v/>
      </c>
      <c r="J276" s="60">
        <f>IF(N($W276)=0,"",IF(AND($S276=MesCiclo,2&gt;SemanaActual),"",MIN(1,SUMIFS(OFFSET($A$1,ROW(),30,1000-ROW(),1),OFFSET($A$1,ROW(),20,1000-ROW(),1),ROW(),OFFSET($A$1,ROW(),21,1000-ROW(),1),"Sub"))))</f>
        <v/>
      </c>
      <c r="K276" s="60">
        <f>IF(N($W276)=0,"",IF(AND($S276=MesCiclo,3&gt;SemanaActual),"",MIN(1,SUMIFS(OFFSET($A$1,ROW(),31,1000-ROW(),1),OFFSET($A$1,ROW(),20,1000-ROW(),1),ROW(),OFFSET($A$1,ROW(),21,1000-ROW(),1),"Sub"))))</f>
        <v/>
      </c>
      <c r="L276" s="60">
        <f>IF(N($W276)=0,"",IF(AND($S276=MesCiclo,4&gt;SemanaActual),"",MIN(1,SUMIFS(OFFSET($A$1,ROW(),32,1000-ROW(),1),OFFSET($A$1,ROW(),20,1000-ROW(),1),ROW(),OFFSET($A$1,ROW(),21,1000-ROW(),1),"Sub"))))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IF($V276&lt;&gt;"Sub","",N($X276)*IF(AND(ISNUMBER($G276),$G276&lt;=IF($S276=MesCiclo,InicioCiclo,$S276+MOD(2-WEEKDAY($S276),7))+6),1,MIN(1,MAX(0,IF(ISNUMBER(OFFSET($A$1,ROW()-1,8)),OFFSET($A$1,ROW()-1,8),0)))))</f>
        <v/>
      </c>
      <c r="AE276" s="62">
        <f>IF($V276&lt;&gt;"Sub","",N($X276)*IF(AND(ISNUMBER($G276),$G276&lt;=IF($S276=MesCiclo,InicioCiclo,$S276+MOD(2-WEEKDAY($S276),7))+13),1,MIN(1,MAX(0,IF(ISNUMBER(OFFSET($A$1,ROW()-1,9)),OFFSET($A$1,ROW()-1,9),IF(ISNUMBER(OFFSET($A$1,ROW()-1,8)),OFFSET($A$1,ROW()-1,8),0))))))</f>
        <v/>
      </c>
      <c r="AF276" s="62">
        <f>IF($V276&lt;&gt;"Sub","",N($X276)*IF(AND(ISNUMBER($G276),$G276&lt;=IF($S276=MesCiclo,InicioCiclo,$S276+MOD(2-WEEKDAY($S276),7))+20),1,MIN(1,MAX(0,IF(ISNUMBER(OFFSET($A$1,ROW()-1,10)),OFFSET($A$1,ROW()-1,10),IF(ISNUMBER(OFFSET($A$1,ROW()-1,9)),OFFSET($A$1,ROW()-1,9),IF(ISNUMBER(OFFSET($A$1,ROW()-1,8)),OFFSET($A$1,ROW()-1,8),0)))))))</f>
        <v/>
      </c>
      <c r="AG276" s="62">
        <f>IF($V276&lt;&gt;"Sub","",N($X276)*IF(AND(ISNUMBER($G276),$G276&lt;=IF($S276=MesCiclo,InicioCiclo,$S276+MOD(2-WEEKDAY($S276),7))+27),1,MIN(1,MAX(0,IF(ISNUMBER(OFFSET($A$1,ROW()-1,11)),OFFSET($A$1,ROW()-1,11),IF(ISNUMBER(OFFSET($A$1,ROW()-1,10)),OFFSET($A$1,ROW()-1,10),IF(ISNUMBER(OFFSET($A$1,ROW()-1,9)),OFFSET($A$1,ROW()-1,9),IF(ISNUMBER(OFFSET($A$1,ROW()-1,8)),OFFSET($A$1,ROW()-1,8),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",IFERROR(MATCH("Riesgo Financiero|"&amp;MID($C276,12,500),rDname_ADM,0),0),"")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IF(N($W277)=0,"",IF(AND($S277=MesCiclo,1&gt;SemanaActual),"",MIN(1,SUMIFS(OFFSET($A$1,ROW(),29,1000-ROW(),1),OFFSET($A$1,ROW(),20,1000-ROW(),1),ROW(),OFFSET($A$1,ROW(),21,1000-ROW(),1),"Sub"))))</f>
        <v/>
      </c>
      <c r="J277" s="60">
        <f>IF(N($W277)=0,"",IF(AND($S277=MesCiclo,2&gt;SemanaActual),"",MIN(1,SUMIFS(OFFSET($A$1,ROW(),30,1000-ROW(),1),OFFSET($A$1,ROW(),20,1000-ROW(),1),ROW(),OFFSET($A$1,ROW(),21,1000-ROW(),1),"Sub"))))</f>
        <v/>
      </c>
      <c r="K277" s="60">
        <f>IF(N($W277)=0,"",IF(AND($S277=MesCiclo,3&gt;SemanaActual),"",MIN(1,SUMIFS(OFFSET($A$1,ROW(),31,1000-ROW(),1),OFFSET($A$1,ROW(),20,1000-ROW(),1),ROW(),OFFSET($A$1,ROW(),21,1000-ROW(),1),"Sub"))))</f>
        <v/>
      </c>
      <c r="L277" s="60">
        <f>IF(N($W277)=0,"",IF(AND($S277=MesCiclo,4&gt;SemanaActual),"",MIN(1,SUMIFS(OFFSET($A$1,ROW(),32,1000-ROW(),1),OFFSET($A$1,ROW(),20,1000-ROW(),1),ROW(),OFFSET($A$1,ROW(),21,1000-ROW(),1),"Sub"))))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IF($V277&lt;&gt;"Sub","",N($X277)*IF(AND(ISNUMBER($G277),$G277&lt;=IF($S277=MesCiclo,InicioCiclo,$S277+MOD(2-WEEKDAY($S277),7))+6),1,MIN(1,MAX(0,IF(ISNUMBER(OFFSET($A$1,ROW()-1,8)),OFFSET($A$1,ROW()-1,8),0)))))</f>
        <v/>
      </c>
      <c r="AE277" s="62">
        <f>IF($V277&lt;&gt;"Sub","",N($X277)*IF(AND(ISNUMBER($G277),$G277&lt;=IF($S277=MesCiclo,InicioCiclo,$S277+MOD(2-WEEKDAY($S277),7))+13),1,MIN(1,MAX(0,IF(ISNUMBER(OFFSET($A$1,ROW()-1,9)),OFFSET($A$1,ROW()-1,9),IF(ISNUMBER(OFFSET($A$1,ROW()-1,8)),OFFSET($A$1,ROW()-1,8),0))))))</f>
        <v/>
      </c>
      <c r="AF277" s="62">
        <f>IF($V277&lt;&gt;"Sub","",N($X277)*IF(AND(ISNUMBER($G277),$G277&lt;=IF($S277=MesCiclo,InicioCiclo,$S277+MOD(2-WEEKDAY($S277),7))+20),1,MIN(1,MAX(0,IF(ISNUMBER(OFFSET($A$1,ROW()-1,10)),OFFSET($A$1,ROW()-1,10),IF(ISNUMBER(OFFSET($A$1,ROW()-1,9)),OFFSET($A$1,ROW()-1,9),IF(ISNUMBER(OFFSET($A$1,ROW()-1,8)),OFFSET($A$1,ROW()-1,8),0)))))))</f>
        <v/>
      </c>
      <c r="AG277" s="62">
        <f>IF($V277&lt;&gt;"Sub","",N($X277)*IF(AND(ISNUMBER($G277),$G277&lt;=IF($S277=MesCiclo,InicioCiclo,$S277+MOD(2-WEEKDAY($S277),7))+27),1,MIN(1,MAX(0,IF(ISNUMBER(OFFSET($A$1,ROW()-1,11)),OFFSET($A$1,ROW()-1,11),IF(ISNUMBER(OFFSET($A$1,ROW()-1,10)),OFFSET($A$1,ROW()-1,10),IF(ISNUMBER(OFFSET($A$1,ROW()-1,9)),OFFSET($A$1,ROW()-1,9),IF(ISNUMBER(OFFSET($A$1,ROW()-1,8)),OFFSET($A$1,ROW()-1,8),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",IFERROR(MATCH("Riesgo Financiero|"&amp;MID($C277,12,500),rDname_ADM,0),0),"")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IF(N($W278)=0,"",IF(AND($S278=MesCiclo,1&gt;SemanaActual),"",MIN(1,SUMIFS(OFFSET($A$1,ROW(),29,1000-ROW(),1),OFFSET($A$1,ROW(),20,1000-ROW(),1),ROW(),OFFSET($A$1,ROW(),21,1000-ROW(),1),"Sub"))))</f>
        <v/>
      </c>
      <c r="J278" s="60">
        <f>IF(N($W278)=0,"",IF(AND($S278=MesCiclo,2&gt;SemanaActual),"",MIN(1,SUMIFS(OFFSET($A$1,ROW(),30,1000-ROW(),1),OFFSET($A$1,ROW(),20,1000-ROW(),1),ROW(),OFFSET($A$1,ROW(),21,1000-ROW(),1),"Sub"))))</f>
        <v/>
      </c>
      <c r="K278" s="60">
        <f>IF(N($W278)=0,"",IF(AND($S278=MesCiclo,3&gt;SemanaActual),"",MIN(1,SUMIFS(OFFSET($A$1,ROW(),31,1000-ROW(),1),OFFSET($A$1,ROW(),20,1000-ROW(),1),ROW(),OFFSET($A$1,ROW(),21,1000-ROW(),1),"Sub"))))</f>
        <v/>
      </c>
      <c r="L278" s="60">
        <f>IF(N($W278)=0,"",IF(AND($S278=MesCiclo,4&gt;SemanaActual),"",MIN(1,SUMIFS(OFFSET($A$1,ROW(),32,1000-ROW(),1),OFFSET($A$1,ROW(),20,1000-ROW(),1),ROW(),OFFSET($A$1,ROW(),21,1000-ROW(),1),"Sub"))))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IF($V278&lt;&gt;"Sub","",N($X278)*IF(AND(ISNUMBER($G278),$G278&lt;=IF($S278=MesCiclo,InicioCiclo,$S278+MOD(2-WEEKDAY($S278),7))+6),1,MIN(1,MAX(0,IF(ISNUMBER(OFFSET($A$1,ROW()-1,8)),OFFSET($A$1,ROW()-1,8),0)))))</f>
        <v/>
      </c>
      <c r="AE278" s="62">
        <f>IF($V278&lt;&gt;"Sub","",N($X278)*IF(AND(ISNUMBER($G278),$G278&lt;=IF($S278=MesCiclo,InicioCiclo,$S278+MOD(2-WEEKDAY($S278),7))+13),1,MIN(1,MAX(0,IF(ISNUMBER(OFFSET($A$1,ROW()-1,9)),OFFSET($A$1,ROW()-1,9),IF(ISNUMBER(OFFSET($A$1,ROW()-1,8)),OFFSET($A$1,ROW()-1,8),0))))))</f>
        <v/>
      </c>
      <c r="AF278" s="62">
        <f>IF($V278&lt;&gt;"Sub","",N($X278)*IF(AND(ISNUMBER($G278),$G278&lt;=IF($S278=MesCiclo,InicioCiclo,$S278+MOD(2-WEEKDAY($S278),7))+20),1,MIN(1,MAX(0,IF(ISNUMBER(OFFSET($A$1,ROW()-1,10)),OFFSET($A$1,ROW()-1,10),IF(ISNUMBER(OFFSET($A$1,ROW()-1,9)),OFFSET($A$1,ROW()-1,9),IF(ISNUMBER(OFFSET($A$1,ROW()-1,8)),OFFSET($A$1,ROW()-1,8),0)))))))</f>
        <v/>
      </c>
      <c r="AG278" s="62">
        <f>IF($V278&lt;&gt;"Sub","",N($X278)*IF(AND(ISNUMBER($G278),$G278&lt;=IF($S278=MesCiclo,InicioCiclo,$S278+MOD(2-WEEKDAY($S278),7))+27),1,MIN(1,MAX(0,IF(ISNUMBER(OFFSET($A$1,ROW()-1,11)),OFFSET($A$1,ROW()-1,11),IF(ISNUMBER(OFFSET($A$1,ROW()-1,10)),OFFSET($A$1,ROW()-1,10),IF(ISNUMBER(OFFSET($A$1,ROW()-1,9)),OFFSET($A$1,ROW()-1,9),IF(ISNUMBER(OFFSET($A$1,ROW()-1,8)),OFFSET($A$1,ROW()-1,8),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",IFERROR(MATCH("Riesgo Financiero|"&amp;MID($C278,12,500),rDname_ADM,0),0),"")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IF(N($W279)=0,"",IF(AND($S279=MesCiclo,1&gt;SemanaActual),"",MIN(1,SUMIFS(OFFSET($A$1,ROW(),29,1000-ROW(),1),OFFSET($A$1,ROW(),20,1000-ROW(),1),ROW(),OFFSET($A$1,ROW(),21,1000-ROW(),1),"Sub"))))</f>
        <v/>
      </c>
      <c r="J279" s="60">
        <f>IF(N($W279)=0,"",IF(AND($S279=MesCiclo,2&gt;SemanaActual),"",MIN(1,SUMIFS(OFFSET($A$1,ROW(),30,1000-ROW(),1),OFFSET($A$1,ROW(),20,1000-ROW(),1),ROW(),OFFSET($A$1,ROW(),21,1000-ROW(),1),"Sub"))))</f>
        <v/>
      </c>
      <c r="K279" s="60">
        <f>IF(N($W279)=0,"",IF(AND($S279=MesCiclo,3&gt;SemanaActual),"",MIN(1,SUMIFS(OFFSET($A$1,ROW(),31,1000-ROW(),1),OFFSET($A$1,ROW(),20,1000-ROW(),1),ROW(),OFFSET($A$1,ROW(),21,1000-ROW(),1),"Sub"))))</f>
        <v/>
      </c>
      <c r="L279" s="60">
        <f>IF(N($W279)=0,"",IF(AND($S279=MesCiclo,4&gt;SemanaActual),"",MIN(1,SUMIFS(OFFSET($A$1,ROW(),32,1000-ROW(),1),OFFSET($A$1,ROW(),20,1000-ROW(),1),ROW(),OFFSET($A$1,ROW(),21,1000-ROW(),1),"Sub"))))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IF($V279&lt;&gt;"Sub","",N($X279)*IF(AND(ISNUMBER($G279),$G279&lt;=IF($S279=MesCiclo,InicioCiclo,$S279+MOD(2-WEEKDAY($S279),7))+6),1,MIN(1,MAX(0,IF(ISNUMBER(OFFSET($A$1,ROW()-1,8)),OFFSET($A$1,ROW()-1,8),0)))))</f>
        <v/>
      </c>
      <c r="AE279" s="62">
        <f>IF($V279&lt;&gt;"Sub","",N($X279)*IF(AND(ISNUMBER($G279),$G279&lt;=IF($S279=MesCiclo,InicioCiclo,$S279+MOD(2-WEEKDAY($S279),7))+13),1,MIN(1,MAX(0,IF(ISNUMBER(OFFSET($A$1,ROW()-1,9)),OFFSET($A$1,ROW()-1,9),IF(ISNUMBER(OFFSET($A$1,ROW()-1,8)),OFFSET($A$1,ROW()-1,8),0))))))</f>
        <v/>
      </c>
      <c r="AF279" s="62">
        <f>IF($V279&lt;&gt;"Sub","",N($X279)*IF(AND(ISNUMBER($G279),$G279&lt;=IF($S279=MesCiclo,InicioCiclo,$S279+MOD(2-WEEKDAY($S279),7))+20),1,MIN(1,MAX(0,IF(ISNUMBER(OFFSET($A$1,ROW()-1,10)),OFFSET($A$1,ROW()-1,10),IF(ISNUMBER(OFFSET($A$1,ROW()-1,9)),OFFSET($A$1,ROW()-1,9),IF(ISNUMBER(OFFSET($A$1,ROW()-1,8)),OFFSET($A$1,ROW()-1,8),0)))))))</f>
        <v/>
      </c>
      <c r="AG279" s="62">
        <f>IF($V279&lt;&gt;"Sub","",N($X279)*IF(AND(ISNUMBER($G279),$G279&lt;=IF($S279=MesCiclo,InicioCiclo,$S279+MOD(2-WEEKDAY($S279),7))+27),1,MIN(1,MAX(0,IF(ISNUMBER(OFFSET($A$1,ROW()-1,11)),OFFSET($A$1,ROW()-1,11),IF(ISNUMBER(OFFSET($A$1,ROW()-1,10)),OFFSET($A$1,ROW()-1,10),IF(ISNUMBER(OFFSET($A$1,ROW()-1,9)),OFFSET($A$1,ROW()-1,9),IF(ISNUMBER(OFFSET($A$1,ROW()-1,8)),OFFSET($A$1,ROW()-1,8),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",IFERROR(MATCH("Riesgo Financiero|"&amp;MID($C279,12,500),rDname_ADM,0),0),"")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IF(N($W280)=0,"",IF(AND($S280=MesCiclo,1&gt;SemanaActual),"",MIN(1,SUMIFS(OFFSET($A$1,ROW(),29,1000-ROW(),1),OFFSET($A$1,ROW(),20,1000-ROW(),1),ROW(),OFFSET($A$1,ROW(),21,1000-ROW(),1),"Sub"))))</f>
        <v/>
      </c>
      <c r="J280" s="60">
        <f>IF(N($W280)=0,"",IF(AND($S280=MesCiclo,2&gt;SemanaActual),"",MIN(1,SUMIFS(OFFSET($A$1,ROW(),30,1000-ROW(),1),OFFSET($A$1,ROW(),20,1000-ROW(),1),ROW(),OFFSET($A$1,ROW(),21,1000-ROW(),1),"Sub"))))</f>
        <v/>
      </c>
      <c r="K280" s="60">
        <f>IF(N($W280)=0,"",IF(AND($S280=MesCiclo,3&gt;SemanaActual),"",MIN(1,SUMIFS(OFFSET($A$1,ROW(),31,1000-ROW(),1),OFFSET($A$1,ROW(),20,1000-ROW(),1),ROW(),OFFSET($A$1,ROW(),21,1000-ROW(),1),"Sub"))))</f>
        <v/>
      </c>
      <c r="L280" s="60">
        <f>IF(N($W280)=0,"",IF(AND($S280=MesCiclo,4&gt;SemanaActual),"",MIN(1,SUMIFS(OFFSET($A$1,ROW(),32,1000-ROW(),1),OFFSET($A$1,ROW(),20,1000-ROW(),1),ROW(),OFFSET($A$1,ROW(),21,1000-ROW(),1),"Sub"))))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IF($V280&lt;&gt;"Sub","",N($X280)*IF(AND(ISNUMBER($G280),$G280&lt;=IF($S280=MesCiclo,InicioCiclo,$S280+MOD(2-WEEKDAY($S280),7))+6),1,MIN(1,MAX(0,IF(ISNUMBER(OFFSET($A$1,ROW()-1,8)),OFFSET($A$1,ROW()-1,8),0)))))</f>
        <v/>
      </c>
      <c r="AE280" s="62">
        <f>IF($V280&lt;&gt;"Sub","",N($X280)*IF(AND(ISNUMBER($G280),$G280&lt;=IF($S280=MesCiclo,InicioCiclo,$S280+MOD(2-WEEKDAY($S280),7))+13),1,MIN(1,MAX(0,IF(ISNUMBER(OFFSET($A$1,ROW()-1,9)),OFFSET($A$1,ROW()-1,9),IF(ISNUMBER(OFFSET($A$1,ROW()-1,8)),OFFSET($A$1,ROW()-1,8),0))))))</f>
        <v/>
      </c>
      <c r="AF280" s="62">
        <f>IF($V280&lt;&gt;"Sub","",N($X280)*IF(AND(ISNUMBER($G280),$G280&lt;=IF($S280=MesCiclo,InicioCiclo,$S280+MOD(2-WEEKDAY($S280),7))+20),1,MIN(1,MAX(0,IF(ISNUMBER(OFFSET($A$1,ROW()-1,10)),OFFSET($A$1,ROW()-1,10),IF(ISNUMBER(OFFSET($A$1,ROW()-1,9)),OFFSET($A$1,ROW()-1,9),IF(ISNUMBER(OFFSET($A$1,ROW()-1,8)),OFFSET($A$1,ROW()-1,8),0)))))))</f>
        <v/>
      </c>
      <c r="AG280" s="62">
        <f>IF($V280&lt;&gt;"Sub","",N($X280)*IF(AND(ISNUMBER($G280),$G280&lt;=IF($S280=MesCiclo,InicioCiclo,$S280+MOD(2-WEEKDAY($S280),7))+27),1,MIN(1,MAX(0,IF(ISNUMBER(OFFSET($A$1,ROW()-1,11)),OFFSET($A$1,ROW()-1,11),IF(ISNUMBER(OFFSET($A$1,ROW()-1,10)),OFFSET($A$1,ROW()-1,10),IF(ISNUMBER(OFFSET($A$1,ROW()-1,9)),OFFSET($A$1,ROW()-1,9),IF(ISNUMBER(OFFSET($A$1,ROW()-1,8)),OFFSET($A$1,ROW()-1,8),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",IFERROR(MATCH("Riesgo Financiero|"&amp;MID($C280,12,500),rDname_ADM,0),0),"")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IF(N($W281)=0,"",IF(AND($S281=MesCiclo,1&gt;SemanaActual),"",MIN(1,SUMIFS(OFFSET($A$1,ROW(),29,1000-ROW(),1),OFFSET($A$1,ROW(),20,1000-ROW(),1),ROW(),OFFSET($A$1,ROW(),21,1000-ROW(),1),"Sub"))))</f>
        <v/>
      </c>
      <c r="J281" s="60">
        <f>IF(N($W281)=0,"",IF(AND($S281=MesCiclo,2&gt;SemanaActual),"",MIN(1,SUMIFS(OFFSET($A$1,ROW(),30,1000-ROW(),1),OFFSET($A$1,ROW(),20,1000-ROW(),1),ROW(),OFFSET($A$1,ROW(),21,1000-ROW(),1),"Sub"))))</f>
        <v/>
      </c>
      <c r="K281" s="60">
        <f>IF(N($W281)=0,"",IF(AND($S281=MesCiclo,3&gt;SemanaActual),"",MIN(1,SUMIFS(OFFSET($A$1,ROW(),31,1000-ROW(),1),OFFSET($A$1,ROW(),20,1000-ROW(),1),ROW(),OFFSET($A$1,ROW(),21,1000-ROW(),1),"Sub"))))</f>
        <v/>
      </c>
      <c r="L281" s="60">
        <f>IF(N($W281)=0,"",IF(AND($S281=MesCiclo,4&gt;SemanaActual),"",MIN(1,SUMIFS(OFFSET($A$1,ROW(),32,1000-ROW(),1),OFFSET($A$1,ROW(),20,1000-ROW(),1),ROW(),OFFSET($A$1,ROW(),21,1000-ROW(),1),"Sub"))))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IF($V281&lt;&gt;"Sub","",N($X281)*IF(AND(ISNUMBER($G281),$G281&lt;=IF($S281=MesCiclo,InicioCiclo,$S281+MOD(2-WEEKDAY($S281),7))+6),1,MIN(1,MAX(0,IF(ISNUMBER(OFFSET($A$1,ROW()-1,8)),OFFSET($A$1,ROW()-1,8),0)))))</f>
        <v/>
      </c>
      <c r="AE281" s="62">
        <f>IF($V281&lt;&gt;"Sub","",N($X281)*IF(AND(ISNUMBER($G281),$G281&lt;=IF($S281=MesCiclo,InicioCiclo,$S281+MOD(2-WEEKDAY($S281),7))+13),1,MIN(1,MAX(0,IF(ISNUMBER(OFFSET($A$1,ROW()-1,9)),OFFSET($A$1,ROW()-1,9),IF(ISNUMBER(OFFSET($A$1,ROW()-1,8)),OFFSET($A$1,ROW()-1,8),0))))))</f>
        <v/>
      </c>
      <c r="AF281" s="62">
        <f>IF($V281&lt;&gt;"Sub","",N($X281)*IF(AND(ISNUMBER($G281),$G281&lt;=IF($S281=MesCiclo,InicioCiclo,$S281+MOD(2-WEEKDAY($S281),7))+20),1,MIN(1,MAX(0,IF(ISNUMBER(OFFSET($A$1,ROW()-1,10)),OFFSET($A$1,ROW()-1,10),IF(ISNUMBER(OFFSET($A$1,ROW()-1,9)),OFFSET($A$1,ROW()-1,9),IF(ISNUMBER(OFFSET($A$1,ROW()-1,8)),OFFSET($A$1,ROW()-1,8),0)))))))</f>
        <v/>
      </c>
      <c r="AG281" s="62">
        <f>IF($V281&lt;&gt;"Sub","",N($X281)*IF(AND(ISNUMBER($G281),$G281&lt;=IF($S281=MesCiclo,InicioCiclo,$S281+MOD(2-WEEKDAY($S281),7))+27),1,MIN(1,MAX(0,IF(ISNUMBER(OFFSET($A$1,ROW()-1,11)),OFFSET($A$1,ROW()-1,11),IF(ISNUMBER(OFFSET($A$1,ROW()-1,10)),OFFSET($A$1,ROW()-1,10),IF(ISNUMBER(OFFSET($A$1,ROW()-1,9)),OFFSET($A$1,ROW()-1,9),IF(ISNUMBER(OFFSET($A$1,ROW()-1,8)),OFFSET($A$1,ROW()-1,8),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",IFERROR(MATCH("Riesgo Financiero|"&amp;MID($C281,12,500),rDname_ADM,0),0),"")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IF(N($W282)=0,"",IF(AND($S282=MesCiclo,1&gt;SemanaActual),"",MIN(1,SUMIFS(OFFSET($A$1,ROW(),29,1000-ROW(),1),OFFSET($A$1,ROW(),20,1000-ROW(),1),ROW(),OFFSET($A$1,ROW(),21,1000-ROW(),1),"Sub"))))</f>
        <v/>
      </c>
      <c r="J282" s="60">
        <f>IF(N($W282)=0,"",IF(AND($S282=MesCiclo,2&gt;SemanaActual),"",MIN(1,SUMIFS(OFFSET($A$1,ROW(),30,1000-ROW(),1),OFFSET($A$1,ROW(),20,1000-ROW(),1),ROW(),OFFSET($A$1,ROW(),21,1000-ROW(),1),"Sub"))))</f>
        <v/>
      </c>
      <c r="K282" s="60">
        <f>IF(N($W282)=0,"",IF(AND($S282=MesCiclo,3&gt;SemanaActual),"",MIN(1,SUMIFS(OFFSET($A$1,ROW(),31,1000-ROW(),1),OFFSET($A$1,ROW(),20,1000-ROW(),1),ROW(),OFFSET($A$1,ROW(),21,1000-ROW(),1),"Sub"))))</f>
        <v/>
      </c>
      <c r="L282" s="60">
        <f>IF(N($W282)=0,"",IF(AND($S282=MesCiclo,4&gt;SemanaActual),"",MIN(1,SUMIFS(OFFSET($A$1,ROW(),32,1000-ROW(),1),OFFSET($A$1,ROW(),20,1000-ROW(),1),ROW(),OFFSET($A$1,ROW(),21,1000-ROW(),1),"Sub"))))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IF($V282&lt;&gt;"Sub","",N($X282)*IF(AND(ISNUMBER($G282),$G282&lt;=IF($S282=MesCiclo,InicioCiclo,$S282+MOD(2-WEEKDAY($S282),7))+6),1,MIN(1,MAX(0,IF(ISNUMBER(OFFSET($A$1,ROW()-1,8)),OFFSET($A$1,ROW()-1,8),0)))))</f>
        <v/>
      </c>
      <c r="AE282" s="62">
        <f>IF($V282&lt;&gt;"Sub","",N($X282)*IF(AND(ISNUMBER($G282),$G282&lt;=IF($S282=MesCiclo,InicioCiclo,$S282+MOD(2-WEEKDAY($S282),7))+13),1,MIN(1,MAX(0,IF(ISNUMBER(OFFSET($A$1,ROW()-1,9)),OFFSET($A$1,ROW()-1,9),IF(ISNUMBER(OFFSET($A$1,ROW()-1,8)),OFFSET($A$1,ROW()-1,8),0))))))</f>
        <v/>
      </c>
      <c r="AF282" s="62">
        <f>IF($V282&lt;&gt;"Sub","",N($X282)*IF(AND(ISNUMBER($G282),$G282&lt;=IF($S282=MesCiclo,InicioCiclo,$S282+MOD(2-WEEKDAY($S282),7))+20),1,MIN(1,MAX(0,IF(ISNUMBER(OFFSET($A$1,ROW()-1,10)),OFFSET($A$1,ROW()-1,10),IF(ISNUMBER(OFFSET($A$1,ROW()-1,9)),OFFSET($A$1,ROW()-1,9),IF(ISNUMBER(OFFSET($A$1,ROW()-1,8)),OFFSET($A$1,ROW()-1,8),0)))))))</f>
        <v/>
      </c>
      <c r="AG282" s="62">
        <f>IF($V282&lt;&gt;"Sub","",N($X282)*IF(AND(ISNUMBER($G282),$G282&lt;=IF($S282=MesCiclo,InicioCiclo,$S282+MOD(2-WEEKDAY($S282),7))+27),1,MIN(1,MAX(0,IF(ISNUMBER(OFFSET($A$1,ROW()-1,11)),OFFSET($A$1,ROW()-1,11),IF(ISNUMBER(OFFSET($A$1,ROW()-1,10)),OFFSET($A$1,ROW()-1,10),IF(ISNUMBER(OFFSET($A$1,ROW()-1,9)),OFFSET($A$1,ROW()-1,9),IF(ISNUMBER(OFFSET($A$1,ROW()-1,8)),OFFSET($A$1,ROW()-1,8),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",IFERROR(MATCH("Riesgo Financiero|"&amp;MID($C282,12,500),rDname_ADM,0),0),"")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IF(N($W283)=0,"",IF(AND($S283=MesCiclo,1&gt;SemanaActual),"",MIN(1,SUMIFS(OFFSET($A$1,ROW(),29,1000-ROW(),1),OFFSET($A$1,ROW(),20,1000-ROW(),1),ROW(),OFFSET($A$1,ROW(),21,1000-ROW(),1),"Sub"))))</f>
        <v/>
      </c>
      <c r="J283" s="60">
        <f>IF(N($W283)=0,"",IF(AND($S283=MesCiclo,2&gt;SemanaActual),"",MIN(1,SUMIFS(OFFSET($A$1,ROW(),30,1000-ROW(),1),OFFSET($A$1,ROW(),20,1000-ROW(),1),ROW(),OFFSET($A$1,ROW(),21,1000-ROW(),1),"Sub"))))</f>
        <v/>
      </c>
      <c r="K283" s="60">
        <f>IF(N($W283)=0,"",IF(AND($S283=MesCiclo,3&gt;SemanaActual),"",MIN(1,SUMIFS(OFFSET($A$1,ROW(),31,1000-ROW(),1),OFFSET($A$1,ROW(),20,1000-ROW(),1),ROW(),OFFSET($A$1,ROW(),21,1000-ROW(),1),"Sub"))))</f>
        <v/>
      </c>
      <c r="L283" s="60">
        <f>IF(N($W283)=0,"",IF(AND($S283=MesCiclo,4&gt;SemanaActual),"",MIN(1,SUMIFS(OFFSET($A$1,ROW(),32,1000-ROW(),1),OFFSET($A$1,ROW(),20,1000-ROW(),1),ROW(),OFFSET($A$1,ROW(),21,1000-ROW(),1),"Sub"))))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IF($V283&lt;&gt;"Sub","",N($X283)*IF(AND(ISNUMBER($G283),$G283&lt;=IF($S283=MesCiclo,InicioCiclo,$S283+MOD(2-WEEKDAY($S283),7))+6),1,MIN(1,MAX(0,IF(ISNUMBER(OFFSET($A$1,ROW()-1,8)),OFFSET($A$1,ROW()-1,8),0)))))</f>
        <v/>
      </c>
      <c r="AE283" s="62">
        <f>IF($V283&lt;&gt;"Sub","",N($X283)*IF(AND(ISNUMBER($G283),$G283&lt;=IF($S283=MesCiclo,InicioCiclo,$S283+MOD(2-WEEKDAY($S283),7))+13),1,MIN(1,MAX(0,IF(ISNUMBER(OFFSET($A$1,ROW()-1,9)),OFFSET($A$1,ROW()-1,9),IF(ISNUMBER(OFFSET($A$1,ROW()-1,8)),OFFSET($A$1,ROW()-1,8),0))))))</f>
        <v/>
      </c>
      <c r="AF283" s="62">
        <f>IF($V283&lt;&gt;"Sub","",N($X283)*IF(AND(ISNUMBER($G283),$G283&lt;=IF($S283=MesCiclo,InicioCiclo,$S283+MOD(2-WEEKDAY($S283),7))+20),1,MIN(1,MAX(0,IF(ISNUMBER(OFFSET($A$1,ROW()-1,10)),OFFSET($A$1,ROW()-1,10),IF(ISNUMBER(OFFSET($A$1,ROW()-1,9)),OFFSET($A$1,ROW()-1,9),IF(ISNUMBER(OFFSET($A$1,ROW()-1,8)),OFFSET($A$1,ROW()-1,8),0)))))))</f>
        <v/>
      </c>
      <c r="AG283" s="62">
        <f>IF($V283&lt;&gt;"Sub","",N($X283)*IF(AND(ISNUMBER($G283),$G283&lt;=IF($S283=MesCiclo,InicioCiclo,$S283+MOD(2-WEEKDAY($S283),7))+27),1,MIN(1,MAX(0,IF(ISNUMBER(OFFSET($A$1,ROW()-1,11)),OFFSET($A$1,ROW()-1,11),IF(ISNUMBER(OFFSET($A$1,ROW()-1,10)),OFFSET($A$1,ROW()-1,10),IF(ISNUMBER(OFFSET($A$1,ROW()-1,9)),OFFSET($A$1,ROW()-1,9),IF(ISNUMBER(OFFSET($A$1,ROW()-1,8)),OFFSET($A$1,ROW()-1,8),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",IFERROR(MATCH("Riesgo Financiero|"&amp;MID($C283,12,500),rDname_ADM,0),0),"")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IF(N($W284)=0,"",IF(AND($S284=MesCiclo,1&gt;SemanaActual),"",MIN(1,SUMIFS(OFFSET($A$1,ROW(),29,1000-ROW(),1),OFFSET($A$1,ROW(),20,1000-ROW(),1),ROW(),OFFSET($A$1,ROW(),21,1000-ROW(),1),"Sub"))))</f>
        <v/>
      </c>
      <c r="J284" s="60">
        <f>IF(N($W284)=0,"",IF(AND($S284=MesCiclo,2&gt;SemanaActual),"",MIN(1,SUMIFS(OFFSET($A$1,ROW(),30,1000-ROW(),1),OFFSET($A$1,ROW(),20,1000-ROW(),1),ROW(),OFFSET($A$1,ROW(),21,1000-ROW(),1),"Sub"))))</f>
        <v/>
      </c>
      <c r="K284" s="60">
        <f>IF(N($W284)=0,"",IF(AND($S284=MesCiclo,3&gt;SemanaActual),"",MIN(1,SUMIFS(OFFSET($A$1,ROW(),31,1000-ROW(),1),OFFSET($A$1,ROW(),20,1000-ROW(),1),ROW(),OFFSET($A$1,ROW(),21,1000-ROW(),1),"Sub"))))</f>
        <v/>
      </c>
      <c r="L284" s="60">
        <f>IF(N($W284)=0,"",IF(AND($S284=MesCiclo,4&gt;SemanaActual),"",MIN(1,SUMIFS(OFFSET($A$1,ROW(),32,1000-ROW(),1),OFFSET($A$1,ROW(),20,1000-ROW(),1),ROW(),OFFSET($A$1,ROW(),21,1000-ROW(),1),"Sub"))))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IF($V284&lt;&gt;"Sub","",N($X284)*IF(AND(ISNUMBER($G284),$G284&lt;=IF($S284=MesCiclo,InicioCiclo,$S284+MOD(2-WEEKDAY($S284),7))+6),1,MIN(1,MAX(0,IF(ISNUMBER(OFFSET($A$1,ROW()-1,8)),OFFSET($A$1,ROW()-1,8),0)))))</f>
        <v/>
      </c>
      <c r="AE284" s="62">
        <f>IF($V284&lt;&gt;"Sub","",N($X284)*IF(AND(ISNUMBER($G284),$G284&lt;=IF($S284=MesCiclo,InicioCiclo,$S284+MOD(2-WEEKDAY($S284),7))+13),1,MIN(1,MAX(0,IF(ISNUMBER(OFFSET($A$1,ROW()-1,9)),OFFSET($A$1,ROW()-1,9),IF(ISNUMBER(OFFSET($A$1,ROW()-1,8)),OFFSET($A$1,ROW()-1,8),0))))))</f>
        <v/>
      </c>
      <c r="AF284" s="62">
        <f>IF($V284&lt;&gt;"Sub","",N($X284)*IF(AND(ISNUMBER($G284),$G284&lt;=IF($S284=MesCiclo,InicioCiclo,$S284+MOD(2-WEEKDAY($S284),7))+20),1,MIN(1,MAX(0,IF(ISNUMBER(OFFSET($A$1,ROW()-1,10)),OFFSET($A$1,ROW()-1,10),IF(ISNUMBER(OFFSET($A$1,ROW()-1,9)),OFFSET($A$1,ROW()-1,9),IF(ISNUMBER(OFFSET($A$1,ROW()-1,8)),OFFSET($A$1,ROW()-1,8),0)))))))</f>
        <v/>
      </c>
      <c r="AG284" s="62">
        <f>IF($V284&lt;&gt;"Sub","",N($X284)*IF(AND(ISNUMBER($G284),$G284&lt;=IF($S284=MesCiclo,InicioCiclo,$S284+MOD(2-WEEKDAY($S284),7))+27),1,MIN(1,MAX(0,IF(ISNUMBER(OFFSET($A$1,ROW()-1,11)),OFFSET($A$1,ROW()-1,11),IF(ISNUMBER(OFFSET($A$1,ROW()-1,10)),OFFSET($A$1,ROW()-1,10),IF(ISNUMBER(OFFSET($A$1,ROW()-1,9)),OFFSET($A$1,ROW()-1,9),IF(ISNUMBER(OFFSET($A$1,ROW()-1,8)),OFFSET($A$1,ROW()-1,8),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",IFERROR(MATCH("Riesgo Financiero|"&amp;MID($C284,12,500),rDname_ADM,0),0),"")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IF(N($W285)=0,"",IF(AND($S285=MesCiclo,1&gt;SemanaActual),"",MIN(1,SUMIFS(OFFSET($A$1,ROW(),29,1000-ROW(),1),OFFSET($A$1,ROW(),20,1000-ROW(),1),ROW(),OFFSET($A$1,ROW(),21,1000-ROW(),1),"Sub"))))</f>
        <v/>
      </c>
      <c r="J285" s="60">
        <f>IF(N($W285)=0,"",IF(AND($S285=MesCiclo,2&gt;SemanaActual),"",MIN(1,SUMIFS(OFFSET($A$1,ROW(),30,1000-ROW(),1),OFFSET($A$1,ROW(),20,1000-ROW(),1),ROW(),OFFSET($A$1,ROW(),21,1000-ROW(),1),"Sub"))))</f>
        <v/>
      </c>
      <c r="K285" s="60">
        <f>IF(N($W285)=0,"",IF(AND($S285=MesCiclo,3&gt;SemanaActual),"",MIN(1,SUMIFS(OFFSET($A$1,ROW(),31,1000-ROW(),1),OFFSET($A$1,ROW(),20,1000-ROW(),1),ROW(),OFFSET($A$1,ROW(),21,1000-ROW(),1),"Sub"))))</f>
        <v/>
      </c>
      <c r="L285" s="60">
        <f>IF(N($W285)=0,"",IF(AND($S285=MesCiclo,4&gt;SemanaActual),"",MIN(1,SUMIFS(OFFSET($A$1,ROW(),32,1000-ROW(),1),OFFSET($A$1,ROW(),20,1000-ROW(),1),ROW(),OFFSET($A$1,ROW(),21,1000-ROW(),1),"Sub"))))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IF($V285&lt;&gt;"Sub","",N($X285)*IF(AND(ISNUMBER($G285),$G285&lt;=IF($S285=MesCiclo,InicioCiclo,$S285+MOD(2-WEEKDAY($S285),7))+6),1,MIN(1,MAX(0,IF(ISNUMBER(OFFSET($A$1,ROW()-1,8)),OFFSET($A$1,ROW()-1,8),0)))))</f>
        <v/>
      </c>
      <c r="AE285" s="62">
        <f>IF($V285&lt;&gt;"Sub","",N($X285)*IF(AND(ISNUMBER($G285),$G285&lt;=IF($S285=MesCiclo,InicioCiclo,$S285+MOD(2-WEEKDAY($S285),7))+13),1,MIN(1,MAX(0,IF(ISNUMBER(OFFSET($A$1,ROW()-1,9)),OFFSET($A$1,ROW()-1,9),IF(ISNUMBER(OFFSET($A$1,ROW()-1,8)),OFFSET($A$1,ROW()-1,8),0))))))</f>
        <v/>
      </c>
      <c r="AF285" s="62">
        <f>IF($V285&lt;&gt;"Sub","",N($X285)*IF(AND(ISNUMBER($G285),$G285&lt;=IF($S285=MesCiclo,InicioCiclo,$S285+MOD(2-WEEKDAY($S285),7))+20),1,MIN(1,MAX(0,IF(ISNUMBER(OFFSET($A$1,ROW()-1,10)),OFFSET($A$1,ROW()-1,10),IF(ISNUMBER(OFFSET($A$1,ROW()-1,9)),OFFSET($A$1,ROW()-1,9),IF(ISNUMBER(OFFSET($A$1,ROW()-1,8)),OFFSET($A$1,ROW()-1,8),0)))))))</f>
        <v/>
      </c>
      <c r="AG285" s="62">
        <f>IF($V285&lt;&gt;"Sub","",N($X285)*IF(AND(ISNUMBER($G285),$G285&lt;=IF($S285=MesCiclo,InicioCiclo,$S285+MOD(2-WEEKDAY($S285),7))+27),1,MIN(1,MAX(0,IF(ISNUMBER(OFFSET($A$1,ROW()-1,11)),OFFSET($A$1,ROW()-1,11),IF(ISNUMBER(OFFSET($A$1,ROW()-1,10)),OFFSET($A$1,ROW()-1,10),IF(ISNUMBER(OFFSET($A$1,ROW()-1,9)),OFFSET($A$1,ROW()-1,9),IF(ISNUMBER(OFFSET($A$1,ROW()-1,8)),OFFSET($A$1,ROW()-1,8),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",IFERROR(MATCH("Riesgo Financiero|"&amp;MID($C285,12,500),rDname_ADM,0),0),"")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IF(N($W286)=0,"",IF(AND($S286=MesCiclo,1&gt;SemanaActual),"",MIN(1,SUMIFS(OFFSET($A$1,ROW(),29,1000-ROW(),1),OFFSET($A$1,ROW(),20,1000-ROW(),1),ROW(),OFFSET($A$1,ROW(),21,1000-ROW(),1),"Sub"))))</f>
        <v/>
      </c>
      <c r="J286" s="60">
        <f>IF(N($W286)=0,"",IF(AND($S286=MesCiclo,2&gt;SemanaActual),"",MIN(1,SUMIFS(OFFSET($A$1,ROW(),30,1000-ROW(),1),OFFSET($A$1,ROW(),20,1000-ROW(),1),ROW(),OFFSET($A$1,ROW(),21,1000-ROW(),1),"Sub"))))</f>
        <v/>
      </c>
      <c r="K286" s="60">
        <f>IF(N($W286)=0,"",IF(AND($S286=MesCiclo,3&gt;SemanaActual),"",MIN(1,SUMIFS(OFFSET($A$1,ROW(),31,1000-ROW(),1),OFFSET($A$1,ROW(),20,1000-ROW(),1),ROW(),OFFSET($A$1,ROW(),21,1000-ROW(),1),"Sub"))))</f>
        <v/>
      </c>
      <c r="L286" s="60">
        <f>IF(N($W286)=0,"",IF(AND($S286=MesCiclo,4&gt;SemanaActual),"",MIN(1,SUMIFS(OFFSET($A$1,ROW(),32,1000-ROW(),1),OFFSET($A$1,ROW(),20,1000-ROW(),1),ROW(),OFFSET($A$1,ROW(),21,1000-ROW(),1),"Sub"))))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IF($V286&lt;&gt;"Sub","",N($X286)*IF(AND(ISNUMBER($G286),$G286&lt;=IF($S286=MesCiclo,InicioCiclo,$S286+MOD(2-WEEKDAY($S286),7))+6),1,MIN(1,MAX(0,IF(ISNUMBER(OFFSET($A$1,ROW()-1,8)),OFFSET($A$1,ROW()-1,8),0)))))</f>
        <v/>
      </c>
      <c r="AE286" s="62">
        <f>IF($V286&lt;&gt;"Sub","",N($X286)*IF(AND(ISNUMBER($G286),$G286&lt;=IF($S286=MesCiclo,InicioCiclo,$S286+MOD(2-WEEKDAY($S286),7))+13),1,MIN(1,MAX(0,IF(ISNUMBER(OFFSET($A$1,ROW()-1,9)),OFFSET($A$1,ROW()-1,9),IF(ISNUMBER(OFFSET($A$1,ROW()-1,8)),OFFSET($A$1,ROW()-1,8),0))))))</f>
        <v/>
      </c>
      <c r="AF286" s="62">
        <f>IF($V286&lt;&gt;"Sub","",N($X286)*IF(AND(ISNUMBER($G286),$G286&lt;=IF($S286=MesCiclo,InicioCiclo,$S286+MOD(2-WEEKDAY($S286),7))+20),1,MIN(1,MAX(0,IF(ISNUMBER(OFFSET($A$1,ROW()-1,10)),OFFSET($A$1,ROW()-1,10),IF(ISNUMBER(OFFSET($A$1,ROW()-1,9)),OFFSET($A$1,ROW()-1,9),IF(ISNUMBER(OFFSET($A$1,ROW()-1,8)),OFFSET($A$1,ROW()-1,8),0)))))))</f>
        <v/>
      </c>
      <c r="AG286" s="62">
        <f>IF($V286&lt;&gt;"Sub","",N($X286)*IF(AND(ISNUMBER($G286),$G286&lt;=IF($S286=MesCiclo,InicioCiclo,$S286+MOD(2-WEEKDAY($S286),7))+27),1,MIN(1,MAX(0,IF(ISNUMBER(OFFSET($A$1,ROW()-1,11)),OFFSET($A$1,ROW()-1,11),IF(ISNUMBER(OFFSET($A$1,ROW()-1,10)),OFFSET($A$1,ROW()-1,10),IF(ISNUMBER(OFFSET($A$1,ROW()-1,9)),OFFSET($A$1,ROW()-1,9),IF(ISNUMBER(OFFSET($A$1,ROW()-1,8)),OFFSET($A$1,ROW()-1,8),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",IFERROR(MATCH("Riesgo Financiero|"&amp;MID($C286,12,500),rDname_ADM,0),0),"")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IF(N($W287)=0,"",IF(AND($S287=MesCiclo,1&gt;SemanaActual),"",MIN(1,SUMIFS(OFFSET($A$1,ROW(),29,1000-ROW(),1),OFFSET($A$1,ROW(),20,1000-ROW(),1),ROW(),OFFSET($A$1,ROW(),21,1000-ROW(),1),"Sub"))))</f>
        <v/>
      </c>
      <c r="J287" s="60">
        <f>IF(N($W287)=0,"",IF(AND($S287=MesCiclo,2&gt;SemanaActual),"",MIN(1,SUMIFS(OFFSET($A$1,ROW(),30,1000-ROW(),1),OFFSET($A$1,ROW(),20,1000-ROW(),1),ROW(),OFFSET($A$1,ROW(),21,1000-ROW(),1),"Sub"))))</f>
        <v/>
      </c>
      <c r="K287" s="60">
        <f>IF(N($W287)=0,"",IF(AND($S287=MesCiclo,3&gt;SemanaActual),"",MIN(1,SUMIFS(OFFSET($A$1,ROW(),31,1000-ROW(),1),OFFSET($A$1,ROW(),20,1000-ROW(),1),ROW(),OFFSET($A$1,ROW(),21,1000-ROW(),1),"Sub"))))</f>
        <v/>
      </c>
      <c r="L287" s="60">
        <f>IF(N($W287)=0,"",IF(AND($S287=MesCiclo,4&gt;SemanaActual),"",MIN(1,SUMIFS(OFFSET($A$1,ROW(),32,1000-ROW(),1),OFFSET($A$1,ROW(),20,1000-ROW(),1),ROW(),OFFSET($A$1,ROW(),21,1000-ROW(),1),"Sub"))))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IF($V287&lt;&gt;"Sub","",N($X287)*IF(AND(ISNUMBER($G287),$G287&lt;=IF($S287=MesCiclo,InicioCiclo,$S287+MOD(2-WEEKDAY($S287),7))+6),1,MIN(1,MAX(0,IF(ISNUMBER(OFFSET($A$1,ROW()-1,8)),OFFSET($A$1,ROW()-1,8),0)))))</f>
        <v/>
      </c>
      <c r="AE287" s="62">
        <f>IF($V287&lt;&gt;"Sub","",N($X287)*IF(AND(ISNUMBER($G287),$G287&lt;=IF($S287=MesCiclo,InicioCiclo,$S287+MOD(2-WEEKDAY($S287),7))+13),1,MIN(1,MAX(0,IF(ISNUMBER(OFFSET($A$1,ROW()-1,9)),OFFSET($A$1,ROW()-1,9),IF(ISNUMBER(OFFSET($A$1,ROW()-1,8)),OFFSET($A$1,ROW()-1,8),0))))))</f>
        <v/>
      </c>
      <c r="AF287" s="62">
        <f>IF($V287&lt;&gt;"Sub","",N($X287)*IF(AND(ISNUMBER($G287),$G287&lt;=IF($S287=MesCiclo,InicioCiclo,$S287+MOD(2-WEEKDAY($S287),7))+20),1,MIN(1,MAX(0,IF(ISNUMBER(OFFSET($A$1,ROW()-1,10)),OFFSET($A$1,ROW()-1,10),IF(ISNUMBER(OFFSET($A$1,ROW()-1,9)),OFFSET($A$1,ROW()-1,9),IF(ISNUMBER(OFFSET($A$1,ROW()-1,8)),OFFSET($A$1,ROW()-1,8),0)))))))</f>
        <v/>
      </c>
      <c r="AG287" s="62">
        <f>IF($V287&lt;&gt;"Sub","",N($X287)*IF(AND(ISNUMBER($G287),$G287&lt;=IF($S287=MesCiclo,InicioCiclo,$S287+MOD(2-WEEKDAY($S287),7))+27),1,MIN(1,MAX(0,IF(ISNUMBER(OFFSET($A$1,ROW()-1,11)),OFFSET($A$1,ROW()-1,11),IF(ISNUMBER(OFFSET($A$1,ROW()-1,10)),OFFSET($A$1,ROW()-1,10),IF(ISNUMBER(OFFSET($A$1,ROW()-1,9)),OFFSET($A$1,ROW()-1,9),IF(ISNUMBER(OFFSET($A$1,ROW()-1,8)),OFFSET($A$1,ROW()-1,8),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",IFERROR(MATCH("Riesgo Financiero|"&amp;MID($C287,12,500),rDname_ADM,0),0),"")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IF(N($W288)=0,"",IF(AND($S288=MesCiclo,1&gt;SemanaActual),"",MIN(1,SUMIFS(OFFSET($A$1,ROW(),29,1000-ROW(),1),OFFSET($A$1,ROW(),20,1000-ROW(),1),ROW(),OFFSET($A$1,ROW(),21,1000-ROW(),1),"Sub"))))</f>
        <v/>
      </c>
      <c r="J288" s="60">
        <f>IF(N($W288)=0,"",IF(AND($S288=MesCiclo,2&gt;SemanaActual),"",MIN(1,SUMIFS(OFFSET($A$1,ROW(),30,1000-ROW(),1),OFFSET($A$1,ROW(),20,1000-ROW(),1),ROW(),OFFSET($A$1,ROW(),21,1000-ROW(),1),"Sub"))))</f>
        <v/>
      </c>
      <c r="K288" s="60">
        <f>IF(N($W288)=0,"",IF(AND($S288=MesCiclo,3&gt;SemanaActual),"",MIN(1,SUMIFS(OFFSET($A$1,ROW(),31,1000-ROW(),1),OFFSET($A$1,ROW(),20,1000-ROW(),1),ROW(),OFFSET($A$1,ROW(),21,1000-ROW(),1),"Sub"))))</f>
        <v/>
      </c>
      <c r="L288" s="60">
        <f>IF(N($W288)=0,"",IF(AND($S288=MesCiclo,4&gt;SemanaActual),"",MIN(1,SUMIFS(OFFSET($A$1,ROW(),32,1000-ROW(),1),OFFSET($A$1,ROW(),20,1000-ROW(),1),ROW(),OFFSET($A$1,ROW(),21,1000-ROW(),1),"Sub"))))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IF($V288&lt;&gt;"Sub","",N($X288)*IF(AND(ISNUMBER($G288),$G288&lt;=IF($S288=MesCiclo,InicioCiclo,$S288+MOD(2-WEEKDAY($S288),7))+6),1,MIN(1,MAX(0,IF(ISNUMBER(OFFSET($A$1,ROW()-1,8)),OFFSET($A$1,ROW()-1,8),0)))))</f>
        <v/>
      </c>
      <c r="AE288" s="62">
        <f>IF($V288&lt;&gt;"Sub","",N($X288)*IF(AND(ISNUMBER($G288),$G288&lt;=IF($S288=MesCiclo,InicioCiclo,$S288+MOD(2-WEEKDAY($S288),7))+13),1,MIN(1,MAX(0,IF(ISNUMBER(OFFSET($A$1,ROW()-1,9)),OFFSET($A$1,ROW()-1,9),IF(ISNUMBER(OFFSET($A$1,ROW()-1,8)),OFFSET($A$1,ROW()-1,8),0))))))</f>
        <v/>
      </c>
      <c r="AF288" s="62">
        <f>IF($V288&lt;&gt;"Sub","",N($X288)*IF(AND(ISNUMBER($G288),$G288&lt;=IF($S288=MesCiclo,InicioCiclo,$S288+MOD(2-WEEKDAY($S288),7))+20),1,MIN(1,MAX(0,IF(ISNUMBER(OFFSET($A$1,ROW()-1,10)),OFFSET($A$1,ROW()-1,10),IF(ISNUMBER(OFFSET($A$1,ROW()-1,9)),OFFSET($A$1,ROW()-1,9),IF(ISNUMBER(OFFSET($A$1,ROW()-1,8)),OFFSET($A$1,ROW()-1,8),0)))))))</f>
        <v/>
      </c>
      <c r="AG288" s="62">
        <f>IF($V288&lt;&gt;"Sub","",N($X288)*IF(AND(ISNUMBER($G288),$G288&lt;=IF($S288=MesCiclo,InicioCiclo,$S288+MOD(2-WEEKDAY($S288),7))+27),1,MIN(1,MAX(0,IF(ISNUMBER(OFFSET($A$1,ROW()-1,11)),OFFSET($A$1,ROW()-1,11),IF(ISNUMBER(OFFSET($A$1,ROW()-1,10)),OFFSET($A$1,ROW()-1,10),IF(ISNUMBER(OFFSET($A$1,ROW()-1,9)),OFFSET($A$1,ROW()-1,9),IF(ISNUMBER(OFFSET($A$1,ROW()-1,8)),OFFSET($A$1,ROW()-1,8),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",IFERROR(MATCH("Riesgo Financiero|"&amp;MID($C288,12,500),rDname_ADM,0),0),"")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IF(N($W289)=0,"",IF(AND($S289=MesCiclo,1&gt;SemanaActual),"",MIN(1,SUMIFS(OFFSET($A$1,ROW(),29,1000-ROW(),1),OFFSET($A$1,ROW(),20,1000-ROW(),1),ROW(),OFFSET($A$1,ROW(),21,1000-ROW(),1),"Sub"))))</f>
        <v/>
      </c>
      <c r="J289" s="60">
        <f>IF(N($W289)=0,"",IF(AND($S289=MesCiclo,2&gt;SemanaActual),"",MIN(1,SUMIFS(OFFSET($A$1,ROW(),30,1000-ROW(),1),OFFSET($A$1,ROW(),20,1000-ROW(),1),ROW(),OFFSET($A$1,ROW(),21,1000-ROW(),1),"Sub"))))</f>
        <v/>
      </c>
      <c r="K289" s="60">
        <f>IF(N($W289)=0,"",IF(AND($S289=MesCiclo,3&gt;SemanaActual),"",MIN(1,SUMIFS(OFFSET($A$1,ROW(),31,1000-ROW(),1),OFFSET($A$1,ROW(),20,1000-ROW(),1),ROW(),OFFSET($A$1,ROW(),21,1000-ROW(),1),"Sub"))))</f>
        <v/>
      </c>
      <c r="L289" s="60">
        <f>IF(N($W289)=0,"",IF(AND($S289=MesCiclo,4&gt;SemanaActual),"",MIN(1,SUMIFS(OFFSET($A$1,ROW(),32,1000-ROW(),1),OFFSET($A$1,ROW(),20,1000-ROW(),1),ROW(),OFFSET($A$1,ROW(),21,1000-ROW(),1),"Sub"))))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IF($V289&lt;&gt;"Sub","",N($X289)*IF(AND(ISNUMBER($G289),$G289&lt;=IF($S289=MesCiclo,InicioCiclo,$S289+MOD(2-WEEKDAY($S289),7))+6),1,MIN(1,MAX(0,IF(ISNUMBER(OFFSET($A$1,ROW()-1,8)),OFFSET($A$1,ROW()-1,8),0)))))</f>
        <v/>
      </c>
      <c r="AE289" s="62">
        <f>IF($V289&lt;&gt;"Sub","",N($X289)*IF(AND(ISNUMBER($G289),$G289&lt;=IF($S289=MesCiclo,InicioCiclo,$S289+MOD(2-WEEKDAY($S289),7))+13),1,MIN(1,MAX(0,IF(ISNUMBER(OFFSET($A$1,ROW()-1,9)),OFFSET($A$1,ROW()-1,9),IF(ISNUMBER(OFFSET($A$1,ROW()-1,8)),OFFSET($A$1,ROW()-1,8),0))))))</f>
        <v/>
      </c>
      <c r="AF289" s="62">
        <f>IF($V289&lt;&gt;"Sub","",N($X289)*IF(AND(ISNUMBER($G289),$G289&lt;=IF($S289=MesCiclo,InicioCiclo,$S289+MOD(2-WEEKDAY($S289),7))+20),1,MIN(1,MAX(0,IF(ISNUMBER(OFFSET($A$1,ROW()-1,10)),OFFSET($A$1,ROW()-1,10),IF(ISNUMBER(OFFSET($A$1,ROW()-1,9)),OFFSET($A$1,ROW()-1,9),IF(ISNUMBER(OFFSET($A$1,ROW()-1,8)),OFFSET($A$1,ROW()-1,8),0)))))))</f>
        <v/>
      </c>
      <c r="AG289" s="62">
        <f>IF($V289&lt;&gt;"Sub","",N($X289)*IF(AND(ISNUMBER($G289),$G289&lt;=IF($S289=MesCiclo,InicioCiclo,$S289+MOD(2-WEEKDAY($S289),7))+27),1,MIN(1,MAX(0,IF(ISNUMBER(OFFSET($A$1,ROW()-1,11)),OFFSET($A$1,ROW()-1,11),IF(ISNUMBER(OFFSET($A$1,ROW()-1,10)),OFFSET($A$1,ROW()-1,10),IF(ISNUMBER(OFFSET($A$1,ROW()-1,9)),OFFSET($A$1,ROW()-1,9),IF(ISNUMBER(OFFSET($A$1,ROW()-1,8)),OFFSET($A$1,ROW()-1,8),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",IFERROR(MATCH("Riesgo Financiero|"&amp;MID($C289,12,500),rDname_ADM,0),0),"")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IF(N($W290)=0,"",IF(AND($S290=MesCiclo,1&gt;SemanaActual),"",MIN(1,SUMIFS(OFFSET($A$1,ROW(),29,1000-ROW(),1),OFFSET($A$1,ROW(),20,1000-ROW(),1),ROW(),OFFSET($A$1,ROW(),21,1000-ROW(),1),"Sub"))))</f>
        <v/>
      </c>
      <c r="J290" s="60">
        <f>IF(N($W290)=0,"",IF(AND($S290=MesCiclo,2&gt;SemanaActual),"",MIN(1,SUMIFS(OFFSET($A$1,ROW(),30,1000-ROW(),1),OFFSET($A$1,ROW(),20,1000-ROW(),1),ROW(),OFFSET($A$1,ROW(),21,1000-ROW(),1),"Sub"))))</f>
        <v/>
      </c>
      <c r="K290" s="60">
        <f>IF(N($W290)=0,"",IF(AND($S290=MesCiclo,3&gt;SemanaActual),"",MIN(1,SUMIFS(OFFSET($A$1,ROW(),31,1000-ROW(),1),OFFSET($A$1,ROW(),20,1000-ROW(),1),ROW(),OFFSET($A$1,ROW(),21,1000-ROW(),1),"Sub"))))</f>
        <v/>
      </c>
      <c r="L290" s="60">
        <f>IF(N($W290)=0,"",IF(AND($S290=MesCiclo,4&gt;SemanaActual),"",MIN(1,SUMIFS(OFFSET($A$1,ROW(),32,1000-ROW(),1),OFFSET($A$1,ROW(),20,1000-ROW(),1),ROW(),OFFSET($A$1,ROW(),21,1000-ROW(),1),"Sub"))))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IF($V290&lt;&gt;"Sub","",N($X290)*IF(AND(ISNUMBER($G290),$G290&lt;=IF($S290=MesCiclo,InicioCiclo,$S290+MOD(2-WEEKDAY($S290),7))+6),1,MIN(1,MAX(0,IF(ISNUMBER(OFFSET($A$1,ROW()-1,8)),OFFSET($A$1,ROW()-1,8),0)))))</f>
        <v/>
      </c>
      <c r="AE290" s="62">
        <f>IF($V290&lt;&gt;"Sub","",N($X290)*IF(AND(ISNUMBER($G290),$G290&lt;=IF($S290=MesCiclo,InicioCiclo,$S290+MOD(2-WEEKDAY($S290),7))+13),1,MIN(1,MAX(0,IF(ISNUMBER(OFFSET($A$1,ROW()-1,9)),OFFSET($A$1,ROW()-1,9),IF(ISNUMBER(OFFSET($A$1,ROW()-1,8)),OFFSET($A$1,ROW()-1,8),0))))))</f>
        <v/>
      </c>
      <c r="AF290" s="62">
        <f>IF($V290&lt;&gt;"Sub","",N($X290)*IF(AND(ISNUMBER($G290),$G290&lt;=IF($S290=MesCiclo,InicioCiclo,$S290+MOD(2-WEEKDAY($S290),7))+20),1,MIN(1,MAX(0,IF(ISNUMBER(OFFSET($A$1,ROW()-1,10)),OFFSET($A$1,ROW()-1,10),IF(ISNUMBER(OFFSET($A$1,ROW()-1,9)),OFFSET($A$1,ROW()-1,9),IF(ISNUMBER(OFFSET($A$1,ROW()-1,8)),OFFSET($A$1,ROW()-1,8),0)))))))</f>
        <v/>
      </c>
      <c r="AG290" s="62">
        <f>IF($V290&lt;&gt;"Sub","",N($X290)*IF(AND(ISNUMBER($G290),$G290&lt;=IF($S290=MesCiclo,InicioCiclo,$S290+MOD(2-WEEKDAY($S290),7))+27),1,MIN(1,MAX(0,IF(ISNUMBER(OFFSET($A$1,ROW()-1,11)),OFFSET($A$1,ROW()-1,11),IF(ISNUMBER(OFFSET($A$1,ROW()-1,10)),OFFSET($A$1,ROW()-1,10),IF(ISNUMBER(OFFSET($A$1,ROW()-1,9)),OFFSET($A$1,ROW()-1,9),IF(ISNUMBER(OFFSET($A$1,ROW()-1,8)),OFFSET($A$1,ROW()-1,8),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",IFERROR(MATCH("Riesgo Financiero|"&amp;MID($C290,12,500),rDname_ADM,0),0),"")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IF(N($W291)=0,"",IF(AND($S291=MesCiclo,1&gt;SemanaActual),"",MIN(1,SUMIFS(OFFSET($A$1,ROW(),29,1000-ROW(),1),OFFSET($A$1,ROW(),20,1000-ROW(),1),ROW(),OFFSET($A$1,ROW(),21,1000-ROW(),1),"Sub"))))</f>
        <v/>
      </c>
      <c r="J291" s="60">
        <f>IF(N($W291)=0,"",IF(AND($S291=MesCiclo,2&gt;SemanaActual),"",MIN(1,SUMIFS(OFFSET($A$1,ROW(),30,1000-ROW(),1),OFFSET($A$1,ROW(),20,1000-ROW(),1),ROW(),OFFSET($A$1,ROW(),21,1000-ROW(),1),"Sub"))))</f>
        <v/>
      </c>
      <c r="K291" s="60">
        <f>IF(N($W291)=0,"",IF(AND($S291=MesCiclo,3&gt;SemanaActual),"",MIN(1,SUMIFS(OFFSET($A$1,ROW(),31,1000-ROW(),1),OFFSET($A$1,ROW(),20,1000-ROW(),1),ROW(),OFFSET($A$1,ROW(),21,1000-ROW(),1),"Sub"))))</f>
        <v/>
      </c>
      <c r="L291" s="60">
        <f>IF(N($W291)=0,"",IF(AND($S291=MesCiclo,4&gt;SemanaActual),"",MIN(1,SUMIFS(OFFSET($A$1,ROW(),32,1000-ROW(),1),OFFSET($A$1,ROW(),20,1000-ROW(),1),ROW(),OFFSET($A$1,ROW(),21,1000-ROW(),1),"Sub"))))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IF($V291&lt;&gt;"Sub","",N($X291)*IF(AND(ISNUMBER($G291),$G291&lt;=IF($S291=MesCiclo,InicioCiclo,$S291+MOD(2-WEEKDAY($S291),7))+6),1,MIN(1,MAX(0,IF(ISNUMBER(OFFSET($A$1,ROW()-1,8)),OFFSET($A$1,ROW()-1,8),0)))))</f>
        <v/>
      </c>
      <c r="AE291" s="62">
        <f>IF($V291&lt;&gt;"Sub","",N($X291)*IF(AND(ISNUMBER($G291),$G291&lt;=IF($S291=MesCiclo,InicioCiclo,$S291+MOD(2-WEEKDAY($S291),7))+13),1,MIN(1,MAX(0,IF(ISNUMBER(OFFSET($A$1,ROW()-1,9)),OFFSET($A$1,ROW()-1,9),IF(ISNUMBER(OFFSET($A$1,ROW()-1,8)),OFFSET($A$1,ROW()-1,8),0))))))</f>
        <v/>
      </c>
      <c r="AF291" s="62">
        <f>IF($V291&lt;&gt;"Sub","",N($X291)*IF(AND(ISNUMBER($G291),$G291&lt;=IF($S291=MesCiclo,InicioCiclo,$S291+MOD(2-WEEKDAY($S291),7))+20),1,MIN(1,MAX(0,IF(ISNUMBER(OFFSET($A$1,ROW()-1,10)),OFFSET($A$1,ROW()-1,10),IF(ISNUMBER(OFFSET($A$1,ROW()-1,9)),OFFSET($A$1,ROW()-1,9),IF(ISNUMBER(OFFSET($A$1,ROW()-1,8)),OFFSET($A$1,ROW()-1,8),0)))))))</f>
        <v/>
      </c>
      <c r="AG291" s="62">
        <f>IF($V291&lt;&gt;"Sub","",N($X291)*IF(AND(ISNUMBER($G291),$G291&lt;=IF($S291=MesCiclo,InicioCiclo,$S291+MOD(2-WEEKDAY($S291),7))+27),1,MIN(1,MAX(0,IF(ISNUMBER(OFFSET($A$1,ROW()-1,11)),OFFSET($A$1,ROW()-1,11),IF(ISNUMBER(OFFSET($A$1,ROW()-1,10)),OFFSET($A$1,ROW()-1,10),IF(ISNUMBER(OFFSET($A$1,ROW()-1,9)),OFFSET($A$1,ROW()-1,9),IF(ISNUMBER(OFFSET($A$1,ROW()-1,8)),OFFSET($A$1,ROW()-1,8),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",IFERROR(MATCH("Riesgo Financiero|"&amp;MID($C291,12,500),rDname_ADM,0),0),"")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IF(N($W292)=0,"",IF(AND($S292=MesCiclo,1&gt;SemanaActual),"",MIN(1,SUMIFS(OFFSET($A$1,ROW(),29,1000-ROW(),1),OFFSET($A$1,ROW(),20,1000-ROW(),1),ROW(),OFFSET($A$1,ROW(),21,1000-ROW(),1),"Sub"))))</f>
        <v/>
      </c>
      <c r="J292" s="60">
        <f>IF(N($W292)=0,"",IF(AND($S292=MesCiclo,2&gt;SemanaActual),"",MIN(1,SUMIFS(OFFSET($A$1,ROW(),30,1000-ROW(),1),OFFSET($A$1,ROW(),20,1000-ROW(),1),ROW(),OFFSET($A$1,ROW(),21,1000-ROW(),1),"Sub"))))</f>
        <v/>
      </c>
      <c r="K292" s="60">
        <f>IF(N($W292)=0,"",IF(AND($S292=MesCiclo,3&gt;SemanaActual),"",MIN(1,SUMIFS(OFFSET($A$1,ROW(),31,1000-ROW(),1),OFFSET($A$1,ROW(),20,1000-ROW(),1),ROW(),OFFSET($A$1,ROW(),21,1000-ROW(),1),"Sub"))))</f>
        <v/>
      </c>
      <c r="L292" s="60">
        <f>IF(N($W292)=0,"",IF(AND($S292=MesCiclo,4&gt;SemanaActual),"",MIN(1,SUMIFS(OFFSET($A$1,ROW(),32,1000-ROW(),1),OFFSET($A$1,ROW(),20,1000-ROW(),1),ROW(),OFFSET($A$1,ROW(),21,1000-ROW(),1),"Sub"))))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IF($V292&lt;&gt;"Sub","",N($X292)*IF(AND(ISNUMBER($G292),$G292&lt;=IF($S292=MesCiclo,InicioCiclo,$S292+MOD(2-WEEKDAY($S292),7))+6),1,MIN(1,MAX(0,IF(ISNUMBER(OFFSET($A$1,ROW()-1,8)),OFFSET($A$1,ROW()-1,8),0)))))</f>
        <v/>
      </c>
      <c r="AE292" s="62">
        <f>IF($V292&lt;&gt;"Sub","",N($X292)*IF(AND(ISNUMBER($G292),$G292&lt;=IF($S292=MesCiclo,InicioCiclo,$S292+MOD(2-WEEKDAY($S292),7))+13),1,MIN(1,MAX(0,IF(ISNUMBER(OFFSET($A$1,ROW()-1,9)),OFFSET($A$1,ROW()-1,9),IF(ISNUMBER(OFFSET($A$1,ROW()-1,8)),OFFSET($A$1,ROW()-1,8),0))))))</f>
        <v/>
      </c>
      <c r="AF292" s="62">
        <f>IF($V292&lt;&gt;"Sub","",N($X292)*IF(AND(ISNUMBER($G292),$G292&lt;=IF($S292=MesCiclo,InicioCiclo,$S292+MOD(2-WEEKDAY($S292),7))+20),1,MIN(1,MAX(0,IF(ISNUMBER(OFFSET($A$1,ROW()-1,10)),OFFSET($A$1,ROW()-1,10),IF(ISNUMBER(OFFSET($A$1,ROW()-1,9)),OFFSET($A$1,ROW()-1,9),IF(ISNUMBER(OFFSET($A$1,ROW()-1,8)),OFFSET($A$1,ROW()-1,8),0)))))))</f>
        <v/>
      </c>
      <c r="AG292" s="62">
        <f>IF($V292&lt;&gt;"Sub","",N($X292)*IF(AND(ISNUMBER($G292),$G292&lt;=IF($S292=MesCiclo,InicioCiclo,$S292+MOD(2-WEEKDAY($S292),7))+27),1,MIN(1,MAX(0,IF(ISNUMBER(OFFSET($A$1,ROW()-1,11)),OFFSET($A$1,ROW()-1,11),IF(ISNUMBER(OFFSET($A$1,ROW()-1,10)),OFFSET($A$1,ROW()-1,10),IF(ISNUMBER(OFFSET($A$1,ROW()-1,9)),OFFSET($A$1,ROW()-1,9),IF(ISNUMBER(OFFSET($A$1,ROW()-1,8)),OFFSET($A$1,ROW()-1,8),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",IFERROR(MATCH("Riesgo Financiero|"&amp;MID($C292,12,500),rDname_ADM,0),0),"")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IF(N($W293)=0,"",IF(AND($S293=MesCiclo,1&gt;SemanaActual),"",MIN(1,SUMIFS(OFFSET($A$1,ROW(),29,1000-ROW(),1),OFFSET($A$1,ROW(),20,1000-ROW(),1),ROW(),OFFSET($A$1,ROW(),21,1000-ROW(),1),"Sub"))))</f>
        <v/>
      </c>
      <c r="J293" s="60">
        <f>IF(N($W293)=0,"",IF(AND($S293=MesCiclo,2&gt;SemanaActual),"",MIN(1,SUMIFS(OFFSET($A$1,ROW(),30,1000-ROW(),1),OFFSET($A$1,ROW(),20,1000-ROW(),1),ROW(),OFFSET($A$1,ROW(),21,1000-ROW(),1),"Sub"))))</f>
        <v/>
      </c>
      <c r="K293" s="60">
        <f>IF(N($W293)=0,"",IF(AND($S293=MesCiclo,3&gt;SemanaActual),"",MIN(1,SUMIFS(OFFSET($A$1,ROW(),31,1000-ROW(),1),OFFSET($A$1,ROW(),20,1000-ROW(),1),ROW(),OFFSET($A$1,ROW(),21,1000-ROW(),1),"Sub"))))</f>
        <v/>
      </c>
      <c r="L293" s="60">
        <f>IF(N($W293)=0,"",IF(AND($S293=MesCiclo,4&gt;SemanaActual),"",MIN(1,SUMIFS(OFFSET($A$1,ROW(),32,1000-ROW(),1),OFFSET($A$1,ROW(),20,1000-ROW(),1),ROW(),OFFSET($A$1,ROW(),21,1000-ROW(),1),"Sub"))))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IF($V293&lt;&gt;"Sub","",N($X293)*IF(AND(ISNUMBER($G293),$G293&lt;=IF($S293=MesCiclo,InicioCiclo,$S293+MOD(2-WEEKDAY($S293),7))+6),1,MIN(1,MAX(0,IF(ISNUMBER(OFFSET($A$1,ROW()-1,8)),OFFSET($A$1,ROW()-1,8),0)))))</f>
        <v/>
      </c>
      <c r="AE293" s="62">
        <f>IF($V293&lt;&gt;"Sub","",N($X293)*IF(AND(ISNUMBER($G293),$G293&lt;=IF($S293=MesCiclo,InicioCiclo,$S293+MOD(2-WEEKDAY($S293),7))+13),1,MIN(1,MAX(0,IF(ISNUMBER(OFFSET($A$1,ROW()-1,9)),OFFSET($A$1,ROW()-1,9),IF(ISNUMBER(OFFSET($A$1,ROW()-1,8)),OFFSET($A$1,ROW()-1,8),0))))))</f>
        <v/>
      </c>
      <c r="AF293" s="62">
        <f>IF($V293&lt;&gt;"Sub","",N($X293)*IF(AND(ISNUMBER($G293),$G293&lt;=IF($S293=MesCiclo,InicioCiclo,$S293+MOD(2-WEEKDAY($S293),7))+20),1,MIN(1,MAX(0,IF(ISNUMBER(OFFSET($A$1,ROW()-1,10)),OFFSET($A$1,ROW()-1,10),IF(ISNUMBER(OFFSET($A$1,ROW()-1,9)),OFFSET($A$1,ROW()-1,9),IF(ISNUMBER(OFFSET($A$1,ROW()-1,8)),OFFSET($A$1,ROW()-1,8),0)))))))</f>
        <v/>
      </c>
      <c r="AG293" s="62">
        <f>IF($V293&lt;&gt;"Sub","",N($X293)*IF(AND(ISNUMBER($G293),$G293&lt;=IF($S293=MesCiclo,InicioCiclo,$S293+MOD(2-WEEKDAY($S293),7))+27),1,MIN(1,MAX(0,IF(ISNUMBER(OFFSET($A$1,ROW()-1,11)),OFFSET($A$1,ROW()-1,11),IF(ISNUMBER(OFFSET($A$1,ROW()-1,10)),OFFSET($A$1,ROW()-1,10),IF(ISNUMBER(OFFSET($A$1,ROW()-1,9)),OFFSET($A$1,ROW()-1,9),IF(ISNUMBER(OFFSET($A$1,ROW()-1,8)),OFFSET($A$1,ROW()-1,8),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",IFERROR(MATCH("Riesgo Financiero|"&amp;MID($C293,12,500),rDname_ADM,0),0),"")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IF(N($W294)=0,"",IF(AND($S294=MesCiclo,1&gt;SemanaActual),"",MIN(1,SUMIFS(OFFSET($A$1,ROW(),29,1000-ROW(),1),OFFSET($A$1,ROW(),20,1000-ROW(),1),ROW(),OFFSET($A$1,ROW(),21,1000-ROW(),1),"Sub"))))</f>
        <v/>
      </c>
      <c r="J294" s="60">
        <f>IF(N($W294)=0,"",IF(AND($S294=MesCiclo,2&gt;SemanaActual),"",MIN(1,SUMIFS(OFFSET($A$1,ROW(),30,1000-ROW(),1),OFFSET($A$1,ROW(),20,1000-ROW(),1),ROW(),OFFSET($A$1,ROW(),21,1000-ROW(),1),"Sub"))))</f>
        <v/>
      </c>
      <c r="K294" s="60">
        <f>IF(N($W294)=0,"",IF(AND($S294=MesCiclo,3&gt;SemanaActual),"",MIN(1,SUMIFS(OFFSET($A$1,ROW(),31,1000-ROW(),1),OFFSET($A$1,ROW(),20,1000-ROW(),1),ROW(),OFFSET($A$1,ROW(),21,1000-ROW(),1),"Sub"))))</f>
        <v/>
      </c>
      <c r="L294" s="60">
        <f>IF(N($W294)=0,"",IF(AND($S294=MesCiclo,4&gt;SemanaActual),"",MIN(1,SUMIFS(OFFSET($A$1,ROW(),32,1000-ROW(),1),OFFSET($A$1,ROW(),20,1000-ROW(),1),ROW(),OFFSET($A$1,ROW(),21,1000-ROW(),1),"Sub"))))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IF($V294&lt;&gt;"Sub","",N($X294)*IF(AND(ISNUMBER($G294),$G294&lt;=IF($S294=MesCiclo,InicioCiclo,$S294+MOD(2-WEEKDAY($S294),7))+6),1,MIN(1,MAX(0,IF(ISNUMBER(OFFSET($A$1,ROW()-1,8)),OFFSET($A$1,ROW()-1,8),0)))))</f>
        <v/>
      </c>
      <c r="AE294" s="62">
        <f>IF($V294&lt;&gt;"Sub","",N($X294)*IF(AND(ISNUMBER($G294),$G294&lt;=IF($S294=MesCiclo,InicioCiclo,$S294+MOD(2-WEEKDAY($S294),7))+13),1,MIN(1,MAX(0,IF(ISNUMBER(OFFSET($A$1,ROW()-1,9)),OFFSET($A$1,ROW()-1,9),IF(ISNUMBER(OFFSET($A$1,ROW()-1,8)),OFFSET($A$1,ROW()-1,8),0))))))</f>
        <v/>
      </c>
      <c r="AF294" s="62">
        <f>IF($V294&lt;&gt;"Sub","",N($X294)*IF(AND(ISNUMBER($G294),$G294&lt;=IF($S294=MesCiclo,InicioCiclo,$S294+MOD(2-WEEKDAY($S294),7))+20),1,MIN(1,MAX(0,IF(ISNUMBER(OFFSET($A$1,ROW()-1,10)),OFFSET($A$1,ROW()-1,10),IF(ISNUMBER(OFFSET($A$1,ROW()-1,9)),OFFSET($A$1,ROW()-1,9),IF(ISNUMBER(OFFSET($A$1,ROW()-1,8)),OFFSET($A$1,ROW()-1,8),0)))))))</f>
        <v/>
      </c>
      <c r="AG294" s="62">
        <f>IF($V294&lt;&gt;"Sub","",N($X294)*IF(AND(ISNUMBER($G294),$G294&lt;=IF($S294=MesCiclo,InicioCiclo,$S294+MOD(2-WEEKDAY($S294),7))+27),1,MIN(1,MAX(0,IF(ISNUMBER(OFFSET($A$1,ROW()-1,11)),OFFSET($A$1,ROW()-1,11),IF(ISNUMBER(OFFSET($A$1,ROW()-1,10)),OFFSET($A$1,ROW()-1,10),IF(ISNUMBER(OFFSET($A$1,ROW()-1,9)),OFFSET($A$1,ROW()-1,9),IF(ISNUMBER(OFFSET($A$1,ROW()-1,8)),OFFSET($A$1,ROW()-1,8),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",IFERROR(MATCH("Riesgo Financiero|"&amp;MID($C294,12,500),rDname_ADM,0),0),"")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IF(N($W295)=0,"",IF(AND($S295=MesCiclo,1&gt;SemanaActual),"",MIN(1,SUMIFS(OFFSET($A$1,ROW(),29,1000-ROW(),1),OFFSET($A$1,ROW(),20,1000-ROW(),1),ROW(),OFFSET($A$1,ROW(),21,1000-ROW(),1),"Sub"))))</f>
        <v/>
      </c>
      <c r="J295" s="60">
        <f>IF(N($W295)=0,"",IF(AND($S295=MesCiclo,2&gt;SemanaActual),"",MIN(1,SUMIFS(OFFSET($A$1,ROW(),30,1000-ROW(),1),OFFSET($A$1,ROW(),20,1000-ROW(),1),ROW(),OFFSET($A$1,ROW(),21,1000-ROW(),1),"Sub"))))</f>
        <v/>
      </c>
      <c r="K295" s="60">
        <f>IF(N($W295)=0,"",IF(AND($S295=MesCiclo,3&gt;SemanaActual),"",MIN(1,SUMIFS(OFFSET($A$1,ROW(),31,1000-ROW(),1),OFFSET($A$1,ROW(),20,1000-ROW(),1),ROW(),OFFSET($A$1,ROW(),21,1000-ROW(),1),"Sub"))))</f>
        <v/>
      </c>
      <c r="L295" s="60">
        <f>IF(N($W295)=0,"",IF(AND($S295=MesCiclo,4&gt;SemanaActual),"",MIN(1,SUMIFS(OFFSET($A$1,ROW(),32,1000-ROW(),1),OFFSET($A$1,ROW(),20,1000-ROW(),1),ROW(),OFFSET($A$1,ROW(),21,1000-ROW(),1),"Sub"))))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IF($V295&lt;&gt;"Sub","",N($X295)*IF(AND(ISNUMBER($G295),$G295&lt;=IF($S295=MesCiclo,InicioCiclo,$S295+MOD(2-WEEKDAY($S295),7))+6),1,MIN(1,MAX(0,IF(ISNUMBER(OFFSET($A$1,ROW()-1,8)),OFFSET($A$1,ROW()-1,8),0)))))</f>
        <v/>
      </c>
      <c r="AE295" s="62">
        <f>IF($V295&lt;&gt;"Sub","",N($X295)*IF(AND(ISNUMBER($G295),$G295&lt;=IF($S295=MesCiclo,InicioCiclo,$S295+MOD(2-WEEKDAY($S295),7))+13),1,MIN(1,MAX(0,IF(ISNUMBER(OFFSET($A$1,ROW()-1,9)),OFFSET($A$1,ROW()-1,9),IF(ISNUMBER(OFFSET($A$1,ROW()-1,8)),OFFSET($A$1,ROW()-1,8),0))))))</f>
        <v/>
      </c>
      <c r="AF295" s="62">
        <f>IF($V295&lt;&gt;"Sub","",N($X295)*IF(AND(ISNUMBER($G295),$G295&lt;=IF($S295=MesCiclo,InicioCiclo,$S295+MOD(2-WEEKDAY($S295),7))+20),1,MIN(1,MAX(0,IF(ISNUMBER(OFFSET($A$1,ROW()-1,10)),OFFSET($A$1,ROW()-1,10),IF(ISNUMBER(OFFSET($A$1,ROW()-1,9)),OFFSET($A$1,ROW()-1,9),IF(ISNUMBER(OFFSET($A$1,ROW()-1,8)),OFFSET($A$1,ROW()-1,8),0)))))))</f>
        <v/>
      </c>
      <c r="AG295" s="62">
        <f>IF($V295&lt;&gt;"Sub","",N($X295)*IF(AND(ISNUMBER($G295),$G295&lt;=IF($S295=MesCiclo,InicioCiclo,$S295+MOD(2-WEEKDAY($S295),7))+27),1,MIN(1,MAX(0,IF(ISNUMBER(OFFSET($A$1,ROW()-1,11)),OFFSET($A$1,ROW()-1,11),IF(ISNUMBER(OFFSET($A$1,ROW()-1,10)),OFFSET($A$1,ROW()-1,10),IF(ISNUMBER(OFFSET($A$1,ROW()-1,9)),OFFSET($A$1,ROW()-1,9),IF(ISNUMBER(OFFSET($A$1,ROW()-1,8)),OFFSET($A$1,ROW()-1,8),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",IFERROR(MATCH("Riesgo Financiero|"&amp;MID($C295,12,500),rDname_ADM,0),0),"")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IF(N($W296)=0,"",IF(AND($S296=MesCiclo,1&gt;SemanaActual),"",MIN(1,SUMIFS(OFFSET($A$1,ROW(),29,1000-ROW(),1),OFFSET($A$1,ROW(),20,1000-ROW(),1),ROW(),OFFSET($A$1,ROW(),21,1000-ROW(),1),"Sub"))))</f>
        <v/>
      </c>
      <c r="J296" s="60">
        <f>IF(N($W296)=0,"",IF(AND($S296=MesCiclo,2&gt;SemanaActual),"",MIN(1,SUMIFS(OFFSET($A$1,ROW(),30,1000-ROW(),1),OFFSET($A$1,ROW(),20,1000-ROW(),1),ROW(),OFFSET($A$1,ROW(),21,1000-ROW(),1),"Sub"))))</f>
        <v/>
      </c>
      <c r="K296" s="60">
        <f>IF(N($W296)=0,"",IF(AND($S296=MesCiclo,3&gt;SemanaActual),"",MIN(1,SUMIFS(OFFSET($A$1,ROW(),31,1000-ROW(),1),OFFSET($A$1,ROW(),20,1000-ROW(),1),ROW(),OFFSET($A$1,ROW(),21,1000-ROW(),1),"Sub"))))</f>
        <v/>
      </c>
      <c r="L296" s="60">
        <f>IF(N($W296)=0,"",IF(AND($S296=MesCiclo,4&gt;SemanaActual),"",MIN(1,SUMIFS(OFFSET($A$1,ROW(),32,1000-ROW(),1),OFFSET($A$1,ROW(),20,1000-ROW(),1),ROW(),OFFSET($A$1,ROW(),21,1000-ROW(),1),"Sub"))))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IF($V296&lt;&gt;"Sub","",N($X296)*IF(AND(ISNUMBER($G296),$G296&lt;=IF($S296=MesCiclo,InicioCiclo,$S296+MOD(2-WEEKDAY($S296),7))+6),1,MIN(1,MAX(0,IF(ISNUMBER(OFFSET($A$1,ROW()-1,8)),OFFSET($A$1,ROW()-1,8),0)))))</f>
        <v/>
      </c>
      <c r="AE296" s="62">
        <f>IF($V296&lt;&gt;"Sub","",N($X296)*IF(AND(ISNUMBER($G296),$G296&lt;=IF($S296=MesCiclo,InicioCiclo,$S296+MOD(2-WEEKDAY($S296),7))+13),1,MIN(1,MAX(0,IF(ISNUMBER(OFFSET($A$1,ROW()-1,9)),OFFSET($A$1,ROW()-1,9),IF(ISNUMBER(OFFSET($A$1,ROW()-1,8)),OFFSET($A$1,ROW()-1,8),0))))))</f>
        <v/>
      </c>
      <c r="AF296" s="62">
        <f>IF($V296&lt;&gt;"Sub","",N($X296)*IF(AND(ISNUMBER($G296),$G296&lt;=IF($S296=MesCiclo,InicioCiclo,$S296+MOD(2-WEEKDAY($S296),7))+20),1,MIN(1,MAX(0,IF(ISNUMBER(OFFSET($A$1,ROW()-1,10)),OFFSET($A$1,ROW()-1,10),IF(ISNUMBER(OFFSET($A$1,ROW()-1,9)),OFFSET($A$1,ROW()-1,9),IF(ISNUMBER(OFFSET($A$1,ROW()-1,8)),OFFSET($A$1,ROW()-1,8),0)))))))</f>
        <v/>
      </c>
      <c r="AG296" s="62">
        <f>IF($V296&lt;&gt;"Sub","",N($X296)*IF(AND(ISNUMBER($G296),$G296&lt;=IF($S296=MesCiclo,InicioCiclo,$S296+MOD(2-WEEKDAY($S296),7))+27),1,MIN(1,MAX(0,IF(ISNUMBER(OFFSET($A$1,ROW()-1,11)),OFFSET($A$1,ROW()-1,11),IF(ISNUMBER(OFFSET($A$1,ROW()-1,10)),OFFSET($A$1,ROW()-1,10),IF(ISNUMBER(OFFSET($A$1,ROW()-1,9)),OFFSET($A$1,ROW()-1,9),IF(ISNUMBER(OFFSET($A$1,ROW()-1,8)),OFFSET($A$1,ROW()-1,8),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",IFERROR(MATCH("Riesgo Financiero|"&amp;MID($C296,12,500),rDname_ADM,0),0),"")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IF(N($W297)=0,"",IF(AND($S297=MesCiclo,1&gt;SemanaActual),"",MIN(1,SUMIFS(OFFSET($A$1,ROW(),29,1000-ROW(),1),OFFSET($A$1,ROW(),20,1000-ROW(),1),ROW(),OFFSET($A$1,ROW(),21,1000-ROW(),1),"Sub"))))</f>
        <v/>
      </c>
      <c r="J297" s="60">
        <f>IF(N($W297)=0,"",IF(AND($S297=MesCiclo,2&gt;SemanaActual),"",MIN(1,SUMIFS(OFFSET($A$1,ROW(),30,1000-ROW(),1),OFFSET($A$1,ROW(),20,1000-ROW(),1),ROW(),OFFSET($A$1,ROW(),21,1000-ROW(),1),"Sub"))))</f>
        <v/>
      </c>
      <c r="K297" s="60">
        <f>IF(N($W297)=0,"",IF(AND($S297=MesCiclo,3&gt;SemanaActual),"",MIN(1,SUMIFS(OFFSET($A$1,ROW(),31,1000-ROW(),1),OFFSET($A$1,ROW(),20,1000-ROW(),1),ROW(),OFFSET($A$1,ROW(),21,1000-ROW(),1),"Sub"))))</f>
        <v/>
      </c>
      <c r="L297" s="60">
        <f>IF(N($W297)=0,"",IF(AND($S297=MesCiclo,4&gt;SemanaActual),"",MIN(1,SUMIFS(OFFSET($A$1,ROW(),32,1000-ROW(),1),OFFSET($A$1,ROW(),20,1000-ROW(),1),ROW(),OFFSET($A$1,ROW(),21,1000-ROW(),1),"Sub"))))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IF($V297&lt;&gt;"Sub","",N($X297)*IF(AND(ISNUMBER($G297),$G297&lt;=IF($S297=MesCiclo,InicioCiclo,$S297+MOD(2-WEEKDAY($S297),7))+6),1,MIN(1,MAX(0,IF(ISNUMBER(OFFSET($A$1,ROW()-1,8)),OFFSET($A$1,ROW()-1,8),0)))))</f>
        <v/>
      </c>
      <c r="AE297" s="62">
        <f>IF($V297&lt;&gt;"Sub","",N($X297)*IF(AND(ISNUMBER($G297),$G297&lt;=IF($S297=MesCiclo,InicioCiclo,$S297+MOD(2-WEEKDAY($S297),7))+13),1,MIN(1,MAX(0,IF(ISNUMBER(OFFSET($A$1,ROW()-1,9)),OFFSET($A$1,ROW()-1,9),IF(ISNUMBER(OFFSET($A$1,ROW()-1,8)),OFFSET($A$1,ROW()-1,8),0))))))</f>
        <v/>
      </c>
      <c r="AF297" s="62">
        <f>IF($V297&lt;&gt;"Sub","",N($X297)*IF(AND(ISNUMBER($G297),$G297&lt;=IF($S297=MesCiclo,InicioCiclo,$S297+MOD(2-WEEKDAY($S297),7))+20),1,MIN(1,MAX(0,IF(ISNUMBER(OFFSET($A$1,ROW()-1,10)),OFFSET($A$1,ROW()-1,10),IF(ISNUMBER(OFFSET($A$1,ROW()-1,9)),OFFSET($A$1,ROW()-1,9),IF(ISNUMBER(OFFSET($A$1,ROW()-1,8)),OFFSET($A$1,ROW()-1,8),0)))))))</f>
        <v/>
      </c>
      <c r="AG297" s="62">
        <f>IF($V297&lt;&gt;"Sub","",N($X297)*IF(AND(ISNUMBER($G297),$G297&lt;=IF($S297=MesCiclo,InicioCiclo,$S297+MOD(2-WEEKDAY($S297),7))+27),1,MIN(1,MAX(0,IF(ISNUMBER(OFFSET($A$1,ROW()-1,11)),OFFSET($A$1,ROW()-1,11),IF(ISNUMBER(OFFSET($A$1,ROW()-1,10)),OFFSET($A$1,ROW()-1,10),IF(ISNUMBER(OFFSET($A$1,ROW()-1,9)),OFFSET($A$1,ROW()-1,9),IF(ISNUMBER(OFFSET($A$1,ROW()-1,8)),OFFSET($A$1,ROW()-1,8),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",IFERROR(MATCH("Riesgo Financiero|"&amp;MID($C297,12,500),rDname_ADM,0),0),"")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IF(N($W298)=0,"",IF(AND($S298=MesCiclo,1&gt;SemanaActual),"",MIN(1,SUMIFS(OFFSET($A$1,ROW(),29,1000-ROW(),1),OFFSET($A$1,ROW(),20,1000-ROW(),1),ROW(),OFFSET($A$1,ROW(),21,1000-ROW(),1),"Sub"))))</f>
        <v/>
      </c>
      <c r="J298" s="60">
        <f>IF(N($W298)=0,"",IF(AND($S298=MesCiclo,2&gt;SemanaActual),"",MIN(1,SUMIFS(OFFSET($A$1,ROW(),30,1000-ROW(),1),OFFSET($A$1,ROW(),20,1000-ROW(),1),ROW(),OFFSET($A$1,ROW(),21,1000-ROW(),1),"Sub"))))</f>
        <v/>
      </c>
      <c r="K298" s="60">
        <f>IF(N($W298)=0,"",IF(AND($S298=MesCiclo,3&gt;SemanaActual),"",MIN(1,SUMIFS(OFFSET($A$1,ROW(),31,1000-ROW(),1),OFFSET($A$1,ROW(),20,1000-ROW(),1),ROW(),OFFSET($A$1,ROW(),21,1000-ROW(),1),"Sub"))))</f>
        <v/>
      </c>
      <c r="L298" s="60">
        <f>IF(N($W298)=0,"",IF(AND($S298=MesCiclo,4&gt;SemanaActual),"",MIN(1,SUMIFS(OFFSET($A$1,ROW(),32,1000-ROW(),1),OFFSET($A$1,ROW(),20,1000-ROW(),1),ROW(),OFFSET($A$1,ROW(),21,1000-ROW(),1),"Sub"))))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IF($V298&lt;&gt;"Sub","",N($X298)*IF(AND(ISNUMBER($G298),$G298&lt;=IF($S298=MesCiclo,InicioCiclo,$S298+MOD(2-WEEKDAY($S298),7))+6),1,MIN(1,MAX(0,IF(ISNUMBER(OFFSET($A$1,ROW()-1,8)),OFFSET($A$1,ROW()-1,8),0)))))</f>
        <v/>
      </c>
      <c r="AE298" s="62">
        <f>IF($V298&lt;&gt;"Sub","",N($X298)*IF(AND(ISNUMBER($G298),$G298&lt;=IF($S298=MesCiclo,InicioCiclo,$S298+MOD(2-WEEKDAY($S298),7))+13),1,MIN(1,MAX(0,IF(ISNUMBER(OFFSET($A$1,ROW()-1,9)),OFFSET($A$1,ROW()-1,9),IF(ISNUMBER(OFFSET($A$1,ROW()-1,8)),OFFSET($A$1,ROW()-1,8),0))))))</f>
        <v/>
      </c>
      <c r="AF298" s="62">
        <f>IF($V298&lt;&gt;"Sub","",N($X298)*IF(AND(ISNUMBER($G298),$G298&lt;=IF($S298=MesCiclo,InicioCiclo,$S298+MOD(2-WEEKDAY($S298),7))+20),1,MIN(1,MAX(0,IF(ISNUMBER(OFFSET($A$1,ROW()-1,10)),OFFSET($A$1,ROW()-1,10),IF(ISNUMBER(OFFSET($A$1,ROW()-1,9)),OFFSET($A$1,ROW()-1,9),IF(ISNUMBER(OFFSET($A$1,ROW()-1,8)),OFFSET($A$1,ROW()-1,8),0)))))))</f>
        <v/>
      </c>
      <c r="AG298" s="62">
        <f>IF($V298&lt;&gt;"Sub","",N($X298)*IF(AND(ISNUMBER($G298),$G298&lt;=IF($S298=MesCiclo,InicioCiclo,$S298+MOD(2-WEEKDAY($S298),7))+27),1,MIN(1,MAX(0,IF(ISNUMBER(OFFSET($A$1,ROW()-1,11)),OFFSET($A$1,ROW()-1,11),IF(ISNUMBER(OFFSET($A$1,ROW()-1,10)),OFFSET($A$1,ROW()-1,10),IF(ISNUMBER(OFFSET($A$1,ROW()-1,9)),OFFSET($A$1,ROW()-1,9),IF(ISNUMBER(OFFSET($A$1,ROW()-1,8)),OFFSET($A$1,ROW()-1,8),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",IFERROR(MATCH("Riesgo Financiero|"&amp;MID($C298,12,500),rDname_ADM,0),0),"")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IF(N($W299)=0,"",IF(AND($S299=MesCiclo,1&gt;SemanaActual),"",MIN(1,SUMIFS(OFFSET($A$1,ROW(),29,1000-ROW(),1),OFFSET($A$1,ROW(),20,1000-ROW(),1),ROW(),OFFSET($A$1,ROW(),21,1000-ROW(),1),"Sub"))))</f>
        <v/>
      </c>
      <c r="J299" s="60">
        <f>IF(N($W299)=0,"",IF(AND($S299=MesCiclo,2&gt;SemanaActual),"",MIN(1,SUMIFS(OFFSET($A$1,ROW(),30,1000-ROW(),1),OFFSET($A$1,ROW(),20,1000-ROW(),1),ROW(),OFFSET($A$1,ROW(),21,1000-ROW(),1),"Sub"))))</f>
        <v/>
      </c>
      <c r="K299" s="60">
        <f>IF(N($W299)=0,"",IF(AND($S299=MesCiclo,3&gt;SemanaActual),"",MIN(1,SUMIFS(OFFSET($A$1,ROW(),31,1000-ROW(),1),OFFSET($A$1,ROW(),20,1000-ROW(),1),ROW(),OFFSET($A$1,ROW(),21,1000-ROW(),1),"Sub"))))</f>
        <v/>
      </c>
      <c r="L299" s="60">
        <f>IF(N($W299)=0,"",IF(AND($S299=MesCiclo,4&gt;SemanaActual),"",MIN(1,SUMIFS(OFFSET($A$1,ROW(),32,1000-ROW(),1),OFFSET($A$1,ROW(),20,1000-ROW(),1),ROW(),OFFSET($A$1,ROW(),21,1000-ROW(),1),"Sub"))))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IF($V299&lt;&gt;"Sub","",N($X299)*IF(AND(ISNUMBER($G299),$G299&lt;=IF($S299=MesCiclo,InicioCiclo,$S299+MOD(2-WEEKDAY($S299),7))+6),1,MIN(1,MAX(0,IF(ISNUMBER(OFFSET($A$1,ROW()-1,8)),OFFSET($A$1,ROW()-1,8),0)))))</f>
        <v/>
      </c>
      <c r="AE299" s="62">
        <f>IF($V299&lt;&gt;"Sub","",N($X299)*IF(AND(ISNUMBER($G299),$G299&lt;=IF($S299=MesCiclo,InicioCiclo,$S299+MOD(2-WEEKDAY($S299),7))+13),1,MIN(1,MAX(0,IF(ISNUMBER(OFFSET($A$1,ROW()-1,9)),OFFSET($A$1,ROW()-1,9),IF(ISNUMBER(OFFSET($A$1,ROW()-1,8)),OFFSET($A$1,ROW()-1,8),0))))))</f>
        <v/>
      </c>
      <c r="AF299" s="62">
        <f>IF($V299&lt;&gt;"Sub","",N($X299)*IF(AND(ISNUMBER($G299),$G299&lt;=IF($S299=MesCiclo,InicioCiclo,$S299+MOD(2-WEEKDAY($S299),7))+20),1,MIN(1,MAX(0,IF(ISNUMBER(OFFSET($A$1,ROW()-1,10)),OFFSET($A$1,ROW()-1,10),IF(ISNUMBER(OFFSET($A$1,ROW()-1,9)),OFFSET($A$1,ROW()-1,9),IF(ISNUMBER(OFFSET($A$1,ROW()-1,8)),OFFSET($A$1,ROW()-1,8),0)))))))</f>
        <v/>
      </c>
      <c r="AG299" s="62">
        <f>IF($V299&lt;&gt;"Sub","",N($X299)*IF(AND(ISNUMBER($G299),$G299&lt;=IF($S299=MesCiclo,InicioCiclo,$S299+MOD(2-WEEKDAY($S299),7))+27),1,MIN(1,MAX(0,IF(ISNUMBER(OFFSET($A$1,ROW()-1,11)),OFFSET($A$1,ROW()-1,11),IF(ISNUMBER(OFFSET($A$1,ROW()-1,10)),OFFSET($A$1,ROW()-1,10),IF(ISNUMBER(OFFSET($A$1,ROW()-1,9)),OFFSET($A$1,ROW()-1,9),IF(ISNUMBER(OFFSET($A$1,ROW()-1,8)),OFFSET($A$1,ROW()-1,8),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",IFERROR(MATCH("Riesgo Financiero|"&amp;MID($C299,12,500),rDname_ADM,0),0),"")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IF(N($W300)=0,"",IF(AND($S300=MesCiclo,1&gt;SemanaActual),"",MIN(1,SUMIFS(OFFSET($A$1,ROW(),29,1000-ROW(),1),OFFSET($A$1,ROW(),20,1000-ROW(),1),ROW(),OFFSET($A$1,ROW(),21,1000-ROW(),1),"Sub"))))</f>
        <v/>
      </c>
      <c r="J300" s="60">
        <f>IF(N($W300)=0,"",IF(AND($S300=MesCiclo,2&gt;SemanaActual),"",MIN(1,SUMIFS(OFFSET($A$1,ROW(),30,1000-ROW(),1),OFFSET($A$1,ROW(),20,1000-ROW(),1),ROW(),OFFSET($A$1,ROW(),21,1000-ROW(),1),"Sub"))))</f>
        <v/>
      </c>
      <c r="K300" s="60">
        <f>IF(N($W300)=0,"",IF(AND($S300=MesCiclo,3&gt;SemanaActual),"",MIN(1,SUMIFS(OFFSET($A$1,ROW(),31,1000-ROW(),1),OFFSET($A$1,ROW(),20,1000-ROW(),1),ROW(),OFFSET($A$1,ROW(),21,1000-ROW(),1),"Sub"))))</f>
        <v/>
      </c>
      <c r="L300" s="60">
        <f>IF(N($W300)=0,"",IF(AND($S300=MesCiclo,4&gt;SemanaActual),"",MIN(1,SUMIFS(OFFSET($A$1,ROW(),32,1000-ROW(),1),OFFSET($A$1,ROW(),20,1000-ROW(),1),ROW(),OFFSET($A$1,ROW(),21,1000-ROW(),1),"Sub"))))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IF($V300&lt;&gt;"Sub","",N($X300)*IF(AND(ISNUMBER($G300),$G300&lt;=IF($S300=MesCiclo,InicioCiclo,$S300+MOD(2-WEEKDAY($S300),7))+6),1,MIN(1,MAX(0,IF(ISNUMBER(OFFSET($A$1,ROW()-1,8)),OFFSET($A$1,ROW()-1,8),0)))))</f>
        <v/>
      </c>
      <c r="AE300" s="62">
        <f>IF($V300&lt;&gt;"Sub","",N($X300)*IF(AND(ISNUMBER($G300),$G300&lt;=IF($S300=MesCiclo,InicioCiclo,$S300+MOD(2-WEEKDAY($S300),7))+13),1,MIN(1,MAX(0,IF(ISNUMBER(OFFSET($A$1,ROW()-1,9)),OFFSET($A$1,ROW()-1,9),IF(ISNUMBER(OFFSET($A$1,ROW()-1,8)),OFFSET($A$1,ROW()-1,8),0))))))</f>
        <v/>
      </c>
      <c r="AF300" s="62">
        <f>IF($V300&lt;&gt;"Sub","",N($X300)*IF(AND(ISNUMBER($G300),$G300&lt;=IF($S300=MesCiclo,InicioCiclo,$S300+MOD(2-WEEKDAY($S300),7))+20),1,MIN(1,MAX(0,IF(ISNUMBER(OFFSET($A$1,ROW()-1,10)),OFFSET($A$1,ROW()-1,10),IF(ISNUMBER(OFFSET($A$1,ROW()-1,9)),OFFSET($A$1,ROW()-1,9),IF(ISNUMBER(OFFSET($A$1,ROW()-1,8)),OFFSET($A$1,ROW()-1,8),0)))))))</f>
        <v/>
      </c>
      <c r="AG300" s="62">
        <f>IF($V300&lt;&gt;"Sub","",N($X300)*IF(AND(ISNUMBER($G300),$G300&lt;=IF($S300=MesCiclo,InicioCiclo,$S300+MOD(2-WEEKDAY($S300),7))+27),1,MIN(1,MAX(0,IF(ISNUMBER(OFFSET($A$1,ROW()-1,11)),OFFSET($A$1,ROW()-1,11),IF(ISNUMBER(OFFSET($A$1,ROW()-1,10)),OFFSET($A$1,ROW()-1,10),IF(ISNUMBER(OFFSET($A$1,ROW()-1,9)),OFFSET($A$1,ROW()-1,9),IF(ISNUMBER(OFFSET($A$1,ROW()-1,8)),OFFSET($A$1,ROW()-1,8),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",IFERROR(MATCH("Riesgo Financiero|"&amp;MID($C300,12,500),rDname_ADM,0),0),"")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IF(N($W301)=0,"",IF(AND($S301=MesCiclo,1&gt;SemanaActual),"",MIN(1,SUMIFS(OFFSET($A$1,ROW(),29,1000-ROW(),1),OFFSET($A$1,ROW(),20,1000-ROW(),1),ROW(),OFFSET($A$1,ROW(),21,1000-ROW(),1),"Sub"))))</f>
        <v/>
      </c>
      <c r="J301" s="60">
        <f>IF(N($W301)=0,"",IF(AND($S301=MesCiclo,2&gt;SemanaActual),"",MIN(1,SUMIFS(OFFSET($A$1,ROW(),30,1000-ROW(),1),OFFSET($A$1,ROW(),20,1000-ROW(),1),ROW(),OFFSET($A$1,ROW(),21,1000-ROW(),1),"Sub"))))</f>
        <v/>
      </c>
      <c r="K301" s="60">
        <f>IF(N($W301)=0,"",IF(AND($S301=MesCiclo,3&gt;SemanaActual),"",MIN(1,SUMIFS(OFFSET($A$1,ROW(),31,1000-ROW(),1),OFFSET($A$1,ROW(),20,1000-ROW(),1),ROW(),OFFSET($A$1,ROW(),21,1000-ROW(),1),"Sub"))))</f>
        <v/>
      </c>
      <c r="L301" s="60">
        <f>IF(N($W301)=0,"",IF(AND($S301=MesCiclo,4&gt;SemanaActual),"",MIN(1,SUMIFS(OFFSET($A$1,ROW(),32,1000-ROW(),1),OFFSET($A$1,ROW(),20,1000-ROW(),1),ROW(),OFFSET($A$1,ROW(),21,1000-ROW(),1),"Sub"))))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IF($V301&lt;&gt;"Sub","",N($X301)*IF(AND(ISNUMBER($G301),$G301&lt;=IF($S301=MesCiclo,InicioCiclo,$S301+MOD(2-WEEKDAY($S301),7))+6),1,MIN(1,MAX(0,IF(ISNUMBER(OFFSET($A$1,ROW()-1,8)),OFFSET($A$1,ROW()-1,8),0)))))</f>
        <v/>
      </c>
      <c r="AE301" s="62">
        <f>IF($V301&lt;&gt;"Sub","",N($X301)*IF(AND(ISNUMBER($G301),$G301&lt;=IF($S301=MesCiclo,InicioCiclo,$S301+MOD(2-WEEKDAY($S301),7))+13),1,MIN(1,MAX(0,IF(ISNUMBER(OFFSET($A$1,ROW()-1,9)),OFFSET($A$1,ROW()-1,9),IF(ISNUMBER(OFFSET($A$1,ROW()-1,8)),OFFSET($A$1,ROW()-1,8),0))))))</f>
        <v/>
      </c>
      <c r="AF301" s="62">
        <f>IF($V301&lt;&gt;"Sub","",N($X301)*IF(AND(ISNUMBER($G301),$G301&lt;=IF($S301=MesCiclo,InicioCiclo,$S301+MOD(2-WEEKDAY($S301),7))+20),1,MIN(1,MAX(0,IF(ISNUMBER(OFFSET($A$1,ROW()-1,10)),OFFSET($A$1,ROW()-1,10),IF(ISNUMBER(OFFSET($A$1,ROW()-1,9)),OFFSET($A$1,ROW()-1,9),IF(ISNUMBER(OFFSET($A$1,ROW()-1,8)),OFFSET($A$1,ROW()-1,8),0)))))))</f>
        <v/>
      </c>
      <c r="AG301" s="62">
        <f>IF($V301&lt;&gt;"Sub","",N($X301)*IF(AND(ISNUMBER($G301),$G301&lt;=IF($S301=MesCiclo,InicioCiclo,$S301+MOD(2-WEEKDAY($S301),7))+27),1,MIN(1,MAX(0,IF(ISNUMBER(OFFSET($A$1,ROW()-1,11)),OFFSET($A$1,ROW()-1,11),IF(ISNUMBER(OFFSET($A$1,ROW()-1,10)),OFFSET($A$1,ROW()-1,10),IF(ISNUMBER(OFFSET($A$1,ROW()-1,9)),OFFSET($A$1,ROW()-1,9),IF(ISNUMBER(OFFSET($A$1,ROW()-1,8)),OFFSET($A$1,ROW()-1,8),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",IFERROR(MATCH("Riesgo Financiero|"&amp;MID($C301,12,500),rDname_ADM,0),0),"")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IF(N($W302)=0,"",IF(AND($S302=MesCiclo,1&gt;SemanaActual),"",MIN(1,SUMIFS(OFFSET($A$1,ROW(),29,1000-ROW(),1),OFFSET($A$1,ROW(),20,1000-ROW(),1),ROW(),OFFSET($A$1,ROW(),21,1000-ROW(),1),"Sub"))))</f>
        <v/>
      </c>
      <c r="J302" s="60">
        <f>IF(N($W302)=0,"",IF(AND($S302=MesCiclo,2&gt;SemanaActual),"",MIN(1,SUMIFS(OFFSET($A$1,ROW(),30,1000-ROW(),1),OFFSET($A$1,ROW(),20,1000-ROW(),1),ROW(),OFFSET($A$1,ROW(),21,1000-ROW(),1),"Sub"))))</f>
        <v/>
      </c>
      <c r="K302" s="60">
        <f>IF(N($W302)=0,"",IF(AND($S302=MesCiclo,3&gt;SemanaActual),"",MIN(1,SUMIFS(OFFSET($A$1,ROW(),31,1000-ROW(),1),OFFSET($A$1,ROW(),20,1000-ROW(),1),ROW(),OFFSET($A$1,ROW(),21,1000-ROW(),1),"Sub"))))</f>
        <v/>
      </c>
      <c r="L302" s="60">
        <f>IF(N($W302)=0,"",IF(AND($S302=MesCiclo,4&gt;SemanaActual),"",MIN(1,SUMIFS(OFFSET($A$1,ROW(),32,1000-ROW(),1),OFFSET($A$1,ROW(),20,1000-ROW(),1),ROW(),OFFSET($A$1,ROW(),21,1000-ROW(),1),"Sub"))))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IF($V302&lt;&gt;"Sub","",N($X302)*IF(AND(ISNUMBER($G302),$G302&lt;=IF($S302=MesCiclo,InicioCiclo,$S302+MOD(2-WEEKDAY($S302),7))+6),1,MIN(1,MAX(0,IF(ISNUMBER(OFFSET($A$1,ROW()-1,8)),OFFSET($A$1,ROW()-1,8),0)))))</f>
        <v/>
      </c>
      <c r="AE302" s="62">
        <f>IF($V302&lt;&gt;"Sub","",N($X302)*IF(AND(ISNUMBER($G302),$G302&lt;=IF($S302=MesCiclo,InicioCiclo,$S302+MOD(2-WEEKDAY($S302),7))+13),1,MIN(1,MAX(0,IF(ISNUMBER(OFFSET($A$1,ROW()-1,9)),OFFSET($A$1,ROW()-1,9),IF(ISNUMBER(OFFSET($A$1,ROW()-1,8)),OFFSET($A$1,ROW()-1,8),0))))))</f>
        <v/>
      </c>
      <c r="AF302" s="62">
        <f>IF($V302&lt;&gt;"Sub","",N($X302)*IF(AND(ISNUMBER($G302),$G302&lt;=IF($S302=MesCiclo,InicioCiclo,$S302+MOD(2-WEEKDAY($S302),7))+20),1,MIN(1,MAX(0,IF(ISNUMBER(OFFSET($A$1,ROW()-1,10)),OFFSET($A$1,ROW()-1,10),IF(ISNUMBER(OFFSET($A$1,ROW()-1,9)),OFFSET($A$1,ROW()-1,9),IF(ISNUMBER(OFFSET($A$1,ROW()-1,8)),OFFSET($A$1,ROW()-1,8),0)))))))</f>
        <v/>
      </c>
      <c r="AG302" s="62">
        <f>IF($V302&lt;&gt;"Sub","",N($X302)*IF(AND(ISNUMBER($G302),$G302&lt;=IF($S302=MesCiclo,InicioCiclo,$S302+MOD(2-WEEKDAY($S302),7))+27),1,MIN(1,MAX(0,IF(ISNUMBER(OFFSET($A$1,ROW()-1,11)),OFFSET($A$1,ROW()-1,11),IF(ISNUMBER(OFFSET($A$1,ROW()-1,10)),OFFSET($A$1,ROW()-1,10),IF(ISNUMBER(OFFSET($A$1,ROW()-1,9)),OFFSET($A$1,ROW()-1,9),IF(ISNUMBER(OFFSET($A$1,ROW()-1,8)),OFFSET($A$1,ROW()-1,8),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",IFERROR(MATCH("Riesgo Financiero|"&amp;MID($C302,12,500),rDname_ADM,0),0),"")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IF(N($W303)=0,"",IF(AND($S303=MesCiclo,1&gt;SemanaActual),"",MIN(1,SUMIFS(OFFSET($A$1,ROW(),29,1000-ROW(),1),OFFSET($A$1,ROW(),20,1000-ROW(),1),ROW(),OFFSET($A$1,ROW(),21,1000-ROW(),1),"Sub"))))</f>
        <v/>
      </c>
      <c r="J303" s="60">
        <f>IF(N($W303)=0,"",IF(AND($S303=MesCiclo,2&gt;SemanaActual),"",MIN(1,SUMIFS(OFFSET($A$1,ROW(),30,1000-ROW(),1),OFFSET($A$1,ROW(),20,1000-ROW(),1),ROW(),OFFSET($A$1,ROW(),21,1000-ROW(),1),"Sub"))))</f>
        <v/>
      </c>
      <c r="K303" s="60">
        <f>IF(N($W303)=0,"",IF(AND($S303=MesCiclo,3&gt;SemanaActual),"",MIN(1,SUMIFS(OFFSET($A$1,ROW(),31,1000-ROW(),1),OFFSET($A$1,ROW(),20,1000-ROW(),1),ROW(),OFFSET($A$1,ROW(),21,1000-ROW(),1),"Sub"))))</f>
        <v/>
      </c>
      <c r="L303" s="60">
        <f>IF(N($W303)=0,"",IF(AND($S303=MesCiclo,4&gt;SemanaActual),"",MIN(1,SUMIFS(OFFSET($A$1,ROW(),32,1000-ROW(),1),OFFSET($A$1,ROW(),20,1000-ROW(),1),ROW(),OFFSET($A$1,ROW(),21,1000-ROW(),1),"Sub"))))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IF($V303&lt;&gt;"Sub","",N($X303)*IF(AND(ISNUMBER($G303),$G303&lt;=IF($S303=MesCiclo,InicioCiclo,$S303+MOD(2-WEEKDAY($S303),7))+6),1,MIN(1,MAX(0,IF(ISNUMBER(OFFSET($A$1,ROW()-1,8)),OFFSET($A$1,ROW()-1,8),0)))))</f>
        <v/>
      </c>
      <c r="AE303" s="62">
        <f>IF($V303&lt;&gt;"Sub","",N($X303)*IF(AND(ISNUMBER($G303),$G303&lt;=IF($S303=MesCiclo,InicioCiclo,$S303+MOD(2-WEEKDAY($S303),7))+13),1,MIN(1,MAX(0,IF(ISNUMBER(OFFSET($A$1,ROW()-1,9)),OFFSET($A$1,ROW()-1,9),IF(ISNUMBER(OFFSET($A$1,ROW()-1,8)),OFFSET($A$1,ROW()-1,8),0))))))</f>
        <v/>
      </c>
      <c r="AF303" s="62">
        <f>IF($V303&lt;&gt;"Sub","",N($X303)*IF(AND(ISNUMBER($G303),$G303&lt;=IF($S303=MesCiclo,InicioCiclo,$S303+MOD(2-WEEKDAY($S303),7))+20),1,MIN(1,MAX(0,IF(ISNUMBER(OFFSET($A$1,ROW()-1,10)),OFFSET($A$1,ROW()-1,10),IF(ISNUMBER(OFFSET($A$1,ROW()-1,9)),OFFSET($A$1,ROW()-1,9),IF(ISNUMBER(OFFSET($A$1,ROW()-1,8)),OFFSET($A$1,ROW()-1,8),0)))))))</f>
        <v/>
      </c>
      <c r="AG303" s="62">
        <f>IF($V303&lt;&gt;"Sub","",N($X303)*IF(AND(ISNUMBER($G303),$G303&lt;=IF($S303=MesCiclo,InicioCiclo,$S303+MOD(2-WEEKDAY($S303),7))+27),1,MIN(1,MAX(0,IF(ISNUMBER(OFFSET($A$1,ROW()-1,11)),OFFSET($A$1,ROW()-1,11),IF(ISNUMBER(OFFSET($A$1,ROW()-1,10)),OFFSET($A$1,ROW()-1,10),IF(ISNUMBER(OFFSET($A$1,ROW()-1,9)),OFFSET($A$1,ROW()-1,9),IF(ISNUMBER(OFFSET($A$1,ROW()-1,8)),OFFSET($A$1,ROW()-1,8),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",IFERROR(MATCH("Riesgo Financiero|"&amp;MID($C303,12,500),rDname_ADM,0),0),"")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IF(N($W304)=0,"",IF(AND($S304=MesCiclo,1&gt;SemanaActual),"",MIN(1,SUMIFS(OFFSET($A$1,ROW(),29,1000-ROW(),1),OFFSET($A$1,ROW(),20,1000-ROW(),1),ROW(),OFFSET($A$1,ROW(),21,1000-ROW(),1),"Sub"))))</f>
        <v/>
      </c>
      <c r="J304" s="60">
        <f>IF(N($W304)=0,"",IF(AND($S304=MesCiclo,2&gt;SemanaActual),"",MIN(1,SUMIFS(OFFSET($A$1,ROW(),30,1000-ROW(),1),OFFSET($A$1,ROW(),20,1000-ROW(),1),ROW(),OFFSET($A$1,ROW(),21,1000-ROW(),1),"Sub"))))</f>
        <v/>
      </c>
      <c r="K304" s="60">
        <f>IF(N($W304)=0,"",IF(AND($S304=MesCiclo,3&gt;SemanaActual),"",MIN(1,SUMIFS(OFFSET($A$1,ROW(),31,1000-ROW(),1),OFFSET($A$1,ROW(),20,1000-ROW(),1),ROW(),OFFSET($A$1,ROW(),21,1000-ROW(),1),"Sub"))))</f>
        <v/>
      </c>
      <c r="L304" s="60">
        <f>IF(N($W304)=0,"",IF(AND($S304=MesCiclo,4&gt;SemanaActual),"",MIN(1,SUMIFS(OFFSET($A$1,ROW(),32,1000-ROW(),1),OFFSET($A$1,ROW(),20,1000-ROW(),1),ROW(),OFFSET($A$1,ROW(),21,1000-ROW(),1),"Sub"))))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IF($V304&lt;&gt;"Sub","",N($X304)*IF(AND(ISNUMBER($G304),$G304&lt;=IF($S304=MesCiclo,InicioCiclo,$S304+MOD(2-WEEKDAY($S304),7))+6),1,MIN(1,MAX(0,IF(ISNUMBER(OFFSET($A$1,ROW()-1,8)),OFFSET($A$1,ROW()-1,8),0)))))</f>
        <v/>
      </c>
      <c r="AE304" s="62">
        <f>IF($V304&lt;&gt;"Sub","",N($X304)*IF(AND(ISNUMBER($G304),$G304&lt;=IF($S304=MesCiclo,InicioCiclo,$S304+MOD(2-WEEKDAY($S304),7))+13),1,MIN(1,MAX(0,IF(ISNUMBER(OFFSET($A$1,ROW()-1,9)),OFFSET($A$1,ROW()-1,9),IF(ISNUMBER(OFFSET($A$1,ROW()-1,8)),OFFSET($A$1,ROW()-1,8),0))))))</f>
        <v/>
      </c>
      <c r="AF304" s="62">
        <f>IF($V304&lt;&gt;"Sub","",N($X304)*IF(AND(ISNUMBER($G304),$G304&lt;=IF($S304=MesCiclo,InicioCiclo,$S304+MOD(2-WEEKDAY($S304),7))+20),1,MIN(1,MAX(0,IF(ISNUMBER(OFFSET($A$1,ROW()-1,10)),OFFSET($A$1,ROW()-1,10),IF(ISNUMBER(OFFSET($A$1,ROW()-1,9)),OFFSET($A$1,ROW()-1,9),IF(ISNUMBER(OFFSET($A$1,ROW()-1,8)),OFFSET($A$1,ROW()-1,8),0)))))))</f>
        <v/>
      </c>
      <c r="AG304" s="62">
        <f>IF($V304&lt;&gt;"Sub","",N($X304)*IF(AND(ISNUMBER($G304),$G304&lt;=IF($S304=MesCiclo,InicioCiclo,$S304+MOD(2-WEEKDAY($S304),7))+27),1,MIN(1,MAX(0,IF(ISNUMBER(OFFSET($A$1,ROW()-1,11)),OFFSET($A$1,ROW()-1,11),IF(ISNUMBER(OFFSET($A$1,ROW()-1,10)),OFFSET($A$1,ROW()-1,10),IF(ISNUMBER(OFFSET($A$1,ROW()-1,9)),OFFSET($A$1,ROW()-1,9),IF(ISNUMBER(OFFSET($A$1,ROW()-1,8)),OFFSET($A$1,ROW()-1,8),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",IFERROR(MATCH("Riesgo Financiero|"&amp;MID($C304,12,500),rDname_ADM,0),0),"")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(COUNTIFS('Administración'!$D$5:$D$1000,"Riesgo Financiero",'Administración'!$S$5:$S$1000,MesCiclo,'Administración'!$V$5:$V$1000,"Macro")-COUNTIFS('Administración'!$D$5:$D$1000,"Riesgo Financiero",'Administración'!$S$5:$S$1000,MesCiclo,'Administración'!$V$5:$V$1000,"Macro",'Administración'!$AM$5:$AM$1000,"&gt;0"))&gt;0</formula>
    </cfRule>
    <cfRule type="expression" priority="5" dxfId="0">
      <formula>COUNTIFS('Administración'!$D$5:$D$1000,"Riesgo Financiero",'Administración'!$S$5:$S$1000,MesCiclo,'Administración'!$V$5:$V$1000,"Macro")&gt;0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stopIfTrue="1">
      <formula>AND($V5="Sub",LEN($C5)&lt;=255)</formula>
    </cfRule>
    <cfRule type="expression" priority="11" dxfId="12">
      <formula>$V5="Sub"</formula>
    </cfRule>
  </conditionalFormatting>
  <conditionalFormatting sqref="A5:C1000">
    <cfRule type="expression" priority="8" dxfId="5" stopIfTrue="1">
      <formula>AND($V5="Macro",$C5="")</formula>
    </cfRule>
    <cfRule type="expression" priority="9" dxfId="24">
      <formula>$V5="Macro"</formula>
    </cfRule>
  </conditionalFormatting>
  <conditionalFormatting sqref="N5:N1000">
    <cfRule type="expression" priority="12" dxfId="0">
      <formula>$N5="Completado"</formula>
    </cfRule>
    <cfRule type="expression" priority="13" dxfId="4">
      <formula>$N5="En curso"</formula>
    </cfRule>
    <cfRule type="expression" priority="14" dxfId="5">
      <formula>$N5="Pendiente"</formula>
    </cfRule>
  </conditionalFormatting>
  <conditionalFormatting sqref="O5:O1000">
    <cfRule type="expression" priority="15" dxfId="8" stopIfTrue="1">
      <formula>LEFT($O5,7)="Vencida"</formula>
    </cfRule>
    <cfRule type="expression" priority="16" dxfId="9" stopIfTrue="1">
      <formula>LEFT($O5,5)="Vence"</formula>
    </cfRule>
    <cfRule type="expression" priority="17" dxfId="0" stopIfTrue="1">
      <formula>LEFT($O5,8)="Cumplida"</formula>
    </cfRule>
    <cfRule type="expression" priority="18" dxfId="14" stopIfTrue="1">
      <formula>$O5="En plazo"</formula>
    </cfRule>
    <cfRule type="expression" priority="19" dxfId="5">
      <formula>$O5="Sin fecha límite"</formula>
    </cfRule>
  </conditionalFormatting>
  <conditionalFormatting sqref="I5:L1000">
    <cfRule type="expression" priority="20" dxfId="15" stopIfTrue="1">
      <formula>AND($V5="Sub",ISNUMBER($G5),MIN(4,MAX(1,INT(($G5-InicioCiclo)/7)+1))=COLUMN(I5)-8)</formula>
    </cfRule>
    <cfRule type="expression" priority="29" dxfId="5" stopIfTrue="1">
      <formula>AND(N($W5)&gt;0,I5&lt;&gt;"")</formula>
    </cfRule>
    <cfRule type="expression" priority="30" dxfId="16" stopIfTrue="1">
      <formula>OR(N($W5)&gt;0,ISNUMBER($G5))</formula>
    </cfRule>
    <cfRule type="expression" priority="31" dxfId="5" stopIfTrue="1">
      <formula>AND(I5&lt;&gt;"",OR(NOT(ISNUMBER(I5)),I5&gt;1,I5&lt;0))</formula>
    </cfRule>
  </conditionalFormatting>
  <conditionalFormatting sqref="M5:M1000">
    <cfRule type="expression" priority="21" dxfId="0">
      <formula>AND(ISNUMBER($M5),$M5&gt;=1)</formula>
    </cfRule>
    <cfRule type="dataBar" priority="22">
      <dataBar showValue="1">
        <cfvo type="num" val="0"/>
        <cfvo type="num" val="1"/>
        <color rgb="005B9BD5"/>
      </dataBar>
    </cfRule>
  </conditionalFormatting>
  <conditionalFormatting sqref="G5:G1000">
    <cfRule type="expression" priority="23" dxfId="0">
      <formula>ISNUMBER($G5)</formula>
    </cfRule>
  </conditionalFormatting>
  <conditionalFormatting sqref="F5:F1000">
    <cfRule type="expression" priority="24" dxfId="6" stopIfTrue="1">
      <formula>AND(ISNUMBER($AS5),$AS5&lt;FechaRef,IF($V5="Sub",1,N($M5))&lt;1)</formula>
    </cfRule>
    <cfRule type="expression" priority="25" dxfId="7">
      <formula>AND(ISNUMBER($AS5),$AS5&gt;=FechaRef,$AS5-FechaRef&lt;=DiasAlerta,IF($V5="Sub",1,N($M5))&lt;1)</formula>
    </cfRule>
  </conditionalFormatting>
  <conditionalFormatting sqref="E5:F1000">
    <cfRule type="expression" priority="26" dxfId="10" stopIfTrue="1">
      <formula>AND(N($AQ5)&gt;0)</formula>
    </cfRule>
    <cfRule type="expression" priority="27" dxfId="5" stopIfTrue="1">
      <formula>AND((COUNTA($B5:$D5)+COUNTA($G5:$H5)+COUNTA($Q5))&gt;0,$AR5="")</formula>
    </cfRule>
    <cfRule type="expression" priority="28" dxfId="6">
      <formula>AND(ISNUMBER($E5),ISNUMBER($F5),$E5&gt;$F5)</formula>
    </cfRule>
  </conditionalFormatting>
  <conditionalFormatting sqref="J5:L1000">
    <cfRule type="expression" priority="32" dxfId="6">
      <formula>AND(J5&lt;&gt;"",J5&lt;MAX($I5:I5))</formula>
    </cfRule>
  </conditionalFormatting>
  <conditionalFormatting sqref="Q5:Q1000">
    <cfRule type="expression" priority="33" dxfId="5">
      <formula>AND(ObsObligatoria="Sí",ISNUMBER($F5),$F5&lt;FechaRef,IF($V5="Sub",1,N($M5))&lt;1,$Q5="")</formula>
    </cfRule>
  </conditionalFormatting>
  <conditionalFormatting sqref="R5:R1000">
    <cfRule type="expression" priority="34" dxfId="5">
      <formula>LEFT($R5,1)="⚠"</formula>
    </cfRule>
    <cfRule type="expression" priority="35" dxfId="17">
      <formula>LEFT($R5,1)="✔"</formula>
    </cfRule>
  </conditionalFormatting>
  <conditionalFormatting sqref="S5:S1000">
    <cfRule type="expression" priority="36"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C5:C1000" showDropDown="0" showInputMessage="1" showErrorMessage="0" allowBlank="1" promptTitle="Actividad" prompt="Escriba el nombre, o elija en la lista una actividad delegada por la jefatura." type="list">
      <formula1>ListaDeleg_RF</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rgb="00548235"/>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82" t="inlineStr">
        <is>
          <t>Actividades del mes por semana – Riesgo Financiero</t>
        </is>
      </c>
      <c r="B1" s="82" t="n"/>
      <c r="C1" s="82" t="n"/>
      <c r="D1" s="82" t="n"/>
      <c r="E1" s="82" t="n"/>
      <c r="F1" s="82" t="n"/>
      <c r="G1" s="82" t="n"/>
      <c r="H1" s="82" t="n"/>
      <c r="I1" s="82" t="n"/>
      <c r="J1" s="82" t="n"/>
      <c r="K1" s="82" t="n"/>
      <c r="L1" s="82" t="n"/>
      <c r="M1" s="82" t="n"/>
    </row>
    <row r="2" ht="34" customHeight="1">
      <c r="A2" s="74" t="inlineStr">
        <is>
          <t>HOJA AUTOMÁTICA Y BLOQUEADA: muestra solo las actividades del mes indicado abajo, tomadas de «Cronograma R. Financiero».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69" t="inlineStr">
        <is>
          <t>Semana 1</t>
        </is>
      </c>
      <c r="G4" s="69" t="inlineStr">
        <is>
          <t>Semana 2</t>
        </is>
      </c>
      <c r="H4" s="69" t="inlineStr">
        <is>
          <t>Semana 3</t>
        </is>
      </c>
      <c r="I4" s="69"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R. Financiero'!$A$5:$A$1000,$N5))</f>
        <v/>
      </c>
      <c r="B5" s="62">
        <f>IF($N5="","",IF($O5="Sub","      ↳  "&amp;INDEX('Cronograma R. Financiero'!$C$5:$C$1000,$N5),INDEX('Cronograma R. Financiero'!$C$5:$C$1000,$N5)&amp;""))</f>
        <v/>
      </c>
      <c r="C5" s="79">
        <f>IF($N5="","",IF(INDEX('Cronograma R. Financiero'!$AR$5:$AR$1000,$N5)="","",INDEX('Cronograma R. Financiero'!$AR$5:$AR$1000,$N5)))</f>
        <v/>
      </c>
      <c r="D5" s="79">
        <f>IF($N5="","",IF(INDEX('Cronograma R. Financiero'!$AS$5:$AS$1000,$N5)="","",INDEX('Cronograma R. Financiero'!$AS$5:$AS$1000,$N5)))</f>
        <v/>
      </c>
      <c r="E5" s="56">
        <f>IF($N5="","",IF(NOT(ISNUMBER($D5)),"",IF($D5&lt;InicioCiclo,"Antes del ciclo",IF($D5&gt;=InicioCiclo+28,"Después del ciclo","Semana "&amp;(INT(($D5-InicioCiclo)/7)+1)))))</f>
        <v/>
      </c>
      <c r="F5" s="61">
        <f>IF($N5="","",IF($P5&gt;0,IF(1&lt;=SemanaActual,INDEX('Cronograma R. Financiero'!$AH$5:$AH$1000,$N5),""),IF(INDEX('Cronograma R. Financiero'!$I$5:$I$1000,$N5)="","",INDEX('Cronograma R. Financiero'!$I$5:$I$1000,$N5))))</f>
        <v/>
      </c>
      <c r="G5" s="61">
        <f>IF($N5="","",IF($P5&gt;0,IF(2&lt;=SemanaActual,INDEX('Cronograma R. Financiero'!$AI$5:$AI$1000,$N5),""),IF(INDEX('Cronograma R. Financiero'!$J$5:$J$1000,$N5)="","",INDEX('Cronograma R. Financiero'!$J$5:$J$1000,$N5))))</f>
        <v/>
      </c>
      <c r="H5" s="61">
        <f>IF($N5="","",IF($P5&gt;0,IF(3&lt;=SemanaActual,INDEX('Cronograma R. Financiero'!$AJ$5:$AJ$1000,$N5),""),IF(INDEX('Cronograma R. Financiero'!$K$5:$K$1000,$N5)="","",INDEX('Cronograma R. Financiero'!$K$5:$K$1000,$N5))))</f>
        <v/>
      </c>
      <c r="I5" s="61">
        <f>IF($N5="","",IF($P5&gt;0,IF(4&lt;=SemanaActual,INDEX('Cronograma R. Financiero'!$AK$5:$AK$1000,$N5),""),IF(INDEX('Cronograma R. Financiero'!$L$5:$L$1000,$N5)="","",INDEX('Cronograma R. Financiero'!$L$5:$L$1000,$N5))))</f>
        <v/>
      </c>
      <c r="J5" s="61">
        <f>IF($N5="","",INDEX('Cronograma R. Financiero'!$M$5:$M$1000,$N5))</f>
        <v/>
      </c>
      <c r="K5" s="56">
        <f>IF($N5="","",IF(N($J5)&gt;=1,"Completado",IF(AND(ISNUMBER($D5),$D5&lt;FechaRef),"Vencida",IF(N($J5)&gt;0,"En curso","Pendiente"))))</f>
        <v/>
      </c>
      <c r="L5" s="56">
        <f>IF($N5="","",INDEX('Cronograma R. Financiero'!$O$5:$O$1000,$N5)&amp;"")</f>
        <v/>
      </c>
      <c r="M5" s="62">
        <f>IF($N5="","",INDEX('Cronograma R. Financiero'!$Q$5:$Q$1000,$N5)&amp;"")</f>
        <v/>
      </c>
      <c r="N5">
        <f>IFERROR(MATCH(ROW()-4,rOrden_RF,0),"")</f>
        <v/>
      </c>
      <c r="O5">
        <f>IF($N5="","",INDEX('Cronograma R. Financiero'!$V$5:$V$1000,$N5))</f>
        <v/>
      </c>
      <c r="P5">
        <f>IF($N5="","",N(INDEX('Cronograma R. Financiero'!$W$5:$W$1000,$N5)))</f>
        <v/>
      </c>
      <c r="Q5">
        <f>IF(OR(LEFT($L5,7)="Vencida",LEFT($L5,5)="Vence"),SUMPRODUCT(--(LEFT($L$5:$L5,7)="Vencida"))+SUMPRODUCT(--(LEFT($L$5:$L5,5)="Vence")),"")</f>
        <v/>
      </c>
    </row>
    <row r="6">
      <c r="A6" s="56">
        <f>IF($N6="","",INDEX('Cronograma R. Financiero'!$A$5:$A$1000,$N6))</f>
        <v/>
      </c>
      <c r="B6" s="62">
        <f>IF($N6="","",IF($O6="Sub","      ↳  "&amp;INDEX('Cronograma R. Financiero'!$C$5:$C$1000,$N6),INDEX('Cronograma R. Financiero'!$C$5:$C$1000,$N6)&amp;""))</f>
        <v/>
      </c>
      <c r="C6" s="79">
        <f>IF($N6="","",IF(INDEX('Cronograma R. Financiero'!$AR$5:$AR$1000,$N6)="","",INDEX('Cronograma R. Financiero'!$AR$5:$AR$1000,$N6)))</f>
        <v/>
      </c>
      <c r="D6" s="79">
        <f>IF($N6="","",IF(INDEX('Cronograma R. Financiero'!$AS$5:$AS$1000,$N6)="","",INDEX('Cronograma R. Financiero'!$AS$5:$AS$1000,$N6)))</f>
        <v/>
      </c>
      <c r="E6" s="56">
        <f>IF($N6="","",IF(NOT(ISNUMBER($D6)),"",IF($D6&lt;InicioCiclo,"Antes del ciclo",IF($D6&gt;=InicioCiclo+28,"Después del ciclo","Semana "&amp;(INT(($D6-InicioCiclo)/7)+1)))))</f>
        <v/>
      </c>
      <c r="F6" s="61">
        <f>IF($N6="","",IF($P6&gt;0,IF(1&lt;=SemanaActual,INDEX('Cronograma R. Financiero'!$AH$5:$AH$1000,$N6),""),IF(INDEX('Cronograma R. Financiero'!$I$5:$I$1000,$N6)="","",INDEX('Cronograma R. Financiero'!$I$5:$I$1000,$N6))))</f>
        <v/>
      </c>
      <c r="G6" s="61">
        <f>IF($N6="","",IF($P6&gt;0,IF(2&lt;=SemanaActual,INDEX('Cronograma R. Financiero'!$AI$5:$AI$1000,$N6),""),IF(INDEX('Cronograma R. Financiero'!$J$5:$J$1000,$N6)="","",INDEX('Cronograma R. Financiero'!$J$5:$J$1000,$N6))))</f>
        <v/>
      </c>
      <c r="H6" s="61">
        <f>IF($N6="","",IF($P6&gt;0,IF(3&lt;=SemanaActual,INDEX('Cronograma R. Financiero'!$AJ$5:$AJ$1000,$N6),""),IF(INDEX('Cronograma R. Financiero'!$K$5:$K$1000,$N6)="","",INDEX('Cronograma R. Financiero'!$K$5:$K$1000,$N6))))</f>
        <v/>
      </c>
      <c r="I6" s="61">
        <f>IF($N6="","",IF($P6&gt;0,IF(4&lt;=SemanaActual,INDEX('Cronograma R. Financiero'!$AK$5:$AK$1000,$N6),""),IF(INDEX('Cronograma R. Financiero'!$L$5:$L$1000,$N6)="","",INDEX('Cronograma R. Financiero'!$L$5:$L$1000,$N6))))</f>
        <v/>
      </c>
      <c r="J6" s="61">
        <f>IF($N6="","",INDEX('Cronograma R. Financiero'!$M$5:$M$1000,$N6))</f>
        <v/>
      </c>
      <c r="K6" s="56">
        <f>IF($N6="","",IF(N($J6)&gt;=1,"Completado",IF(AND(ISNUMBER($D6),$D6&lt;FechaRef),"Vencida",IF(N($J6)&gt;0,"En curso","Pendiente"))))</f>
        <v/>
      </c>
      <c r="L6" s="56">
        <f>IF($N6="","",INDEX('Cronograma R. Financiero'!$O$5:$O$1000,$N6)&amp;"")</f>
        <v/>
      </c>
      <c r="M6" s="62">
        <f>IF($N6="","",INDEX('Cronograma R. Financiero'!$Q$5:$Q$1000,$N6)&amp;"")</f>
        <v/>
      </c>
      <c r="N6">
        <f>IFERROR(MATCH(ROW()-4,rOrden_RF,0),"")</f>
        <v/>
      </c>
      <c r="O6">
        <f>IF($N6="","",INDEX('Cronograma R. Financiero'!$V$5:$V$1000,$N6))</f>
        <v/>
      </c>
      <c r="P6">
        <f>IF($N6="","",N(INDEX('Cronograma R. Financiero'!$W$5:$W$1000,$N6)))</f>
        <v/>
      </c>
      <c r="Q6">
        <f>IF(OR(LEFT($L6,7)="Vencida",LEFT($L6,5)="Vence"),SUMPRODUCT(--(LEFT($L$5:$L6,7)="Vencida"))+SUMPRODUCT(--(LEFT($L$5:$L6,5)="Vence")),"")</f>
        <v/>
      </c>
    </row>
    <row r="7">
      <c r="A7" s="56">
        <f>IF($N7="","",INDEX('Cronograma R. Financiero'!$A$5:$A$1000,$N7))</f>
        <v/>
      </c>
      <c r="B7" s="62">
        <f>IF($N7="","",IF($O7="Sub","      ↳  "&amp;INDEX('Cronograma R. Financiero'!$C$5:$C$1000,$N7),INDEX('Cronograma R. Financiero'!$C$5:$C$1000,$N7)&amp;""))</f>
        <v/>
      </c>
      <c r="C7" s="79">
        <f>IF($N7="","",IF(INDEX('Cronograma R. Financiero'!$AR$5:$AR$1000,$N7)="","",INDEX('Cronograma R. Financiero'!$AR$5:$AR$1000,$N7)))</f>
        <v/>
      </c>
      <c r="D7" s="79">
        <f>IF($N7="","",IF(INDEX('Cronograma R. Financiero'!$AS$5:$AS$1000,$N7)="","",INDEX('Cronograma R. Financiero'!$AS$5:$AS$1000,$N7)))</f>
        <v/>
      </c>
      <c r="E7" s="56">
        <f>IF($N7="","",IF(NOT(ISNUMBER($D7)),"",IF($D7&lt;InicioCiclo,"Antes del ciclo",IF($D7&gt;=InicioCiclo+28,"Después del ciclo","Semana "&amp;(INT(($D7-InicioCiclo)/7)+1)))))</f>
        <v/>
      </c>
      <c r="F7" s="61">
        <f>IF($N7="","",IF($P7&gt;0,IF(1&lt;=SemanaActual,INDEX('Cronograma R. Financiero'!$AH$5:$AH$1000,$N7),""),IF(INDEX('Cronograma R. Financiero'!$I$5:$I$1000,$N7)="","",INDEX('Cronograma R. Financiero'!$I$5:$I$1000,$N7))))</f>
        <v/>
      </c>
      <c r="G7" s="61">
        <f>IF($N7="","",IF($P7&gt;0,IF(2&lt;=SemanaActual,INDEX('Cronograma R. Financiero'!$AI$5:$AI$1000,$N7),""),IF(INDEX('Cronograma R. Financiero'!$J$5:$J$1000,$N7)="","",INDEX('Cronograma R. Financiero'!$J$5:$J$1000,$N7))))</f>
        <v/>
      </c>
      <c r="H7" s="61">
        <f>IF($N7="","",IF($P7&gt;0,IF(3&lt;=SemanaActual,INDEX('Cronograma R. Financiero'!$AJ$5:$AJ$1000,$N7),""),IF(INDEX('Cronograma R. Financiero'!$K$5:$K$1000,$N7)="","",INDEX('Cronograma R. Financiero'!$K$5:$K$1000,$N7))))</f>
        <v/>
      </c>
      <c r="I7" s="61">
        <f>IF($N7="","",IF($P7&gt;0,IF(4&lt;=SemanaActual,INDEX('Cronograma R. Financiero'!$AK$5:$AK$1000,$N7),""),IF(INDEX('Cronograma R. Financiero'!$L$5:$L$1000,$N7)="","",INDEX('Cronograma R. Financiero'!$L$5:$L$1000,$N7))))</f>
        <v/>
      </c>
      <c r="J7" s="61">
        <f>IF($N7="","",INDEX('Cronograma R. Financiero'!$M$5:$M$1000,$N7))</f>
        <v/>
      </c>
      <c r="K7" s="56">
        <f>IF($N7="","",IF(N($J7)&gt;=1,"Completado",IF(AND(ISNUMBER($D7),$D7&lt;FechaRef),"Vencida",IF(N($J7)&gt;0,"En curso","Pendiente"))))</f>
        <v/>
      </c>
      <c r="L7" s="56">
        <f>IF($N7="","",INDEX('Cronograma R. Financiero'!$O$5:$O$1000,$N7)&amp;"")</f>
        <v/>
      </c>
      <c r="M7" s="62">
        <f>IF($N7="","",INDEX('Cronograma R. Financiero'!$Q$5:$Q$1000,$N7)&amp;"")</f>
        <v/>
      </c>
      <c r="N7">
        <f>IFERROR(MATCH(ROW()-4,rOrden_RF,0),"")</f>
        <v/>
      </c>
      <c r="O7">
        <f>IF($N7="","",INDEX('Cronograma R. Financiero'!$V$5:$V$1000,$N7))</f>
        <v/>
      </c>
      <c r="P7">
        <f>IF($N7="","",N(INDEX('Cronograma R. Financiero'!$W$5:$W$1000,$N7)))</f>
        <v/>
      </c>
      <c r="Q7">
        <f>IF(OR(LEFT($L7,7)="Vencida",LEFT($L7,5)="Vence"),SUMPRODUCT(--(LEFT($L$5:$L7,7)="Vencida"))+SUMPRODUCT(--(LEFT($L$5:$L7,5)="Vence")),"")</f>
        <v/>
      </c>
    </row>
    <row r="8">
      <c r="A8" s="56">
        <f>IF($N8="","",INDEX('Cronograma R. Financiero'!$A$5:$A$1000,$N8))</f>
        <v/>
      </c>
      <c r="B8" s="62">
        <f>IF($N8="","",IF($O8="Sub","      ↳  "&amp;INDEX('Cronograma R. Financiero'!$C$5:$C$1000,$N8),INDEX('Cronograma R. Financiero'!$C$5:$C$1000,$N8)&amp;""))</f>
        <v/>
      </c>
      <c r="C8" s="79">
        <f>IF($N8="","",IF(INDEX('Cronograma R. Financiero'!$AR$5:$AR$1000,$N8)="","",INDEX('Cronograma R. Financiero'!$AR$5:$AR$1000,$N8)))</f>
        <v/>
      </c>
      <c r="D8" s="79">
        <f>IF($N8="","",IF(INDEX('Cronograma R. Financiero'!$AS$5:$AS$1000,$N8)="","",INDEX('Cronograma R. Financiero'!$AS$5:$AS$1000,$N8)))</f>
        <v/>
      </c>
      <c r="E8" s="56">
        <f>IF($N8="","",IF(NOT(ISNUMBER($D8)),"",IF($D8&lt;InicioCiclo,"Antes del ciclo",IF($D8&gt;=InicioCiclo+28,"Después del ciclo","Semana "&amp;(INT(($D8-InicioCiclo)/7)+1)))))</f>
        <v/>
      </c>
      <c r="F8" s="61">
        <f>IF($N8="","",IF($P8&gt;0,IF(1&lt;=SemanaActual,INDEX('Cronograma R. Financiero'!$AH$5:$AH$1000,$N8),""),IF(INDEX('Cronograma R. Financiero'!$I$5:$I$1000,$N8)="","",INDEX('Cronograma R. Financiero'!$I$5:$I$1000,$N8))))</f>
        <v/>
      </c>
      <c r="G8" s="61">
        <f>IF($N8="","",IF($P8&gt;0,IF(2&lt;=SemanaActual,INDEX('Cronograma R. Financiero'!$AI$5:$AI$1000,$N8),""),IF(INDEX('Cronograma R. Financiero'!$J$5:$J$1000,$N8)="","",INDEX('Cronograma R. Financiero'!$J$5:$J$1000,$N8))))</f>
        <v/>
      </c>
      <c r="H8" s="61">
        <f>IF($N8="","",IF($P8&gt;0,IF(3&lt;=SemanaActual,INDEX('Cronograma R. Financiero'!$AJ$5:$AJ$1000,$N8),""),IF(INDEX('Cronograma R. Financiero'!$K$5:$K$1000,$N8)="","",INDEX('Cronograma R. Financiero'!$K$5:$K$1000,$N8))))</f>
        <v/>
      </c>
      <c r="I8" s="61">
        <f>IF($N8="","",IF($P8&gt;0,IF(4&lt;=SemanaActual,INDEX('Cronograma R. Financiero'!$AK$5:$AK$1000,$N8),""),IF(INDEX('Cronograma R. Financiero'!$L$5:$L$1000,$N8)="","",INDEX('Cronograma R. Financiero'!$L$5:$L$1000,$N8))))</f>
        <v/>
      </c>
      <c r="J8" s="61">
        <f>IF($N8="","",INDEX('Cronograma R. Financiero'!$M$5:$M$1000,$N8))</f>
        <v/>
      </c>
      <c r="K8" s="56">
        <f>IF($N8="","",IF(N($J8)&gt;=1,"Completado",IF(AND(ISNUMBER($D8),$D8&lt;FechaRef),"Vencida",IF(N($J8)&gt;0,"En curso","Pendiente"))))</f>
        <v/>
      </c>
      <c r="L8" s="56">
        <f>IF($N8="","",INDEX('Cronograma R. Financiero'!$O$5:$O$1000,$N8)&amp;"")</f>
        <v/>
      </c>
      <c r="M8" s="62">
        <f>IF($N8="","",INDEX('Cronograma R. Financiero'!$Q$5:$Q$1000,$N8)&amp;"")</f>
        <v/>
      </c>
      <c r="N8">
        <f>IFERROR(MATCH(ROW()-4,rOrden_RF,0),"")</f>
        <v/>
      </c>
      <c r="O8">
        <f>IF($N8="","",INDEX('Cronograma R. Financiero'!$V$5:$V$1000,$N8))</f>
        <v/>
      </c>
      <c r="P8">
        <f>IF($N8="","",N(INDEX('Cronograma R. Financiero'!$W$5:$W$1000,$N8)))</f>
        <v/>
      </c>
      <c r="Q8">
        <f>IF(OR(LEFT($L8,7)="Vencida",LEFT($L8,5)="Vence"),SUMPRODUCT(--(LEFT($L$5:$L8,7)="Vencida"))+SUMPRODUCT(--(LEFT($L$5:$L8,5)="Vence")),"")</f>
        <v/>
      </c>
    </row>
    <row r="9">
      <c r="A9" s="56">
        <f>IF($N9="","",INDEX('Cronograma R. Financiero'!$A$5:$A$1000,$N9))</f>
        <v/>
      </c>
      <c r="B9" s="62">
        <f>IF($N9="","",IF($O9="Sub","      ↳  "&amp;INDEX('Cronograma R. Financiero'!$C$5:$C$1000,$N9),INDEX('Cronograma R. Financiero'!$C$5:$C$1000,$N9)&amp;""))</f>
        <v/>
      </c>
      <c r="C9" s="79">
        <f>IF($N9="","",IF(INDEX('Cronograma R. Financiero'!$AR$5:$AR$1000,$N9)="","",INDEX('Cronograma R. Financiero'!$AR$5:$AR$1000,$N9)))</f>
        <v/>
      </c>
      <c r="D9" s="79">
        <f>IF($N9="","",IF(INDEX('Cronograma R. Financiero'!$AS$5:$AS$1000,$N9)="","",INDEX('Cronograma R. Financiero'!$AS$5:$AS$1000,$N9)))</f>
        <v/>
      </c>
      <c r="E9" s="56">
        <f>IF($N9="","",IF(NOT(ISNUMBER($D9)),"",IF($D9&lt;InicioCiclo,"Antes del ciclo",IF($D9&gt;=InicioCiclo+28,"Después del ciclo","Semana "&amp;(INT(($D9-InicioCiclo)/7)+1)))))</f>
        <v/>
      </c>
      <c r="F9" s="61">
        <f>IF($N9="","",IF($P9&gt;0,IF(1&lt;=SemanaActual,INDEX('Cronograma R. Financiero'!$AH$5:$AH$1000,$N9),""),IF(INDEX('Cronograma R. Financiero'!$I$5:$I$1000,$N9)="","",INDEX('Cronograma R. Financiero'!$I$5:$I$1000,$N9))))</f>
        <v/>
      </c>
      <c r="G9" s="61">
        <f>IF($N9="","",IF($P9&gt;0,IF(2&lt;=SemanaActual,INDEX('Cronograma R. Financiero'!$AI$5:$AI$1000,$N9),""),IF(INDEX('Cronograma R. Financiero'!$J$5:$J$1000,$N9)="","",INDEX('Cronograma R. Financiero'!$J$5:$J$1000,$N9))))</f>
        <v/>
      </c>
      <c r="H9" s="61">
        <f>IF($N9="","",IF($P9&gt;0,IF(3&lt;=SemanaActual,INDEX('Cronograma R. Financiero'!$AJ$5:$AJ$1000,$N9),""),IF(INDEX('Cronograma R. Financiero'!$K$5:$K$1000,$N9)="","",INDEX('Cronograma R. Financiero'!$K$5:$K$1000,$N9))))</f>
        <v/>
      </c>
      <c r="I9" s="61">
        <f>IF($N9="","",IF($P9&gt;0,IF(4&lt;=SemanaActual,INDEX('Cronograma R. Financiero'!$AK$5:$AK$1000,$N9),""),IF(INDEX('Cronograma R. Financiero'!$L$5:$L$1000,$N9)="","",INDEX('Cronograma R. Financiero'!$L$5:$L$1000,$N9))))</f>
        <v/>
      </c>
      <c r="J9" s="61">
        <f>IF($N9="","",INDEX('Cronograma R. Financiero'!$M$5:$M$1000,$N9))</f>
        <v/>
      </c>
      <c r="K9" s="56">
        <f>IF($N9="","",IF(N($J9)&gt;=1,"Completado",IF(AND(ISNUMBER($D9),$D9&lt;FechaRef),"Vencida",IF(N($J9)&gt;0,"En curso","Pendiente"))))</f>
        <v/>
      </c>
      <c r="L9" s="56">
        <f>IF($N9="","",INDEX('Cronograma R. Financiero'!$O$5:$O$1000,$N9)&amp;"")</f>
        <v/>
      </c>
      <c r="M9" s="62">
        <f>IF($N9="","",INDEX('Cronograma R. Financiero'!$Q$5:$Q$1000,$N9)&amp;"")</f>
        <v/>
      </c>
      <c r="N9">
        <f>IFERROR(MATCH(ROW()-4,rOrden_RF,0),"")</f>
        <v/>
      </c>
      <c r="O9">
        <f>IF($N9="","",INDEX('Cronograma R. Financiero'!$V$5:$V$1000,$N9))</f>
        <v/>
      </c>
      <c r="P9">
        <f>IF($N9="","",N(INDEX('Cronograma R. Financiero'!$W$5:$W$1000,$N9)))</f>
        <v/>
      </c>
      <c r="Q9">
        <f>IF(OR(LEFT($L9,7)="Vencida",LEFT($L9,5)="Vence"),SUMPRODUCT(--(LEFT($L$5:$L9,7)="Vencida"))+SUMPRODUCT(--(LEFT($L$5:$L9,5)="Vence")),"")</f>
        <v/>
      </c>
    </row>
    <row r="10">
      <c r="A10" s="56">
        <f>IF($N10="","",INDEX('Cronograma R. Financiero'!$A$5:$A$1000,$N10))</f>
        <v/>
      </c>
      <c r="B10" s="62">
        <f>IF($N10="","",IF($O10="Sub","      ↳  "&amp;INDEX('Cronograma R. Financiero'!$C$5:$C$1000,$N10),INDEX('Cronograma R. Financiero'!$C$5:$C$1000,$N10)&amp;""))</f>
        <v/>
      </c>
      <c r="C10" s="79">
        <f>IF($N10="","",IF(INDEX('Cronograma R. Financiero'!$AR$5:$AR$1000,$N10)="","",INDEX('Cronograma R. Financiero'!$AR$5:$AR$1000,$N10)))</f>
        <v/>
      </c>
      <c r="D10" s="79">
        <f>IF($N10="","",IF(INDEX('Cronograma R. Financiero'!$AS$5:$AS$1000,$N10)="","",INDEX('Cronograma R. Financiero'!$AS$5:$AS$1000,$N10)))</f>
        <v/>
      </c>
      <c r="E10" s="56">
        <f>IF($N10="","",IF(NOT(ISNUMBER($D10)),"",IF($D10&lt;InicioCiclo,"Antes del ciclo",IF($D10&gt;=InicioCiclo+28,"Después del ciclo","Semana "&amp;(INT(($D10-InicioCiclo)/7)+1)))))</f>
        <v/>
      </c>
      <c r="F10" s="61">
        <f>IF($N10="","",IF($P10&gt;0,IF(1&lt;=SemanaActual,INDEX('Cronograma R. Financiero'!$AH$5:$AH$1000,$N10),""),IF(INDEX('Cronograma R. Financiero'!$I$5:$I$1000,$N10)="","",INDEX('Cronograma R. Financiero'!$I$5:$I$1000,$N10))))</f>
        <v/>
      </c>
      <c r="G10" s="61">
        <f>IF($N10="","",IF($P10&gt;0,IF(2&lt;=SemanaActual,INDEX('Cronograma R. Financiero'!$AI$5:$AI$1000,$N10),""),IF(INDEX('Cronograma R. Financiero'!$J$5:$J$1000,$N10)="","",INDEX('Cronograma R. Financiero'!$J$5:$J$1000,$N10))))</f>
        <v/>
      </c>
      <c r="H10" s="61">
        <f>IF($N10="","",IF($P10&gt;0,IF(3&lt;=SemanaActual,INDEX('Cronograma R. Financiero'!$AJ$5:$AJ$1000,$N10),""),IF(INDEX('Cronograma R. Financiero'!$K$5:$K$1000,$N10)="","",INDEX('Cronograma R. Financiero'!$K$5:$K$1000,$N10))))</f>
        <v/>
      </c>
      <c r="I10" s="61">
        <f>IF($N10="","",IF($P10&gt;0,IF(4&lt;=SemanaActual,INDEX('Cronograma R. Financiero'!$AK$5:$AK$1000,$N10),""),IF(INDEX('Cronograma R. Financiero'!$L$5:$L$1000,$N10)="","",INDEX('Cronograma R. Financiero'!$L$5:$L$1000,$N10))))</f>
        <v/>
      </c>
      <c r="J10" s="61">
        <f>IF($N10="","",INDEX('Cronograma R. Financiero'!$M$5:$M$1000,$N10))</f>
        <v/>
      </c>
      <c r="K10" s="56">
        <f>IF($N10="","",IF(N($J10)&gt;=1,"Completado",IF(AND(ISNUMBER($D10),$D10&lt;FechaRef),"Vencida",IF(N($J10)&gt;0,"En curso","Pendiente"))))</f>
        <v/>
      </c>
      <c r="L10" s="56">
        <f>IF($N10="","",INDEX('Cronograma R. Financiero'!$O$5:$O$1000,$N10)&amp;"")</f>
        <v/>
      </c>
      <c r="M10" s="62">
        <f>IF($N10="","",INDEX('Cronograma R. Financiero'!$Q$5:$Q$1000,$N10)&amp;"")</f>
        <v/>
      </c>
      <c r="N10">
        <f>IFERROR(MATCH(ROW()-4,rOrden_RF,0),"")</f>
        <v/>
      </c>
      <c r="O10">
        <f>IF($N10="","",INDEX('Cronograma R. Financiero'!$V$5:$V$1000,$N10))</f>
        <v/>
      </c>
      <c r="P10">
        <f>IF($N10="","",N(INDEX('Cronograma R. Financiero'!$W$5:$W$1000,$N10)))</f>
        <v/>
      </c>
      <c r="Q10">
        <f>IF(OR(LEFT($L10,7)="Vencida",LEFT($L10,5)="Vence"),SUMPRODUCT(--(LEFT($L$5:$L10,7)="Vencida"))+SUMPRODUCT(--(LEFT($L$5:$L10,5)="Vence")),"")</f>
        <v/>
      </c>
    </row>
    <row r="11">
      <c r="A11" s="56">
        <f>IF($N11="","",INDEX('Cronograma R. Financiero'!$A$5:$A$1000,$N11))</f>
        <v/>
      </c>
      <c r="B11" s="62">
        <f>IF($N11="","",IF($O11="Sub","      ↳  "&amp;INDEX('Cronograma R. Financiero'!$C$5:$C$1000,$N11),INDEX('Cronograma R. Financiero'!$C$5:$C$1000,$N11)&amp;""))</f>
        <v/>
      </c>
      <c r="C11" s="79">
        <f>IF($N11="","",IF(INDEX('Cronograma R. Financiero'!$AR$5:$AR$1000,$N11)="","",INDEX('Cronograma R. Financiero'!$AR$5:$AR$1000,$N11)))</f>
        <v/>
      </c>
      <c r="D11" s="79">
        <f>IF($N11="","",IF(INDEX('Cronograma R. Financiero'!$AS$5:$AS$1000,$N11)="","",INDEX('Cronograma R. Financiero'!$AS$5:$AS$1000,$N11)))</f>
        <v/>
      </c>
      <c r="E11" s="56">
        <f>IF($N11="","",IF(NOT(ISNUMBER($D11)),"",IF($D11&lt;InicioCiclo,"Antes del ciclo",IF($D11&gt;=InicioCiclo+28,"Después del ciclo","Semana "&amp;(INT(($D11-InicioCiclo)/7)+1)))))</f>
        <v/>
      </c>
      <c r="F11" s="61">
        <f>IF($N11="","",IF($P11&gt;0,IF(1&lt;=SemanaActual,INDEX('Cronograma R. Financiero'!$AH$5:$AH$1000,$N11),""),IF(INDEX('Cronograma R. Financiero'!$I$5:$I$1000,$N11)="","",INDEX('Cronograma R. Financiero'!$I$5:$I$1000,$N11))))</f>
        <v/>
      </c>
      <c r="G11" s="61">
        <f>IF($N11="","",IF($P11&gt;0,IF(2&lt;=SemanaActual,INDEX('Cronograma R. Financiero'!$AI$5:$AI$1000,$N11),""),IF(INDEX('Cronograma R. Financiero'!$J$5:$J$1000,$N11)="","",INDEX('Cronograma R. Financiero'!$J$5:$J$1000,$N11))))</f>
        <v/>
      </c>
      <c r="H11" s="61">
        <f>IF($N11="","",IF($P11&gt;0,IF(3&lt;=SemanaActual,INDEX('Cronograma R. Financiero'!$AJ$5:$AJ$1000,$N11),""),IF(INDEX('Cronograma R. Financiero'!$K$5:$K$1000,$N11)="","",INDEX('Cronograma R. Financiero'!$K$5:$K$1000,$N11))))</f>
        <v/>
      </c>
      <c r="I11" s="61">
        <f>IF($N11="","",IF($P11&gt;0,IF(4&lt;=SemanaActual,INDEX('Cronograma R. Financiero'!$AK$5:$AK$1000,$N11),""),IF(INDEX('Cronograma R. Financiero'!$L$5:$L$1000,$N11)="","",INDEX('Cronograma R. Financiero'!$L$5:$L$1000,$N11))))</f>
        <v/>
      </c>
      <c r="J11" s="61">
        <f>IF($N11="","",INDEX('Cronograma R. Financiero'!$M$5:$M$1000,$N11))</f>
        <v/>
      </c>
      <c r="K11" s="56">
        <f>IF($N11="","",IF(N($J11)&gt;=1,"Completado",IF(AND(ISNUMBER($D11),$D11&lt;FechaRef),"Vencida",IF(N($J11)&gt;0,"En curso","Pendiente"))))</f>
        <v/>
      </c>
      <c r="L11" s="56">
        <f>IF($N11="","",INDEX('Cronograma R. Financiero'!$O$5:$O$1000,$N11)&amp;"")</f>
        <v/>
      </c>
      <c r="M11" s="62">
        <f>IF($N11="","",INDEX('Cronograma R. Financiero'!$Q$5:$Q$1000,$N11)&amp;"")</f>
        <v/>
      </c>
      <c r="N11">
        <f>IFERROR(MATCH(ROW()-4,rOrden_RF,0),"")</f>
        <v/>
      </c>
      <c r="O11">
        <f>IF($N11="","",INDEX('Cronograma R. Financiero'!$V$5:$V$1000,$N11))</f>
        <v/>
      </c>
      <c r="P11">
        <f>IF($N11="","",N(INDEX('Cronograma R. Financiero'!$W$5:$W$1000,$N11)))</f>
        <v/>
      </c>
      <c r="Q11">
        <f>IF(OR(LEFT($L11,7)="Vencida",LEFT($L11,5)="Vence"),SUMPRODUCT(--(LEFT($L$5:$L11,7)="Vencida"))+SUMPRODUCT(--(LEFT($L$5:$L11,5)="Vence")),"")</f>
        <v/>
      </c>
    </row>
    <row r="12">
      <c r="A12" s="56">
        <f>IF($N12="","",INDEX('Cronograma R. Financiero'!$A$5:$A$1000,$N12))</f>
        <v/>
      </c>
      <c r="B12" s="62">
        <f>IF($N12="","",IF($O12="Sub","      ↳  "&amp;INDEX('Cronograma R. Financiero'!$C$5:$C$1000,$N12),INDEX('Cronograma R. Financiero'!$C$5:$C$1000,$N12)&amp;""))</f>
        <v/>
      </c>
      <c r="C12" s="79">
        <f>IF($N12="","",IF(INDEX('Cronograma R. Financiero'!$AR$5:$AR$1000,$N12)="","",INDEX('Cronograma R. Financiero'!$AR$5:$AR$1000,$N12)))</f>
        <v/>
      </c>
      <c r="D12" s="79">
        <f>IF($N12="","",IF(INDEX('Cronograma R. Financiero'!$AS$5:$AS$1000,$N12)="","",INDEX('Cronograma R. Financiero'!$AS$5:$AS$1000,$N12)))</f>
        <v/>
      </c>
      <c r="E12" s="56">
        <f>IF($N12="","",IF(NOT(ISNUMBER($D12)),"",IF($D12&lt;InicioCiclo,"Antes del ciclo",IF($D12&gt;=InicioCiclo+28,"Después del ciclo","Semana "&amp;(INT(($D12-InicioCiclo)/7)+1)))))</f>
        <v/>
      </c>
      <c r="F12" s="61">
        <f>IF($N12="","",IF($P12&gt;0,IF(1&lt;=SemanaActual,INDEX('Cronograma R. Financiero'!$AH$5:$AH$1000,$N12),""),IF(INDEX('Cronograma R. Financiero'!$I$5:$I$1000,$N12)="","",INDEX('Cronograma R. Financiero'!$I$5:$I$1000,$N12))))</f>
        <v/>
      </c>
      <c r="G12" s="61">
        <f>IF($N12="","",IF($P12&gt;0,IF(2&lt;=SemanaActual,INDEX('Cronograma R. Financiero'!$AI$5:$AI$1000,$N12),""),IF(INDEX('Cronograma R. Financiero'!$J$5:$J$1000,$N12)="","",INDEX('Cronograma R. Financiero'!$J$5:$J$1000,$N12))))</f>
        <v/>
      </c>
      <c r="H12" s="61">
        <f>IF($N12="","",IF($P12&gt;0,IF(3&lt;=SemanaActual,INDEX('Cronograma R. Financiero'!$AJ$5:$AJ$1000,$N12),""),IF(INDEX('Cronograma R. Financiero'!$K$5:$K$1000,$N12)="","",INDEX('Cronograma R. Financiero'!$K$5:$K$1000,$N12))))</f>
        <v/>
      </c>
      <c r="I12" s="61">
        <f>IF($N12="","",IF($P12&gt;0,IF(4&lt;=SemanaActual,INDEX('Cronograma R. Financiero'!$AK$5:$AK$1000,$N12),""),IF(INDEX('Cronograma R. Financiero'!$L$5:$L$1000,$N12)="","",INDEX('Cronograma R. Financiero'!$L$5:$L$1000,$N12))))</f>
        <v/>
      </c>
      <c r="J12" s="61">
        <f>IF($N12="","",INDEX('Cronograma R. Financiero'!$M$5:$M$1000,$N12))</f>
        <v/>
      </c>
      <c r="K12" s="56">
        <f>IF($N12="","",IF(N($J12)&gt;=1,"Completado",IF(AND(ISNUMBER($D12),$D12&lt;FechaRef),"Vencida",IF(N($J12)&gt;0,"En curso","Pendiente"))))</f>
        <v/>
      </c>
      <c r="L12" s="56">
        <f>IF($N12="","",INDEX('Cronograma R. Financiero'!$O$5:$O$1000,$N12)&amp;"")</f>
        <v/>
      </c>
      <c r="M12" s="62">
        <f>IF($N12="","",INDEX('Cronograma R. Financiero'!$Q$5:$Q$1000,$N12)&amp;"")</f>
        <v/>
      </c>
      <c r="N12">
        <f>IFERROR(MATCH(ROW()-4,rOrden_RF,0),"")</f>
        <v/>
      </c>
      <c r="O12">
        <f>IF($N12="","",INDEX('Cronograma R. Financiero'!$V$5:$V$1000,$N12))</f>
        <v/>
      </c>
      <c r="P12">
        <f>IF($N12="","",N(INDEX('Cronograma R. Financiero'!$W$5:$W$1000,$N12)))</f>
        <v/>
      </c>
      <c r="Q12">
        <f>IF(OR(LEFT($L12,7)="Vencida",LEFT($L12,5)="Vence"),SUMPRODUCT(--(LEFT($L$5:$L12,7)="Vencida"))+SUMPRODUCT(--(LEFT($L$5:$L12,5)="Vence")),"")</f>
        <v/>
      </c>
    </row>
    <row r="13">
      <c r="A13" s="56">
        <f>IF($N13="","",INDEX('Cronograma R. Financiero'!$A$5:$A$1000,$N13))</f>
        <v/>
      </c>
      <c r="B13" s="62">
        <f>IF($N13="","",IF($O13="Sub","      ↳  "&amp;INDEX('Cronograma R. Financiero'!$C$5:$C$1000,$N13),INDEX('Cronograma R. Financiero'!$C$5:$C$1000,$N13)&amp;""))</f>
        <v/>
      </c>
      <c r="C13" s="79">
        <f>IF($N13="","",IF(INDEX('Cronograma R. Financiero'!$AR$5:$AR$1000,$N13)="","",INDEX('Cronograma R. Financiero'!$AR$5:$AR$1000,$N13)))</f>
        <v/>
      </c>
      <c r="D13" s="79">
        <f>IF($N13="","",IF(INDEX('Cronograma R. Financiero'!$AS$5:$AS$1000,$N13)="","",INDEX('Cronograma R. Financiero'!$AS$5:$AS$1000,$N13)))</f>
        <v/>
      </c>
      <c r="E13" s="56">
        <f>IF($N13="","",IF(NOT(ISNUMBER($D13)),"",IF($D13&lt;InicioCiclo,"Antes del ciclo",IF($D13&gt;=InicioCiclo+28,"Después del ciclo","Semana "&amp;(INT(($D13-InicioCiclo)/7)+1)))))</f>
        <v/>
      </c>
      <c r="F13" s="61">
        <f>IF($N13="","",IF($P13&gt;0,IF(1&lt;=SemanaActual,INDEX('Cronograma R. Financiero'!$AH$5:$AH$1000,$N13),""),IF(INDEX('Cronograma R. Financiero'!$I$5:$I$1000,$N13)="","",INDEX('Cronograma R. Financiero'!$I$5:$I$1000,$N13))))</f>
        <v/>
      </c>
      <c r="G13" s="61">
        <f>IF($N13="","",IF($P13&gt;0,IF(2&lt;=SemanaActual,INDEX('Cronograma R. Financiero'!$AI$5:$AI$1000,$N13),""),IF(INDEX('Cronograma R. Financiero'!$J$5:$J$1000,$N13)="","",INDEX('Cronograma R. Financiero'!$J$5:$J$1000,$N13))))</f>
        <v/>
      </c>
      <c r="H13" s="61">
        <f>IF($N13="","",IF($P13&gt;0,IF(3&lt;=SemanaActual,INDEX('Cronograma R. Financiero'!$AJ$5:$AJ$1000,$N13),""),IF(INDEX('Cronograma R. Financiero'!$K$5:$K$1000,$N13)="","",INDEX('Cronograma R. Financiero'!$K$5:$K$1000,$N13))))</f>
        <v/>
      </c>
      <c r="I13" s="61">
        <f>IF($N13="","",IF($P13&gt;0,IF(4&lt;=SemanaActual,INDEX('Cronograma R. Financiero'!$AK$5:$AK$1000,$N13),""),IF(INDEX('Cronograma R. Financiero'!$L$5:$L$1000,$N13)="","",INDEX('Cronograma R. Financiero'!$L$5:$L$1000,$N13))))</f>
        <v/>
      </c>
      <c r="J13" s="61">
        <f>IF($N13="","",INDEX('Cronograma R. Financiero'!$M$5:$M$1000,$N13))</f>
        <v/>
      </c>
      <c r="K13" s="56">
        <f>IF($N13="","",IF(N($J13)&gt;=1,"Completado",IF(AND(ISNUMBER($D13),$D13&lt;FechaRef),"Vencida",IF(N($J13)&gt;0,"En curso","Pendiente"))))</f>
        <v/>
      </c>
      <c r="L13" s="56">
        <f>IF($N13="","",INDEX('Cronograma R. Financiero'!$O$5:$O$1000,$N13)&amp;"")</f>
        <v/>
      </c>
      <c r="M13" s="62">
        <f>IF($N13="","",INDEX('Cronograma R. Financiero'!$Q$5:$Q$1000,$N13)&amp;"")</f>
        <v/>
      </c>
      <c r="N13">
        <f>IFERROR(MATCH(ROW()-4,rOrden_RF,0),"")</f>
        <v/>
      </c>
      <c r="O13">
        <f>IF($N13="","",INDEX('Cronograma R. Financiero'!$V$5:$V$1000,$N13))</f>
        <v/>
      </c>
      <c r="P13">
        <f>IF($N13="","",N(INDEX('Cronograma R. Financiero'!$W$5:$W$1000,$N13)))</f>
        <v/>
      </c>
      <c r="Q13">
        <f>IF(OR(LEFT($L13,7)="Vencida",LEFT($L13,5)="Vence"),SUMPRODUCT(--(LEFT($L$5:$L13,7)="Vencida"))+SUMPRODUCT(--(LEFT($L$5:$L13,5)="Vence")),"")</f>
        <v/>
      </c>
    </row>
    <row r="14">
      <c r="A14" s="56">
        <f>IF($N14="","",INDEX('Cronograma R. Financiero'!$A$5:$A$1000,$N14))</f>
        <v/>
      </c>
      <c r="B14" s="62">
        <f>IF($N14="","",IF($O14="Sub","      ↳  "&amp;INDEX('Cronograma R. Financiero'!$C$5:$C$1000,$N14),INDEX('Cronograma R. Financiero'!$C$5:$C$1000,$N14)&amp;""))</f>
        <v/>
      </c>
      <c r="C14" s="79">
        <f>IF($N14="","",IF(INDEX('Cronograma R. Financiero'!$AR$5:$AR$1000,$N14)="","",INDEX('Cronograma R. Financiero'!$AR$5:$AR$1000,$N14)))</f>
        <v/>
      </c>
      <c r="D14" s="79">
        <f>IF($N14="","",IF(INDEX('Cronograma R. Financiero'!$AS$5:$AS$1000,$N14)="","",INDEX('Cronograma R. Financiero'!$AS$5:$AS$1000,$N14)))</f>
        <v/>
      </c>
      <c r="E14" s="56">
        <f>IF($N14="","",IF(NOT(ISNUMBER($D14)),"",IF($D14&lt;InicioCiclo,"Antes del ciclo",IF($D14&gt;=InicioCiclo+28,"Después del ciclo","Semana "&amp;(INT(($D14-InicioCiclo)/7)+1)))))</f>
        <v/>
      </c>
      <c r="F14" s="61">
        <f>IF($N14="","",IF($P14&gt;0,IF(1&lt;=SemanaActual,INDEX('Cronograma R. Financiero'!$AH$5:$AH$1000,$N14),""),IF(INDEX('Cronograma R. Financiero'!$I$5:$I$1000,$N14)="","",INDEX('Cronograma R. Financiero'!$I$5:$I$1000,$N14))))</f>
        <v/>
      </c>
      <c r="G14" s="61">
        <f>IF($N14="","",IF($P14&gt;0,IF(2&lt;=SemanaActual,INDEX('Cronograma R. Financiero'!$AI$5:$AI$1000,$N14),""),IF(INDEX('Cronograma R. Financiero'!$J$5:$J$1000,$N14)="","",INDEX('Cronograma R. Financiero'!$J$5:$J$1000,$N14))))</f>
        <v/>
      </c>
      <c r="H14" s="61">
        <f>IF($N14="","",IF($P14&gt;0,IF(3&lt;=SemanaActual,INDEX('Cronograma R. Financiero'!$AJ$5:$AJ$1000,$N14),""),IF(INDEX('Cronograma R. Financiero'!$K$5:$K$1000,$N14)="","",INDEX('Cronograma R. Financiero'!$K$5:$K$1000,$N14))))</f>
        <v/>
      </c>
      <c r="I14" s="61">
        <f>IF($N14="","",IF($P14&gt;0,IF(4&lt;=SemanaActual,INDEX('Cronograma R. Financiero'!$AK$5:$AK$1000,$N14),""),IF(INDEX('Cronograma R. Financiero'!$L$5:$L$1000,$N14)="","",INDEX('Cronograma R. Financiero'!$L$5:$L$1000,$N14))))</f>
        <v/>
      </c>
      <c r="J14" s="61">
        <f>IF($N14="","",INDEX('Cronograma R. Financiero'!$M$5:$M$1000,$N14))</f>
        <v/>
      </c>
      <c r="K14" s="56">
        <f>IF($N14="","",IF(N($J14)&gt;=1,"Completado",IF(AND(ISNUMBER($D14),$D14&lt;FechaRef),"Vencida",IF(N($J14)&gt;0,"En curso","Pendiente"))))</f>
        <v/>
      </c>
      <c r="L14" s="56">
        <f>IF($N14="","",INDEX('Cronograma R. Financiero'!$O$5:$O$1000,$N14)&amp;"")</f>
        <v/>
      </c>
      <c r="M14" s="62">
        <f>IF($N14="","",INDEX('Cronograma R. Financiero'!$Q$5:$Q$1000,$N14)&amp;"")</f>
        <v/>
      </c>
      <c r="N14">
        <f>IFERROR(MATCH(ROW()-4,rOrden_RF,0),"")</f>
        <v/>
      </c>
      <c r="O14">
        <f>IF($N14="","",INDEX('Cronograma R. Financiero'!$V$5:$V$1000,$N14))</f>
        <v/>
      </c>
      <c r="P14">
        <f>IF($N14="","",N(INDEX('Cronograma R. Financiero'!$W$5:$W$1000,$N14)))</f>
        <v/>
      </c>
      <c r="Q14">
        <f>IF(OR(LEFT($L14,7)="Vencida",LEFT($L14,5)="Vence"),SUMPRODUCT(--(LEFT($L$5:$L14,7)="Vencida"))+SUMPRODUCT(--(LEFT($L$5:$L14,5)="Vence")),"")</f>
        <v/>
      </c>
    </row>
    <row r="15">
      <c r="A15" s="56">
        <f>IF($N15="","",INDEX('Cronograma R. Financiero'!$A$5:$A$1000,$N15))</f>
        <v/>
      </c>
      <c r="B15" s="62">
        <f>IF($N15="","",IF($O15="Sub","      ↳  "&amp;INDEX('Cronograma R. Financiero'!$C$5:$C$1000,$N15),INDEX('Cronograma R. Financiero'!$C$5:$C$1000,$N15)&amp;""))</f>
        <v/>
      </c>
      <c r="C15" s="79">
        <f>IF($N15="","",IF(INDEX('Cronograma R. Financiero'!$AR$5:$AR$1000,$N15)="","",INDEX('Cronograma R. Financiero'!$AR$5:$AR$1000,$N15)))</f>
        <v/>
      </c>
      <c r="D15" s="79">
        <f>IF($N15="","",IF(INDEX('Cronograma R. Financiero'!$AS$5:$AS$1000,$N15)="","",INDEX('Cronograma R. Financiero'!$AS$5:$AS$1000,$N15)))</f>
        <v/>
      </c>
      <c r="E15" s="56">
        <f>IF($N15="","",IF(NOT(ISNUMBER($D15)),"",IF($D15&lt;InicioCiclo,"Antes del ciclo",IF($D15&gt;=InicioCiclo+28,"Después del ciclo","Semana "&amp;(INT(($D15-InicioCiclo)/7)+1)))))</f>
        <v/>
      </c>
      <c r="F15" s="61">
        <f>IF($N15="","",IF($P15&gt;0,IF(1&lt;=SemanaActual,INDEX('Cronograma R. Financiero'!$AH$5:$AH$1000,$N15),""),IF(INDEX('Cronograma R. Financiero'!$I$5:$I$1000,$N15)="","",INDEX('Cronograma R. Financiero'!$I$5:$I$1000,$N15))))</f>
        <v/>
      </c>
      <c r="G15" s="61">
        <f>IF($N15="","",IF($P15&gt;0,IF(2&lt;=SemanaActual,INDEX('Cronograma R. Financiero'!$AI$5:$AI$1000,$N15),""),IF(INDEX('Cronograma R. Financiero'!$J$5:$J$1000,$N15)="","",INDEX('Cronograma R. Financiero'!$J$5:$J$1000,$N15))))</f>
        <v/>
      </c>
      <c r="H15" s="61">
        <f>IF($N15="","",IF($P15&gt;0,IF(3&lt;=SemanaActual,INDEX('Cronograma R. Financiero'!$AJ$5:$AJ$1000,$N15),""),IF(INDEX('Cronograma R. Financiero'!$K$5:$K$1000,$N15)="","",INDEX('Cronograma R. Financiero'!$K$5:$K$1000,$N15))))</f>
        <v/>
      </c>
      <c r="I15" s="61">
        <f>IF($N15="","",IF($P15&gt;0,IF(4&lt;=SemanaActual,INDEX('Cronograma R. Financiero'!$AK$5:$AK$1000,$N15),""),IF(INDEX('Cronograma R. Financiero'!$L$5:$L$1000,$N15)="","",INDEX('Cronograma R. Financiero'!$L$5:$L$1000,$N15))))</f>
        <v/>
      </c>
      <c r="J15" s="61">
        <f>IF($N15="","",INDEX('Cronograma R. Financiero'!$M$5:$M$1000,$N15))</f>
        <v/>
      </c>
      <c r="K15" s="56">
        <f>IF($N15="","",IF(N($J15)&gt;=1,"Completado",IF(AND(ISNUMBER($D15),$D15&lt;FechaRef),"Vencida",IF(N($J15)&gt;0,"En curso","Pendiente"))))</f>
        <v/>
      </c>
      <c r="L15" s="56">
        <f>IF($N15="","",INDEX('Cronograma R. Financiero'!$O$5:$O$1000,$N15)&amp;"")</f>
        <v/>
      </c>
      <c r="M15" s="62">
        <f>IF($N15="","",INDEX('Cronograma R. Financiero'!$Q$5:$Q$1000,$N15)&amp;"")</f>
        <v/>
      </c>
      <c r="N15">
        <f>IFERROR(MATCH(ROW()-4,rOrden_RF,0),"")</f>
        <v/>
      </c>
      <c r="O15">
        <f>IF($N15="","",INDEX('Cronograma R. Financiero'!$V$5:$V$1000,$N15))</f>
        <v/>
      </c>
      <c r="P15">
        <f>IF($N15="","",N(INDEX('Cronograma R. Financiero'!$W$5:$W$1000,$N15)))</f>
        <v/>
      </c>
      <c r="Q15">
        <f>IF(OR(LEFT($L15,7)="Vencida",LEFT($L15,5)="Vence"),SUMPRODUCT(--(LEFT($L$5:$L15,7)="Vencida"))+SUMPRODUCT(--(LEFT($L$5:$L15,5)="Vence")),"")</f>
        <v/>
      </c>
    </row>
    <row r="16">
      <c r="A16" s="56">
        <f>IF($N16="","",INDEX('Cronograma R. Financiero'!$A$5:$A$1000,$N16))</f>
        <v/>
      </c>
      <c r="B16" s="62">
        <f>IF($N16="","",IF($O16="Sub","      ↳  "&amp;INDEX('Cronograma R. Financiero'!$C$5:$C$1000,$N16),INDEX('Cronograma R. Financiero'!$C$5:$C$1000,$N16)&amp;""))</f>
        <v/>
      </c>
      <c r="C16" s="79">
        <f>IF($N16="","",IF(INDEX('Cronograma R. Financiero'!$AR$5:$AR$1000,$N16)="","",INDEX('Cronograma R. Financiero'!$AR$5:$AR$1000,$N16)))</f>
        <v/>
      </c>
      <c r="D16" s="79">
        <f>IF($N16="","",IF(INDEX('Cronograma R. Financiero'!$AS$5:$AS$1000,$N16)="","",INDEX('Cronograma R. Financiero'!$AS$5:$AS$1000,$N16)))</f>
        <v/>
      </c>
      <c r="E16" s="56">
        <f>IF($N16="","",IF(NOT(ISNUMBER($D16)),"",IF($D16&lt;InicioCiclo,"Antes del ciclo",IF($D16&gt;=InicioCiclo+28,"Después del ciclo","Semana "&amp;(INT(($D16-InicioCiclo)/7)+1)))))</f>
        <v/>
      </c>
      <c r="F16" s="61">
        <f>IF($N16="","",IF($P16&gt;0,IF(1&lt;=SemanaActual,INDEX('Cronograma R. Financiero'!$AH$5:$AH$1000,$N16),""),IF(INDEX('Cronograma R. Financiero'!$I$5:$I$1000,$N16)="","",INDEX('Cronograma R. Financiero'!$I$5:$I$1000,$N16))))</f>
        <v/>
      </c>
      <c r="G16" s="61">
        <f>IF($N16="","",IF($P16&gt;0,IF(2&lt;=SemanaActual,INDEX('Cronograma R. Financiero'!$AI$5:$AI$1000,$N16),""),IF(INDEX('Cronograma R. Financiero'!$J$5:$J$1000,$N16)="","",INDEX('Cronograma R. Financiero'!$J$5:$J$1000,$N16))))</f>
        <v/>
      </c>
      <c r="H16" s="61">
        <f>IF($N16="","",IF($P16&gt;0,IF(3&lt;=SemanaActual,INDEX('Cronograma R. Financiero'!$AJ$5:$AJ$1000,$N16),""),IF(INDEX('Cronograma R. Financiero'!$K$5:$K$1000,$N16)="","",INDEX('Cronograma R. Financiero'!$K$5:$K$1000,$N16))))</f>
        <v/>
      </c>
      <c r="I16" s="61">
        <f>IF($N16="","",IF($P16&gt;0,IF(4&lt;=SemanaActual,INDEX('Cronograma R. Financiero'!$AK$5:$AK$1000,$N16),""),IF(INDEX('Cronograma R. Financiero'!$L$5:$L$1000,$N16)="","",INDEX('Cronograma R. Financiero'!$L$5:$L$1000,$N16))))</f>
        <v/>
      </c>
      <c r="J16" s="61">
        <f>IF($N16="","",INDEX('Cronograma R. Financiero'!$M$5:$M$1000,$N16))</f>
        <v/>
      </c>
      <c r="K16" s="56">
        <f>IF($N16="","",IF(N($J16)&gt;=1,"Completado",IF(AND(ISNUMBER($D16),$D16&lt;FechaRef),"Vencida",IF(N($J16)&gt;0,"En curso","Pendiente"))))</f>
        <v/>
      </c>
      <c r="L16" s="56">
        <f>IF($N16="","",INDEX('Cronograma R. Financiero'!$O$5:$O$1000,$N16)&amp;"")</f>
        <v/>
      </c>
      <c r="M16" s="62">
        <f>IF($N16="","",INDEX('Cronograma R. Financiero'!$Q$5:$Q$1000,$N16)&amp;"")</f>
        <v/>
      </c>
      <c r="N16">
        <f>IFERROR(MATCH(ROW()-4,rOrden_RF,0),"")</f>
        <v/>
      </c>
      <c r="O16">
        <f>IF($N16="","",INDEX('Cronograma R. Financiero'!$V$5:$V$1000,$N16))</f>
        <v/>
      </c>
      <c r="P16">
        <f>IF($N16="","",N(INDEX('Cronograma R. Financiero'!$W$5:$W$1000,$N16)))</f>
        <v/>
      </c>
      <c r="Q16">
        <f>IF(OR(LEFT($L16,7)="Vencida",LEFT($L16,5)="Vence"),SUMPRODUCT(--(LEFT($L$5:$L16,7)="Vencida"))+SUMPRODUCT(--(LEFT($L$5:$L16,5)="Vence")),"")</f>
        <v/>
      </c>
    </row>
    <row r="17">
      <c r="A17" s="56">
        <f>IF($N17="","",INDEX('Cronograma R. Financiero'!$A$5:$A$1000,$N17))</f>
        <v/>
      </c>
      <c r="B17" s="62">
        <f>IF($N17="","",IF($O17="Sub","      ↳  "&amp;INDEX('Cronograma R. Financiero'!$C$5:$C$1000,$N17),INDEX('Cronograma R. Financiero'!$C$5:$C$1000,$N17)&amp;""))</f>
        <v/>
      </c>
      <c r="C17" s="79">
        <f>IF($N17="","",IF(INDEX('Cronograma R. Financiero'!$AR$5:$AR$1000,$N17)="","",INDEX('Cronograma R. Financiero'!$AR$5:$AR$1000,$N17)))</f>
        <v/>
      </c>
      <c r="D17" s="79">
        <f>IF($N17="","",IF(INDEX('Cronograma R. Financiero'!$AS$5:$AS$1000,$N17)="","",INDEX('Cronograma R. Financiero'!$AS$5:$AS$1000,$N17)))</f>
        <v/>
      </c>
      <c r="E17" s="56">
        <f>IF($N17="","",IF(NOT(ISNUMBER($D17)),"",IF($D17&lt;InicioCiclo,"Antes del ciclo",IF($D17&gt;=InicioCiclo+28,"Después del ciclo","Semana "&amp;(INT(($D17-InicioCiclo)/7)+1)))))</f>
        <v/>
      </c>
      <c r="F17" s="61">
        <f>IF($N17="","",IF($P17&gt;0,IF(1&lt;=SemanaActual,INDEX('Cronograma R. Financiero'!$AH$5:$AH$1000,$N17),""),IF(INDEX('Cronograma R. Financiero'!$I$5:$I$1000,$N17)="","",INDEX('Cronograma R. Financiero'!$I$5:$I$1000,$N17))))</f>
        <v/>
      </c>
      <c r="G17" s="61">
        <f>IF($N17="","",IF($P17&gt;0,IF(2&lt;=SemanaActual,INDEX('Cronograma R. Financiero'!$AI$5:$AI$1000,$N17),""),IF(INDEX('Cronograma R. Financiero'!$J$5:$J$1000,$N17)="","",INDEX('Cronograma R. Financiero'!$J$5:$J$1000,$N17))))</f>
        <v/>
      </c>
      <c r="H17" s="61">
        <f>IF($N17="","",IF($P17&gt;0,IF(3&lt;=SemanaActual,INDEX('Cronograma R. Financiero'!$AJ$5:$AJ$1000,$N17),""),IF(INDEX('Cronograma R. Financiero'!$K$5:$K$1000,$N17)="","",INDEX('Cronograma R. Financiero'!$K$5:$K$1000,$N17))))</f>
        <v/>
      </c>
      <c r="I17" s="61">
        <f>IF($N17="","",IF($P17&gt;0,IF(4&lt;=SemanaActual,INDEX('Cronograma R. Financiero'!$AK$5:$AK$1000,$N17),""),IF(INDEX('Cronograma R. Financiero'!$L$5:$L$1000,$N17)="","",INDEX('Cronograma R. Financiero'!$L$5:$L$1000,$N17))))</f>
        <v/>
      </c>
      <c r="J17" s="61">
        <f>IF($N17="","",INDEX('Cronograma R. Financiero'!$M$5:$M$1000,$N17))</f>
        <v/>
      </c>
      <c r="K17" s="56">
        <f>IF($N17="","",IF(N($J17)&gt;=1,"Completado",IF(AND(ISNUMBER($D17),$D17&lt;FechaRef),"Vencida",IF(N($J17)&gt;0,"En curso","Pendiente"))))</f>
        <v/>
      </c>
      <c r="L17" s="56">
        <f>IF($N17="","",INDEX('Cronograma R. Financiero'!$O$5:$O$1000,$N17)&amp;"")</f>
        <v/>
      </c>
      <c r="M17" s="62">
        <f>IF($N17="","",INDEX('Cronograma R. Financiero'!$Q$5:$Q$1000,$N17)&amp;"")</f>
        <v/>
      </c>
      <c r="N17">
        <f>IFERROR(MATCH(ROW()-4,rOrden_RF,0),"")</f>
        <v/>
      </c>
      <c r="O17">
        <f>IF($N17="","",INDEX('Cronograma R. Financiero'!$V$5:$V$1000,$N17))</f>
        <v/>
      </c>
      <c r="P17">
        <f>IF($N17="","",N(INDEX('Cronograma R. Financiero'!$W$5:$W$1000,$N17)))</f>
        <v/>
      </c>
      <c r="Q17">
        <f>IF(OR(LEFT($L17,7)="Vencida",LEFT($L17,5)="Vence"),SUMPRODUCT(--(LEFT($L$5:$L17,7)="Vencida"))+SUMPRODUCT(--(LEFT($L$5:$L17,5)="Vence")),"")</f>
        <v/>
      </c>
    </row>
    <row r="18">
      <c r="A18" s="56">
        <f>IF($N18="","",INDEX('Cronograma R. Financiero'!$A$5:$A$1000,$N18))</f>
        <v/>
      </c>
      <c r="B18" s="62">
        <f>IF($N18="","",IF($O18="Sub","      ↳  "&amp;INDEX('Cronograma R. Financiero'!$C$5:$C$1000,$N18),INDEX('Cronograma R. Financiero'!$C$5:$C$1000,$N18)&amp;""))</f>
        <v/>
      </c>
      <c r="C18" s="79">
        <f>IF($N18="","",IF(INDEX('Cronograma R. Financiero'!$AR$5:$AR$1000,$N18)="","",INDEX('Cronograma R. Financiero'!$AR$5:$AR$1000,$N18)))</f>
        <v/>
      </c>
      <c r="D18" s="79">
        <f>IF($N18="","",IF(INDEX('Cronograma R. Financiero'!$AS$5:$AS$1000,$N18)="","",INDEX('Cronograma R. Financiero'!$AS$5:$AS$1000,$N18)))</f>
        <v/>
      </c>
      <c r="E18" s="56">
        <f>IF($N18="","",IF(NOT(ISNUMBER($D18)),"",IF($D18&lt;InicioCiclo,"Antes del ciclo",IF($D18&gt;=InicioCiclo+28,"Después del ciclo","Semana "&amp;(INT(($D18-InicioCiclo)/7)+1)))))</f>
        <v/>
      </c>
      <c r="F18" s="61">
        <f>IF($N18="","",IF($P18&gt;0,IF(1&lt;=SemanaActual,INDEX('Cronograma R. Financiero'!$AH$5:$AH$1000,$N18),""),IF(INDEX('Cronograma R. Financiero'!$I$5:$I$1000,$N18)="","",INDEX('Cronograma R. Financiero'!$I$5:$I$1000,$N18))))</f>
        <v/>
      </c>
      <c r="G18" s="61">
        <f>IF($N18="","",IF($P18&gt;0,IF(2&lt;=SemanaActual,INDEX('Cronograma R. Financiero'!$AI$5:$AI$1000,$N18),""),IF(INDEX('Cronograma R. Financiero'!$J$5:$J$1000,$N18)="","",INDEX('Cronograma R. Financiero'!$J$5:$J$1000,$N18))))</f>
        <v/>
      </c>
      <c r="H18" s="61">
        <f>IF($N18="","",IF($P18&gt;0,IF(3&lt;=SemanaActual,INDEX('Cronograma R. Financiero'!$AJ$5:$AJ$1000,$N18),""),IF(INDEX('Cronograma R. Financiero'!$K$5:$K$1000,$N18)="","",INDEX('Cronograma R. Financiero'!$K$5:$K$1000,$N18))))</f>
        <v/>
      </c>
      <c r="I18" s="61">
        <f>IF($N18="","",IF($P18&gt;0,IF(4&lt;=SemanaActual,INDEX('Cronograma R. Financiero'!$AK$5:$AK$1000,$N18),""),IF(INDEX('Cronograma R. Financiero'!$L$5:$L$1000,$N18)="","",INDEX('Cronograma R. Financiero'!$L$5:$L$1000,$N18))))</f>
        <v/>
      </c>
      <c r="J18" s="61">
        <f>IF($N18="","",INDEX('Cronograma R. Financiero'!$M$5:$M$1000,$N18))</f>
        <v/>
      </c>
      <c r="K18" s="56">
        <f>IF($N18="","",IF(N($J18)&gt;=1,"Completado",IF(AND(ISNUMBER($D18),$D18&lt;FechaRef),"Vencida",IF(N($J18)&gt;0,"En curso","Pendiente"))))</f>
        <v/>
      </c>
      <c r="L18" s="56">
        <f>IF($N18="","",INDEX('Cronograma R. Financiero'!$O$5:$O$1000,$N18)&amp;"")</f>
        <v/>
      </c>
      <c r="M18" s="62">
        <f>IF($N18="","",INDEX('Cronograma R. Financiero'!$Q$5:$Q$1000,$N18)&amp;"")</f>
        <v/>
      </c>
      <c r="N18">
        <f>IFERROR(MATCH(ROW()-4,rOrden_RF,0),"")</f>
        <v/>
      </c>
      <c r="O18">
        <f>IF($N18="","",INDEX('Cronograma R. Financiero'!$V$5:$V$1000,$N18))</f>
        <v/>
      </c>
      <c r="P18">
        <f>IF($N18="","",N(INDEX('Cronograma R. Financiero'!$W$5:$W$1000,$N18)))</f>
        <v/>
      </c>
      <c r="Q18">
        <f>IF(OR(LEFT($L18,7)="Vencida",LEFT($L18,5)="Vence"),SUMPRODUCT(--(LEFT($L$5:$L18,7)="Vencida"))+SUMPRODUCT(--(LEFT($L$5:$L18,5)="Vence")),"")</f>
        <v/>
      </c>
    </row>
    <row r="19">
      <c r="A19" s="56">
        <f>IF($N19="","",INDEX('Cronograma R. Financiero'!$A$5:$A$1000,$N19))</f>
        <v/>
      </c>
      <c r="B19" s="62">
        <f>IF($N19="","",IF($O19="Sub","      ↳  "&amp;INDEX('Cronograma R. Financiero'!$C$5:$C$1000,$N19),INDEX('Cronograma R. Financiero'!$C$5:$C$1000,$N19)&amp;""))</f>
        <v/>
      </c>
      <c r="C19" s="79">
        <f>IF($N19="","",IF(INDEX('Cronograma R. Financiero'!$AR$5:$AR$1000,$N19)="","",INDEX('Cronograma R. Financiero'!$AR$5:$AR$1000,$N19)))</f>
        <v/>
      </c>
      <c r="D19" s="79">
        <f>IF($N19="","",IF(INDEX('Cronograma R. Financiero'!$AS$5:$AS$1000,$N19)="","",INDEX('Cronograma R. Financiero'!$AS$5:$AS$1000,$N19)))</f>
        <v/>
      </c>
      <c r="E19" s="56">
        <f>IF($N19="","",IF(NOT(ISNUMBER($D19)),"",IF($D19&lt;InicioCiclo,"Antes del ciclo",IF($D19&gt;=InicioCiclo+28,"Después del ciclo","Semana "&amp;(INT(($D19-InicioCiclo)/7)+1)))))</f>
        <v/>
      </c>
      <c r="F19" s="61">
        <f>IF($N19="","",IF($P19&gt;0,IF(1&lt;=SemanaActual,INDEX('Cronograma R. Financiero'!$AH$5:$AH$1000,$N19),""),IF(INDEX('Cronograma R. Financiero'!$I$5:$I$1000,$N19)="","",INDEX('Cronograma R. Financiero'!$I$5:$I$1000,$N19))))</f>
        <v/>
      </c>
      <c r="G19" s="61">
        <f>IF($N19="","",IF($P19&gt;0,IF(2&lt;=SemanaActual,INDEX('Cronograma R. Financiero'!$AI$5:$AI$1000,$N19),""),IF(INDEX('Cronograma R. Financiero'!$J$5:$J$1000,$N19)="","",INDEX('Cronograma R. Financiero'!$J$5:$J$1000,$N19))))</f>
        <v/>
      </c>
      <c r="H19" s="61">
        <f>IF($N19="","",IF($P19&gt;0,IF(3&lt;=SemanaActual,INDEX('Cronograma R. Financiero'!$AJ$5:$AJ$1000,$N19),""),IF(INDEX('Cronograma R. Financiero'!$K$5:$K$1000,$N19)="","",INDEX('Cronograma R. Financiero'!$K$5:$K$1000,$N19))))</f>
        <v/>
      </c>
      <c r="I19" s="61">
        <f>IF($N19="","",IF($P19&gt;0,IF(4&lt;=SemanaActual,INDEX('Cronograma R. Financiero'!$AK$5:$AK$1000,$N19),""),IF(INDEX('Cronograma R. Financiero'!$L$5:$L$1000,$N19)="","",INDEX('Cronograma R. Financiero'!$L$5:$L$1000,$N19))))</f>
        <v/>
      </c>
      <c r="J19" s="61">
        <f>IF($N19="","",INDEX('Cronograma R. Financiero'!$M$5:$M$1000,$N19))</f>
        <v/>
      </c>
      <c r="K19" s="56">
        <f>IF($N19="","",IF(N($J19)&gt;=1,"Completado",IF(AND(ISNUMBER($D19),$D19&lt;FechaRef),"Vencida",IF(N($J19)&gt;0,"En curso","Pendiente"))))</f>
        <v/>
      </c>
      <c r="L19" s="56">
        <f>IF($N19="","",INDEX('Cronograma R. Financiero'!$O$5:$O$1000,$N19)&amp;"")</f>
        <v/>
      </c>
      <c r="M19" s="62">
        <f>IF($N19="","",INDEX('Cronograma R. Financiero'!$Q$5:$Q$1000,$N19)&amp;"")</f>
        <v/>
      </c>
      <c r="N19">
        <f>IFERROR(MATCH(ROW()-4,rOrden_RF,0),"")</f>
        <v/>
      </c>
      <c r="O19">
        <f>IF($N19="","",INDEX('Cronograma R. Financiero'!$V$5:$V$1000,$N19))</f>
        <v/>
      </c>
      <c r="P19">
        <f>IF($N19="","",N(INDEX('Cronograma R. Financiero'!$W$5:$W$1000,$N19)))</f>
        <v/>
      </c>
      <c r="Q19">
        <f>IF(OR(LEFT($L19,7)="Vencida",LEFT($L19,5)="Vence"),SUMPRODUCT(--(LEFT($L$5:$L19,7)="Vencida"))+SUMPRODUCT(--(LEFT($L$5:$L19,5)="Vence")),"")</f>
        <v/>
      </c>
    </row>
    <row r="20">
      <c r="A20" s="56">
        <f>IF($N20="","",INDEX('Cronograma R. Financiero'!$A$5:$A$1000,$N20))</f>
        <v/>
      </c>
      <c r="B20" s="62">
        <f>IF($N20="","",IF($O20="Sub","      ↳  "&amp;INDEX('Cronograma R. Financiero'!$C$5:$C$1000,$N20),INDEX('Cronograma R. Financiero'!$C$5:$C$1000,$N20)&amp;""))</f>
        <v/>
      </c>
      <c r="C20" s="79">
        <f>IF($N20="","",IF(INDEX('Cronograma R. Financiero'!$AR$5:$AR$1000,$N20)="","",INDEX('Cronograma R. Financiero'!$AR$5:$AR$1000,$N20)))</f>
        <v/>
      </c>
      <c r="D20" s="79">
        <f>IF($N20="","",IF(INDEX('Cronograma R. Financiero'!$AS$5:$AS$1000,$N20)="","",INDEX('Cronograma R. Financiero'!$AS$5:$AS$1000,$N20)))</f>
        <v/>
      </c>
      <c r="E20" s="56">
        <f>IF($N20="","",IF(NOT(ISNUMBER($D20)),"",IF($D20&lt;InicioCiclo,"Antes del ciclo",IF($D20&gt;=InicioCiclo+28,"Después del ciclo","Semana "&amp;(INT(($D20-InicioCiclo)/7)+1)))))</f>
        <v/>
      </c>
      <c r="F20" s="61">
        <f>IF($N20="","",IF($P20&gt;0,IF(1&lt;=SemanaActual,INDEX('Cronograma R. Financiero'!$AH$5:$AH$1000,$N20),""),IF(INDEX('Cronograma R. Financiero'!$I$5:$I$1000,$N20)="","",INDEX('Cronograma R. Financiero'!$I$5:$I$1000,$N20))))</f>
        <v/>
      </c>
      <c r="G20" s="61">
        <f>IF($N20="","",IF($P20&gt;0,IF(2&lt;=SemanaActual,INDEX('Cronograma R. Financiero'!$AI$5:$AI$1000,$N20),""),IF(INDEX('Cronograma R. Financiero'!$J$5:$J$1000,$N20)="","",INDEX('Cronograma R. Financiero'!$J$5:$J$1000,$N20))))</f>
        <v/>
      </c>
      <c r="H20" s="61">
        <f>IF($N20="","",IF($P20&gt;0,IF(3&lt;=SemanaActual,INDEX('Cronograma R. Financiero'!$AJ$5:$AJ$1000,$N20),""),IF(INDEX('Cronograma R. Financiero'!$K$5:$K$1000,$N20)="","",INDEX('Cronograma R. Financiero'!$K$5:$K$1000,$N20))))</f>
        <v/>
      </c>
      <c r="I20" s="61">
        <f>IF($N20="","",IF($P20&gt;0,IF(4&lt;=SemanaActual,INDEX('Cronograma R. Financiero'!$AK$5:$AK$1000,$N20),""),IF(INDEX('Cronograma R. Financiero'!$L$5:$L$1000,$N20)="","",INDEX('Cronograma R. Financiero'!$L$5:$L$1000,$N20))))</f>
        <v/>
      </c>
      <c r="J20" s="61">
        <f>IF($N20="","",INDEX('Cronograma R. Financiero'!$M$5:$M$1000,$N20))</f>
        <v/>
      </c>
      <c r="K20" s="56">
        <f>IF($N20="","",IF(N($J20)&gt;=1,"Completado",IF(AND(ISNUMBER($D20),$D20&lt;FechaRef),"Vencida",IF(N($J20)&gt;0,"En curso","Pendiente"))))</f>
        <v/>
      </c>
      <c r="L20" s="56">
        <f>IF($N20="","",INDEX('Cronograma R. Financiero'!$O$5:$O$1000,$N20)&amp;"")</f>
        <v/>
      </c>
      <c r="M20" s="62">
        <f>IF($N20="","",INDEX('Cronograma R. Financiero'!$Q$5:$Q$1000,$N20)&amp;"")</f>
        <v/>
      </c>
      <c r="N20">
        <f>IFERROR(MATCH(ROW()-4,rOrden_RF,0),"")</f>
        <v/>
      </c>
      <c r="O20">
        <f>IF($N20="","",INDEX('Cronograma R. Financiero'!$V$5:$V$1000,$N20))</f>
        <v/>
      </c>
      <c r="P20">
        <f>IF($N20="","",N(INDEX('Cronograma R. Financiero'!$W$5:$W$1000,$N20)))</f>
        <v/>
      </c>
      <c r="Q20">
        <f>IF(OR(LEFT($L20,7)="Vencida",LEFT($L20,5)="Vence"),SUMPRODUCT(--(LEFT($L$5:$L20,7)="Vencida"))+SUMPRODUCT(--(LEFT($L$5:$L20,5)="Vence")),"")</f>
        <v/>
      </c>
    </row>
    <row r="21">
      <c r="A21" s="56">
        <f>IF($N21="","",INDEX('Cronograma R. Financiero'!$A$5:$A$1000,$N21))</f>
        <v/>
      </c>
      <c r="B21" s="62">
        <f>IF($N21="","",IF($O21="Sub","      ↳  "&amp;INDEX('Cronograma R. Financiero'!$C$5:$C$1000,$N21),INDEX('Cronograma R. Financiero'!$C$5:$C$1000,$N21)&amp;""))</f>
        <v/>
      </c>
      <c r="C21" s="79">
        <f>IF($N21="","",IF(INDEX('Cronograma R. Financiero'!$AR$5:$AR$1000,$N21)="","",INDEX('Cronograma R. Financiero'!$AR$5:$AR$1000,$N21)))</f>
        <v/>
      </c>
      <c r="D21" s="79">
        <f>IF($N21="","",IF(INDEX('Cronograma R. Financiero'!$AS$5:$AS$1000,$N21)="","",INDEX('Cronograma R. Financiero'!$AS$5:$AS$1000,$N21)))</f>
        <v/>
      </c>
      <c r="E21" s="56">
        <f>IF($N21="","",IF(NOT(ISNUMBER($D21)),"",IF($D21&lt;InicioCiclo,"Antes del ciclo",IF($D21&gt;=InicioCiclo+28,"Después del ciclo","Semana "&amp;(INT(($D21-InicioCiclo)/7)+1)))))</f>
        <v/>
      </c>
      <c r="F21" s="61">
        <f>IF($N21="","",IF($P21&gt;0,IF(1&lt;=SemanaActual,INDEX('Cronograma R. Financiero'!$AH$5:$AH$1000,$N21),""),IF(INDEX('Cronograma R. Financiero'!$I$5:$I$1000,$N21)="","",INDEX('Cronograma R. Financiero'!$I$5:$I$1000,$N21))))</f>
        <v/>
      </c>
      <c r="G21" s="61">
        <f>IF($N21="","",IF($P21&gt;0,IF(2&lt;=SemanaActual,INDEX('Cronograma R. Financiero'!$AI$5:$AI$1000,$N21),""),IF(INDEX('Cronograma R. Financiero'!$J$5:$J$1000,$N21)="","",INDEX('Cronograma R. Financiero'!$J$5:$J$1000,$N21))))</f>
        <v/>
      </c>
      <c r="H21" s="61">
        <f>IF($N21="","",IF($P21&gt;0,IF(3&lt;=SemanaActual,INDEX('Cronograma R. Financiero'!$AJ$5:$AJ$1000,$N21),""),IF(INDEX('Cronograma R. Financiero'!$K$5:$K$1000,$N21)="","",INDEX('Cronograma R. Financiero'!$K$5:$K$1000,$N21))))</f>
        <v/>
      </c>
      <c r="I21" s="61">
        <f>IF($N21="","",IF($P21&gt;0,IF(4&lt;=SemanaActual,INDEX('Cronograma R. Financiero'!$AK$5:$AK$1000,$N21),""),IF(INDEX('Cronograma R. Financiero'!$L$5:$L$1000,$N21)="","",INDEX('Cronograma R. Financiero'!$L$5:$L$1000,$N21))))</f>
        <v/>
      </c>
      <c r="J21" s="61">
        <f>IF($N21="","",INDEX('Cronograma R. Financiero'!$M$5:$M$1000,$N21))</f>
        <v/>
      </c>
      <c r="K21" s="56">
        <f>IF($N21="","",IF(N($J21)&gt;=1,"Completado",IF(AND(ISNUMBER($D21),$D21&lt;FechaRef),"Vencida",IF(N($J21)&gt;0,"En curso","Pendiente"))))</f>
        <v/>
      </c>
      <c r="L21" s="56">
        <f>IF($N21="","",INDEX('Cronograma R. Financiero'!$O$5:$O$1000,$N21)&amp;"")</f>
        <v/>
      </c>
      <c r="M21" s="62">
        <f>IF($N21="","",INDEX('Cronograma R. Financiero'!$Q$5:$Q$1000,$N21)&amp;"")</f>
        <v/>
      </c>
      <c r="N21">
        <f>IFERROR(MATCH(ROW()-4,rOrden_RF,0),"")</f>
        <v/>
      </c>
      <c r="O21">
        <f>IF($N21="","",INDEX('Cronograma R. Financiero'!$V$5:$V$1000,$N21))</f>
        <v/>
      </c>
      <c r="P21">
        <f>IF($N21="","",N(INDEX('Cronograma R. Financiero'!$W$5:$W$1000,$N21)))</f>
        <v/>
      </c>
      <c r="Q21">
        <f>IF(OR(LEFT($L21,7)="Vencida",LEFT($L21,5)="Vence"),SUMPRODUCT(--(LEFT($L$5:$L21,7)="Vencida"))+SUMPRODUCT(--(LEFT($L$5:$L21,5)="Vence")),"")</f>
        <v/>
      </c>
    </row>
    <row r="22">
      <c r="A22" s="56">
        <f>IF($N22="","",INDEX('Cronograma R. Financiero'!$A$5:$A$1000,$N22))</f>
        <v/>
      </c>
      <c r="B22" s="62">
        <f>IF($N22="","",IF($O22="Sub","      ↳  "&amp;INDEX('Cronograma R. Financiero'!$C$5:$C$1000,$N22),INDEX('Cronograma R. Financiero'!$C$5:$C$1000,$N22)&amp;""))</f>
        <v/>
      </c>
      <c r="C22" s="79">
        <f>IF($N22="","",IF(INDEX('Cronograma R. Financiero'!$AR$5:$AR$1000,$N22)="","",INDEX('Cronograma R. Financiero'!$AR$5:$AR$1000,$N22)))</f>
        <v/>
      </c>
      <c r="D22" s="79">
        <f>IF($N22="","",IF(INDEX('Cronograma R. Financiero'!$AS$5:$AS$1000,$N22)="","",INDEX('Cronograma R. Financiero'!$AS$5:$AS$1000,$N22)))</f>
        <v/>
      </c>
      <c r="E22" s="56">
        <f>IF($N22="","",IF(NOT(ISNUMBER($D22)),"",IF($D22&lt;InicioCiclo,"Antes del ciclo",IF($D22&gt;=InicioCiclo+28,"Después del ciclo","Semana "&amp;(INT(($D22-InicioCiclo)/7)+1)))))</f>
        <v/>
      </c>
      <c r="F22" s="61">
        <f>IF($N22="","",IF($P22&gt;0,IF(1&lt;=SemanaActual,INDEX('Cronograma R. Financiero'!$AH$5:$AH$1000,$N22),""),IF(INDEX('Cronograma R. Financiero'!$I$5:$I$1000,$N22)="","",INDEX('Cronograma R. Financiero'!$I$5:$I$1000,$N22))))</f>
        <v/>
      </c>
      <c r="G22" s="61">
        <f>IF($N22="","",IF($P22&gt;0,IF(2&lt;=SemanaActual,INDEX('Cronograma R. Financiero'!$AI$5:$AI$1000,$N22),""),IF(INDEX('Cronograma R. Financiero'!$J$5:$J$1000,$N22)="","",INDEX('Cronograma R. Financiero'!$J$5:$J$1000,$N22))))</f>
        <v/>
      </c>
      <c r="H22" s="61">
        <f>IF($N22="","",IF($P22&gt;0,IF(3&lt;=SemanaActual,INDEX('Cronograma R. Financiero'!$AJ$5:$AJ$1000,$N22),""),IF(INDEX('Cronograma R. Financiero'!$K$5:$K$1000,$N22)="","",INDEX('Cronograma R. Financiero'!$K$5:$K$1000,$N22))))</f>
        <v/>
      </c>
      <c r="I22" s="61">
        <f>IF($N22="","",IF($P22&gt;0,IF(4&lt;=SemanaActual,INDEX('Cronograma R. Financiero'!$AK$5:$AK$1000,$N22),""),IF(INDEX('Cronograma R. Financiero'!$L$5:$L$1000,$N22)="","",INDEX('Cronograma R. Financiero'!$L$5:$L$1000,$N22))))</f>
        <v/>
      </c>
      <c r="J22" s="61">
        <f>IF($N22="","",INDEX('Cronograma R. Financiero'!$M$5:$M$1000,$N22))</f>
        <v/>
      </c>
      <c r="K22" s="56">
        <f>IF($N22="","",IF(N($J22)&gt;=1,"Completado",IF(AND(ISNUMBER($D22),$D22&lt;FechaRef),"Vencida",IF(N($J22)&gt;0,"En curso","Pendiente"))))</f>
        <v/>
      </c>
      <c r="L22" s="56">
        <f>IF($N22="","",INDEX('Cronograma R. Financiero'!$O$5:$O$1000,$N22)&amp;"")</f>
        <v/>
      </c>
      <c r="M22" s="62">
        <f>IF($N22="","",INDEX('Cronograma R. Financiero'!$Q$5:$Q$1000,$N22)&amp;"")</f>
        <v/>
      </c>
      <c r="N22">
        <f>IFERROR(MATCH(ROW()-4,rOrden_RF,0),"")</f>
        <v/>
      </c>
      <c r="O22">
        <f>IF($N22="","",INDEX('Cronograma R. Financiero'!$V$5:$V$1000,$N22))</f>
        <v/>
      </c>
      <c r="P22">
        <f>IF($N22="","",N(INDEX('Cronograma R. Financiero'!$W$5:$W$1000,$N22)))</f>
        <v/>
      </c>
      <c r="Q22">
        <f>IF(OR(LEFT($L22,7)="Vencida",LEFT($L22,5)="Vence"),SUMPRODUCT(--(LEFT($L$5:$L22,7)="Vencida"))+SUMPRODUCT(--(LEFT($L$5:$L22,5)="Vence")),"")</f>
        <v/>
      </c>
    </row>
    <row r="23">
      <c r="A23" s="56">
        <f>IF($N23="","",INDEX('Cronograma R. Financiero'!$A$5:$A$1000,$N23))</f>
        <v/>
      </c>
      <c r="B23" s="62">
        <f>IF($N23="","",IF($O23="Sub","      ↳  "&amp;INDEX('Cronograma R. Financiero'!$C$5:$C$1000,$N23),INDEX('Cronograma R. Financiero'!$C$5:$C$1000,$N23)&amp;""))</f>
        <v/>
      </c>
      <c r="C23" s="79">
        <f>IF($N23="","",IF(INDEX('Cronograma R. Financiero'!$AR$5:$AR$1000,$N23)="","",INDEX('Cronograma R. Financiero'!$AR$5:$AR$1000,$N23)))</f>
        <v/>
      </c>
      <c r="D23" s="79">
        <f>IF($N23="","",IF(INDEX('Cronograma R. Financiero'!$AS$5:$AS$1000,$N23)="","",INDEX('Cronograma R. Financiero'!$AS$5:$AS$1000,$N23)))</f>
        <v/>
      </c>
      <c r="E23" s="56">
        <f>IF($N23="","",IF(NOT(ISNUMBER($D23)),"",IF($D23&lt;InicioCiclo,"Antes del ciclo",IF($D23&gt;=InicioCiclo+28,"Después del ciclo","Semana "&amp;(INT(($D23-InicioCiclo)/7)+1)))))</f>
        <v/>
      </c>
      <c r="F23" s="61">
        <f>IF($N23="","",IF($P23&gt;0,IF(1&lt;=SemanaActual,INDEX('Cronograma R. Financiero'!$AH$5:$AH$1000,$N23),""),IF(INDEX('Cronograma R. Financiero'!$I$5:$I$1000,$N23)="","",INDEX('Cronograma R. Financiero'!$I$5:$I$1000,$N23))))</f>
        <v/>
      </c>
      <c r="G23" s="61">
        <f>IF($N23="","",IF($P23&gt;0,IF(2&lt;=SemanaActual,INDEX('Cronograma R. Financiero'!$AI$5:$AI$1000,$N23),""),IF(INDEX('Cronograma R. Financiero'!$J$5:$J$1000,$N23)="","",INDEX('Cronograma R. Financiero'!$J$5:$J$1000,$N23))))</f>
        <v/>
      </c>
      <c r="H23" s="61">
        <f>IF($N23="","",IF($P23&gt;0,IF(3&lt;=SemanaActual,INDEX('Cronograma R. Financiero'!$AJ$5:$AJ$1000,$N23),""),IF(INDEX('Cronograma R. Financiero'!$K$5:$K$1000,$N23)="","",INDEX('Cronograma R. Financiero'!$K$5:$K$1000,$N23))))</f>
        <v/>
      </c>
      <c r="I23" s="61">
        <f>IF($N23="","",IF($P23&gt;0,IF(4&lt;=SemanaActual,INDEX('Cronograma R. Financiero'!$AK$5:$AK$1000,$N23),""),IF(INDEX('Cronograma R. Financiero'!$L$5:$L$1000,$N23)="","",INDEX('Cronograma R. Financiero'!$L$5:$L$1000,$N23))))</f>
        <v/>
      </c>
      <c r="J23" s="61">
        <f>IF($N23="","",INDEX('Cronograma R. Financiero'!$M$5:$M$1000,$N23))</f>
        <v/>
      </c>
      <c r="K23" s="56">
        <f>IF($N23="","",IF(N($J23)&gt;=1,"Completado",IF(AND(ISNUMBER($D23),$D23&lt;FechaRef),"Vencida",IF(N($J23)&gt;0,"En curso","Pendiente"))))</f>
        <v/>
      </c>
      <c r="L23" s="56">
        <f>IF($N23="","",INDEX('Cronograma R. Financiero'!$O$5:$O$1000,$N23)&amp;"")</f>
        <v/>
      </c>
      <c r="M23" s="62">
        <f>IF($N23="","",INDEX('Cronograma R. Financiero'!$Q$5:$Q$1000,$N23)&amp;"")</f>
        <v/>
      </c>
      <c r="N23">
        <f>IFERROR(MATCH(ROW()-4,rOrden_RF,0),"")</f>
        <v/>
      </c>
      <c r="O23">
        <f>IF($N23="","",INDEX('Cronograma R. Financiero'!$V$5:$V$1000,$N23))</f>
        <v/>
      </c>
      <c r="P23">
        <f>IF($N23="","",N(INDEX('Cronograma R. Financiero'!$W$5:$W$1000,$N23)))</f>
        <v/>
      </c>
      <c r="Q23">
        <f>IF(OR(LEFT($L23,7)="Vencida",LEFT($L23,5)="Vence"),SUMPRODUCT(--(LEFT($L$5:$L23,7)="Vencida"))+SUMPRODUCT(--(LEFT($L$5:$L23,5)="Vence")),"")</f>
        <v/>
      </c>
    </row>
    <row r="24">
      <c r="A24" s="56">
        <f>IF($N24="","",INDEX('Cronograma R. Financiero'!$A$5:$A$1000,$N24))</f>
        <v/>
      </c>
      <c r="B24" s="62">
        <f>IF($N24="","",IF($O24="Sub","      ↳  "&amp;INDEX('Cronograma R. Financiero'!$C$5:$C$1000,$N24),INDEX('Cronograma R. Financiero'!$C$5:$C$1000,$N24)&amp;""))</f>
        <v/>
      </c>
      <c r="C24" s="79">
        <f>IF($N24="","",IF(INDEX('Cronograma R. Financiero'!$AR$5:$AR$1000,$N24)="","",INDEX('Cronograma R. Financiero'!$AR$5:$AR$1000,$N24)))</f>
        <v/>
      </c>
      <c r="D24" s="79">
        <f>IF($N24="","",IF(INDEX('Cronograma R. Financiero'!$AS$5:$AS$1000,$N24)="","",INDEX('Cronograma R. Financiero'!$AS$5:$AS$1000,$N24)))</f>
        <v/>
      </c>
      <c r="E24" s="56">
        <f>IF($N24="","",IF(NOT(ISNUMBER($D24)),"",IF($D24&lt;InicioCiclo,"Antes del ciclo",IF($D24&gt;=InicioCiclo+28,"Después del ciclo","Semana "&amp;(INT(($D24-InicioCiclo)/7)+1)))))</f>
        <v/>
      </c>
      <c r="F24" s="61">
        <f>IF($N24="","",IF($P24&gt;0,IF(1&lt;=SemanaActual,INDEX('Cronograma R. Financiero'!$AH$5:$AH$1000,$N24),""),IF(INDEX('Cronograma R. Financiero'!$I$5:$I$1000,$N24)="","",INDEX('Cronograma R. Financiero'!$I$5:$I$1000,$N24))))</f>
        <v/>
      </c>
      <c r="G24" s="61">
        <f>IF($N24="","",IF($P24&gt;0,IF(2&lt;=SemanaActual,INDEX('Cronograma R. Financiero'!$AI$5:$AI$1000,$N24),""),IF(INDEX('Cronograma R. Financiero'!$J$5:$J$1000,$N24)="","",INDEX('Cronograma R. Financiero'!$J$5:$J$1000,$N24))))</f>
        <v/>
      </c>
      <c r="H24" s="61">
        <f>IF($N24="","",IF($P24&gt;0,IF(3&lt;=SemanaActual,INDEX('Cronograma R. Financiero'!$AJ$5:$AJ$1000,$N24),""),IF(INDEX('Cronograma R. Financiero'!$K$5:$K$1000,$N24)="","",INDEX('Cronograma R. Financiero'!$K$5:$K$1000,$N24))))</f>
        <v/>
      </c>
      <c r="I24" s="61">
        <f>IF($N24="","",IF($P24&gt;0,IF(4&lt;=SemanaActual,INDEX('Cronograma R. Financiero'!$AK$5:$AK$1000,$N24),""),IF(INDEX('Cronograma R. Financiero'!$L$5:$L$1000,$N24)="","",INDEX('Cronograma R. Financiero'!$L$5:$L$1000,$N24))))</f>
        <v/>
      </c>
      <c r="J24" s="61">
        <f>IF($N24="","",INDEX('Cronograma R. Financiero'!$M$5:$M$1000,$N24))</f>
        <v/>
      </c>
      <c r="K24" s="56">
        <f>IF($N24="","",IF(N($J24)&gt;=1,"Completado",IF(AND(ISNUMBER($D24),$D24&lt;FechaRef),"Vencida",IF(N($J24)&gt;0,"En curso","Pendiente"))))</f>
        <v/>
      </c>
      <c r="L24" s="56">
        <f>IF($N24="","",INDEX('Cronograma R. Financiero'!$O$5:$O$1000,$N24)&amp;"")</f>
        <v/>
      </c>
      <c r="M24" s="62">
        <f>IF($N24="","",INDEX('Cronograma R. Financiero'!$Q$5:$Q$1000,$N24)&amp;"")</f>
        <v/>
      </c>
      <c r="N24">
        <f>IFERROR(MATCH(ROW()-4,rOrden_RF,0),"")</f>
        <v/>
      </c>
      <c r="O24">
        <f>IF($N24="","",INDEX('Cronograma R. Financiero'!$V$5:$V$1000,$N24))</f>
        <v/>
      </c>
      <c r="P24">
        <f>IF($N24="","",N(INDEX('Cronograma R. Financiero'!$W$5:$W$1000,$N24)))</f>
        <v/>
      </c>
      <c r="Q24">
        <f>IF(OR(LEFT($L24,7)="Vencida",LEFT($L24,5)="Vence"),SUMPRODUCT(--(LEFT($L$5:$L24,7)="Vencida"))+SUMPRODUCT(--(LEFT($L$5:$L24,5)="Vence")),"")</f>
        <v/>
      </c>
    </row>
    <row r="25">
      <c r="A25" s="56">
        <f>IF($N25="","",INDEX('Cronograma R. Financiero'!$A$5:$A$1000,$N25))</f>
        <v/>
      </c>
      <c r="B25" s="62">
        <f>IF($N25="","",IF($O25="Sub","      ↳  "&amp;INDEX('Cronograma R. Financiero'!$C$5:$C$1000,$N25),INDEX('Cronograma R. Financiero'!$C$5:$C$1000,$N25)&amp;""))</f>
        <v/>
      </c>
      <c r="C25" s="79">
        <f>IF($N25="","",IF(INDEX('Cronograma R. Financiero'!$AR$5:$AR$1000,$N25)="","",INDEX('Cronograma R. Financiero'!$AR$5:$AR$1000,$N25)))</f>
        <v/>
      </c>
      <c r="D25" s="79">
        <f>IF($N25="","",IF(INDEX('Cronograma R. Financiero'!$AS$5:$AS$1000,$N25)="","",INDEX('Cronograma R. Financiero'!$AS$5:$AS$1000,$N25)))</f>
        <v/>
      </c>
      <c r="E25" s="56">
        <f>IF($N25="","",IF(NOT(ISNUMBER($D25)),"",IF($D25&lt;InicioCiclo,"Antes del ciclo",IF($D25&gt;=InicioCiclo+28,"Después del ciclo","Semana "&amp;(INT(($D25-InicioCiclo)/7)+1)))))</f>
        <v/>
      </c>
      <c r="F25" s="61">
        <f>IF($N25="","",IF($P25&gt;0,IF(1&lt;=SemanaActual,INDEX('Cronograma R. Financiero'!$AH$5:$AH$1000,$N25),""),IF(INDEX('Cronograma R. Financiero'!$I$5:$I$1000,$N25)="","",INDEX('Cronograma R. Financiero'!$I$5:$I$1000,$N25))))</f>
        <v/>
      </c>
      <c r="G25" s="61">
        <f>IF($N25="","",IF($P25&gt;0,IF(2&lt;=SemanaActual,INDEX('Cronograma R. Financiero'!$AI$5:$AI$1000,$N25),""),IF(INDEX('Cronograma R. Financiero'!$J$5:$J$1000,$N25)="","",INDEX('Cronograma R. Financiero'!$J$5:$J$1000,$N25))))</f>
        <v/>
      </c>
      <c r="H25" s="61">
        <f>IF($N25="","",IF($P25&gt;0,IF(3&lt;=SemanaActual,INDEX('Cronograma R. Financiero'!$AJ$5:$AJ$1000,$N25),""),IF(INDEX('Cronograma R. Financiero'!$K$5:$K$1000,$N25)="","",INDEX('Cronograma R. Financiero'!$K$5:$K$1000,$N25))))</f>
        <v/>
      </c>
      <c r="I25" s="61">
        <f>IF($N25="","",IF($P25&gt;0,IF(4&lt;=SemanaActual,INDEX('Cronograma R. Financiero'!$AK$5:$AK$1000,$N25),""),IF(INDEX('Cronograma R. Financiero'!$L$5:$L$1000,$N25)="","",INDEX('Cronograma R. Financiero'!$L$5:$L$1000,$N25))))</f>
        <v/>
      </c>
      <c r="J25" s="61">
        <f>IF($N25="","",INDEX('Cronograma R. Financiero'!$M$5:$M$1000,$N25))</f>
        <v/>
      </c>
      <c r="K25" s="56">
        <f>IF($N25="","",IF(N($J25)&gt;=1,"Completado",IF(AND(ISNUMBER($D25),$D25&lt;FechaRef),"Vencida",IF(N($J25)&gt;0,"En curso","Pendiente"))))</f>
        <v/>
      </c>
      <c r="L25" s="56">
        <f>IF($N25="","",INDEX('Cronograma R. Financiero'!$O$5:$O$1000,$N25)&amp;"")</f>
        <v/>
      </c>
      <c r="M25" s="62">
        <f>IF($N25="","",INDEX('Cronograma R. Financiero'!$Q$5:$Q$1000,$N25)&amp;"")</f>
        <v/>
      </c>
      <c r="N25">
        <f>IFERROR(MATCH(ROW()-4,rOrden_RF,0),"")</f>
        <v/>
      </c>
      <c r="O25">
        <f>IF($N25="","",INDEX('Cronograma R. Financiero'!$V$5:$V$1000,$N25))</f>
        <v/>
      </c>
      <c r="P25">
        <f>IF($N25="","",N(INDEX('Cronograma R. Financiero'!$W$5:$W$1000,$N25)))</f>
        <v/>
      </c>
      <c r="Q25">
        <f>IF(OR(LEFT($L25,7)="Vencida",LEFT($L25,5)="Vence"),SUMPRODUCT(--(LEFT($L$5:$L25,7)="Vencida"))+SUMPRODUCT(--(LEFT($L$5:$L25,5)="Vence")),"")</f>
        <v/>
      </c>
    </row>
    <row r="26">
      <c r="A26" s="56">
        <f>IF($N26="","",INDEX('Cronograma R. Financiero'!$A$5:$A$1000,$N26))</f>
        <v/>
      </c>
      <c r="B26" s="62">
        <f>IF($N26="","",IF($O26="Sub","      ↳  "&amp;INDEX('Cronograma R. Financiero'!$C$5:$C$1000,$N26),INDEX('Cronograma R. Financiero'!$C$5:$C$1000,$N26)&amp;""))</f>
        <v/>
      </c>
      <c r="C26" s="79">
        <f>IF($N26="","",IF(INDEX('Cronograma R. Financiero'!$AR$5:$AR$1000,$N26)="","",INDEX('Cronograma R. Financiero'!$AR$5:$AR$1000,$N26)))</f>
        <v/>
      </c>
      <c r="D26" s="79">
        <f>IF($N26="","",IF(INDEX('Cronograma R. Financiero'!$AS$5:$AS$1000,$N26)="","",INDEX('Cronograma R. Financiero'!$AS$5:$AS$1000,$N26)))</f>
        <v/>
      </c>
      <c r="E26" s="56">
        <f>IF($N26="","",IF(NOT(ISNUMBER($D26)),"",IF($D26&lt;InicioCiclo,"Antes del ciclo",IF($D26&gt;=InicioCiclo+28,"Después del ciclo","Semana "&amp;(INT(($D26-InicioCiclo)/7)+1)))))</f>
        <v/>
      </c>
      <c r="F26" s="61">
        <f>IF($N26="","",IF($P26&gt;0,IF(1&lt;=SemanaActual,INDEX('Cronograma R. Financiero'!$AH$5:$AH$1000,$N26),""),IF(INDEX('Cronograma R. Financiero'!$I$5:$I$1000,$N26)="","",INDEX('Cronograma R. Financiero'!$I$5:$I$1000,$N26))))</f>
        <v/>
      </c>
      <c r="G26" s="61">
        <f>IF($N26="","",IF($P26&gt;0,IF(2&lt;=SemanaActual,INDEX('Cronograma R. Financiero'!$AI$5:$AI$1000,$N26),""),IF(INDEX('Cronograma R. Financiero'!$J$5:$J$1000,$N26)="","",INDEX('Cronograma R. Financiero'!$J$5:$J$1000,$N26))))</f>
        <v/>
      </c>
      <c r="H26" s="61">
        <f>IF($N26="","",IF($P26&gt;0,IF(3&lt;=SemanaActual,INDEX('Cronograma R. Financiero'!$AJ$5:$AJ$1000,$N26),""),IF(INDEX('Cronograma R. Financiero'!$K$5:$K$1000,$N26)="","",INDEX('Cronograma R. Financiero'!$K$5:$K$1000,$N26))))</f>
        <v/>
      </c>
      <c r="I26" s="61">
        <f>IF($N26="","",IF($P26&gt;0,IF(4&lt;=SemanaActual,INDEX('Cronograma R. Financiero'!$AK$5:$AK$1000,$N26),""),IF(INDEX('Cronograma R. Financiero'!$L$5:$L$1000,$N26)="","",INDEX('Cronograma R. Financiero'!$L$5:$L$1000,$N26))))</f>
        <v/>
      </c>
      <c r="J26" s="61">
        <f>IF($N26="","",INDEX('Cronograma R. Financiero'!$M$5:$M$1000,$N26))</f>
        <v/>
      </c>
      <c r="K26" s="56">
        <f>IF($N26="","",IF(N($J26)&gt;=1,"Completado",IF(AND(ISNUMBER($D26),$D26&lt;FechaRef),"Vencida",IF(N($J26)&gt;0,"En curso","Pendiente"))))</f>
        <v/>
      </c>
      <c r="L26" s="56">
        <f>IF($N26="","",INDEX('Cronograma R. Financiero'!$O$5:$O$1000,$N26)&amp;"")</f>
        <v/>
      </c>
      <c r="M26" s="62">
        <f>IF($N26="","",INDEX('Cronograma R. Financiero'!$Q$5:$Q$1000,$N26)&amp;"")</f>
        <v/>
      </c>
      <c r="N26">
        <f>IFERROR(MATCH(ROW()-4,rOrden_RF,0),"")</f>
        <v/>
      </c>
      <c r="O26">
        <f>IF($N26="","",INDEX('Cronograma R. Financiero'!$V$5:$V$1000,$N26))</f>
        <v/>
      </c>
      <c r="P26">
        <f>IF($N26="","",N(INDEX('Cronograma R. Financiero'!$W$5:$W$1000,$N26)))</f>
        <v/>
      </c>
      <c r="Q26">
        <f>IF(OR(LEFT($L26,7)="Vencida",LEFT($L26,5)="Vence"),SUMPRODUCT(--(LEFT($L$5:$L26,7)="Vencida"))+SUMPRODUCT(--(LEFT($L$5:$L26,5)="Vence")),"")</f>
        <v/>
      </c>
    </row>
    <row r="27">
      <c r="A27" s="56">
        <f>IF($N27="","",INDEX('Cronograma R. Financiero'!$A$5:$A$1000,$N27))</f>
        <v/>
      </c>
      <c r="B27" s="62">
        <f>IF($N27="","",IF($O27="Sub","      ↳  "&amp;INDEX('Cronograma R. Financiero'!$C$5:$C$1000,$N27),INDEX('Cronograma R. Financiero'!$C$5:$C$1000,$N27)&amp;""))</f>
        <v/>
      </c>
      <c r="C27" s="79">
        <f>IF($N27="","",IF(INDEX('Cronograma R. Financiero'!$AR$5:$AR$1000,$N27)="","",INDEX('Cronograma R. Financiero'!$AR$5:$AR$1000,$N27)))</f>
        <v/>
      </c>
      <c r="D27" s="79">
        <f>IF($N27="","",IF(INDEX('Cronograma R. Financiero'!$AS$5:$AS$1000,$N27)="","",INDEX('Cronograma R. Financiero'!$AS$5:$AS$1000,$N27)))</f>
        <v/>
      </c>
      <c r="E27" s="56">
        <f>IF($N27="","",IF(NOT(ISNUMBER($D27)),"",IF($D27&lt;InicioCiclo,"Antes del ciclo",IF($D27&gt;=InicioCiclo+28,"Después del ciclo","Semana "&amp;(INT(($D27-InicioCiclo)/7)+1)))))</f>
        <v/>
      </c>
      <c r="F27" s="61">
        <f>IF($N27="","",IF($P27&gt;0,IF(1&lt;=SemanaActual,INDEX('Cronograma R. Financiero'!$AH$5:$AH$1000,$N27),""),IF(INDEX('Cronograma R. Financiero'!$I$5:$I$1000,$N27)="","",INDEX('Cronograma R. Financiero'!$I$5:$I$1000,$N27))))</f>
        <v/>
      </c>
      <c r="G27" s="61">
        <f>IF($N27="","",IF($P27&gt;0,IF(2&lt;=SemanaActual,INDEX('Cronograma R. Financiero'!$AI$5:$AI$1000,$N27),""),IF(INDEX('Cronograma R. Financiero'!$J$5:$J$1000,$N27)="","",INDEX('Cronograma R. Financiero'!$J$5:$J$1000,$N27))))</f>
        <v/>
      </c>
      <c r="H27" s="61">
        <f>IF($N27="","",IF($P27&gt;0,IF(3&lt;=SemanaActual,INDEX('Cronograma R. Financiero'!$AJ$5:$AJ$1000,$N27),""),IF(INDEX('Cronograma R. Financiero'!$K$5:$K$1000,$N27)="","",INDEX('Cronograma R. Financiero'!$K$5:$K$1000,$N27))))</f>
        <v/>
      </c>
      <c r="I27" s="61">
        <f>IF($N27="","",IF($P27&gt;0,IF(4&lt;=SemanaActual,INDEX('Cronograma R. Financiero'!$AK$5:$AK$1000,$N27),""),IF(INDEX('Cronograma R. Financiero'!$L$5:$L$1000,$N27)="","",INDEX('Cronograma R. Financiero'!$L$5:$L$1000,$N27))))</f>
        <v/>
      </c>
      <c r="J27" s="61">
        <f>IF($N27="","",INDEX('Cronograma R. Financiero'!$M$5:$M$1000,$N27))</f>
        <v/>
      </c>
      <c r="K27" s="56">
        <f>IF($N27="","",IF(N($J27)&gt;=1,"Completado",IF(AND(ISNUMBER($D27),$D27&lt;FechaRef),"Vencida",IF(N($J27)&gt;0,"En curso","Pendiente"))))</f>
        <v/>
      </c>
      <c r="L27" s="56">
        <f>IF($N27="","",INDEX('Cronograma R. Financiero'!$O$5:$O$1000,$N27)&amp;"")</f>
        <v/>
      </c>
      <c r="M27" s="62">
        <f>IF($N27="","",INDEX('Cronograma R. Financiero'!$Q$5:$Q$1000,$N27)&amp;"")</f>
        <v/>
      </c>
      <c r="N27">
        <f>IFERROR(MATCH(ROW()-4,rOrden_RF,0),"")</f>
        <v/>
      </c>
      <c r="O27">
        <f>IF($N27="","",INDEX('Cronograma R. Financiero'!$V$5:$V$1000,$N27))</f>
        <v/>
      </c>
      <c r="P27">
        <f>IF($N27="","",N(INDEX('Cronograma R. Financiero'!$W$5:$W$1000,$N27)))</f>
        <v/>
      </c>
      <c r="Q27">
        <f>IF(OR(LEFT($L27,7)="Vencida",LEFT($L27,5)="Vence"),SUMPRODUCT(--(LEFT($L$5:$L27,7)="Vencida"))+SUMPRODUCT(--(LEFT($L$5:$L27,5)="Vence")),"")</f>
        <v/>
      </c>
    </row>
    <row r="28">
      <c r="A28" s="56">
        <f>IF($N28="","",INDEX('Cronograma R. Financiero'!$A$5:$A$1000,$N28))</f>
        <v/>
      </c>
      <c r="B28" s="62">
        <f>IF($N28="","",IF($O28="Sub","      ↳  "&amp;INDEX('Cronograma R. Financiero'!$C$5:$C$1000,$N28),INDEX('Cronograma R. Financiero'!$C$5:$C$1000,$N28)&amp;""))</f>
        <v/>
      </c>
      <c r="C28" s="79">
        <f>IF($N28="","",IF(INDEX('Cronograma R. Financiero'!$AR$5:$AR$1000,$N28)="","",INDEX('Cronograma R. Financiero'!$AR$5:$AR$1000,$N28)))</f>
        <v/>
      </c>
      <c r="D28" s="79">
        <f>IF($N28="","",IF(INDEX('Cronograma R. Financiero'!$AS$5:$AS$1000,$N28)="","",INDEX('Cronograma R. Financiero'!$AS$5:$AS$1000,$N28)))</f>
        <v/>
      </c>
      <c r="E28" s="56">
        <f>IF($N28="","",IF(NOT(ISNUMBER($D28)),"",IF($D28&lt;InicioCiclo,"Antes del ciclo",IF($D28&gt;=InicioCiclo+28,"Después del ciclo","Semana "&amp;(INT(($D28-InicioCiclo)/7)+1)))))</f>
        <v/>
      </c>
      <c r="F28" s="61">
        <f>IF($N28="","",IF($P28&gt;0,IF(1&lt;=SemanaActual,INDEX('Cronograma R. Financiero'!$AH$5:$AH$1000,$N28),""),IF(INDEX('Cronograma R. Financiero'!$I$5:$I$1000,$N28)="","",INDEX('Cronograma R. Financiero'!$I$5:$I$1000,$N28))))</f>
        <v/>
      </c>
      <c r="G28" s="61">
        <f>IF($N28="","",IF($P28&gt;0,IF(2&lt;=SemanaActual,INDEX('Cronograma R. Financiero'!$AI$5:$AI$1000,$N28),""),IF(INDEX('Cronograma R. Financiero'!$J$5:$J$1000,$N28)="","",INDEX('Cronograma R. Financiero'!$J$5:$J$1000,$N28))))</f>
        <v/>
      </c>
      <c r="H28" s="61">
        <f>IF($N28="","",IF($P28&gt;0,IF(3&lt;=SemanaActual,INDEX('Cronograma R. Financiero'!$AJ$5:$AJ$1000,$N28),""),IF(INDEX('Cronograma R. Financiero'!$K$5:$K$1000,$N28)="","",INDEX('Cronograma R. Financiero'!$K$5:$K$1000,$N28))))</f>
        <v/>
      </c>
      <c r="I28" s="61">
        <f>IF($N28="","",IF($P28&gt;0,IF(4&lt;=SemanaActual,INDEX('Cronograma R. Financiero'!$AK$5:$AK$1000,$N28),""),IF(INDEX('Cronograma R. Financiero'!$L$5:$L$1000,$N28)="","",INDEX('Cronograma R. Financiero'!$L$5:$L$1000,$N28))))</f>
        <v/>
      </c>
      <c r="J28" s="61">
        <f>IF($N28="","",INDEX('Cronograma R. Financiero'!$M$5:$M$1000,$N28))</f>
        <v/>
      </c>
      <c r="K28" s="56">
        <f>IF($N28="","",IF(N($J28)&gt;=1,"Completado",IF(AND(ISNUMBER($D28),$D28&lt;FechaRef),"Vencida",IF(N($J28)&gt;0,"En curso","Pendiente"))))</f>
        <v/>
      </c>
      <c r="L28" s="56">
        <f>IF($N28="","",INDEX('Cronograma R. Financiero'!$O$5:$O$1000,$N28)&amp;"")</f>
        <v/>
      </c>
      <c r="M28" s="62">
        <f>IF($N28="","",INDEX('Cronograma R. Financiero'!$Q$5:$Q$1000,$N28)&amp;"")</f>
        <v/>
      </c>
      <c r="N28">
        <f>IFERROR(MATCH(ROW()-4,rOrden_RF,0),"")</f>
        <v/>
      </c>
      <c r="O28">
        <f>IF($N28="","",INDEX('Cronograma R. Financiero'!$V$5:$V$1000,$N28))</f>
        <v/>
      </c>
      <c r="P28">
        <f>IF($N28="","",N(INDEX('Cronograma R. Financiero'!$W$5:$W$1000,$N28)))</f>
        <v/>
      </c>
      <c r="Q28">
        <f>IF(OR(LEFT($L28,7)="Vencida",LEFT($L28,5)="Vence"),SUMPRODUCT(--(LEFT($L$5:$L28,7)="Vencida"))+SUMPRODUCT(--(LEFT($L$5:$L28,5)="Vence")),"")</f>
        <v/>
      </c>
    </row>
    <row r="29">
      <c r="A29" s="56">
        <f>IF($N29="","",INDEX('Cronograma R. Financiero'!$A$5:$A$1000,$N29))</f>
        <v/>
      </c>
      <c r="B29" s="62">
        <f>IF($N29="","",IF($O29="Sub","      ↳  "&amp;INDEX('Cronograma R. Financiero'!$C$5:$C$1000,$N29),INDEX('Cronograma R. Financiero'!$C$5:$C$1000,$N29)&amp;""))</f>
        <v/>
      </c>
      <c r="C29" s="79">
        <f>IF($N29="","",IF(INDEX('Cronograma R. Financiero'!$AR$5:$AR$1000,$N29)="","",INDEX('Cronograma R. Financiero'!$AR$5:$AR$1000,$N29)))</f>
        <v/>
      </c>
      <c r="D29" s="79">
        <f>IF($N29="","",IF(INDEX('Cronograma R. Financiero'!$AS$5:$AS$1000,$N29)="","",INDEX('Cronograma R. Financiero'!$AS$5:$AS$1000,$N29)))</f>
        <v/>
      </c>
      <c r="E29" s="56">
        <f>IF($N29="","",IF(NOT(ISNUMBER($D29)),"",IF($D29&lt;InicioCiclo,"Antes del ciclo",IF($D29&gt;=InicioCiclo+28,"Después del ciclo","Semana "&amp;(INT(($D29-InicioCiclo)/7)+1)))))</f>
        <v/>
      </c>
      <c r="F29" s="61">
        <f>IF($N29="","",IF($P29&gt;0,IF(1&lt;=SemanaActual,INDEX('Cronograma R. Financiero'!$AH$5:$AH$1000,$N29),""),IF(INDEX('Cronograma R. Financiero'!$I$5:$I$1000,$N29)="","",INDEX('Cronograma R. Financiero'!$I$5:$I$1000,$N29))))</f>
        <v/>
      </c>
      <c r="G29" s="61">
        <f>IF($N29="","",IF($P29&gt;0,IF(2&lt;=SemanaActual,INDEX('Cronograma R. Financiero'!$AI$5:$AI$1000,$N29),""),IF(INDEX('Cronograma R. Financiero'!$J$5:$J$1000,$N29)="","",INDEX('Cronograma R. Financiero'!$J$5:$J$1000,$N29))))</f>
        <v/>
      </c>
      <c r="H29" s="61">
        <f>IF($N29="","",IF($P29&gt;0,IF(3&lt;=SemanaActual,INDEX('Cronograma R. Financiero'!$AJ$5:$AJ$1000,$N29),""),IF(INDEX('Cronograma R. Financiero'!$K$5:$K$1000,$N29)="","",INDEX('Cronograma R. Financiero'!$K$5:$K$1000,$N29))))</f>
        <v/>
      </c>
      <c r="I29" s="61">
        <f>IF($N29="","",IF($P29&gt;0,IF(4&lt;=SemanaActual,INDEX('Cronograma R. Financiero'!$AK$5:$AK$1000,$N29),""),IF(INDEX('Cronograma R. Financiero'!$L$5:$L$1000,$N29)="","",INDEX('Cronograma R. Financiero'!$L$5:$L$1000,$N29))))</f>
        <v/>
      </c>
      <c r="J29" s="61">
        <f>IF($N29="","",INDEX('Cronograma R. Financiero'!$M$5:$M$1000,$N29))</f>
        <v/>
      </c>
      <c r="K29" s="56">
        <f>IF($N29="","",IF(N($J29)&gt;=1,"Completado",IF(AND(ISNUMBER($D29),$D29&lt;FechaRef),"Vencida",IF(N($J29)&gt;0,"En curso","Pendiente"))))</f>
        <v/>
      </c>
      <c r="L29" s="56">
        <f>IF($N29="","",INDEX('Cronograma R. Financiero'!$O$5:$O$1000,$N29)&amp;"")</f>
        <v/>
      </c>
      <c r="M29" s="62">
        <f>IF($N29="","",INDEX('Cronograma R. Financiero'!$Q$5:$Q$1000,$N29)&amp;"")</f>
        <v/>
      </c>
      <c r="N29">
        <f>IFERROR(MATCH(ROW()-4,rOrden_RF,0),"")</f>
        <v/>
      </c>
      <c r="O29">
        <f>IF($N29="","",INDEX('Cronograma R. Financiero'!$V$5:$V$1000,$N29))</f>
        <v/>
      </c>
      <c r="P29">
        <f>IF($N29="","",N(INDEX('Cronograma R. Financiero'!$W$5:$W$1000,$N29)))</f>
        <v/>
      </c>
      <c r="Q29">
        <f>IF(OR(LEFT($L29,7)="Vencida",LEFT($L29,5)="Vence"),SUMPRODUCT(--(LEFT($L$5:$L29,7)="Vencida"))+SUMPRODUCT(--(LEFT($L$5:$L29,5)="Vence")),"")</f>
        <v/>
      </c>
    </row>
    <row r="30">
      <c r="A30" s="56">
        <f>IF($N30="","",INDEX('Cronograma R. Financiero'!$A$5:$A$1000,$N30))</f>
        <v/>
      </c>
      <c r="B30" s="62">
        <f>IF($N30="","",IF($O30="Sub","      ↳  "&amp;INDEX('Cronograma R. Financiero'!$C$5:$C$1000,$N30),INDEX('Cronograma R. Financiero'!$C$5:$C$1000,$N30)&amp;""))</f>
        <v/>
      </c>
      <c r="C30" s="79">
        <f>IF($N30="","",IF(INDEX('Cronograma R. Financiero'!$AR$5:$AR$1000,$N30)="","",INDEX('Cronograma R. Financiero'!$AR$5:$AR$1000,$N30)))</f>
        <v/>
      </c>
      <c r="D30" s="79">
        <f>IF($N30="","",IF(INDEX('Cronograma R. Financiero'!$AS$5:$AS$1000,$N30)="","",INDEX('Cronograma R. Financiero'!$AS$5:$AS$1000,$N30)))</f>
        <v/>
      </c>
      <c r="E30" s="56">
        <f>IF($N30="","",IF(NOT(ISNUMBER($D30)),"",IF($D30&lt;InicioCiclo,"Antes del ciclo",IF($D30&gt;=InicioCiclo+28,"Después del ciclo","Semana "&amp;(INT(($D30-InicioCiclo)/7)+1)))))</f>
        <v/>
      </c>
      <c r="F30" s="61">
        <f>IF($N30="","",IF($P30&gt;0,IF(1&lt;=SemanaActual,INDEX('Cronograma R. Financiero'!$AH$5:$AH$1000,$N30),""),IF(INDEX('Cronograma R. Financiero'!$I$5:$I$1000,$N30)="","",INDEX('Cronograma R. Financiero'!$I$5:$I$1000,$N30))))</f>
        <v/>
      </c>
      <c r="G30" s="61">
        <f>IF($N30="","",IF($P30&gt;0,IF(2&lt;=SemanaActual,INDEX('Cronograma R. Financiero'!$AI$5:$AI$1000,$N30),""),IF(INDEX('Cronograma R. Financiero'!$J$5:$J$1000,$N30)="","",INDEX('Cronograma R. Financiero'!$J$5:$J$1000,$N30))))</f>
        <v/>
      </c>
      <c r="H30" s="61">
        <f>IF($N30="","",IF($P30&gt;0,IF(3&lt;=SemanaActual,INDEX('Cronograma R. Financiero'!$AJ$5:$AJ$1000,$N30),""),IF(INDEX('Cronograma R. Financiero'!$K$5:$K$1000,$N30)="","",INDEX('Cronograma R. Financiero'!$K$5:$K$1000,$N30))))</f>
        <v/>
      </c>
      <c r="I30" s="61">
        <f>IF($N30="","",IF($P30&gt;0,IF(4&lt;=SemanaActual,INDEX('Cronograma R. Financiero'!$AK$5:$AK$1000,$N30),""),IF(INDEX('Cronograma R. Financiero'!$L$5:$L$1000,$N30)="","",INDEX('Cronograma R. Financiero'!$L$5:$L$1000,$N30))))</f>
        <v/>
      </c>
      <c r="J30" s="61">
        <f>IF($N30="","",INDEX('Cronograma R. Financiero'!$M$5:$M$1000,$N30))</f>
        <v/>
      </c>
      <c r="K30" s="56">
        <f>IF($N30="","",IF(N($J30)&gt;=1,"Completado",IF(AND(ISNUMBER($D30),$D30&lt;FechaRef),"Vencida",IF(N($J30)&gt;0,"En curso","Pendiente"))))</f>
        <v/>
      </c>
      <c r="L30" s="56">
        <f>IF($N30="","",INDEX('Cronograma R. Financiero'!$O$5:$O$1000,$N30)&amp;"")</f>
        <v/>
      </c>
      <c r="M30" s="62">
        <f>IF($N30="","",INDEX('Cronograma R. Financiero'!$Q$5:$Q$1000,$N30)&amp;"")</f>
        <v/>
      </c>
      <c r="N30">
        <f>IFERROR(MATCH(ROW()-4,rOrden_RF,0),"")</f>
        <v/>
      </c>
      <c r="O30">
        <f>IF($N30="","",INDEX('Cronograma R. Financiero'!$V$5:$V$1000,$N30))</f>
        <v/>
      </c>
      <c r="P30">
        <f>IF($N30="","",N(INDEX('Cronograma R. Financiero'!$W$5:$W$1000,$N30)))</f>
        <v/>
      </c>
      <c r="Q30">
        <f>IF(OR(LEFT($L30,7)="Vencida",LEFT($L30,5)="Vence"),SUMPRODUCT(--(LEFT($L$5:$L30,7)="Vencida"))+SUMPRODUCT(--(LEFT($L$5:$L30,5)="Vence")),"")</f>
        <v/>
      </c>
    </row>
    <row r="31">
      <c r="A31" s="56">
        <f>IF($N31="","",INDEX('Cronograma R. Financiero'!$A$5:$A$1000,$N31))</f>
        <v/>
      </c>
      <c r="B31" s="62">
        <f>IF($N31="","",IF($O31="Sub","      ↳  "&amp;INDEX('Cronograma R. Financiero'!$C$5:$C$1000,$N31),INDEX('Cronograma R. Financiero'!$C$5:$C$1000,$N31)&amp;""))</f>
        <v/>
      </c>
      <c r="C31" s="79">
        <f>IF($N31="","",IF(INDEX('Cronograma R. Financiero'!$AR$5:$AR$1000,$N31)="","",INDEX('Cronograma R. Financiero'!$AR$5:$AR$1000,$N31)))</f>
        <v/>
      </c>
      <c r="D31" s="79">
        <f>IF($N31="","",IF(INDEX('Cronograma R. Financiero'!$AS$5:$AS$1000,$N31)="","",INDEX('Cronograma R. Financiero'!$AS$5:$AS$1000,$N31)))</f>
        <v/>
      </c>
      <c r="E31" s="56">
        <f>IF($N31="","",IF(NOT(ISNUMBER($D31)),"",IF($D31&lt;InicioCiclo,"Antes del ciclo",IF($D31&gt;=InicioCiclo+28,"Después del ciclo","Semana "&amp;(INT(($D31-InicioCiclo)/7)+1)))))</f>
        <v/>
      </c>
      <c r="F31" s="61">
        <f>IF($N31="","",IF($P31&gt;0,IF(1&lt;=SemanaActual,INDEX('Cronograma R. Financiero'!$AH$5:$AH$1000,$N31),""),IF(INDEX('Cronograma R. Financiero'!$I$5:$I$1000,$N31)="","",INDEX('Cronograma R. Financiero'!$I$5:$I$1000,$N31))))</f>
        <v/>
      </c>
      <c r="G31" s="61">
        <f>IF($N31="","",IF($P31&gt;0,IF(2&lt;=SemanaActual,INDEX('Cronograma R. Financiero'!$AI$5:$AI$1000,$N31),""),IF(INDEX('Cronograma R. Financiero'!$J$5:$J$1000,$N31)="","",INDEX('Cronograma R. Financiero'!$J$5:$J$1000,$N31))))</f>
        <v/>
      </c>
      <c r="H31" s="61">
        <f>IF($N31="","",IF($P31&gt;0,IF(3&lt;=SemanaActual,INDEX('Cronograma R. Financiero'!$AJ$5:$AJ$1000,$N31),""),IF(INDEX('Cronograma R. Financiero'!$K$5:$K$1000,$N31)="","",INDEX('Cronograma R. Financiero'!$K$5:$K$1000,$N31))))</f>
        <v/>
      </c>
      <c r="I31" s="61">
        <f>IF($N31="","",IF($P31&gt;0,IF(4&lt;=SemanaActual,INDEX('Cronograma R. Financiero'!$AK$5:$AK$1000,$N31),""),IF(INDEX('Cronograma R. Financiero'!$L$5:$L$1000,$N31)="","",INDEX('Cronograma R. Financiero'!$L$5:$L$1000,$N31))))</f>
        <v/>
      </c>
      <c r="J31" s="61">
        <f>IF($N31="","",INDEX('Cronograma R. Financiero'!$M$5:$M$1000,$N31))</f>
        <v/>
      </c>
      <c r="K31" s="56">
        <f>IF($N31="","",IF(N($J31)&gt;=1,"Completado",IF(AND(ISNUMBER($D31),$D31&lt;FechaRef),"Vencida",IF(N($J31)&gt;0,"En curso","Pendiente"))))</f>
        <v/>
      </c>
      <c r="L31" s="56">
        <f>IF($N31="","",INDEX('Cronograma R. Financiero'!$O$5:$O$1000,$N31)&amp;"")</f>
        <v/>
      </c>
      <c r="M31" s="62">
        <f>IF($N31="","",INDEX('Cronograma R. Financiero'!$Q$5:$Q$1000,$N31)&amp;"")</f>
        <v/>
      </c>
      <c r="N31">
        <f>IFERROR(MATCH(ROW()-4,rOrden_RF,0),"")</f>
        <v/>
      </c>
      <c r="O31">
        <f>IF($N31="","",INDEX('Cronograma R. Financiero'!$V$5:$V$1000,$N31))</f>
        <v/>
      </c>
      <c r="P31">
        <f>IF($N31="","",N(INDEX('Cronograma R. Financiero'!$W$5:$W$1000,$N31)))</f>
        <v/>
      </c>
      <c r="Q31">
        <f>IF(OR(LEFT($L31,7)="Vencida",LEFT($L31,5)="Vence"),SUMPRODUCT(--(LEFT($L$5:$L31,7)="Vencida"))+SUMPRODUCT(--(LEFT($L$5:$L31,5)="Vence")),"")</f>
        <v/>
      </c>
    </row>
    <row r="32">
      <c r="A32" s="56">
        <f>IF($N32="","",INDEX('Cronograma R. Financiero'!$A$5:$A$1000,$N32))</f>
        <v/>
      </c>
      <c r="B32" s="62">
        <f>IF($N32="","",IF($O32="Sub","      ↳  "&amp;INDEX('Cronograma R. Financiero'!$C$5:$C$1000,$N32),INDEX('Cronograma R. Financiero'!$C$5:$C$1000,$N32)&amp;""))</f>
        <v/>
      </c>
      <c r="C32" s="79">
        <f>IF($N32="","",IF(INDEX('Cronograma R. Financiero'!$AR$5:$AR$1000,$N32)="","",INDEX('Cronograma R. Financiero'!$AR$5:$AR$1000,$N32)))</f>
        <v/>
      </c>
      <c r="D32" s="79">
        <f>IF($N32="","",IF(INDEX('Cronograma R. Financiero'!$AS$5:$AS$1000,$N32)="","",INDEX('Cronograma R. Financiero'!$AS$5:$AS$1000,$N32)))</f>
        <v/>
      </c>
      <c r="E32" s="56">
        <f>IF($N32="","",IF(NOT(ISNUMBER($D32)),"",IF($D32&lt;InicioCiclo,"Antes del ciclo",IF($D32&gt;=InicioCiclo+28,"Después del ciclo","Semana "&amp;(INT(($D32-InicioCiclo)/7)+1)))))</f>
        <v/>
      </c>
      <c r="F32" s="61">
        <f>IF($N32="","",IF($P32&gt;0,IF(1&lt;=SemanaActual,INDEX('Cronograma R. Financiero'!$AH$5:$AH$1000,$N32),""),IF(INDEX('Cronograma R. Financiero'!$I$5:$I$1000,$N32)="","",INDEX('Cronograma R. Financiero'!$I$5:$I$1000,$N32))))</f>
        <v/>
      </c>
      <c r="G32" s="61">
        <f>IF($N32="","",IF($P32&gt;0,IF(2&lt;=SemanaActual,INDEX('Cronograma R. Financiero'!$AI$5:$AI$1000,$N32),""),IF(INDEX('Cronograma R. Financiero'!$J$5:$J$1000,$N32)="","",INDEX('Cronograma R. Financiero'!$J$5:$J$1000,$N32))))</f>
        <v/>
      </c>
      <c r="H32" s="61">
        <f>IF($N32="","",IF($P32&gt;0,IF(3&lt;=SemanaActual,INDEX('Cronograma R. Financiero'!$AJ$5:$AJ$1000,$N32),""),IF(INDEX('Cronograma R. Financiero'!$K$5:$K$1000,$N32)="","",INDEX('Cronograma R. Financiero'!$K$5:$K$1000,$N32))))</f>
        <v/>
      </c>
      <c r="I32" s="61">
        <f>IF($N32="","",IF($P32&gt;0,IF(4&lt;=SemanaActual,INDEX('Cronograma R. Financiero'!$AK$5:$AK$1000,$N32),""),IF(INDEX('Cronograma R. Financiero'!$L$5:$L$1000,$N32)="","",INDEX('Cronograma R. Financiero'!$L$5:$L$1000,$N32))))</f>
        <v/>
      </c>
      <c r="J32" s="61">
        <f>IF($N32="","",INDEX('Cronograma R. Financiero'!$M$5:$M$1000,$N32))</f>
        <v/>
      </c>
      <c r="K32" s="56">
        <f>IF($N32="","",IF(N($J32)&gt;=1,"Completado",IF(AND(ISNUMBER($D32),$D32&lt;FechaRef),"Vencida",IF(N($J32)&gt;0,"En curso","Pendiente"))))</f>
        <v/>
      </c>
      <c r="L32" s="56">
        <f>IF($N32="","",INDEX('Cronograma R. Financiero'!$O$5:$O$1000,$N32)&amp;"")</f>
        <v/>
      </c>
      <c r="M32" s="62">
        <f>IF($N32="","",INDEX('Cronograma R. Financiero'!$Q$5:$Q$1000,$N32)&amp;"")</f>
        <v/>
      </c>
      <c r="N32">
        <f>IFERROR(MATCH(ROW()-4,rOrden_RF,0),"")</f>
        <v/>
      </c>
      <c r="O32">
        <f>IF($N32="","",INDEX('Cronograma R. Financiero'!$V$5:$V$1000,$N32))</f>
        <v/>
      </c>
      <c r="P32">
        <f>IF($N32="","",N(INDEX('Cronograma R. Financiero'!$W$5:$W$1000,$N32)))</f>
        <v/>
      </c>
      <c r="Q32">
        <f>IF(OR(LEFT($L32,7)="Vencida",LEFT($L32,5)="Vence"),SUMPRODUCT(--(LEFT($L$5:$L32,7)="Vencida"))+SUMPRODUCT(--(LEFT($L$5:$L32,5)="Vence")),"")</f>
        <v/>
      </c>
    </row>
    <row r="33">
      <c r="A33" s="56">
        <f>IF($N33="","",INDEX('Cronograma R. Financiero'!$A$5:$A$1000,$N33))</f>
        <v/>
      </c>
      <c r="B33" s="62">
        <f>IF($N33="","",IF($O33="Sub","      ↳  "&amp;INDEX('Cronograma R. Financiero'!$C$5:$C$1000,$N33),INDEX('Cronograma R. Financiero'!$C$5:$C$1000,$N33)&amp;""))</f>
        <v/>
      </c>
      <c r="C33" s="79">
        <f>IF($N33="","",IF(INDEX('Cronograma R. Financiero'!$AR$5:$AR$1000,$N33)="","",INDEX('Cronograma R. Financiero'!$AR$5:$AR$1000,$N33)))</f>
        <v/>
      </c>
      <c r="D33" s="79">
        <f>IF($N33="","",IF(INDEX('Cronograma R. Financiero'!$AS$5:$AS$1000,$N33)="","",INDEX('Cronograma R. Financiero'!$AS$5:$AS$1000,$N33)))</f>
        <v/>
      </c>
      <c r="E33" s="56">
        <f>IF($N33="","",IF(NOT(ISNUMBER($D33)),"",IF($D33&lt;InicioCiclo,"Antes del ciclo",IF($D33&gt;=InicioCiclo+28,"Después del ciclo","Semana "&amp;(INT(($D33-InicioCiclo)/7)+1)))))</f>
        <v/>
      </c>
      <c r="F33" s="61">
        <f>IF($N33="","",IF($P33&gt;0,IF(1&lt;=SemanaActual,INDEX('Cronograma R. Financiero'!$AH$5:$AH$1000,$N33),""),IF(INDEX('Cronograma R. Financiero'!$I$5:$I$1000,$N33)="","",INDEX('Cronograma R. Financiero'!$I$5:$I$1000,$N33))))</f>
        <v/>
      </c>
      <c r="G33" s="61">
        <f>IF($N33="","",IF($P33&gt;0,IF(2&lt;=SemanaActual,INDEX('Cronograma R. Financiero'!$AI$5:$AI$1000,$N33),""),IF(INDEX('Cronograma R. Financiero'!$J$5:$J$1000,$N33)="","",INDEX('Cronograma R. Financiero'!$J$5:$J$1000,$N33))))</f>
        <v/>
      </c>
      <c r="H33" s="61">
        <f>IF($N33="","",IF($P33&gt;0,IF(3&lt;=SemanaActual,INDEX('Cronograma R. Financiero'!$AJ$5:$AJ$1000,$N33),""),IF(INDEX('Cronograma R. Financiero'!$K$5:$K$1000,$N33)="","",INDEX('Cronograma R. Financiero'!$K$5:$K$1000,$N33))))</f>
        <v/>
      </c>
      <c r="I33" s="61">
        <f>IF($N33="","",IF($P33&gt;0,IF(4&lt;=SemanaActual,INDEX('Cronograma R. Financiero'!$AK$5:$AK$1000,$N33),""),IF(INDEX('Cronograma R. Financiero'!$L$5:$L$1000,$N33)="","",INDEX('Cronograma R. Financiero'!$L$5:$L$1000,$N33))))</f>
        <v/>
      </c>
      <c r="J33" s="61">
        <f>IF($N33="","",INDEX('Cronograma R. Financiero'!$M$5:$M$1000,$N33))</f>
        <v/>
      </c>
      <c r="K33" s="56">
        <f>IF($N33="","",IF(N($J33)&gt;=1,"Completado",IF(AND(ISNUMBER($D33),$D33&lt;FechaRef),"Vencida",IF(N($J33)&gt;0,"En curso","Pendiente"))))</f>
        <v/>
      </c>
      <c r="L33" s="56">
        <f>IF($N33="","",INDEX('Cronograma R. Financiero'!$O$5:$O$1000,$N33)&amp;"")</f>
        <v/>
      </c>
      <c r="M33" s="62">
        <f>IF($N33="","",INDEX('Cronograma R. Financiero'!$Q$5:$Q$1000,$N33)&amp;"")</f>
        <v/>
      </c>
      <c r="N33">
        <f>IFERROR(MATCH(ROW()-4,rOrden_RF,0),"")</f>
        <v/>
      </c>
      <c r="O33">
        <f>IF($N33="","",INDEX('Cronograma R. Financiero'!$V$5:$V$1000,$N33))</f>
        <v/>
      </c>
      <c r="P33">
        <f>IF($N33="","",N(INDEX('Cronograma R. Financiero'!$W$5:$W$1000,$N33)))</f>
        <v/>
      </c>
      <c r="Q33">
        <f>IF(OR(LEFT($L33,7)="Vencida",LEFT($L33,5)="Vence"),SUMPRODUCT(--(LEFT($L$5:$L33,7)="Vencida"))+SUMPRODUCT(--(LEFT($L$5:$L33,5)="Vence")),"")</f>
        <v/>
      </c>
    </row>
    <row r="34">
      <c r="A34" s="56">
        <f>IF($N34="","",INDEX('Cronograma R. Financiero'!$A$5:$A$1000,$N34))</f>
        <v/>
      </c>
      <c r="B34" s="62">
        <f>IF($N34="","",IF($O34="Sub","      ↳  "&amp;INDEX('Cronograma R. Financiero'!$C$5:$C$1000,$N34),INDEX('Cronograma R. Financiero'!$C$5:$C$1000,$N34)&amp;""))</f>
        <v/>
      </c>
      <c r="C34" s="79">
        <f>IF($N34="","",IF(INDEX('Cronograma R. Financiero'!$AR$5:$AR$1000,$N34)="","",INDEX('Cronograma R. Financiero'!$AR$5:$AR$1000,$N34)))</f>
        <v/>
      </c>
      <c r="D34" s="79">
        <f>IF($N34="","",IF(INDEX('Cronograma R. Financiero'!$AS$5:$AS$1000,$N34)="","",INDEX('Cronograma R. Financiero'!$AS$5:$AS$1000,$N34)))</f>
        <v/>
      </c>
      <c r="E34" s="56">
        <f>IF($N34="","",IF(NOT(ISNUMBER($D34)),"",IF($D34&lt;InicioCiclo,"Antes del ciclo",IF($D34&gt;=InicioCiclo+28,"Después del ciclo","Semana "&amp;(INT(($D34-InicioCiclo)/7)+1)))))</f>
        <v/>
      </c>
      <c r="F34" s="61">
        <f>IF($N34="","",IF($P34&gt;0,IF(1&lt;=SemanaActual,INDEX('Cronograma R. Financiero'!$AH$5:$AH$1000,$N34),""),IF(INDEX('Cronograma R. Financiero'!$I$5:$I$1000,$N34)="","",INDEX('Cronograma R. Financiero'!$I$5:$I$1000,$N34))))</f>
        <v/>
      </c>
      <c r="G34" s="61">
        <f>IF($N34="","",IF($P34&gt;0,IF(2&lt;=SemanaActual,INDEX('Cronograma R. Financiero'!$AI$5:$AI$1000,$N34),""),IF(INDEX('Cronograma R. Financiero'!$J$5:$J$1000,$N34)="","",INDEX('Cronograma R. Financiero'!$J$5:$J$1000,$N34))))</f>
        <v/>
      </c>
      <c r="H34" s="61">
        <f>IF($N34="","",IF($P34&gt;0,IF(3&lt;=SemanaActual,INDEX('Cronograma R. Financiero'!$AJ$5:$AJ$1000,$N34),""),IF(INDEX('Cronograma R. Financiero'!$K$5:$K$1000,$N34)="","",INDEX('Cronograma R. Financiero'!$K$5:$K$1000,$N34))))</f>
        <v/>
      </c>
      <c r="I34" s="61">
        <f>IF($N34="","",IF($P34&gt;0,IF(4&lt;=SemanaActual,INDEX('Cronograma R. Financiero'!$AK$5:$AK$1000,$N34),""),IF(INDEX('Cronograma R. Financiero'!$L$5:$L$1000,$N34)="","",INDEX('Cronograma R. Financiero'!$L$5:$L$1000,$N34))))</f>
        <v/>
      </c>
      <c r="J34" s="61">
        <f>IF($N34="","",INDEX('Cronograma R. Financiero'!$M$5:$M$1000,$N34))</f>
        <v/>
      </c>
      <c r="K34" s="56">
        <f>IF($N34="","",IF(N($J34)&gt;=1,"Completado",IF(AND(ISNUMBER($D34),$D34&lt;FechaRef),"Vencida",IF(N($J34)&gt;0,"En curso","Pendiente"))))</f>
        <v/>
      </c>
      <c r="L34" s="56">
        <f>IF($N34="","",INDEX('Cronograma R. Financiero'!$O$5:$O$1000,$N34)&amp;"")</f>
        <v/>
      </c>
      <c r="M34" s="62">
        <f>IF($N34="","",INDEX('Cronograma R. Financiero'!$Q$5:$Q$1000,$N34)&amp;"")</f>
        <v/>
      </c>
      <c r="N34">
        <f>IFERROR(MATCH(ROW()-4,rOrden_RF,0),"")</f>
        <v/>
      </c>
      <c r="O34">
        <f>IF($N34="","",INDEX('Cronograma R. Financiero'!$V$5:$V$1000,$N34))</f>
        <v/>
      </c>
      <c r="P34">
        <f>IF($N34="","",N(INDEX('Cronograma R. Financiero'!$W$5:$W$1000,$N34)))</f>
        <v/>
      </c>
      <c r="Q34">
        <f>IF(OR(LEFT($L34,7)="Vencida",LEFT($L34,5)="Vence"),SUMPRODUCT(--(LEFT($L$5:$L34,7)="Vencida"))+SUMPRODUCT(--(LEFT($L$5:$L34,5)="Vence")),"")</f>
        <v/>
      </c>
    </row>
    <row r="35">
      <c r="A35" s="56">
        <f>IF($N35="","",INDEX('Cronograma R. Financiero'!$A$5:$A$1000,$N35))</f>
        <v/>
      </c>
      <c r="B35" s="62">
        <f>IF($N35="","",IF($O35="Sub","      ↳  "&amp;INDEX('Cronograma R. Financiero'!$C$5:$C$1000,$N35),INDEX('Cronograma R. Financiero'!$C$5:$C$1000,$N35)&amp;""))</f>
        <v/>
      </c>
      <c r="C35" s="79">
        <f>IF($N35="","",IF(INDEX('Cronograma R. Financiero'!$AR$5:$AR$1000,$N35)="","",INDEX('Cronograma R. Financiero'!$AR$5:$AR$1000,$N35)))</f>
        <v/>
      </c>
      <c r="D35" s="79">
        <f>IF($N35="","",IF(INDEX('Cronograma R. Financiero'!$AS$5:$AS$1000,$N35)="","",INDEX('Cronograma R. Financiero'!$AS$5:$AS$1000,$N35)))</f>
        <v/>
      </c>
      <c r="E35" s="56">
        <f>IF($N35="","",IF(NOT(ISNUMBER($D35)),"",IF($D35&lt;InicioCiclo,"Antes del ciclo",IF($D35&gt;=InicioCiclo+28,"Después del ciclo","Semana "&amp;(INT(($D35-InicioCiclo)/7)+1)))))</f>
        <v/>
      </c>
      <c r="F35" s="61">
        <f>IF($N35="","",IF($P35&gt;0,IF(1&lt;=SemanaActual,INDEX('Cronograma R. Financiero'!$AH$5:$AH$1000,$N35),""),IF(INDEX('Cronograma R. Financiero'!$I$5:$I$1000,$N35)="","",INDEX('Cronograma R. Financiero'!$I$5:$I$1000,$N35))))</f>
        <v/>
      </c>
      <c r="G35" s="61">
        <f>IF($N35="","",IF($P35&gt;0,IF(2&lt;=SemanaActual,INDEX('Cronograma R. Financiero'!$AI$5:$AI$1000,$N35),""),IF(INDEX('Cronograma R. Financiero'!$J$5:$J$1000,$N35)="","",INDEX('Cronograma R. Financiero'!$J$5:$J$1000,$N35))))</f>
        <v/>
      </c>
      <c r="H35" s="61">
        <f>IF($N35="","",IF($P35&gt;0,IF(3&lt;=SemanaActual,INDEX('Cronograma R. Financiero'!$AJ$5:$AJ$1000,$N35),""),IF(INDEX('Cronograma R. Financiero'!$K$5:$K$1000,$N35)="","",INDEX('Cronograma R. Financiero'!$K$5:$K$1000,$N35))))</f>
        <v/>
      </c>
      <c r="I35" s="61">
        <f>IF($N35="","",IF($P35&gt;0,IF(4&lt;=SemanaActual,INDEX('Cronograma R. Financiero'!$AK$5:$AK$1000,$N35),""),IF(INDEX('Cronograma R. Financiero'!$L$5:$L$1000,$N35)="","",INDEX('Cronograma R. Financiero'!$L$5:$L$1000,$N35))))</f>
        <v/>
      </c>
      <c r="J35" s="61">
        <f>IF($N35="","",INDEX('Cronograma R. Financiero'!$M$5:$M$1000,$N35))</f>
        <v/>
      </c>
      <c r="K35" s="56">
        <f>IF($N35="","",IF(N($J35)&gt;=1,"Completado",IF(AND(ISNUMBER($D35),$D35&lt;FechaRef),"Vencida",IF(N($J35)&gt;0,"En curso","Pendiente"))))</f>
        <v/>
      </c>
      <c r="L35" s="56">
        <f>IF($N35="","",INDEX('Cronograma R. Financiero'!$O$5:$O$1000,$N35)&amp;"")</f>
        <v/>
      </c>
      <c r="M35" s="62">
        <f>IF($N35="","",INDEX('Cronograma R. Financiero'!$Q$5:$Q$1000,$N35)&amp;"")</f>
        <v/>
      </c>
      <c r="N35">
        <f>IFERROR(MATCH(ROW()-4,rOrden_RF,0),"")</f>
        <v/>
      </c>
      <c r="O35">
        <f>IF($N35="","",INDEX('Cronograma R. Financiero'!$V$5:$V$1000,$N35))</f>
        <v/>
      </c>
      <c r="P35">
        <f>IF($N35="","",N(INDEX('Cronograma R. Financiero'!$W$5:$W$1000,$N35)))</f>
        <v/>
      </c>
      <c r="Q35">
        <f>IF(OR(LEFT($L35,7)="Vencida",LEFT($L35,5)="Vence"),SUMPRODUCT(--(LEFT($L$5:$L35,7)="Vencida"))+SUMPRODUCT(--(LEFT($L$5:$L35,5)="Vence")),"")</f>
        <v/>
      </c>
    </row>
    <row r="36">
      <c r="A36" s="56">
        <f>IF($N36="","",INDEX('Cronograma R. Financiero'!$A$5:$A$1000,$N36))</f>
        <v/>
      </c>
      <c r="B36" s="62">
        <f>IF($N36="","",IF($O36="Sub","      ↳  "&amp;INDEX('Cronograma R. Financiero'!$C$5:$C$1000,$N36),INDEX('Cronograma R. Financiero'!$C$5:$C$1000,$N36)&amp;""))</f>
        <v/>
      </c>
      <c r="C36" s="79">
        <f>IF($N36="","",IF(INDEX('Cronograma R. Financiero'!$AR$5:$AR$1000,$N36)="","",INDEX('Cronograma R. Financiero'!$AR$5:$AR$1000,$N36)))</f>
        <v/>
      </c>
      <c r="D36" s="79">
        <f>IF($N36="","",IF(INDEX('Cronograma R. Financiero'!$AS$5:$AS$1000,$N36)="","",INDEX('Cronograma R. Financiero'!$AS$5:$AS$1000,$N36)))</f>
        <v/>
      </c>
      <c r="E36" s="56">
        <f>IF($N36="","",IF(NOT(ISNUMBER($D36)),"",IF($D36&lt;InicioCiclo,"Antes del ciclo",IF($D36&gt;=InicioCiclo+28,"Después del ciclo","Semana "&amp;(INT(($D36-InicioCiclo)/7)+1)))))</f>
        <v/>
      </c>
      <c r="F36" s="61">
        <f>IF($N36="","",IF($P36&gt;0,IF(1&lt;=SemanaActual,INDEX('Cronograma R. Financiero'!$AH$5:$AH$1000,$N36),""),IF(INDEX('Cronograma R. Financiero'!$I$5:$I$1000,$N36)="","",INDEX('Cronograma R. Financiero'!$I$5:$I$1000,$N36))))</f>
        <v/>
      </c>
      <c r="G36" s="61">
        <f>IF($N36="","",IF($P36&gt;0,IF(2&lt;=SemanaActual,INDEX('Cronograma R. Financiero'!$AI$5:$AI$1000,$N36),""),IF(INDEX('Cronograma R. Financiero'!$J$5:$J$1000,$N36)="","",INDEX('Cronograma R. Financiero'!$J$5:$J$1000,$N36))))</f>
        <v/>
      </c>
      <c r="H36" s="61">
        <f>IF($N36="","",IF($P36&gt;0,IF(3&lt;=SemanaActual,INDEX('Cronograma R. Financiero'!$AJ$5:$AJ$1000,$N36),""),IF(INDEX('Cronograma R. Financiero'!$K$5:$K$1000,$N36)="","",INDEX('Cronograma R. Financiero'!$K$5:$K$1000,$N36))))</f>
        <v/>
      </c>
      <c r="I36" s="61">
        <f>IF($N36="","",IF($P36&gt;0,IF(4&lt;=SemanaActual,INDEX('Cronograma R. Financiero'!$AK$5:$AK$1000,$N36),""),IF(INDEX('Cronograma R. Financiero'!$L$5:$L$1000,$N36)="","",INDEX('Cronograma R. Financiero'!$L$5:$L$1000,$N36))))</f>
        <v/>
      </c>
      <c r="J36" s="61">
        <f>IF($N36="","",INDEX('Cronograma R. Financiero'!$M$5:$M$1000,$N36))</f>
        <v/>
      </c>
      <c r="K36" s="56">
        <f>IF($N36="","",IF(N($J36)&gt;=1,"Completado",IF(AND(ISNUMBER($D36),$D36&lt;FechaRef),"Vencida",IF(N($J36)&gt;0,"En curso","Pendiente"))))</f>
        <v/>
      </c>
      <c r="L36" s="56">
        <f>IF($N36="","",INDEX('Cronograma R. Financiero'!$O$5:$O$1000,$N36)&amp;"")</f>
        <v/>
      </c>
      <c r="M36" s="62">
        <f>IF($N36="","",INDEX('Cronograma R. Financiero'!$Q$5:$Q$1000,$N36)&amp;"")</f>
        <v/>
      </c>
      <c r="N36">
        <f>IFERROR(MATCH(ROW()-4,rOrden_RF,0),"")</f>
        <v/>
      </c>
      <c r="O36">
        <f>IF($N36="","",INDEX('Cronograma R. Financiero'!$V$5:$V$1000,$N36))</f>
        <v/>
      </c>
      <c r="P36">
        <f>IF($N36="","",N(INDEX('Cronograma R. Financiero'!$W$5:$W$1000,$N36)))</f>
        <v/>
      </c>
      <c r="Q36">
        <f>IF(OR(LEFT($L36,7)="Vencida",LEFT($L36,5)="Vence"),SUMPRODUCT(--(LEFT($L$5:$L36,7)="Vencida"))+SUMPRODUCT(--(LEFT($L$5:$L36,5)="Vence")),"")</f>
        <v/>
      </c>
    </row>
    <row r="37">
      <c r="A37" s="56">
        <f>IF($N37="","",INDEX('Cronograma R. Financiero'!$A$5:$A$1000,$N37))</f>
        <v/>
      </c>
      <c r="B37" s="62">
        <f>IF($N37="","",IF($O37="Sub","      ↳  "&amp;INDEX('Cronograma R. Financiero'!$C$5:$C$1000,$N37),INDEX('Cronograma R. Financiero'!$C$5:$C$1000,$N37)&amp;""))</f>
        <v/>
      </c>
      <c r="C37" s="79">
        <f>IF($N37="","",IF(INDEX('Cronograma R. Financiero'!$AR$5:$AR$1000,$N37)="","",INDEX('Cronograma R. Financiero'!$AR$5:$AR$1000,$N37)))</f>
        <v/>
      </c>
      <c r="D37" s="79">
        <f>IF($N37="","",IF(INDEX('Cronograma R. Financiero'!$AS$5:$AS$1000,$N37)="","",INDEX('Cronograma R. Financiero'!$AS$5:$AS$1000,$N37)))</f>
        <v/>
      </c>
      <c r="E37" s="56">
        <f>IF($N37="","",IF(NOT(ISNUMBER($D37)),"",IF($D37&lt;InicioCiclo,"Antes del ciclo",IF($D37&gt;=InicioCiclo+28,"Después del ciclo","Semana "&amp;(INT(($D37-InicioCiclo)/7)+1)))))</f>
        <v/>
      </c>
      <c r="F37" s="61">
        <f>IF($N37="","",IF($P37&gt;0,IF(1&lt;=SemanaActual,INDEX('Cronograma R. Financiero'!$AH$5:$AH$1000,$N37),""),IF(INDEX('Cronograma R. Financiero'!$I$5:$I$1000,$N37)="","",INDEX('Cronograma R. Financiero'!$I$5:$I$1000,$N37))))</f>
        <v/>
      </c>
      <c r="G37" s="61">
        <f>IF($N37="","",IF($P37&gt;0,IF(2&lt;=SemanaActual,INDEX('Cronograma R. Financiero'!$AI$5:$AI$1000,$N37),""),IF(INDEX('Cronograma R. Financiero'!$J$5:$J$1000,$N37)="","",INDEX('Cronograma R. Financiero'!$J$5:$J$1000,$N37))))</f>
        <v/>
      </c>
      <c r="H37" s="61">
        <f>IF($N37="","",IF($P37&gt;0,IF(3&lt;=SemanaActual,INDEX('Cronograma R. Financiero'!$AJ$5:$AJ$1000,$N37),""),IF(INDEX('Cronograma R. Financiero'!$K$5:$K$1000,$N37)="","",INDEX('Cronograma R. Financiero'!$K$5:$K$1000,$N37))))</f>
        <v/>
      </c>
      <c r="I37" s="61">
        <f>IF($N37="","",IF($P37&gt;0,IF(4&lt;=SemanaActual,INDEX('Cronograma R. Financiero'!$AK$5:$AK$1000,$N37),""),IF(INDEX('Cronograma R. Financiero'!$L$5:$L$1000,$N37)="","",INDEX('Cronograma R. Financiero'!$L$5:$L$1000,$N37))))</f>
        <v/>
      </c>
      <c r="J37" s="61">
        <f>IF($N37="","",INDEX('Cronograma R. Financiero'!$M$5:$M$1000,$N37))</f>
        <v/>
      </c>
      <c r="K37" s="56">
        <f>IF($N37="","",IF(N($J37)&gt;=1,"Completado",IF(AND(ISNUMBER($D37),$D37&lt;FechaRef),"Vencida",IF(N($J37)&gt;0,"En curso","Pendiente"))))</f>
        <v/>
      </c>
      <c r="L37" s="56">
        <f>IF($N37="","",INDEX('Cronograma R. Financiero'!$O$5:$O$1000,$N37)&amp;"")</f>
        <v/>
      </c>
      <c r="M37" s="62">
        <f>IF($N37="","",INDEX('Cronograma R. Financiero'!$Q$5:$Q$1000,$N37)&amp;"")</f>
        <v/>
      </c>
      <c r="N37">
        <f>IFERROR(MATCH(ROW()-4,rOrden_RF,0),"")</f>
        <v/>
      </c>
      <c r="O37">
        <f>IF($N37="","",INDEX('Cronograma R. Financiero'!$V$5:$V$1000,$N37))</f>
        <v/>
      </c>
      <c r="P37">
        <f>IF($N37="","",N(INDEX('Cronograma R. Financiero'!$W$5:$W$1000,$N37)))</f>
        <v/>
      </c>
      <c r="Q37">
        <f>IF(OR(LEFT($L37,7)="Vencida",LEFT($L37,5)="Vence"),SUMPRODUCT(--(LEFT($L$5:$L37,7)="Vencida"))+SUMPRODUCT(--(LEFT($L$5:$L37,5)="Vence")),"")</f>
        <v/>
      </c>
    </row>
    <row r="38">
      <c r="A38" s="56">
        <f>IF($N38="","",INDEX('Cronograma R. Financiero'!$A$5:$A$1000,$N38))</f>
        <v/>
      </c>
      <c r="B38" s="62">
        <f>IF($N38="","",IF($O38="Sub","      ↳  "&amp;INDEX('Cronograma R. Financiero'!$C$5:$C$1000,$N38),INDEX('Cronograma R. Financiero'!$C$5:$C$1000,$N38)&amp;""))</f>
        <v/>
      </c>
      <c r="C38" s="79">
        <f>IF($N38="","",IF(INDEX('Cronograma R. Financiero'!$AR$5:$AR$1000,$N38)="","",INDEX('Cronograma R. Financiero'!$AR$5:$AR$1000,$N38)))</f>
        <v/>
      </c>
      <c r="D38" s="79">
        <f>IF($N38="","",IF(INDEX('Cronograma R. Financiero'!$AS$5:$AS$1000,$N38)="","",INDEX('Cronograma R. Financiero'!$AS$5:$AS$1000,$N38)))</f>
        <v/>
      </c>
      <c r="E38" s="56">
        <f>IF($N38="","",IF(NOT(ISNUMBER($D38)),"",IF($D38&lt;InicioCiclo,"Antes del ciclo",IF($D38&gt;=InicioCiclo+28,"Después del ciclo","Semana "&amp;(INT(($D38-InicioCiclo)/7)+1)))))</f>
        <v/>
      </c>
      <c r="F38" s="61">
        <f>IF($N38="","",IF($P38&gt;0,IF(1&lt;=SemanaActual,INDEX('Cronograma R. Financiero'!$AH$5:$AH$1000,$N38),""),IF(INDEX('Cronograma R. Financiero'!$I$5:$I$1000,$N38)="","",INDEX('Cronograma R. Financiero'!$I$5:$I$1000,$N38))))</f>
        <v/>
      </c>
      <c r="G38" s="61">
        <f>IF($N38="","",IF($P38&gt;0,IF(2&lt;=SemanaActual,INDEX('Cronograma R. Financiero'!$AI$5:$AI$1000,$N38),""),IF(INDEX('Cronograma R. Financiero'!$J$5:$J$1000,$N38)="","",INDEX('Cronograma R. Financiero'!$J$5:$J$1000,$N38))))</f>
        <v/>
      </c>
      <c r="H38" s="61">
        <f>IF($N38="","",IF($P38&gt;0,IF(3&lt;=SemanaActual,INDEX('Cronograma R. Financiero'!$AJ$5:$AJ$1000,$N38),""),IF(INDEX('Cronograma R. Financiero'!$K$5:$K$1000,$N38)="","",INDEX('Cronograma R. Financiero'!$K$5:$K$1000,$N38))))</f>
        <v/>
      </c>
      <c r="I38" s="61">
        <f>IF($N38="","",IF($P38&gt;0,IF(4&lt;=SemanaActual,INDEX('Cronograma R. Financiero'!$AK$5:$AK$1000,$N38),""),IF(INDEX('Cronograma R. Financiero'!$L$5:$L$1000,$N38)="","",INDEX('Cronograma R. Financiero'!$L$5:$L$1000,$N38))))</f>
        <v/>
      </c>
      <c r="J38" s="61">
        <f>IF($N38="","",INDEX('Cronograma R. Financiero'!$M$5:$M$1000,$N38))</f>
        <v/>
      </c>
      <c r="K38" s="56">
        <f>IF($N38="","",IF(N($J38)&gt;=1,"Completado",IF(AND(ISNUMBER($D38),$D38&lt;FechaRef),"Vencida",IF(N($J38)&gt;0,"En curso","Pendiente"))))</f>
        <v/>
      </c>
      <c r="L38" s="56">
        <f>IF($N38="","",INDEX('Cronograma R. Financiero'!$O$5:$O$1000,$N38)&amp;"")</f>
        <v/>
      </c>
      <c r="M38" s="62">
        <f>IF($N38="","",INDEX('Cronograma R. Financiero'!$Q$5:$Q$1000,$N38)&amp;"")</f>
        <v/>
      </c>
      <c r="N38">
        <f>IFERROR(MATCH(ROW()-4,rOrden_RF,0),"")</f>
        <v/>
      </c>
      <c r="O38">
        <f>IF($N38="","",INDEX('Cronograma R. Financiero'!$V$5:$V$1000,$N38))</f>
        <v/>
      </c>
      <c r="P38">
        <f>IF($N38="","",N(INDEX('Cronograma R. Financiero'!$W$5:$W$1000,$N38)))</f>
        <v/>
      </c>
      <c r="Q38">
        <f>IF(OR(LEFT($L38,7)="Vencida",LEFT($L38,5)="Vence"),SUMPRODUCT(--(LEFT($L$5:$L38,7)="Vencida"))+SUMPRODUCT(--(LEFT($L$5:$L38,5)="Vence")),"")</f>
        <v/>
      </c>
    </row>
    <row r="39">
      <c r="A39" s="56">
        <f>IF($N39="","",INDEX('Cronograma R. Financiero'!$A$5:$A$1000,$N39))</f>
        <v/>
      </c>
      <c r="B39" s="62">
        <f>IF($N39="","",IF($O39="Sub","      ↳  "&amp;INDEX('Cronograma R. Financiero'!$C$5:$C$1000,$N39),INDEX('Cronograma R. Financiero'!$C$5:$C$1000,$N39)&amp;""))</f>
        <v/>
      </c>
      <c r="C39" s="79">
        <f>IF($N39="","",IF(INDEX('Cronograma R. Financiero'!$AR$5:$AR$1000,$N39)="","",INDEX('Cronograma R. Financiero'!$AR$5:$AR$1000,$N39)))</f>
        <v/>
      </c>
      <c r="D39" s="79">
        <f>IF($N39="","",IF(INDEX('Cronograma R. Financiero'!$AS$5:$AS$1000,$N39)="","",INDEX('Cronograma R. Financiero'!$AS$5:$AS$1000,$N39)))</f>
        <v/>
      </c>
      <c r="E39" s="56">
        <f>IF($N39="","",IF(NOT(ISNUMBER($D39)),"",IF($D39&lt;InicioCiclo,"Antes del ciclo",IF($D39&gt;=InicioCiclo+28,"Después del ciclo","Semana "&amp;(INT(($D39-InicioCiclo)/7)+1)))))</f>
        <v/>
      </c>
      <c r="F39" s="61">
        <f>IF($N39="","",IF($P39&gt;0,IF(1&lt;=SemanaActual,INDEX('Cronograma R. Financiero'!$AH$5:$AH$1000,$N39),""),IF(INDEX('Cronograma R. Financiero'!$I$5:$I$1000,$N39)="","",INDEX('Cronograma R. Financiero'!$I$5:$I$1000,$N39))))</f>
        <v/>
      </c>
      <c r="G39" s="61">
        <f>IF($N39="","",IF($P39&gt;0,IF(2&lt;=SemanaActual,INDEX('Cronograma R. Financiero'!$AI$5:$AI$1000,$N39),""),IF(INDEX('Cronograma R. Financiero'!$J$5:$J$1000,$N39)="","",INDEX('Cronograma R. Financiero'!$J$5:$J$1000,$N39))))</f>
        <v/>
      </c>
      <c r="H39" s="61">
        <f>IF($N39="","",IF($P39&gt;0,IF(3&lt;=SemanaActual,INDEX('Cronograma R. Financiero'!$AJ$5:$AJ$1000,$N39),""),IF(INDEX('Cronograma R. Financiero'!$K$5:$K$1000,$N39)="","",INDEX('Cronograma R. Financiero'!$K$5:$K$1000,$N39))))</f>
        <v/>
      </c>
      <c r="I39" s="61">
        <f>IF($N39="","",IF($P39&gt;0,IF(4&lt;=SemanaActual,INDEX('Cronograma R. Financiero'!$AK$5:$AK$1000,$N39),""),IF(INDEX('Cronograma R. Financiero'!$L$5:$L$1000,$N39)="","",INDEX('Cronograma R. Financiero'!$L$5:$L$1000,$N39))))</f>
        <v/>
      </c>
      <c r="J39" s="61">
        <f>IF($N39="","",INDEX('Cronograma R. Financiero'!$M$5:$M$1000,$N39))</f>
        <v/>
      </c>
      <c r="K39" s="56">
        <f>IF($N39="","",IF(N($J39)&gt;=1,"Completado",IF(AND(ISNUMBER($D39),$D39&lt;FechaRef),"Vencida",IF(N($J39)&gt;0,"En curso","Pendiente"))))</f>
        <v/>
      </c>
      <c r="L39" s="56">
        <f>IF($N39="","",INDEX('Cronograma R. Financiero'!$O$5:$O$1000,$N39)&amp;"")</f>
        <v/>
      </c>
      <c r="M39" s="62">
        <f>IF($N39="","",INDEX('Cronograma R. Financiero'!$Q$5:$Q$1000,$N39)&amp;"")</f>
        <v/>
      </c>
      <c r="N39">
        <f>IFERROR(MATCH(ROW()-4,rOrden_RF,0),"")</f>
        <v/>
      </c>
      <c r="O39">
        <f>IF($N39="","",INDEX('Cronograma R. Financiero'!$V$5:$V$1000,$N39))</f>
        <v/>
      </c>
      <c r="P39">
        <f>IF($N39="","",N(INDEX('Cronograma R. Financiero'!$W$5:$W$1000,$N39)))</f>
        <v/>
      </c>
      <c r="Q39">
        <f>IF(OR(LEFT($L39,7)="Vencida",LEFT($L39,5)="Vence"),SUMPRODUCT(--(LEFT($L$5:$L39,7)="Vencida"))+SUMPRODUCT(--(LEFT($L$5:$L39,5)="Vence")),"")</f>
        <v/>
      </c>
    </row>
    <row r="40">
      <c r="A40" s="56">
        <f>IF($N40="","",INDEX('Cronograma R. Financiero'!$A$5:$A$1000,$N40))</f>
        <v/>
      </c>
      <c r="B40" s="62">
        <f>IF($N40="","",IF($O40="Sub","      ↳  "&amp;INDEX('Cronograma R. Financiero'!$C$5:$C$1000,$N40),INDEX('Cronograma R. Financiero'!$C$5:$C$1000,$N40)&amp;""))</f>
        <v/>
      </c>
      <c r="C40" s="79">
        <f>IF($N40="","",IF(INDEX('Cronograma R. Financiero'!$AR$5:$AR$1000,$N40)="","",INDEX('Cronograma R. Financiero'!$AR$5:$AR$1000,$N40)))</f>
        <v/>
      </c>
      <c r="D40" s="79">
        <f>IF($N40="","",IF(INDEX('Cronograma R. Financiero'!$AS$5:$AS$1000,$N40)="","",INDEX('Cronograma R. Financiero'!$AS$5:$AS$1000,$N40)))</f>
        <v/>
      </c>
      <c r="E40" s="56">
        <f>IF($N40="","",IF(NOT(ISNUMBER($D40)),"",IF($D40&lt;InicioCiclo,"Antes del ciclo",IF($D40&gt;=InicioCiclo+28,"Después del ciclo","Semana "&amp;(INT(($D40-InicioCiclo)/7)+1)))))</f>
        <v/>
      </c>
      <c r="F40" s="61">
        <f>IF($N40="","",IF($P40&gt;0,IF(1&lt;=SemanaActual,INDEX('Cronograma R. Financiero'!$AH$5:$AH$1000,$N40),""),IF(INDEX('Cronograma R. Financiero'!$I$5:$I$1000,$N40)="","",INDEX('Cronograma R. Financiero'!$I$5:$I$1000,$N40))))</f>
        <v/>
      </c>
      <c r="G40" s="61">
        <f>IF($N40="","",IF($P40&gt;0,IF(2&lt;=SemanaActual,INDEX('Cronograma R. Financiero'!$AI$5:$AI$1000,$N40),""),IF(INDEX('Cronograma R. Financiero'!$J$5:$J$1000,$N40)="","",INDEX('Cronograma R. Financiero'!$J$5:$J$1000,$N40))))</f>
        <v/>
      </c>
      <c r="H40" s="61">
        <f>IF($N40="","",IF($P40&gt;0,IF(3&lt;=SemanaActual,INDEX('Cronograma R. Financiero'!$AJ$5:$AJ$1000,$N40),""),IF(INDEX('Cronograma R. Financiero'!$K$5:$K$1000,$N40)="","",INDEX('Cronograma R. Financiero'!$K$5:$K$1000,$N40))))</f>
        <v/>
      </c>
      <c r="I40" s="61">
        <f>IF($N40="","",IF($P40&gt;0,IF(4&lt;=SemanaActual,INDEX('Cronograma R. Financiero'!$AK$5:$AK$1000,$N40),""),IF(INDEX('Cronograma R. Financiero'!$L$5:$L$1000,$N40)="","",INDEX('Cronograma R. Financiero'!$L$5:$L$1000,$N40))))</f>
        <v/>
      </c>
      <c r="J40" s="61">
        <f>IF($N40="","",INDEX('Cronograma R. Financiero'!$M$5:$M$1000,$N40))</f>
        <v/>
      </c>
      <c r="K40" s="56">
        <f>IF($N40="","",IF(N($J40)&gt;=1,"Completado",IF(AND(ISNUMBER($D40),$D40&lt;FechaRef),"Vencida",IF(N($J40)&gt;0,"En curso","Pendiente"))))</f>
        <v/>
      </c>
      <c r="L40" s="56">
        <f>IF($N40="","",INDEX('Cronograma R. Financiero'!$O$5:$O$1000,$N40)&amp;"")</f>
        <v/>
      </c>
      <c r="M40" s="62">
        <f>IF($N40="","",INDEX('Cronograma R. Financiero'!$Q$5:$Q$1000,$N40)&amp;"")</f>
        <v/>
      </c>
      <c r="N40">
        <f>IFERROR(MATCH(ROW()-4,rOrden_RF,0),"")</f>
        <v/>
      </c>
      <c r="O40">
        <f>IF($N40="","",INDEX('Cronograma R. Financiero'!$V$5:$V$1000,$N40))</f>
        <v/>
      </c>
      <c r="P40">
        <f>IF($N40="","",N(INDEX('Cronograma R. Financiero'!$W$5:$W$1000,$N40)))</f>
        <v/>
      </c>
      <c r="Q40">
        <f>IF(OR(LEFT($L40,7)="Vencida",LEFT($L40,5)="Vence"),SUMPRODUCT(--(LEFT($L$5:$L40,7)="Vencida"))+SUMPRODUCT(--(LEFT($L$5:$L40,5)="Vence")),"")</f>
        <v/>
      </c>
    </row>
    <row r="41">
      <c r="A41" s="56">
        <f>IF($N41="","",INDEX('Cronograma R. Financiero'!$A$5:$A$1000,$N41))</f>
        <v/>
      </c>
      <c r="B41" s="62">
        <f>IF($N41="","",IF($O41="Sub","      ↳  "&amp;INDEX('Cronograma R. Financiero'!$C$5:$C$1000,$N41),INDEX('Cronograma R. Financiero'!$C$5:$C$1000,$N41)&amp;""))</f>
        <v/>
      </c>
      <c r="C41" s="79">
        <f>IF($N41="","",IF(INDEX('Cronograma R. Financiero'!$AR$5:$AR$1000,$N41)="","",INDEX('Cronograma R. Financiero'!$AR$5:$AR$1000,$N41)))</f>
        <v/>
      </c>
      <c r="D41" s="79">
        <f>IF($N41="","",IF(INDEX('Cronograma R. Financiero'!$AS$5:$AS$1000,$N41)="","",INDEX('Cronograma R. Financiero'!$AS$5:$AS$1000,$N41)))</f>
        <v/>
      </c>
      <c r="E41" s="56">
        <f>IF($N41="","",IF(NOT(ISNUMBER($D41)),"",IF($D41&lt;InicioCiclo,"Antes del ciclo",IF($D41&gt;=InicioCiclo+28,"Después del ciclo","Semana "&amp;(INT(($D41-InicioCiclo)/7)+1)))))</f>
        <v/>
      </c>
      <c r="F41" s="61">
        <f>IF($N41="","",IF($P41&gt;0,IF(1&lt;=SemanaActual,INDEX('Cronograma R. Financiero'!$AH$5:$AH$1000,$N41),""),IF(INDEX('Cronograma R. Financiero'!$I$5:$I$1000,$N41)="","",INDEX('Cronograma R. Financiero'!$I$5:$I$1000,$N41))))</f>
        <v/>
      </c>
      <c r="G41" s="61">
        <f>IF($N41="","",IF($P41&gt;0,IF(2&lt;=SemanaActual,INDEX('Cronograma R. Financiero'!$AI$5:$AI$1000,$N41),""),IF(INDEX('Cronograma R. Financiero'!$J$5:$J$1000,$N41)="","",INDEX('Cronograma R. Financiero'!$J$5:$J$1000,$N41))))</f>
        <v/>
      </c>
      <c r="H41" s="61">
        <f>IF($N41="","",IF($P41&gt;0,IF(3&lt;=SemanaActual,INDEX('Cronograma R. Financiero'!$AJ$5:$AJ$1000,$N41),""),IF(INDEX('Cronograma R. Financiero'!$K$5:$K$1000,$N41)="","",INDEX('Cronograma R. Financiero'!$K$5:$K$1000,$N41))))</f>
        <v/>
      </c>
      <c r="I41" s="61">
        <f>IF($N41="","",IF($P41&gt;0,IF(4&lt;=SemanaActual,INDEX('Cronograma R. Financiero'!$AK$5:$AK$1000,$N41),""),IF(INDEX('Cronograma R. Financiero'!$L$5:$L$1000,$N41)="","",INDEX('Cronograma R. Financiero'!$L$5:$L$1000,$N41))))</f>
        <v/>
      </c>
      <c r="J41" s="61">
        <f>IF($N41="","",INDEX('Cronograma R. Financiero'!$M$5:$M$1000,$N41))</f>
        <v/>
      </c>
      <c r="K41" s="56">
        <f>IF($N41="","",IF(N($J41)&gt;=1,"Completado",IF(AND(ISNUMBER($D41),$D41&lt;FechaRef),"Vencida",IF(N($J41)&gt;0,"En curso","Pendiente"))))</f>
        <v/>
      </c>
      <c r="L41" s="56">
        <f>IF($N41="","",INDEX('Cronograma R. Financiero'!$O$5:$O$1000,$N41)&amp;"")</f>
        <v/>
      </c>
      <c r="M41" s="62">
        <f>IF($N41="","",INDEX('Cronograma R. Financiero'!$Q$5:$Q$1000,$N41)&amp;"")</f>
        <v/>
      </c>
      <c r="N41">
        <f>IFERROR(MATCH(ROW()-4,rOrden_RF,0),"")</f>
        <v/>
      </c>
      <c r="O41">
        <f>IF($N41="","",INDEX('Cronograma R. Financiero'!$V$5:$V$1000,$N41))</f>
        <v/>
      </c>
      <c r="P41">
        <f>IF($N41="","",N(INDEX('Cronograma R. Financiero'!$W$5:$W$1000,$N41)))</f>
        <v/>
      </c>
      <c r="Q41">
        <f>IF(OR(LEFT($L41,7)="Vencida",LEFT($L41,5)="Vence"),SUMPRODUCT(--(LEFT($L$5:$L41,7)="Vencida"))+SUMPRODUCT(--(LEFT($L$5:$L41,5)="Vence")),"")</f>
        <v/>
      </c>
    </row>
    <row r="42">
      <c r="A42" s="56">
        <f>IF($N42="","",INDEX('Cronograma R. Financiero'!$A$5:$A$1000,$N42))</f>
        <v/>
      </c>
      <c r="B42" s="62">
        <f>IF($N42="","",IF($O42="Sub","      ↳  "&amp;INDEX('Cronograma R. Financiero'!$C$5:$C$1000,$N42),INDEX('Cronograma R. Financiero'!$C$5:$C$1000,$N42)&amp;""))</f>
        <v/>
      </c>
      <c r="C42" s="79">
        <f>IF($N42="","",IF(INDEX('Cronograma R. Financiero'!$AR$5:$AR$1000,$N42)="","",INDEX('Cronograma R. Financiero'!$AR$5:$AR$1000,$N42)))</f>
        <v/>
      </c>
      <c r="D42" s="79">
        <f>IF($N42="","",IF(INDEX('Cronograma R. Financiero'!$AS$5:$AS$1000,$N42)="","",INDEX('Cronograma R. Financiero'!$AS$5:$AS$1000,$N42)))</f>
        <v/>
      </c>
      <c r="E42" s="56">
        <f>IF($N42="","",IF(NOT(ISNUMBER($D42)),"",IF($D42&lt;InicioCiclo,"Antes del ciclo",IF($D42&gt;=InicioCiclo+28,"Después del ciclo","Semana "&amp;(INT(($D42-InicioCiclo)/7)+1)))))</f>
        <v/>
      </c>
      <c r="F42" s="61">
        <f>IF($N42="","",IF($P42&gt;0,IF(1&lt;=SemanaActual,INDEX('Cronograma R. Financiero'!$AH$5:$AH$1000,$N42),""),IF(INDEX('Cronograma R. Financiero'!$I$5:$I$1000,$N42)="","",INDEX('Cronograma R. Financiero'!$I$5:$I$1000,$N42))))</f>
        <v/>
      </c>
      <c r="G42" s="61">
        <f>IF($N42="","",IF($P42&gt;0,IF(2&lt;=SemanaActual,INDEX('Cronograma R. Financiero'!$AI$5:$AI$1000,$N42),""),IF(INDEX('Cronograma R. Financiero'!$J$5:$J$1000,$N42)="","",INDEX('Cronograma R. Financiero'!$J$5:$J$1000,$N42))))</f>
        <v/>
      </c>
      <c r="H42" s="61">
        <f>IF($N42="","",IF($P42&gt;0,IF(3&lt;=SemanaActual,INDEX('Cronograma R. Financiero'!$AJ$5:$AJ$1000,$N42),""),IF(INDEX('Cronograma R. Financiero'!$K$5:$K$1000,$N42)="","",INDEX('Cronograma R. Financiero'!$K$5:$K$1000,$N42))))</f>
        <v/>
      </c>
      <c r="I42" s="61">
        <f>IF($N42="","",IF($P42&gt;0,IF(4&lt;=SemanaActual,INDEX('Cronograma R. Financiero'!$AK$5:$AK$1000,$N42),""),IF(INDEX('Cronograma R. Financiero'!$L$5:$L$1000,$N42)="","",INDEX('Cronograma R. Financiero'!$L$5:$L$1000,$N42))))</f>
        <v/>
      </c>
      <c r="J42" s="61">
        <f>IF($N42="","",INDEX('Cronograma R. Financiero'!$M$5:$M$1000,$N42))</f>
        <v/>
      </c>
      <c r="K42" s="56">
        <f>IF($N42="","",IF(N($J42)&gt;=1,"Completado",IF(AND(ISNUMBER($D42),$D42&lt;FechaRef),"Vencida",IF(N($J42)&gt;0,"En curso","Pendiente"))))</f>
        <v/>
      </c>
      <c r="L42" s="56">
        <f>IF($N42="","",INDEX('Cronograma R. Financiero'!$O$5:$O$1000,$N42)&amp;"")</f>
        <v/>
      </c>
      <c r="M42" s="62">
        <f>IF($N42="","",INDEX('Cronograma R. Financiero'!$Q$5:$Q$1000,$N42)&amp;"")</f>
        <v/>
      </c>
      <c r="N42">
        <f>IFERROR(MATCH(ROW()-4,rOrden_RF,0),"")</f>
        <v/>
      </c>
      <c r="O42">
        <f>IF($N42="","",INDEX('Cronograma R. Financiero'!$V$5:$V$1000,$N42))</f>
        <v/>
      </c>
      <c r="P42">
        <f>IF($N42="","",N(INDEX('Cronograma R. Financiero'!$W$5:$W$1000,$N42)))</f>
        <v/>
      </c>
      <c r="Q42">
        <f>IF(OR(LEFT($L42,7)="Vencida",LEFT($L42,5)="Vence"),SUMPRODUCT(--(LEFT($L$5:$L42,7)="Vencida"))+SUMPRODUCT(--(LEFT($L$5:$L42,5)="Vence")),"")</f>
        <v/>
      </c>
    </row>
    <row r="43">
      <c r="A43" s="56">
        <f>IF($N43="","",INDEX('Cronograma R. Financiero'!$A$5:$A$1000,$N43))</f>
        <v/>
      </c>
      <c r="B43" s="62">
        <f>IF($N43="","",IF($O43="Sub","      ↳  "&amp;INDEX('Cronograma R. Financiero'!$C$5:$C$1000,$N43),INDEX('Cronograma R. Financiero'!$C$5:$C$1000,$N43)&amp;""))</f>
        <v/>
      </c>
      <c r="C43" s="79">
        <f>IF($N43="","",IF(INDEX('Cronograma R. Financiero'!$AR$5:$AR$1000,$N43)="","",INDEX('Cronograma R. Financiero'!$AR$5:$AR$1000,$N43)))</f>
        <v/>
      </c>
      <c r="D43" s="79">
        <f>IF($N43="","",IF(INDEX('Cronograma R. Financiero'!$AS$5:$AS$1000,$N43)="","",INDEX('Cronograma R. Financiero'!$AS$5:$AS$1000,$N43)))</f>
        <v/>
      </c>
      <c r="E43" s="56">
        <f>IF($N43="","",IF(NOT(ISNUMBER($D43)),"",IF($D43&lt;InicioCiclo,"Antes del ciclo",IF($D43&gt;=InicioCiclo+28,"Después del ciclo","Semana "&amp;(INT(($D43-InicioCiclo)/7)+1)))))</f>
        <v/>
      </c>
      <c r="F43" s="61">
        <f>IF($N43="","",IF($P43&gt;0,IF(1&lt;=SemanaActual,INDEX('Cronograma R. Financiero'!$AH$5:$AH$1000,$N43),""),IF(INDEX('Cronograma R. Financiero'!$I$5:$I$1000,$N43)="","",INDEX('Cronograma R. Financiero'!$I$5:$I$1000,$N43))))</f>
        <v/>
      </c>
      <c r="G43" s="61">
        <f>IF($N43="","",IF($P43&gt;0,IF(2&lt;=SemanaActual,INDEX('Cronograma R. Financiero'!$AI$5:$AI$1000,$N43),""),IF(INDEX('Cronograma R. Financiero'!$J$5:$J$1000,$N43)="","",INDEX('Cronograma R. Financiero'!$J$5:$J$1000,$N43))))</f>
        <v/>
      </c>
      <c r="H43" s="61">
        <f>IF($N43="","",IF($P43&gt;0,IF(3&lt;=SemanaActual,INDEX('Cronograma R. Financiero'!$AJ$5:$AJ$1000,$N43),""),IF(INDEX('Cronograma R. Financiero'!$K$5:$K$1000,$N43)="","",INDEX('Cronograma R. Financiero'!$K$5:$K$1000,$N43))))</f>
        <v/>
      </c>
      <c r="I43" s="61">
        <f>IF($N43="","",IF($P43&gt;0,IF(4&lt;=SemanaActual,INDEX('Cronograma R. Financiero'!$AK$5:$AK$1000,$N43),""),IF(INDEX('Cronograma R. Financiero'!$L$5:$L$1000,$N43)="","",INDEX('Cronograma R. Financiero'!$L$5:$L$1000,$N43))))</f>
        <v/>
      </c>
      <c r="J43" s="61">
        <f>IF($N43="","",INDEX('Cronograma R. Financiero'!$M$5:$M$1000,$N43))</f>
        <v/>
      </c>
      <c r="K43" s="56">
        <f>IF($N43="","",IF(N($J43)&gt;=1,"Completado",IF(AND(ISNUMBER($D43),$D43&lt;FechaRef),"Vencida",IF(N($J43)&gt;0,"En curso","Pendiente"))))</f>
        <v/>
      </c>
      <c r="L43" s="56">
        <f>IF($N43="","",INDEX('Cronograma R. Financiero'!$O$5:$O$1000,$N43)&amp;"")</f>
        <v/>
      </c>
      <c r="M43" s="62">
        <f>IF($N43="","",INDEX('Cronograma R. Financiero'!$Q$5:$Q$1000,$N43)&amp;"")</f>
        <v/>
      </c>
      <c r="N43">
        <f>IFERROR(MATCH(ROW()-4,rOrden_RF,0),"")</f>
        <v/>
      </c>
      <c r="O43">
        <f>IF($N43="","",INDEX('Cronograma R. Financiero'!$V$5:$V$1000,$N43))</f>
        <v/>
      </c>
      <c r="P43">
        <f>IF($N43="","",N(INDEX('Cronograma R. Financiero'!$W$5:$W$1000,$N43)))</f>
        <v/>
      </c>
      <c r="Q43">
        <f>IF(OR(LEFT($L43,7)="Vencida",LEFT($L43,5)="Vence"),SUMPRODUCT(--(LEFT($L$5:$L43,7)="Vencida"))+SUMPRODUCT(--(LEFT($L$5:$L43,5)="Vence")),"")</f>
        <v/>
      </c>
    </row>
    <row r="44">
      <c r="A44" s="56">
        <f>IF($N44="","",INDEX('Cronograma R. Financiero'!$A$5:$A$1000,$N44))</f>
        <v/>
      </c>
      <c r="B44" s="62">
        <f>IF($N44="","",IF($O44="Sub","      ↳  "&amp;INDEX('Cronograma R. Financiero'!$C$5:$C$1000,$N44),INDEX('Cronograma R. Financiero'!$C$5:$C$1000,$N44)&amp;""))</f>
        <v/>
      </c>
      <c r="C44" s="79">
        <f>IF($N44="","",IF(INDEX('Cronograma R. Financiero'!$AR$5:$AR$1000,$N44)="","",INDEX('Cronograma R. Financiero'!$AR$5:$AR$1000,$N44)))</f>
        <v/>
      </c>
      <c r="D44" s="79">
        <f>IF($N44="","",IF(INDEX('Cronograma R. Financiero'!$AS$5:$AS$1000,$N44)="","",INDEX('Cronograma R. Financiero'!$AS$5:$AS$1000,$N44)))</f>
        <v/>
      </c>
      <c r="E44" s="56">
        <f>IF($N44="","",IF(NOT(ISNUMBER($D44)),"",IF($D44&lt;InicioCiclo,"Antes del ciclo",IF($D44&gt;=InicioCiclo+28,"Después del ciclo","Semana "&amp;(INT(($D44-InicioCiclo)/7)+1)))))</f>
        <v/>
      </c>
      <c r="F44" s="61">
        <f>IF($N44="","",IF($P44&gt;0,IF(1&lt;=SemanaActual,INDEX('Cronograma R. Financiero'!$AH$5:$AH$1000,$N44),""),IF(INDEX('Cronograma R. Financiero'!$I$5:$I$1000,$N44)="","",INDEX('Cronograma R. Financiero'!$I$5:$I$1000,$N44))))</f>
        <v/>
      </c>
      <c r="G44" s="61">
        <f>IF($N44="","",IF($P44&gt;0,IF(2&lt;=SemanaActual,INDEX('Cronograma R. Financiero'!$AI$5:$AI$1000,$N44),""),IF(INDEX('Cronograma R. Financiero'!$J$5:$J$1000,$N44)="","",INDEX('Cronograma R. Financiero'!$J$5:$J$1000,$N44))))</f>
        <v/>
      </c>
      <c r="H44" s="61">
        <f>IF($N44="","",IF($P44&gt;0,IF(3&lt;=SemanaActual,INDEX('Cronograma R. Financiero'!$AJ$5:$AJ$1000,$N44),""),IF(INDEX('Cronograma R. Financiero'!$K$5:$K$1000,$N44)="","",INDEX('Cronograma R. Financiero'!$K$5:$K$1000,$N44))))</f>
        <v/>
      </c>
      <c r="I44" s="61">
        <f>IF($N44="","",IF($P44&gt;0,IF(4&lt;=SemanaActual,INDEX('Cronograma R. Financiero'!$AK$5:$AK$1000,$N44),""),IF(INDEX('Cronograma R. Financiero'!$L$5:$L$1000,$N44)="","",INDEX('Cronograma R. Financiero'!$L$5:$L$1000,$N44))))</f>
        <v/>
      </c>
      <c r="J44" s="61">
        <f>IF($N44="","",INDEX('Cronograma R. Financiero'!$M$5:$M$1000,$N44))</f>
        <v/>
      </c>
      <c r="K44" s="56">
        <f>IF($N44="","",IF(N($J44)&gt;=1,"Completado",IF(AND(ISNUMBER($D44),$D44&lt;FechaRef),"Vencida",IF(N($J44)&gt;0,"En curso","Pendiente"))))</f>
        <v/>
      </c>
      <c r="L44" s="56">
        <f>IF($N44="","",INDEX('Cronograma R. Financiero'!$O$5:$O$1000,$N44)&amp;"")</f>
        <v/>
      </c>
      <c r="M44" s="62">
        <f>IF($N44="","",INDEX('Cronograma R. Financiero'!$Q$5:$Q$1000,$N44)&amp;"")</f>
        <v/>
      </c>
      <c r="N44">
        <f>IFERROR(MATCH(ROW()-4,rOrden_RF,0),"")</f>
        <v/>
      </c>
      <c r="O44">
        <f>IF($N44="","",INDEX('Cronograma R. Financiero'!$V$5:$V$1000,$N44))</f>
        <v/>
      </c>
      <c r="P44">
        <f>IF($N44="","",N(INDEX('Cronograma R. Financiero'!$W$5:$W$1000,$N44)))</f>
        <v/>
      </c>
      <c r="Q44">
        <f>IF(OR(LEFT($L44,7)="Vencida",LEFT($L44,5)="Vence"),SUMPRODUCT(--(LEFT($L$5:$L44,7)="Vencida"))+SUMPRODUCT(--(LEFT($L$5:$L44,5)="Vence")),"")</f>
        <v/>
      </c>
    </row>
    <row r="45">
      <c r="A45" s="56">
        <f>IF($N45="","",INDEX('Cronograma R. Financiero'!$A$5:$A$1000,$N45))</f>
        <v/>
      </c>
      <c r="B45" s="62">
        <f>IF($N45="","",IF($O45="Sub","      ↳  "&amp;INDEX('Cronograma R. Financiero'!$C$5:$C$1000,$N45),INDEX('Cronograma R. Financiero'!$C$5:$C$1000,$N45)&amp;""))</f>
        <v/>
      </c>
      <c r="C45" s="79">
        <f>IF($N45="","",IF(INDEX('Cronograma R. Financiero'!$AR$5:$AR$1000,$N45)="","",INDEX('Cronograma R. Financiero'!$AR$5:$AR$1000,$N45)))</f>
        <v/>
      </c>
      <c r="D45" s="79">
        <f>IF($N45="","",IF(INDEX('Cronograma R. Financiero'!$AS$5:$AS$1000,$N45)="","",INDEX('Cronograma R. Financiero'!$AS$5:$AS$1000,$N45)))</f>
        <v/>
      </c>
      <c r="E45" s="56">
        <f>IF($N45="","",IF(NOT(ISNUMBER($D45)),"",IF($D45&lt;InicioCiclo,"Antes del ciclo",IF($D45&gt;=InicioCiclo+28,"Después del ciclo","Semana "&amp;(INT(($D45-InicioCiclo)/7)+1)))))</f>
        <v/>
      </c>
      <c r="F45" s="61">
        <f>IF($N45="","",IF($P45&gt;0,IF(1&lt;=SemanaActual,INDEX('Cronograma R. Financiero'!$AH$5:$AH$1000,$N45),""),IF(INDEX('Cronograma R. Financiero'!$I$5:$I$1000,$N45)="","",INDEX('Cronograma R. Financiero'!$I$5:$I$1000,$N45))))</f>
        <v/>
      </c>
      <c r="G45" s="61">
        <f>IF($N45="","",IF($P45&gt;0,IF(2&lt;=SemanaActual,INDEX('Cronograma R. Financiero'!$AI$5:$AI$1000,$N45),""),IF(INDEX('Cronograma R. Financiero'!$J$5:$J$1000,$N45)="","",INDEX('Cronograma R. Financiero'!$J$5:$J$1000,$N45))))</f>
        <v/>
      </c>
      <c r="H45" s="61">
        <f>IF($N45="","",IF($P45&gt;0,IF(3&lt;=SemanaActual,INDEX('Cronograma R. Financiero'!$AJ$5:$AJ$1000,$N45),""),IF(INDEX('Cronograma R. Financiero'!$K$5:$K$1000,$N45)="","",INDEX('Cronograma R. Financiero'!$K$5:$K$1000,$N45))))</f>
        <v/>
      </c>
      <c r="I45" s="61">
        <f>IF($N45="","",IF($P45&gt;0,IF(4&lt;=SemanaActual,INDEX('Cronograma R. Financiero'!$AK$5:$AK$1000,$N45),""),IF(INDEX('Cronograma R. Financiero'!$L$5:$L$1000,$N45)="","",INDEX('Cronograma R. Financiero'!$L$5:$L$1000,$N45))))</f>
        <v/>
      </c>
      <c r="J45" s="61">
        <f>IF($N45="","",INDEX('Cronograma R. Financiero'!$M$5:$M$1000,$N45))</f>
        <v/>
      </c>
      <c r="K45" s="56">
        <f>IF($N45="","",IF(N($J45)&gt;=1,"Completado",IF(AND(ISNUMBER($D45),$D45&lt;FechaRef),"Vencida",IF(N($J45)&gt;0,"En curso","Pendiente"))))</f>
        <v/>
      </c>
      <c r="L45" s="56">
        <f>IF($N45="","",INDEX('Cronograma R. Financiero'!$O$5:$O$1000,$N45)&amp;"")</f>
        <v/>
      </c>
      <c r="M45" s="62">
        <f>IF($N45="","",INDEX('Cronograma R. Financiero'!$Q$5:$Q$1000,$N45)&amp;"")</f>
        <v/>
      </c>
      <c r="N45">
        <f>IFERROR(MATCH(ROW()-4,rOrden_RF,0),"")</f>
        <v/>
      </c>
      <c r="O45">
        <f>IF($N45="","",INDEX('Cronograma R. Financiero'!$V$5:$V$1000,$N45))</f>
        <v/>
      </c>
      <c r="P45">
        <f>IF($N45="","",N(INDEX('Cronograma R. Financiero'!$W$5:$W$1000,$N45)))</f>
        <v/>
      </c>
      <c r="Q45">
        <f>IF(OR(LEFT($L45,7)="Vencida",LEFT($L45,5)="Vence"),SUMPRODUCT(--(LEFT($L$5:$L45,7)="Vencida"))+SUMPRODUCT(--(LEFT($L$5:$L45,5)="Vence")),"")</f>
        <v/>
      </c>
    </row>
    <row r="46">
      <c r="A46" s="56">
        <f>IF($N46="","",INDEX('Cronograma R. Financiero'!$A$5:$A$1000,$N46))</f>
        <v/>
      </c>
      <c r="B46" s="62">
        <f>IF($N46="","",IF($O46="Sub","      ↳  "&amp;INDEX('Cronograma R. Financiero'!$C$5:$C$1000,$N46),INDEX('Cronograma R. Financiero'!$C$5:$C$1000,$N46)&amp;""))</f>
        <v/>
      </c>
      <c r="C46" s="79">
        <f>IF($N46="","",IF(INDEX('Cronograma R. Financiero'!$AR$5:$AR$1000,$N46)="","",INDEX('Cronograma R. Financiero'!$AR$5:$AR$1000,$N46)))</f>
        <v/>
      </c>
      <c r="D46" s="79">
        <f>IF($N46="","",IF(INDEX('Cronograma R. Financiero'!$AS$5:$AS$1000,$N46)="","",INDEX('Cronograma R. Financiero'!$AS$5:$AS$1000,$N46)))</f>
        <v/>
      </c>
      <c r="E46" s="56">
        <f>IF($N46="","",IF(NOT(ISNUMBER($D46)),"",IF($D46&lt;InicioCiclo,"Antes del ciclo",IF($D46&gt;=InicioCiclo+28,"Después del ciclo","Semana "&amp;(INT(($D46-InicioCiclo)/7)+1)))))</f>
        <v/>
      </c>
      <c r="F46" s="61">
        <f>IF($N46="","",IF($P46&gt;0,IF(1&lt;=SemanaActual,INDEX('Cronograma R. Financiero'!$AH$5:$AH$1000,$N46),""),IF(INDEX('Cronograma R. Financiero'!$I$5:$I$1000,$N46)="","",INDEX('Cronograma R. Financiero'!$I$5:$I$1000,$N46))))</f>
        <v/>
      </c>
      <c r="G46" s="61">
        <f>IF($N46="","",IF($P46&gt;0,IF(2&lt;=SemanaActual,INDEX('Cronograma R. Financiero'!$AI$5:$AI$1000,$N46),""),IF(INDEX('Cronograma R. Financiero'!$J$5:$J$1000,$N46)="","",INDEX('Cronograma R. Financiero'!$J$5:$J$1000,$N46))))</f>
        <v/>
      </c>
      <c r="H46" s="61">
        <f>IF($N46="","",IF($P46&gt;0,IF(3&lt;=SemanaActual,INDEX('Cronograma R. Financiero'!$AJ$5:$AJ$1000,$N46),""),IF(INDEX('Cronograma R. Financiero'!$K$5:$K$1000,$N46)="","",INDEX('Cronograma R. Financiero'!$K$5:$K$1000,$N46))))</f>
        <v/>
      </c>
      <c r="I46" s="61">
        <f>IF($N46="","",IF($P46&gt;0,IF(4&lt;=SemanaActual,INDEX('Cronograma R. Financiero'!$AK$5:$AK$1000,$N46),""),IF(INDEX('Cronograma R. Financiero'!$L$5:$L$1000,$N46)="","",INDEX('Cronograma R. Financiero'!$L$5:$L$1000,$N46))))</f>
        <v/>
      </c>
      <c r="J46" s="61">
        <f>IF($N46="","",INDEX('Cronograma R. Financiero'!$M$5:$M$1000,$N46))</f>
        <v/>
      </c>
      <c r="K46" s="56">
        <f>IF($N46="","",IF(N($J46)&gt;=1,"Completado",IF(AND(ISNUMBER($D46),$D46&lt;FechaRef),"Vencida",IF(N($J46)&gt;0,"En curso","Pendiente"))))</f>
        <v/>
      </c>
      <c r="L46" s="56">
        <f>IF($N46="","",INDEX('Cronograma R. Financiero'!$O$5:$O$1000,$N46)&amp;"")</f>
        <v/>
      </c>
      <c r="M46" s="62">
        <f>IF($N46="","",INDEX('Cronograma R. Financiero'!$Q$5:$Q$1000,$N46)&amp;"")</f>
        <v/>
      </c>
      <c r="N46">
        <f>IFERROR(MATCH(ROW()-4,rOrden_RF,0),"")</f>
        <v/>
      </c>
      <c r="O46">
        <f>IF($N46="","",INDEX('Cronograma R. Financiero'!$V$5:$V$1000,$N46))</f>
        <v/>
      </c>
      <c r="P46">
        <f>IF($N46="","",N(INDEX('Cronograma R. Financiero'!$W$5:$W$1000,$N46)))</f>
        <v/>
      </c>
      <c r="Q46">
        <f>IF(OR(LEFT($L46,7)="Vencida",LEFT($L46,5)="Vence"),SUMPRODUCT(--(LEFT($L$5:$L46,7)="Vencida"))+SUMPRODUCT(--(LEFT($L$5:$L46,5)="Vence")),"")</f>
        <v/>
      </c>
    </row>
    <row r="47">
      <c r="A47" s="56">
        <f>IF($N47="","",INDEX('Cronograma R. Financiero'!$A$5:$A$1000,$N47))</f>
        <v/>
      </c>
      <c r="B47" s="62">
        <f>IF($N47="","",IF($O47="Sub","      ↳  "&amp;INDEX('Cronograma R. Financiero'!$C$5:$C$1000,$N47),INDEX('Cronograma R. Financiero'!$C$5:$C$1000,$N47)&amp;""))</f>
        <v/>
      </c>
      <c r="C47" s="79">
        <f>IF($N47="","",IF(INDEX('Cronograma R. Financiero'!$AR$5:$AR$1000,$N47)="","",INDEX('Cronograma R. Financiero'!$AR$5:$AR$1000,$N47)))</f>
        <v/>
      </c>
      <c r="D47" s="79">
        <f>IF($N47="","",IF(INDEX('Cronograma R. Financiero'!$AS$5:$AS$1000,$N47)="","",INDEX('Cronograma R. Financiero'!$AS$5:$AS$1000,$N47)))</f>
        <v/>
      </c>
      <c r="E47" s="56">
        <f>IF($N47="","",IF(NOT(ISNUMBER($D47)),"",IF($D47&lt;InicioCiclo,"Antes del ciclo",IF($D47&gt;=InicioCiclo+28,"Después del ciclo","Semana "&amp;(INT(($D47-InicioCiclo)/7)+1)))))</f>
        <v/>
      </c>
      <c r="F47" s="61">
        <f>IF($N47="","",IF($P47&gt;0,IF(1&lt;=SemanaActual,INDEX('Cronograma R. Financiero'!$AH$5:$AH$1000,$N47),""),IF(INDEX('Cronograma R. Financiero'!$I$5:$I$1000,$N47)="","",INDEX('Cronograma R. Financiero'!$I$5:$I$1000,$N47))))</f>
        <v/>
      </c>
      <c r="G47" s="61">
        <f>IF($N47="","",IF($P47&gt;0,IF(2&lt;=SemanaActual,INDEX('Cronograma R. Financiero'!$AI$5:$AI$1000,$N47),""),IF(INDEX('Cronograma R. Financiero'!$J$5:$J$1000,$N47)="","",INDEX('Cronograma R. Financiero'!$J$5:$J$1000,$N47))))</f>
        <v/>
      </c>
      <c r="H47" s="61">
        <f>IF($N47="","",IF($P47&gt;0,IF(3&lt;=SemanaActual,INDEX('Cronograma R. Financiero'!$AJ$5:$AJ$1000,$N47),""),IF(INDEX('Cronograma R. Financiero'!$K$5:$K$1000,$N47)="","",INDEX('Cronograma R. Financiero'!$K$5:$K$1000,$N47))))</f>
        <v/>
      </c>
      <c r="I47" s="61">
        <f>IF($N47="","",IF($P47&gt;0,IF(4&lt;=SemanaActual,INDEX('Cronograma R. Financiero'!$AK$5:$AK$1000,$N47),""),IF(INDEX('Cronograma R. Financiero'!$L$5:$L$1000,$N47)="","",INDEX('Cronograma R. Financiero'!$L$5:$L$1000,$N47))))</f>
        <v/>
      </c>
      <c r="J47" s="61">
        <f>IF($N47="","",INDEX('Cronograma R. Financiero'!$M$5:$M$1000,$N47))</f>
        <v/>
      </c>
      <c r="K47" s="56">
        <f>IF($N47="","",IF(N($J47)&gt;=1,"Completado",IF(AND(ISNUMBER($D47),$D47&lt;FechaRef),"Vencida",IF(N($J47)&gt;0,"En curso","Pendiente"))))</f>
        <v/>
      </c>
      <c r="L47" s="56">
        <f>IF($N47="","",INDEX('Cronograma R. Financiero'!$O$5:$O$1000,$N47)&amp;"")</f>
        <v/>
      </c>
      <c r="M47" s="62">
        <f>IF($N47="","",INDEX('Cronograma R. Financiero'!$Q$5:$Q$1000,$N47)&amp;"")</f>
        <v/>
      </c>
      <c r="N47">
        <f>IFERROR(MATCH(ROW()-4,rOrden_RF,0),"")</f>
        <v/>
      </c>
      <c r="O47">
        <f>IF($N47="","",INDEX('Cronograma R. Financiero'!$V$5:$V$1000,$N47))</f>
        <v/>
      </c>
      <c r="P47">
        <f>IF($N47="","",N(INDEX('Cronograma R. Financiero'!$W$5:$W$1000,$N47)))</f>
        <v/>
      </c>
      <c r="Q47">
        <f>IF(OR(LEFT($L47,7)="Vencida",LEFT($L47,5)="Vence"),SUMPRODUCT(--(LEFT($L$5:$L47,7)="Vencida"))+SUMPRODUCT(--(LEFT($L$5:$L47,5)="Vence")),"")</f>
        <v/>
      </c>
    </row>
    <row r="48">
      <c r="A48" s="56">
        <f>IF($N48="","",INDEX('Cronograma R. Financiero'!$A$5:$A$1000,$N48))</f>
        <v/>
      </c>
      <c r="B48" s="62">
        <f>IF($N48="","",IF($O48="Sub","      ↳  "&amp;INDEX('Cronograma R. Financiero'!$C$5:$C$1000,$N48),INDEX('Cronograma R. Financiero'!$C$5:$C$1000,$N48)&amp;""))</f>
        <v/>
      </c>
      <c r="C48" s="79">
        <f>IF($N48="","",IF(INDEX('Cronograma R. Financiero'!$AR$5:$AR$1000,$N48)="","",INDEX('Cronograma R. Financiero'!$AR$5:$AR$1000,$N48)))</f>
        <v/>
      </c>
      <c r="D48" s="79">
        <f>IF($N48="","",IF(INDEX('Cronograma R. Financiero'!$AS$5:$AS$1000,$N48)="","",INDEX('Cronograma R. Financiero'!$AS$5:$AS$1000,$N48)))</f>
        <v/>
      </c>
      <c r="E48" s="56">
        <f>IF($N48="","",IF(NOT(ISNUMBER($D48)),"",IF($D48&lt;InicioCiclo,"Antes del ciclo",IF($D48&gt;=InicioCiclo+28,"Después del ciclo","Semana "&amp;(INT(($D48-InicioCiclo)/7)+1)))))</f>
        <v/>
      </c>
      <c r="F48" s="61">
        <f>IF($N48="","",IF($P48&gt;0,IF(1&lt;=SemanaActual,INDEX('Cronograma R. Financiero'!$AH$5:$AH$1000,$N48),""),IF(INDEX('Cronograma R. Financiero'!$I$5:$I$1000,$N48)="","",INDEX('Cronograma R. Financiero'!$I$5:$I$1000,$N48))))</f>
        <v/>
      </c>
      <c r="G48" s="61">
        <f>IF($N48="","",IF($P48&gt;0,IF(2&lt;=SemanaActual,INDEX('Cronograma R. Financiero'!$AI$5:$AI$1000,$N48),""),IF(INDEX('Cronograma R. Financiero'!$J$5:$J$1000,$N48)="","",INDEX('Cronograma R. Financiero'!$J$5:$J$1000,$N48))))</f>
        <v/>
      </c>
      <c r="H48" s="61">
        <f>IF($N48="","",IF($P48&gt;0,IF(3&lt;=SemanaActual,INDEX('Cronograma R. Financiero'!$AJ$5:$AJ$1000,$N48),""),IF(INDEX('Cronograma R. Financiero'!$K$5:$K$1000,$N48)="","",INDEX('Cronograma R. Financiero'!$K$5:$K$1000,$N48))))</f>
        <v/>
      </c>
      <c r="I48" s="61">
        <f>IF($N48="","",IF($P48&gt;0,IF(4&lt;=SemanaActual,INDEX('Cronograma R. Financiero'!$AK$5:$AK$1000,$N48),""),IF(INDEX('Cronograma R. Financiero'!$L$5:$L$1000,$N48)="","",INDEX('Cronograma R. Financiero'!$L$5:$L$1000,$N48))))</f>
        <v/>
      </c>
      <c r="J48" s="61">
        <f>IF($N48="","",INDEX('Cronograma R. Financiero'!$M$5:$M$1000,$N48))</f>
        <v/>
      </c>
      <c r="K48" s="56">
        <f>IF($N48="","",IF(N($J48)&gt;=1,"Completado",IF(AND(ISNUMBER($D48),$D48&lt;FechaRef),"Vencida",IF(N($J48)&gt;0,"En curso","Pendiente"))))</f>
        <v/>
      </c>
      <c r="L48" s="56">
        <f>IF($N48="","",INDEX('Cronograma R. Financiero'!$O$5:$O$1000,$N48)&amp;"")</f>
        <v/>
      </c>
      <c r="M48" s="62">
        <f>IF($N48="","",INDEX('Cronograma R. Financiero'!$Q$5:$Q$1000,$N48)&amp;"")</f>
        <v/>
      </c>
      <c r="N48">
        <f>IFERROR(MATCH(ROW()-4,rOrden_RF,0),"")</f>
        <v/>
      </c>
      <c r="O48">
        <f>IF($N48="","",INDEX('Cronograma R. Financiero'!$V$5:$V$1000,$N48))</f>
        <v/>
      </c>
      <c r="P48">
        <f>IF($N48="","",N(INDEX('Cronograma R. Financiero'!$W$5:$W$1000,$N48)))</f>
        <v/>
      </c>
      <c r="Q48">
        <f>IF(OR(LEFT($L48,7)="Vencida",LEFT($L48,5)="Vence"),SUMPRODUCT(--(LEFT($L$5:$L48,7)="Vencida"))+SUMPRODUCT(--(LEFT($L$5:$L48,5)="Vence")),"")</f>
        <v/>
      </c>
    </row>
    <row r="49">
      <c r="A49" s="56">
        <f>IF($N49="","",INDEX('Cronograma R. Financiero'!$A$5:$A$1000,$N49))</f>
        <v/>
      </c>
      <c r="B49" s="62">
        <f>IF($N49="","",IF($O49="Sub","      ↳  "&amp;INDEX('Cronograma R. Financiero'!$C$5:$C$1000,$N49),INDEX('Cronograma R. Financiero'!$C$5:$C$1000,$N49)&amp;""))</f>
        <v/>
      </c>
      <c r="C49" s="79">
        <f>IF($N49="","",IF(INDEX('Cronograma R. Financiero'!$AR$5:$AR$1000,$N49)="","",INDEX('Cronograma R. Financiero'!$AR$5:$AR$1000,$N49)))</f>
        <v/>
      </c>
      <c r="D49" s="79">
        <f>IF($N49="","",IF(INDEX('Cronograma R. Financiero'!$AS$5:$AS$1000,$N49)="","",INDEX('Cronograma R. Financiero'!$AS$5:$AS$1000,$N49)))</f>
        <v/>
      </c>
      <c r="E49" s="56">
        <f>IF($N49="","",IF(NOT(ISNUMBER($D49)),"",IF($D49&lt;InicioCiclo,"Antes del ciclo",IF($D49&gt;=InicioCiclo+28,"Después del ciclo","Semana "&amp;(INT(($D49-InicioCiclo)/7)+1)))))</f>
        <v/>
      </c>
      <c r="F49" s="61">
        <f>IF($N49="","",IF($P49&gt;0,IF(1&lt;=SemanaActual,INDEX('Cronograma R. Financiero'!$AH$5:$AH$1000,$N49),""),IF(INDEX('Cronograma R. Financiero'!$I$5:$I$1000,$N49)="","",INDEX('Cronograma R. Financiero'!$I$5:$I$1000,$N49))))</f>
        <v/>
      </c>
      <c r="G49" s="61">
        <f>IF($N49="","",IF($P49&gt;0,IF(2&lt;=SemanaActual,INDEX('Cronograma R. Financiero'!$AI$5:$AI$1000,$N49),""),IF(INDEX('Cronograma R. Financiero'!$J$5:$J$1000,$N49)="","",INDEX('Cronograma R. Financiero'!$J$5:$J$1000,$N49))))</f>
        <v/>
      </c>
      <c r="H49" s="61">
        <f>IF($N49="","",IF($P49&gt;0,IF(3&lt;=SemanaActual,INDEX('Cronograma R. Financiero'!$AJ$5:$AJ$1000,$N49),""),IF(INDEX('Cronograma R. Financiero'!$K$5:$K$1000,$N49)="","",INDEX('Cronograma R. Financiero'!$K$5:$K$1000,$N49))))</f>
        <v/>
      </c>
      <c r="I49" s="61">
        <f>IF($N49="","",IF($P49&gt;0,IF(4&lt;=SemanaActual,INDEX('Cronograma R. Financiero'!$AK$5:$AK$1000,$N49),""),IF(INDEX('Cronograma R. Financiero'!$L$5:$L$1000,$N49)="","",INDEX('Cronograma R. Financiero'!$L$5:$L$1000,$N49))))</f>
        <v/>
      </c>
      <c r="J49" s="61">
        <f>IF($N49="","",INDEX('Cronograma R. Financiero'!$M$5:$M$1000,$N49))</f>
        <v/>
      </c>
      <c r="K49" s="56">
        <f>IF($N49="","",IF(N($J49)&gt;=1,"Completado",IF(AND(ISNUMBER($D49),$D49&lt;FechaRef),"Vencida",IF(N($J49)&gt;0,"En curso","Pendiente"))))</f>
        <v/>
      </c>
      <c r="L49" s="56">
        <f>IF($N49="","",INDEX('Cronograma R. Financiero'!$O$5:$O$1000,$N49)&amp;"")</f>
        <v/>
      </c>
      <c r="M49" s="62">
        <f>IF($N49="","",INDEX('Cronograma R. Financiero'!$Q$5:$Q$1000,$N49)&amp;"")</f>
        <v/>
      </c>
      <c r="N49">
        <f>IFERROR(MATCH(ROW()-4,rOrden_RF,0),"")</f>
        <v/>
      </c>
      <c r="O49">
        <f>IF($N49="","",INDEX('Cronograma R. Financiero'!$V$5:$V$1000,$N49))</f>
        <v/>
      </c>
      <c r="P49">
        <f>IF($N49="","",N(INDEX('Cronograma R. Financiero'!$W$5:$W$1000,$N49)))</f>
        <v/>
      </c>
      <c r="Q49">
        <f>IF(OR(LEFT($L49,7)="Vencida",LEFT($L49,5)="Vence"),SUMPRODUCT(--(LEFT($L$5:$L49,7)="Vencida"))+SUMPRODUCT(--(LEFT($L$5:$L49,5)="Vence")),"")</f>
        <v/>
      </c>
    </row>
    <row r="50">
      <c r="A50" s="56">
        <f>IF($N50="","",INDEX('Cronograma R. Financiero'!$A$5:$A$1000,$N50))</f>
        <v/>
      </c>
      <c r="B50" s="62">
        <f>IF($N50="","",IF($O50="Sub","      ↳  "&amp;INDEX('Cronograma R. Financiero'!$C$5:$C$1000,$N50),INDEX('Cronograma R. Financiero'!$C$5:$C$1000,$N50)&amp;""))</f>
        <v/>
      </c>
      <c r="C50" s="79">
        <f>IF($N50="","",IF(INDEX('Cronograma R. Financiero'!$AR$5:$AR$1000,$N50)="","",INDEX('Cronograma R. Financiero'!$AR$5:$AR$1000,$N50)))</f>
        <v/>
      </c>
      <c r="D50" s="79">
        <f>IF($N50="","",IF(INDEX('Cronograma R. Financiero'!$AS$5:$AS$1000,$N50)="","",INDEX('Cronograma R. Financiero'!$AS$5:$AS$1000,$N50)))</f>
        <v/>
      </c>
      <c r="E50" s="56">
        <f>IF($N50="","",IF(NOT(ISNUMBER($D50)),"",IF($D50&lt;InicioCiclo,"Antes del ciclo",IF($D50&gt;=InicioCiclo+28,"Después del ciclo","Semana "&amp;(INT(($D50-InicioCiclo)/7)+1)))))</f>
        <v/>
      </c>
      <c r="F50" s="61">
        <f>IF($N50="","",IF($P50&gt;0,IF(1&lt;=SemanaActual,INDEX('Cronograma R. Financiero'!$AH$5:$AH$1000,$N50),""),IF(INDEX('Cronograma R. Financiero'!$I$5:$I$1000,$N50)="","",INDEX('Cronograma R. Financiero'!$I$5:$I$1000,$N50))))</f>
        <v/>
      </c>
      <c r="G50" s="61">
        <f>IF($N50="","",IF($P50&gt;0,IF(2&lt;=SemanaActual,INDEX('Cronograma R. Financiero'!$AI$5:$AI$1000,$N50),""),IF(INDEX('Cronograma R. Financiero'!$J$5:$J$1000,$N50)="","",INDEX('Cronograma R. Financiero'!$J$5:$J$1000,$N50))))</f>
        <v/>
      </c>
      <c r="H50" s="61">
        <f>IF($N50="","",IF($P50&gt;0,IF(3&lt;=SemanaActual,INDEX('Cronograma R. Financiero'!$AJ$5:$AJ$1000,$N50),""),IF(INDEX('Cronograma R. Financiero'!$K$5:$K$1000,$N50)="","",INDEX('Cronograma R. Financiero'!$K$5:$K$1000,$N50))))</f>
        <v/>
      </c>
      <c r="I50" s="61">
        <f>IF($N50="","",IF($P50&gt;0,IF(4&lt;=SemanaActual,INDEX('Cronograma R. Financiero'!$AK$5:$AK$1000,$N50),""),IF(INDEX('Cronograma R. Financiero'!$L$5:$L$1000,$N50)="","",INDEX('Cronograma R. Financiero'!$L$5:$L$1000,$N50))))</f>
        <v/>
      </c>
      <c r="J50" s="61">
        <f>IF($N50="","",INDEX('Cronograma R. Financiero'!$M$5:$M$1000,$N50))</f>
        <v/>
      </c>
      <c r="K50" s="56">
        <f>IF($N50="","",IF(N($J50)&gt;=1,"Completado",IF(AND(ISNUMBER($D50),$D50&lt;FechaRef),"Vencida",IF(N($J50)&gt;0,"En curso","Pendiente"))))</f>
        <v/>
      </c>
      <c r="L50" s="56">
        <f>IF($N50="","",INDEX('Cronograma R. Financiero'!$O$5:$O$1000,$N50)&amp;"")</f>
        <v/>
      </c>
      <c r="M50" s="62">
        <f>IF($N50="","",INDEX('Cronograma R. Financiero'!$Q$5:$Q$1000,$N50)&amp;"")</f>
        <v/>
      </c>
      <c r="N50">
        <f>IFERROR(MATCH(ROW()-4,rOrden_RF,0),"")</f>
        <v/>
      </c>
      <c r="O50">
        <f>IF($N50="","",INDEX('Cronograma R. Financiero'!$V$5:$V$1000,$N50))</f>
        <v/>
      </c>
      <c r="P50">
        <f>IF($N50="","",N(INDEX('Cronograma R. Financiero'!$W$5:$W$1000,$N50)))</f>
        <v/>
      </c>
      <c r="Q50">
        <f>IF(OR(LEFT($L50,7)="Vencida",LEFT($L50,5)="Vence"),SUMPRODUCT(--(LEFT($L$5:$L50,7)="Vencida"))+SUMPRODUCT(--(LEFT($L$5:$L50,5)="Vence")),"")</f>
        <v/>
      </c>
    </row>
    <row r="51">
      <c r="A51" s="56">
        <f>IF($N51="","",INDEX('Cronograma R. Financiero'!$A$5:$A$1000,$N51))</f>
        <v/>
      </c>
      <c r="B51" s="62">
        <f>IF($N51="","",IF($O51="Sub","      ↳  "&amp;INDEX('Cronograma R. Financiero'!$C$5:$C$1000,$N51),INDEX('Cronograma R. Financiero'!$C$5:$C$1000,$N51)&amp;""))</f>
        <v/>
      </c>
      <c r="C51" s="79">
        <f>IF($N51="","",IF(INDEX('Cronograma R. Financiero'!$AR$5:$AR$1000,$N51)="","",INDEX('Cronograma R. Financiero'!$AR$5:$AR$1000,$N51)))</f>
        <v/>
      </c>
      <c r="D51" s="79">
        <f>IF($N51="","",IF(INDEX('Cronograma R. Financiero'!$AS$5:$AS$1000,$N51)="","",INDEX('Cronograma R. Financiero'!$AS$5:$AS$1000,$N51)))</f>
        <v/>
      </c>
      <c r="E51" s="56">
        <f>IF($N51="","",IF(NOT(ISNUMBER($D51)),"",IF($D51&lt;InicioCiclo,"Antes del ciclo",IF($D51&gt;=InicioCiclo+28,"Después del ciclo","Semana "&amp;(INT(($D51-InicioCiclo)/7)+1)))))</f>
        <v/>
      </c>
      <c r="F51" s="61">
        <f>IF($N51="","",IF($P51&gt;0,IF(1&lt;=SemanaActual,INDEX('Cronograma R. Financiero'!$AH$5:$AH$1000,$N51),""),IF(INDEX('Cronograma R. Financiero'!$I$5:$I$1000,$N51)="","",INDEX('Cronograma R. Financiero'!$I$5:$I$1000,$N51))))</f>
        <v/>
      </c>
      <c r="G51" s="61">
        <f>IF($N51="","",IF($P51&gt;0,IF(2&lt;=SemanaActual,INDEX('Cronograma R. Financiero'!$AI$5:$AI$1000,$N51),""),IF(INDEX('Cronograma R. Financiero'!$J$5:$J$1000,$N51)="","",INDEX('Cronograma R. Financiero'!$J$5:$J$1000,$N51))))</f>
        <v/>
      </c>
      <c r="H51" s="61">
        <f>IF($N51="","",IF($P51&gt;0,IF(3&lt;=SemanaActual,INDEX('Cronograma R. Financiero'!$AJ$5:$AJ$1000,$N51),""),IF(INDEX('Cronograma R. Financiero'!$K$5:$K$1000,$N51)="","",INDEX('Cronograma R. Financiero'!$K$5:$K$1000,$N51))))</f>
        <v/>
      </c>
      <c r="I51" s="61">
        <f>IF($N51="","",IF($P51&gt;0,IF(4&lt;=SemanaActual,INDEX('Cronograma R. Financiero'!$AK$5:$AK$1000,$N51),""),IF(INDEX('Cronograma R. Financiero'!$L$5:$L$1000,$N51)="","",INDEX('Cronograma R. Financiero'!$L$5:$L$1000,$N51))))</f>
        <v/>
      </c>
      <c r="J51" s="61">
        <f>IF($N51="","",INDEX('Cronograma R. Financiero'!$M$5:$M$1000,$N51))</f>
        <v/>
      </c>
      <c r="K51" s="56">
        <f>IF($N51="","",IF(N($J51)&gt;=1,"Completado",IF(AND(ISNUMBER($D51),$D51&lt;FechaRef),"Vencida",IF(N($J51)&gt;0,"En curso","Pendiente"))))</f>
        <v/>
      </c>
      <c r="L51" s="56">
        <f>IF($N51="","",INDEX('Cronograma R. Financiero'!$O$5:$O$1000,$N51)&amp;"")</f>
        <v/>
      </c>
      <c r="M51" s="62">
        <f>IF($N51="","",INDEX('Cronograma R. Financiero'!$Q$5:$Q$1000,$N51)&amp;"")</f>
        <v/>
      </c>
      <c r="N51">
        <f>IFERROR(MATCH(ROW()-4,rOrden_RF,0),"")</f>
        <v/>
      </c>
      <c r="O51">
        <f>IF($N51="","",INDEX('Cronograma R. Financiero'!$V$5:$V$1000,$N51))</f>
        <v/>
      </c>
      <c r="P51">
        <f>IF($N51="","",N(INDEX('Cronograma R. Financiero'!$W$5:$W$1000,$N51)))</f>
        <v/>
      </c>
      <c r="Q51">
        <f>IF(OR(LEFT($L51,7)="Vencida",LEFT($L51,5)="Vence"),SUMPRODUCT(--(LEFT($L$5:$L51,7)="Vencida"))+SUMPRODUCT(--(LEFT($L$5:$L51,5)="Vence")),"")</f>
        <v/>
      </c>
    </row>
    <row r="52">
      <c r="A52" s="56">
        <f>IF($N52="","",INDEX('Cronograma R. Financiero'!$A$5:$A$1000,$N52))</f>
        <v/>
      </c>
      <c r="B52" s="62">
        <f>IF($N52="","",IF($O52="Sub","      ↳  "&amp;INDEX('Cronograma R. Financiero'!$C$5:$C$1000,$N52),INDEX('Cronograma R. Financiero'!$C$5:$C$1000,$N52)&amp;""))</f>
        <v/>
      </c>
      <c r="C52" s="79">
        <f>IF($N52="","",IF(INDEX('Cronograma R. Financiero'!$AR$5:$AR$1000,$N52)="","",INDEX('Cronograma R. Financiero'!$AR$5:$AR$1000,$N52)))</f>
        <v/>
      </c>
      <c r="D52" s="79">
        <f>IF($N52="","",IF(INDEX('Cronograma R. Financiero'!$AS$5:$AS$1000,$N52)="","",INDEX('Cronograma R. Financiero'!$AS$5:$AS$1000,$N52)))</f>
        <v/>
      </c>
      <c r="E52" s="56">
        <f>IF($N52="","",IF(NOT(ISNUMBER($D52)),"",IF($D52&lt;InicioCiclo,"Antes del ciclo",IF($D52&gt;=InicioCiclo+28,"Después del ciclo","Semana "&amp;(INT(($D52-InicioCiclo)/7)+1)))))</f>
        <v/>
      </c>
      <c r="F52" s="61">
        <f>IF($N52="","",IF($P52&gt;0,IF(1&lt;=SemanaActual,INDEX('Cronograma R. Financiero'!$AH$5:$AH$1000,$N52),""),IF(INDEX('Cronograma R. Financiero'!$I$5:$I$1000,$N52)="","",INDEX('Cronograma R. Financiero'!$I$5:$I$1000,$N52))))</f>
        <v/>
      </c>
      <c r="G52" s="61">
        <f>IF($N52="","",IF($P52&gt;0,IF(2&lt;=SemanaActual,INDEX('Cronograma R. Financiero'!$AI$5:$AI$1000,$N52),""),IF(INDEX('Cronograma R. Financiero'!$J$5:$J$1000,$N52)="","",INDEX('Cronograma R. Financiero'!$J$5:$J$1000,$N52))))</f>
        <v/>
      </c>
      <c r="H52" s="61">
        <f>IF($N52="","",IF($P52&gt;0,IF(3&lt;=SemanaActual,INDEX('Cronograma R. Financiero'!$AJ$5:$AJ$1000,$N52),""),IF(INDEX('Cronograma R. Financiero'!$K$5:$K$1000,$N52)="","",INDEX('Cronograma R. Financiero'!$K$5:$K$1000,$N52))))</f>
        <v/>
      </c>
      <c r="I52" s="61">
        <f>IF($N52="","",IF($P52&gt;0,IF(4&lt;=SemanaActual,INDEX('Cronograma R. Financiero'!$AK$5:$AK$1000,$N52),""),IF(INDEX('Cronograma R. Financiero'!$L$5:$L$1000,$N52)="","",INDEX('Cronograma R. Financiero'!$L$5:$L$1000,$N52))))</f>
        <v/>
      </c>
      <c r="J52" s="61">
        <f>IF($N52="","",INDEX('Cronograma R. Financiero'!$M$5:$M$1000,$N52))</f>
        <v/>
      </c>
      <c r="K52" s="56">
        <f>IF($N52="","",IF(N($J52)&gt;=1,"Completado",IF(AND(ISNUMBER($D52),$D52&lt;FechaRef),"Vencida",IF(N($J52)&gt;0,"En curso","Pendiente"))))</f>
        <v/>
      </c>
      <c r="L52" s="56">
        <f>IF($N52="","",INDEX('Cronograma R. Financiero'!$O$5:$O$1000,$N52)&amp;"")</f>
        <v/>
      </c>
      <c r="M52" s="62">
        <f>IF($N52="","",INDEX('Cronograma R. Financiero'!$Q$5:$Q$1000,$N52)&amp;"")</f>
        <v/>
      </c>
      <c r="N52">
        <f>IFERROR(MATCH(ROW()-4,rOrden_RF,0),"")</f>
        <v/>
      </c>
      <c r="O52">
        <f>IF($N52="","",INDEX('Cronograma R. Financiero'!$V$5:$V$1000,$N52))</f>
        <v/>
      </c>
      <c r="P52">
        <f>IF($N52="","",N(INDEX('Cronograma R. Financiero'!$W$5:$W$1000,$N52)))</f>
        <v/>
      </c>
      <c r="Q52">
        <f>IF(OR(LEFT($L52,7)="Vencida",LEFT($L52,5)="Vence"),SUMPRODUCT(--(LEFT($L$5:$L52,7)="Vencida"))+SUMPRODUCT(--(LEFT($L$5:$L52,5)="Vence")),"")</f>
        <v/>
      </c>
    </row>
    <row r="53">
      <c r="A53" s="56">
        <f>IF($N53="","",INDEX('Cronograma R. Financiero'!$A$5:$A$1000,$N53))</f>
        <v/>
      </c>
      <c r="B53" s="62">
        <f>IF($N53="","",IF($O53="Sub","      ↳  "&amp;INDEX('Cronograma R. Financiero'!$C$5:$C$1000,$N53),INDEX('Cronograma R. Financiero'!$C$5:$C$1000,$N53)&amp;""))</f>
        <v/>
      </c>
      <c r="C53" s="79">
        <f>IF($N53="","",IF(INDEX('Cronograma R. Financiero'!$AR$5:$AR$1000,$N53)="","",INDEX('Cronograma R. Financiero'!$AR$5:$AR$1000,$N53)))</f>
        <v/>
      </c>
      <c r="D53" s="79">
        <f>IF($N53="","",IF(INDEX('Cronograma R. Financiero'!$AS$5:$AS$1000,$N53)="","",INDEX('Cronograma R. Financiero'!$AS$5:$AS$1000,$N53)))</f>
        <v/>
      </c>
      <c r="E53" s="56">
        <f>IF($N53="","",IF(NOT(ISNUMBER($D53)),"",IF($D53&lt;InicioCiclo,"Antes del ciclo",IF($D53&gt;=InicioCiclo+28,"Después del ciclo","Semana "&amp;(INT(($D53-InicioCiclo)/7)+1)))))</f>
        <v/>
      </c>
      <c r="F53" s="61">
        <f>IF($N53="","",IF($P53&gt;0,IF(1&lt;=SemanaActual,INDEX('Cronograma R. Financiero'!$AH$5:$AH$1000,$N53),""),IF(INDEX('Cronograma R. Financiero'!$I$5:$I$1000,$N53)="","",INDEX('Cronograma R. Financiero'!$I$5:$I$1000,$N53))))</f>
        <v/>
      </c>
      <c r="G53" s="61">
        <f>IF($N53="","",IF($P53&gt;0,IF(2&lt;=SemanaActual,INDEX('Cronograma R. Financiero'!$AI$5:$AI$1000,$N53),""),IF(INDEX('Cronograma R. Financiero'!$J$5:$J$1000,$N53)="","",INDEX('Cronograma R. Financiero'!$J$5:$J$1000,$N53))))</f>
        <v/>
      </c>
      <c r="H53" s="61">
        <f>IF($N53="","",IF($P53&gt;0,IF(3&lt;=SemanaActual,INDEX('Cronograma R. Financiero'!$AJ$5:$AJ$1000,$N53),""),IF(INDEX('Cronograma R. Financiero'!$K$5:$K$1000,$N53)="","",INDEX('Cronograma R. Financiero'!$K$5:$K$1000,$N53))))</f>
        <v/>
      </c>
      <c r="I53" s="61">
        <f>IF($N53="","",IF($P53&gt;0,IF(4&lt;=SemanaActual,INDEX('Cronograma R. Financiero'!$AK$5:$AK$1000,$N53),""),IF(INDEX('Cronograma R. Financiero'!$L$5:$L$1000,$N53)="","",INDEX('Cronograma R. Financiero'!$L$5:$L$1000,$N53))))</f>
        <v/>
      </c>
      <c r="J53" s="61">
        <f>IF($N53="","",INDEX('Cronograma R. Financiero'!$M$5:$M$1000,$N53))</f>
        <v/>
      </c>
      <c r="K53" s="56">
        <f>IF($N53="","",IF(N($J53)&gt;=1,"Completado",IF(AND(ISNUMBER($D53),$D53&lt;FechaRef),"Vencida",IF(N($J53)&gt;0,"En curso","Pendiente"))))</f>
        <v/>
      </c>
      <c r="L53" s="56">
        <f>IF($N53="","",INDEX('Cronograma R. Financiero'!$O$5:$O$1000,$N53)&amp;"")</f>
        <v/>
      </c>
      <c r="M53" s="62">
        <f>IF($N53="","",INDEX('Cronograma R. Financiero'!$Q$5:$Q$1000,$N53)&amp;"")</f>
        <v/>
      </c>
      <c r="N53">
        <f>IFERROR(MATCH(ROW()-4,rOrden_RF,0),"")</f>
        <v/>
      </c>
      <c r="O53">
        <f>IF($N53="","",INDEX('Cronograma R. Financiero'!$V$5:$V$1000,$N53))</f>
        <v/>
      </c>
      <c r="P53">
        <f>IF($N53="","",N(INDEX('Cronograma R. Financiero'!$W$5:$W$1000,$N53)))</f>
        <v/>
      </c>
      <c r="Q53">
        <f>IF(OR(LEFT($L53,7)="Vencida",LEFT($L53,5)="Vence"),SUMPRODUCT(--(LEFT($L$5:$L53,7)="Vencida"))+SUMPRODUCT(--(LEFT($L$5:$L53,5)="Vence")),"")</f>
        <v/>
      </c>
    </row>
    <row r="54">
      <c r="A54" s="56">
        <f>IF($N54="","",INDEX('Cronograma R. Financiero'!$A$5:$A$1000,$N54))</f>
        <v/>
      </c>
      <c r="B54" s="62">
        <f>IF($N54="","",IF($O54="Sub","      ↳  "&amp;INDEX('Cronograma R. Financiero'!$C$5:$C$1000,$N54),INDEX('Cronograma R. Financiero'!$C$5:$C$1000,$N54)&amp;""))</f>
        <v/>
      </c>
      <c r="C54" s="79">
        <f>IF($N54="","",IF(INDEX('Cronograma R. Financiero'!$AR$5:$AR$1000,$N54)="","",INDEX('Cronograma R. Financiero'!$AR$5:$AR$1000,$N54)))</f>
        <v/>
      </c>
      <c r="D54" s="79">
        <f>IF($N54="","",IF(INDEX('Cronograma R. Financiero'!$AS$5:$AS$1000,$N54)="","",INDEX('Cronograma R. Financiero'!$AS$5:$AS$1000,$N54)))</f>
        <v/>
      </c>
      <c r="E54" s="56">
        <f>IF($N54="","",IF(NOT(ISNUMBER($D54)),"",IF($D54&lt;InicioCiclo,"Antes del ciclo",IF($D54&gt;=InicioCiclo+28,"Después del ciclo","Semana "&amp;(INT(($D54-InicioCiclo)/7)+1)))))</f>
        <v/>
      </c>
      <c r="F54" s="61">
        <f>IF($N54="","",IF($P54&gt;0,IF(1&lt;=SemanaActual,INDEX('Cronograma R. Financiero'!$AH$5:$AH$1000,$N54),""),IF(INDEX('Cronograma R. Financiero'!$I$5:$I$1000,$N54)="","",INDEX('Cronograma R. Financiero'!$I$5:$I$1000,$N54))))</f>
        <v/>
      </c>
      <c r="G54" s="61">
        <f>IF($N54="","",IF($P54&gt;0,IF(2&lt;=SemanaActual,INDEX('Cronograma R. Financiero'!$AI$5:$AI$1000,$N54),""),IF(INDEX('Cronograma R. Financiero'!$J$5:$J$1000,$N54)="","",INDEX('Cronograma R. Financiero'!$J$5:$J$1000,$N54))))</f>
        <v/>
      </c>
      <c r="H54" s="61">
        <f>IF($N54="","",IF($P54&gt;0,IF(3&lt;=SemanaActual,INDEX('Cronograma R. Financiero'!$AJ$5:$AJ$1000,$N54),""),IF(INDEX('Cronograma R. Financiero'!$K$5:$K$1000,$N54)="","",INDEX('Cronograma R. Financiero'!$K$5:$K$1000,$N54))))</f>
        <v/>
      </c>
      <c r="I54" s="61">
        <f>IF($N54="","",IF($P54&gt;0,IF(4&lt;=SemanaActual,INDEX('Cronograma R. Financiero'!$AK$5:$AK$1000,$N54),""),IF(INDEX('Cronograma R. Financiero'!$L$5:$L$1000,$N54)="","",INDEX('Cronograma R. Financiero'!$L$5:$L$1000,$N54))))</f>
        <v/>
      </c>
      <c r="J54" s="61">
        <f>IF($N54="","",INDEX('Cronograma R. Financiero'!$M$5:$M$1000,$N54))</f>
        <v/>
      </c>
      <c r="K54" s="56">
        <f>IF($N54="","",IF(N($J54)&gt;=1,"Completado",IF(AND(ISNUMBER($D54),$D54&lt;FechaRef),"Vencida",IF(N($J54)&gt;0,"En curso","Pendiente"))))</f>
        <v/>
      </c>
      <c r="L54" s="56">
        <f>IF($N54="","",INDEX('Cronograma R. Financiero'!$O$5:$O$1000,$N54)&amp;"")</f>
        <v/>
      </c>
      <c r="M54" s="62">
        <f>IF($N54="","",INDEX('Cronograma R. Financiero'!$Q$5:$Q$1000,$N54)&amp;"")</f>
        <v/>
      </c>
      <c r="N54">
        <f>IFERROR(MATCH(ROW()-4,rOrden_RF,0),"")</f>
        <v/>
      </c>
      <c r="O54">
        <f>IF($N54="","",INDEX('Cronograma R. Financiero'!$V$5:$V$1000,$N54))</f>
        <v/>
      </c>
      <c r="P54">
        <f>IF($N54="","",N(INDEX('Cronograma R. Financiero'!$W$5:$W$1000,$N54)))</f>
        <v/>
      </c>
      <c r="Q54">
        <f>IF(OR(LEFT($L54,7)="Vencida",LEFT($L54,5)="Vence"),SUMPRODUCT(--(LEFT($L$5:$L54,7)="Vencida"))+SUMPRODUCT(--(LEFT($L$5:$L54,5)="Vence")),"")</f>
        <v/>
      </c>
    </row>
    <row r="55">
      <c r="A55" s="56">
        <f>IF($N55="","",INDEX('Cronograma R. Financiero'!$A$5:$A$1000,$N55))</f>
        <v/>
      </c>
      <c r="B55" s="62">
        <f>IF($N55="","",IF($O55="Sub","      ↳  "&amp;INDEX('Cronograma R. Financiero'!$C$5:$C$1000,$N55),INDEX('Cronograma R. Financiero'!$C$5:$C$1000,$N55)&amp;""))</f>
        <v/>
      </c>
      <c r="C55" s="79">
        <f>IF($N55="","",IF(INDEX('Cronograma R. Financiero'!$AR$5:$AR$1000,$N55)="","",INDEX('Cronograma R. Financiero'!$AR$5:$AR$1000,$N55)))</f>
        <v/>
      </c>
      <c r="D55" s="79">
        <f>IF($N55="","",IF(INDEX('Cronograma R. Financiero'!$AS$5:$AS$1000,$N55)="","",INDEX('Cronograma R. Financiero'!$AS$5:$AS$1000,$N55)))</f>
        <v/>
      </c>
      <c r="E55" s="56">
        <f>IF($N55="","",IF(NOT(ISNUMBER($D55)),"",IF($D55&lt;InicioCiclo,"Antes del ciclo",IF($D55&gt;=InicioCiclo+28,"Después del ciclo","Semana "&amp;(INT(($D55-InicioCiclo)/7)+1)))))</f>
        <v/>
      </c>
      <c r="F55" s="61">
        <f>IF($N55="","",IF($P55&gt;0,IF(1&lt;=SemanaActual,INDEX('Cronograma R. Financiero'!$AH$5:$AH$1000,$N55),""),IF(INDEX('Cronograma R. Financiero'!$I$5:$I$1000,$N55)="","",INDEX('Cronograma R. Financiero'!$I$5:$I$1000,$N55))))</f>
        <v/>
      </c>
      <c r="G55" s="61">
        <f>IF($N55="","",IF($P55&gt;0,IF(2&lt;=SemanaActual,INDEX('Cronograma R. Financiero'!$AI$5:$AI$1000,$N55),""),IF(INDEX('Cronograma R. Financiero'!$J$5:$J$1000,$N55)="","",INDEX('Cronograma R. Financiero'!$J$5:$J$1000,$N55))))</f>
        <v/>
      </c>
      <c r="H55" s="61">
        <f>IF($N55="","",IF($P55&gt;0,IF(3&lt;=SemanaActual,INDEX('Cronograma R. Financiero'!$AJ$5:$AJ$1000,$N55),""),IF(INDEX('Cronograma R. Financiero'!$K$5:$K$1000,$N55)="","",INDEX('Cronograma R. Financiero'!$K$5:$K$1000,$N55))))</f>
        <v/>
      </c>
      <c r="I55" s="61">
        <f>IF($N55="","",IF($P55&gt;0,IF(4&lt;=SemanaActual,INDEX('Cronograma R. Financiero'!$AK$5:$AK$1000,$N55),""),IF(INDEX('Cronograma R. Financiero'!$L$5:$L$1000,$N55)="","",INDEX('Cronograma R. Financiero'!$L$5:$L$1000,$N55))))</f>
        <v/>
      </c>
      <c r="J55" s="61">
        <f>IF($N55="","",INDEX('Cronograma R. Financiero'!$M$5:$M$1000,$N55))</f>
        <v/>
      </c>
      <c r="K55" s="56">
        <f>IF($N55="","",IF(N($J55)&gt;=1,"Completado",IF(AND(ISNUMBER($D55),$D55&lt;FechaRef),"Vencida",IF(N($J55)&gt;0,"En curso","Pendiente"))))</f>
        <v/>
      </c>
      <c r="L55" s="56">
        <f>IF($N55="","",INDEX('Cronograma R. Financiero'!$O$5:$O$1000,$N55)&amp;"")</f>
        <v/>
      </c>
      <c r="M55" s="62">
        <f>IF($N55="","",INDEX('Cronograma R. Financiero'!$Q$5:$Q$1000,$N55)&amp;"")</f>
        <v/>
      </c>
      <c r="N55">
        <f>IFERROR(MATCH(ROW()-4,rOrden_RF,0),"")</f>
        <v/>
      </c>
      <c r="O55">
        <f>IF($N55="","",INDEX('Cronograma R. Financiero'!$V$5:$V$1000,$N55))</f>
        <v/>
      </c>
      <c r="P55">
        <f>IF($N55="","",N(INDEX('Cronograma R. Financiero'!$W$5:$W$1000,$N55)))</f>
        <v/>
      </c>
      <c r="Q55">
        <f>IF(OR(LEFT($L55,7)="Vencida",LEFT($L55,5)="Vence"),SUMPRODUCT(--(LEFT($L$5:$L55,7)="Vencida"))+SUMPRODUCT(--(LEFT($L$5:$L55,5)="Vence")),"")</f>
        <v/>
      </c>
    </row>
    <row r="56">
      <c r="A56" s="56">
        <f>IF($N56="","",INDEX('Cronograma R. Financiero'!$A$5:$A$1000,$N56))</f>
        <v/>
      </c>
      <c r="B56" s="62">
        <f>IF($N56="","",IF($O56="Sub","      ↳  "&amp;INDEX('Cronograma R. Financiero'!$C$5:$C$1000,$N56),INDEX('Cronograma R. Financiero'!$C$5:$C$1000,$N56)&amp;""))</f>
        <v/>
      </c>
      <c r="C56" s="79">
        <f>IF($N56="","",IF(INDEX('Cronograma R. Financiero'!$AR$5:$AR$1000,$N56)="","",INDEX('Cronograma R. Financiero'!$AR$5:$AR$1000,$N56)))</f>
        <v/>
      </c>
      <c r="D56" s="79">
        <f>IF($N56="","",IF(INDEX('Cronograma R. Financiero'!$AS$5:$AS$1000,$N56)="","",INDEX('Cronograma R. Financiero'!$AS$5:$AS$1000,$N56)))</f>
        <v/>
      </c>
      <c r="E56" s="56">
        <f>IF($N56="","",IF(NOT(ISNUMBER($D56)),"",IF($D56&lt;InicioCiclo,"Antes del ciclo",IF($D56&gt;=InicioCiclo+28,"Después del ciclo","Semana "&amp;(INT(($D56-InicioCiclo)/7)+1)))))</f>
        <v/>
      </c>
      <c r="F56" s="61">
        <f>IF($N56="","",IF($P56&gt;0,IF(1&lt;=SemanaActual,INDEX('Cronograma R. Financiero'!$AH$5:$AH$1000,$N56),""),IF(INDEX('Cronograma R. Financiero'!$I$5:$I$1000,$N56)="","",INDEX('Cronograma R. Financiero'!$I$5:$I$1000,$N56))))</f>
        <v/>
      </c>
      <c r="G56" s="61">
        <f>IF($N56="","",IF($P56&gt;0,IF(2&lt;=SemanaActual,INDEX('Cronograma R. Financiero'!$AI$5:$AI$1000,$N56),""),IF(INDEX('Cronograma R. Financiero'!$J$5:$J$1000,$N56)="","",INDEX('Cronograma R. Financiero'!$J$5:$J$1000,$N56))))</f>
        <v/>
      </c>
      <c r="H56" s="61">
        <f>IF($N56="","",IF($P56&gt;0,IF(3&lt;=SemanaActual,INDEX('Cronograma R. Financiero'!$AJ$5:$AJ$1000,$N56),""),IF(INDEX('Cronograma R. Financiero'!$K$5:$K$1000,$N56)="","",INDEX('Cronograma R. Financiero'!$K$5:$K$1000,$N56))))</f>
        <v/>
      </c>
      <c r="I56" s="61">
        <f>IF($N56="","",IF($P56&gt;0,IF(4&lt;=SemanaActual,INDEX('Cronograma R. Financiero'!$AK$5:$AK$1000,$N56),""),IF(INDEX('Cronograma R. Financiero'!$L$5:$L$1000,$N56)="","",INDEX('Cronograma R. Financiero'!$L$5:$L$1000,$N56))))</f>
        <v/>
      </c>
      <c r="J56" s="61">
        <f>IF($N56="","",INDEX('Cronograma R. Financiero'!$M$5:$M$1000,$N56))</f>
        <v/>
      </c>
      <c r="K56" s="56">
        <f>IF($N56="","",IF(N($J56)&gt;=1,"Completado",IF(AND(ISNUMBER($D56),$D56&lt;FechaRef),"Vencida",IF(N($J56)&gt;0,"En curso","Pendiente"))))</f>
        <v/>
      </c>
      <c r="L56" s="56">
        <f>IF($N56="","",INDEX('Cronograma R. Financiero'!$O$5:$O$1000,$N56)&amp;"")</f>
        <v/>
      </c>
      <c r="M56" s="62">
        <f>IF($N56="","",INDEX('Cronograma R. Financiero'!$Q$5:$Q$1000,$N56)&amp;"")</f>
        <v/>
      </c>
      <c r="N56">
        <f>IFERROR(MATCH(ROW()-4,rOrden_RF,0),"")</f>
        <v/>
      </c>
      <c r="O56">
        <f>IF($N56="","",INDEX('Cronograma R. Financiero'!$V$5:$V$1000,$N56))</f>
        <v/>
      </c>
      <c r="P56">
        <f>IF($N56="","",N(INDEX('Cronograma R. Financiero'!$W$5:$W$1000,$N56)))</f>
        <v/>
      </c>
      <c r="Q56">
        <f>IF(OR(LEFT($L56,7)="Vencida",LEFT($L56,5)="Vence"),SUMPRODUCT(--(LEFT($L$5:$L56,7)="Vencida"))+SUMPRODUCT(--(LEFT($L$5:$L56,5)="Vence")),"")</f>
        <v/>
      </c>
    </row>
    <row r="57">
      <c r="A57" s="56">
        <f>IF($N57="","",INDEX('Cronograma R. Financiero'!$A$5:$A$1000,$N57))</f>
        <v/>
      </c>
      <c r="B57" s="62">
        <f>IF($N57="","",IF($O57="Sub","      ↳  "&amp;INDEX('Cronograma R. Financiero'!$C$5:$C$1000,$N57),INDEX('Cronograma R. Financiero'!$C$5:$C$1000,$N57)&amp;""))</f>
        <v/>
      </c>
      <c r="C57" s="79">
        <f>IF($N57="","",IF(INDEX('Cronograma R. Financiero'!$AR$5:$AR$1000,$N57)="","",INDEX('Cronograma R. Financiero'!$AR$5:$AR$1000,$N57)))</f>
        <v/>
      </c>
      <c r="D57" s="79">
        <f>IF($N57="","",IF(INDEX('Cronograma R. Financiero'!$AS$5:$AS$1000,$N57)="","",INDEX('Cronograma R. Financiero'!$AS$5:$AS$1000,$N57)))</f>
        <v/>
      </c>
      <c r="E57" s="56">
        <f>IF($N57="","",IF(NOT(ISNUMBER($D57)),"",IF($D57&lt;InicioCiclo,"Antes del ciclo",IF($D57&gt;=InicioCiclo+28,"Después del ciclo","Semana "&amp;(INT(($D57-InicioCiclo)/7)+1)))))</f>
        <v/>
      </c>
      <c r="F57" s="61">
        <f>IF($N57="","",IF($P57&gt;0,IF(1&lt;=SemanaActual,INDEX('Cronograma R. Financiero'!$AH$5:$AH$1000,$N57),""),IF(INDEX('Cronograma R. Financiero'!$I$5:$I$1000,$N57)="","",INDEX('Cronograma R. Financiero'!$I$5:$I$1000,$N57))))</f>
        <v/>
      </c>
      <c r="G57" s="61">
        <f>IF($N57="","",IF($P57&gt;0,IF(2&lt;=SemanaActual,INDEX('Cronograma R. Financiero'!$AI$5:$AI$1000,$N57),""),IF(INDEX('Cronograma R. Financiero'!$J$5:$J$1000,$N57)="","",INDEX('Cronograma R. Financiero'!$J$5:$J$1000,$N57))))</f>
        <v/>
      </c>
      <c r="H57" s="61">
        <f>IF($N57="","",IF($P57&gt;0,IF(3&lt;=SemanaActual,INDEX('Cronograma R. Financiero'!$AJ$5:$AJ$1000,$N57),""),IF(INDEX('Cronograma R. Financiero'!$K$5:$K$1000,$N57)="","",INDEX('Cronograma R. Financiero'!$K$5:$K$1000,$N57))))</f>
        <v/>
      </c>
      <c r="I57" s="61">
        <f>IF($N57="","",IF($P57&gt;0,IF(4&lt;=SemanaActual,INDEX('Cronograma R. Financiero'!$AK$5:$AK$1000,$N57),""),IF(INDEX('Cronograma R. Financiero'!$L$5:$L$1000,$N57)="","",INDEX('Cronograma R. Financiero'!$L$5:$L$1000,$N57))))</f>
        <v/>
      </c>
      <c r="J57" s="61">
        <f>IF($N57="","",INDEX('Cronograma R. Financiero'!$M$5:$M$1000,$N57))</f>
        <v/>
      </c>
      <c r="K57" s="56">
        <f>IF($N57="","",IF(N($J57)&gt;=1,"Completado",IF(AND(ISNUMBER($D57),$D57&lt;FechaRef),"Vencida",IF(N($J57)&gt;0,"En curso","Pendiente"))))</f>
        <v/>
      </c>
      <c r="L57" s="56">
        <f>IF($N57="","",INDEX('Cronograma R. Financiero'!$O$5:$O$1000,$N57)&amp;"")</f>
        <v/>
      </c>
      <c r="M57" s="62">
        <f>IF($N57="","",INDEX('Cronograma R. Financiero'!$Q$5:$Q$1000,$N57)&amp;"")</f>
        <v/>
      </c>
      <c r="N57">
        <f>IFERROR(MATCH(ROW()-4,rOrden_RF,0),"")</f>
        <v/>
      </c>
      <c r="O57">
        <f>IF($N57="","",INDEX('Cronograma R. Financiero'!$V$5:$V$1000,$N57))</f>
        <v/>
      </c>
      <c r="P57">
        <f>IF($N57="","",N(INDEX('Cronograma R. Financiero'!$W$5:$W$1000,$N57)))</f>
        <v/>
      </c>
      <c r="Q57">
        <f>IF(OR(LEFT($L57,7)="Vencida",LEFT($L57,5)="Vence"),SUMPRODUCT(--(LEFT($L$5:$L57,7)="Vencida"))+SUMPRODUCT(--(LEFT($L$5:$L57,5)="Vence")),"")</f>
        <v/>
      </c>
    </row>
    <row r="58">
      <c r="A58" s="56">
        <f>IF($N58="","",INDEX('Cronograma R. Financiero'!$A$5:$A$1000,$N58))</f>
        <v/>
      </c>
      <c r="B58" s="62">
        <f>IF($N58="","",IF($O58="Sub","      ↳  "&amp;INDEX('Cronograma R. Financiero'!$C$5:$C$1000,$N58),INDEX('Cronograma R. Financiero'!$C$5:$C$1000,$N58)&amp;""))</f>
        <v/>
      </c>
      <c r="C58" s="79">
        <f>IF($N58="","",IF(INDEX('Cronograma R. Financiero'!$AR$5:$AR$1000,$N58)="","",INDEX('Cronograma R. Financiero'!$AR$5:$AR$1000,$N58)))</f>
        <v/>
      </c>
      <c r="D58" s="79">
        <f>IF($N58="","",IF(INDEX('Cronograma R. Financiero'!$AS$5:$AS$1000,$N58)="","",INDEX('Cronograma R. Financiero'!$AS$5:$AS$1000,$N58)))</f>
        <v/>
      </c>
      <c r="E58" s="56">
        <f>IF($N58="","",IF(NOT(ISNUMBER($D58)),"",IF($D58&lt;InicioCiclo,"Antes del ciclo",IF($D58&gt;=InicioCiclo+28,"Después del ciclo","Semana "&amp;(INT(($D58-InicioCiclo)/7)+1)))))</f>
        <v/>
      </c>
      <c r="F58" s="61">
        <f>IF($N58="","",IF($P58&gt;0,IF(1&lt;=SemanaActual,INDEX('Cronograma R. Financiero'!$AH$5:$AH$1000,$N58),""),IF(INDEX('Cronograma R. Financiero'!$I$5:$I$1000,$N58)="","",INDEX('Cronograma R. Financiero'!$I$5:$I$1000,$N58))))</f>
        <v/>
      </c>
      <c r="G58" s="61">
        <f>IF($N58="","",IF($P58&gt;0,IF(2&lt;=SemanaActual,INDEX('Cronograma R. Financiero'!$AI$5:$AI$1000,$N58),""),IF(INDEX('Cronograma R. Financiero'!$J$5:$J$1000,$N58)="","",INDEX('Cronograma R. Financiero'!$J$5:$J$1000,$N58))))</f>
        <v/>
      </c>
      <c r="H58" s="61">
        <f>IF($N58="","",IF($P58&gt;0,IF(3&lt;=SemanaActual,INDEX('Cronograma R. Financiero'!$AJ$5:$AJ$1000,$N58),""),IF(INDEX('Cronograma R. Financiero'!$K$5:$K$1000,$N58)="","",INDEX('Cronograma R. Financiero'!$K$5:$K$1000,$N58))))</f>
        <v/>
      </c>
      <c r="I58" s="61">
        <f>IF($N58="","",IF($P58&gt;0,IF(4&lt;=SemanaActual,INDEX('Cronograma R. Financiero'!$AK$5:$AK$1000,$N58),""),IF(INDEX('Cronograma R. Financiero'!$L$5:$L$1000,$N58)="","",INDEX('Cronograma R. Financiero'!$L$5:$L$1000,$N58))))</f>
        <v/>
      </c>
      <c r="J58" s="61">
        <f>IF($N58="","",INDEX('Cronograma R. Financiero'!$M$5:$M$1000,$N58))</f>
        <v/>
      </c>
      <c r="K58" s="56">
        <f>IF($N58="","",IF(N($J58)&gt;=1,"Completado",IF(AND(ISNUMBER($D58),$D58&lt;FechaRef),"Vencida",IF(N($J58)&gt;0,"En curso","Pendiente"))))</f>
        <v/>
      </c>
      <c r="L58" s="56">
        <f>IF($N58="","",INDEX('Cronograma R. Financiero'!$O$5:$O$1000,$N58)&amp;"")</f>
        <v/>
      </c>
      <c r="M58" s="62">
        <f>IF($N58="","",INDEX('Cronograma R. Financiero'!$Q$5:$Q$1000,$N58)&amp;"")</f>
        <v/>
      </c>
      <c r="N58">
        <f>IFERROR(MATCH(ROW()-4,rOrden_RF,0),"")</f>
        <v/>
      </c>
      <c r="O58">
        <f>IF($N58="","",INDEX('Cronograma R. Financiero'!$V$5:$V$1000,$N58))</f>
        <v/>
      </c>
      <c r="P58">
        <f>IF($N58="","",N(INDEX('Cronograma R. Financiero'!$W$5:$W$1000,$N58)))</f>
        <v/>
      </c>
      <c r="Q58">
        <f>IF(OR(LEFT($L58,7)="Vencida",LEFT($L58,5)="Vence"),SUMPRODUCT(--(LEFT($L$5:$L58,7)="Vencida"))+SUMPRODUCT(--(LEFT($L$5:$L58,5)="Vence")),"")</f>
        <v/>
      </c>
    </row>
    <row r="59">
      <c r="A59" s="56">
        <f>IF($N59="","",INDEX('Cronograma R. Financiero'!$A$5:$A$1000,$N59))</f>
        <v/>
      </c>
      <c r="B59" s="62">
        <f>IF($N59="","",IF($O59="Sub","      ↳  "&amp;INDEX('Cronograma R. Financiero'!$C$5:$C$1000,$N59),INDEX('Cronograma R. Financiero'!$C$5:$C$1000,$N59)&amp;""))</f>
        <v/>
      </c>
      <c r="C59" s="79">
        <f>IF($N59="","",IF(INDEX('Cronograma R. Financiero'!$AR$5:$AR$1000,$N59)="","",INDEX('Cronograma R. Financiero'!$AR$5:$AR$1000,$N59)))</f>
        <v/>
      </c>
      <c r="D59" s="79">
        <f>IF($N59="","",IF(INDEX('Cronograma R. Financiero'!$AS$5:$AS$1000,$N59)="","",INDEX('Cronograma R. Financiero'!$AS$5:$AS$1000,$N59)))</f>
        <v/>
      </c>
      <c r="E59" s="56">
        <f>IF($N59="","",IF(NOT(ISNUMBER($D59)),"",IF($D59&lt;InicioCiclo,"Antes del ciclo",IF($D59&gt;=InicioCiclo+28,"Después del ciclo","Semana "&amp;(INT(($D59-InicioCiclo)/7)+1)))))</f>
        <v/>
      </c>
      <c r="F59" s="61">
        <f>IF($N59="","",IF($P59&gt;0,IF(1&lt;=SemanaActual,INDEX('Cronograma R. Financiero'!$AH$5:$AH$1000,$N59),""),IF(INDEX('Cronograma R. Financiero'!$I$5:$I$1000,$N59)="","",INDEX('Cronograma R. Financiero'!$I$5:$I$1000,$N59))))</f>
        <v/>
      </c>
      <c r="G59" s="61">
        <f>IF($N59="","",IF($P59&gt;0,IF(2&lt;=SemanaActual,INDEX('Cronograma R. Financiero'!$AI$5:$AI$1000,$N59),""),IF(INDEX('Cronograma R. Financiero'!$J$5:$J$1000,$N59)="","",INDEX('Cronograma R. Financiero'!$J$5:$J$1000,$N59))))</f>
        <v/>
      </c>
      <c r="H59" s="61">
        <f>IF($N59="","",IF($P59&gt;0,IF(3&lt;=SemanaActual,INDEX('Cronograma R. Financiero'!$AJ$5:$AJ$1000,$N59),""),IF(INDEX('Cronograma R. Financiero'!$K$5:$K$1000,$N59)="","",INDEX('Cronograma R. Financiero'!$K$5:$K$1000,$N59))))</f>
        <v/>
      </c>
      <c r="I59" s="61">
        <f>IF($N59="","",IF($P59&gt;0,IF(4&lt;=SemanaActual,INDEX('Cronograma R. Financiero'!$AK$5:$AK$1000,$N59),""),IF(INDEX('Cronograma R. Financiero'!$L$5:$L$1000,$N59)="","",INDEX('Cronograma R. Financiero'!$L$5:$L$1000,$N59))))</f>
        <v/>
      </c>
      <c r="J59" s="61">
        <f>IF($N59="","",INDEX('Cronograma R. Financiero'!$M$5:$M$1000,$N59))</f>
        <v/>
      </c>
      <c r="K59" s="56">
        <f>IF($N59="","",IF(N($J59)&gt;=1,"Completado",IF(AND(ISNUMBER($D59),$D59&lt;FechaRef),"Vencida",IF(N($J59)&gt;0,"En curso","Pendiente"))))</f>
        <v/>
      </c>
      <c r="L59" s="56">
        <f>IF($N59="","",INDEX('Cronograma R. Financiero'!$O$5:$O$1000,$N59)&amp;"")</f>
        <v/>
      </c>
      <c r="M59" s="62">
        <f>IF($N59="","",INDEX('Cronograma R. Financiero'!$Q$5:$Q$1000,$N59)&amp;"")</f>
        <v/>
      </c>
      <c r="N59">
        <f>IFERROR(MATCH(ROW()-4,rOrden_RF,0),"")</f>
        <v/>
      </c>
      <c r="O59">
        <f>IF($N59="","",INDEX('Cronograma R. Financiero'!$V$5:$V$1000,$N59))</f>
        <v/>
      </c>
      <c r="P59">
        <f>IF($N59="","",N(INDEX('Cronograma R. Financiero'!$W$5:$W$1000,$N59)))</f>
        <v/>
      </c>
      <c r="Q59">
        <f>IF(OR(LEFT($L59,7)="Vencida",LEFT($L59,5)="Vence"),SUMPRODUCT(--(LEFT($L$5:$L59,7)="Vencida"))+SUMPRODUCT(--(LEFT($L$5:$L59,5)="Vence")),"")</f>
        <v/>
      </c>
    </row>
    <row r="60">
      <c r="A60" s="56">
        <f>IF($N60="","",INDEX('Cronograma R. Financiero'!$A$5:$A$1000,$N60))</f>
        <v/>
      </c>
      <c r="B60" s="62">
        <f>IF($N60="","",IF($O60="Sub","      ↳  "&amp;INDEX('Cronograma R. Financiero'!$C$5:$C$1000,$N60),INDEX('Cronograma R. Financiero'!$C$5:$C$1000,$N60)&amp;""))</f>
        <v/>
      </c>
      <c r="C60" s="79">
        <f>IF($N60="","",IF(INDEX('Cronograma R. Financiero'!$AR$5:$AR$1000,$N60)="","",INDEX('Cronograma R. Financiero'!$AR$5:$AR$1000,$N60)))</f>
        <v/>
      </c>
      <c r="D60" s="79">
        <f>IF($N60="","",IF(INDEX('Cronograma R. Financiero'!$AS$5:$AS$1000,$N60)="","",INDEX('Cronograma R. Financiero'!$AS$5:$AS$1000,$N60)))</f>
        <v/>
      </c>
      <c r="E60" s="56">
        <f>IF($N60="","",IF(NOT(ISNUMBER($D60)),"",IF($D60&lt;InicioCiclo,"Antes del ciclo",IF($D60&gt;=InicioCiclo+28,"Después del ciclo","Semana "&amp;(INT(($D60-InicioCiclo)/7)+1)))))</f>
        <v/>
      </c>
      <c r="F60" s="61">
        <f>IF($N60="","",IF($P60&gt;0,IF(1&lt;=SemanaActual,INDEX('Cronograma R. Financiero'!$AH$5:$AH$1000,$N60),""),IF(INDEX('Cronograma R. Financiero'!$I$5:$I$1000,$N60)="","",INDEX('Cronograma R. Financiero'!$I$5:$I$1000,$N60))))</f>
        <v/>
      </c>
      <c r="G60" s="61">
        <f>IF($N60="","",IF($P60&gt;0,IF(2&lt;=SemanaActual,INDEX('Cronograma R. Financiero'!$AI$5:$AI$1000,$N60),""),IF(INDEX('Cronograma R. Financiero'!$J$5:$J$1000,$N60)="","",INDEX('Cronograma R. Financiero'!$J$5:$J$1000,$N60))))</f>
        <v/>
      </c>
      <c r="H60" s="61">
        <f>IF($N60="","",IF($P60&gt;0,IF(3&lt;=SemanaActual,INDEX('Cronograma R. Financiero'!$AJ$5:$AJ$1000,$N60),""),IF(INDEX('Cronograma R. Financiero'!$K$5:$K$1000,$N60)="","",INDEX('Cronograma R. Financiero'!$K$5:$K$1000,$N60))))</f>
        <v/>
      </c>
      <c r="I60" s="61">
        <f>IF($N60="","",IF($P60&gt;0,IF(4&lt;=SemanaActual,INDEX('Cronograma R. Financiero'!$AK$5:$AK$1000,$N60),""),IF(INDEX('Cronograma R. Financiero'!$L$5:$L$1000,$N60)="","",INDEX('Cronograma R. Financiero'!$L$5:$L$1000,$N60))))</f>
        <v/>
      </c>
      <c r="J60" s="61">
        <f>IF($N60="","",INDEX('Cronograma R. Financiero'!$M$5:$M$1000,$N60))</f>
        <v/>
      </c>
      <c r="K60" s="56">
        <f>IF($N60="","",IF(N($J60)&gt;=1,"Completado",IF(AND(ISNUMBER($D60),$D60&lt;FechaRef),"Vencida",IF(N($J60)&gt;0,"En curso","Pendiente"))))</f>
        <v/>
      </c>
      <c r="L60" s="56">
        <f>IF($N60="","",INDEX('Cronograma R. Financiero'!$O$5:$O$1000,$N60)&amp;"")</f>
        <v/>
      </c>
      <c r="M60" s="62">
        <f>IF($N60="","",INDEX('Cronograma R. Financiero'!$Q$5:$Q$1000,$N60)&amp;"")</f>
        <v/>
      </c>
      <c r="N60">
        <f>IFERROR(MATCH(ROW()-4,rOrden_RF,0),"")</f>
        <v/>
      </c>
      <c r="O60">
        <f>IF($N60="","",INDEX('Cronograma R. Financiero'!$V$5:$V$1000,$N60))</f>
        <v/>
      </c>
      <c r="P60">
        <f>IF($N60="","",N(INDEX('Cronograma R. Financiero'!$W$5:$W$1000,$N60)))</f>
        <v/>
      </c>
      <c r="Q60">
        <f>IF(OR(LEFT($L60,7)="Vencida",LEFT($L60,5)="Vence"),SUMPRODUCT(--(LEFT($L$5:$L60,7)="Vencida"))+SUMPRODUCT(--(LEFT($L$5:$L60,5)="Vence")),"")</f>
        <v/>
      </c>
    </row>
    <row r="61">
      <c r="A61" s="56">
        <f>IF($N61="","",INDEX('Cronograma R. Financiero'!$A$5:$A$1000,$N61))</f>
        <v/>
      </c>
      <c r="B61" s="62">
        <f>IF($N61="","",IF($O61="Sub","      ↳  "&amp;INDEX('Cronograma R. Financiero'!$C$5:$C$1000,$N61),INDEX('Cronograma R. Financiero'!$C$5:$C$1000,$N61)&amp;""))</f>
        <v/>
      </c>
      <c r="C61" s="79">
        <f>IF($N61="","",IF(INDEX('Cronograma R. Financiero'!$AR$5:$AR$1000,$N61)="","",INDEX('Cronograma R. Financiero'!$AR$5:$AR$1000,$N61)))</f>
        <v/>
      </c>
      <c r="D61" s="79">
        <f>IF($N61="","",IF(INDEX('Cronograma R. Financiero'!$AS$5:$AS$1000,$N61)="","",INDEX('Cronograma R. Financiero'!$AS$5:$AS$1000,$N61)))</f>
        <v/>
      </c>
      <c r="E61" s="56">
        <f>IF($N61="","",IF(NOT(ISNUMBER($D61)),"",IF($D61&lt;InicioCiclo,"Antes del ciclo",IF($D61&gt;=InicioCiclo+28,"Después del ciclo","Semana "&amp;(INT(($D61-InicioCiclo)/7)+1)))))</f>
        <v/>
      </c>
      <c r="F61" s="61">
        <f>IF($N61="","",IF($P61&gt;0,IF(1&lt;=SemanaActual,INDEX('Cronograma R. Financiero'!$AH$5:$AH$1000,$N61),""),IF(INDEX('Cronograma R. Financiero'!$I$5:$I$1000,$N61)="","",INDEX('Cronograma R. Financiero'!$I$5:$I$1000,$N61))))</f>
        <v/>
      </c>
      <c r="G61" s="61">
        <f>IF($N61="","",IF($P61&gt;0,IF(2&lt;=SemanaActual,INDEX('Cronograma R. Financiero'!$AI$5:$AI$1000,$N61),""),IF(INDEX('Cronograma R. Financiero'!$J$5:$J$1000,$N61)="","",INDEX('Cronograma R. Financiero'!$J$5:$J$1000,$N61))))</f>
        <v/>
      </c>
      <c r="H61" s="61">
        <f>IF($N61="","",IF($P61&gt;0,IF(3&lt;=SemanaActual,INDEX('Cronograma R. Financiero'!$AJ$5:$AJ$1000,$N61),""),IF(INDEX('Cronograma R. Financiero'!$K$5:$K$1000,$N61)="","",INDEX('Cronograma R. Financiero'!$K$5:$K$1000,$N61))))</f>
        <v/>
      </c>
      <c r="I61" s="61">
        <f>IF($N61="","",IF($P61&gt;0,IF(4&lt;=SemanaActual,INDEX('Cronograma R. Financiero'!$AK$5:$AK$1000,$N61),""),IF(INDEX('Cronograma R. Financiero'!$L$5:$L$1000,$N61)="","",INDEX('Cronograma R. Financiero'!$L$5:$L$1000,$N61))))</f>
        <v/>
      </c>
      <c r="J61" s="61">
        <f>IF($N61="","",INDEX('Cronograma R. Financiero'!$M$5:$M$1000,$N61))</f>
        <v/>
      </c>
      <c r="K61" s="56">
        <f>IF($N61="","",IF(N($J61)&gt;=1,"Completado",IF(AND(ISNUMBER($D61),$D61&lt;FechaRef),"Vencida",IF(N($J61)&gt;0,"En curso","Pendiente"))))</f>
        <v/>
      </c>
      <c r="L61" s="56">
        <f>IF($N61="","",INDEX('Cronograma R. Financiero'!$O$5:$O$1000,$N61)&amp;"")</f>
        <v/>
      </c>
      <c r="M61" s="62">
        <f>IF($N61="","",INDEX('Cronograma R. Financiero'!$Q$5:$Q$1000,$N61)&amp;"")</f>
        <v/>
      </c>
      <c r="N61">
        <f>IFERROR(MATCH(ROW()-4,rOrden_RF,0),"")</f>
        <v/>
      </c>
      <c r="O61">
        <f>IF($N61="","",INDEX('Cronograma R. Financiero'!$V$5:$V$1000,$N61))</f>
        <v/>
      </c>
      <c r="P61">
        <f>IF($N61="","",N(INDEX('Cronograma R. Financiero'!$W$5:$W$1000,$N61)))</f>
        <v/>
      </c>
      <c r="Q61">
        <f>IF(OR(LEFT($L61,7)="Vencida",LEFT($L61,5)="Vence"),SUMPRODUCT(--(LEFT($L$5:$L61,7)="Vencida"))+SUMPRODUCT(--(LEFT($L$5:$L61,5)="Vence")),"")</f>
        <v/>
      </c>
    </row>
    <row r="62">
      <c r="A62" s="56">
        <f>IF($N62="","",INDEX('Cronograma R. Financiero'!$A$5:$A$1000,$N62))</f>
        <v/>
      </c>
      <c r="B62" s="62">
        <f>IF($N62="","",IF($O62="Sub","      ↳  "&amp;INDEX('Cronograma R. Financiero'!$C$5:$C$1000,$N62),INDEX('Cronograma R. Financiero'!$C$5:$C$1000,$N62)&amp;""))</f>
        <v/>
      </c>
      <c r="C62" s="79">
        <f>IF($N62="","",IF(INDEX('Cronograma R. Financiero'!$AR$5:$AR$1000,$N62)="","",INDEX('Cronograma R. Financiero'!$AR$5:$AR$1000,$N62)))</f>
        <v/>
      </c>
      <c r="D62" s="79">
        <f>IF($N62="","",IF(INDEX('Cronograma R. Financiero'!$AS$5:$AS$1000,$N62)="","",INDEX('Cronograma R. Financiero'!$AS$5:$AS$1000,$N62)))</f>
        <v/>
      </c>
      <c r="E62" s="56">
        <f>IF($N62="","",IF(NOT(ISNUMBER($D62)),"",IF($D62&lt;InicioCiclo,"Antes del ciclo",IF($D62&gt;=InicioCiclo+28,"Después del ciclo","Semana "&amp;(INT(($D62-InicioCiclo)/7)+1)))))</f>
        <v/>
      </c>
      <c r="F62" s="61">
        <f>IF($N62="","",IF($P62&gt;0,IF(1&lt;=SemanaActual,INDEX('Cronograma R. Financiero'!$AH$5:$AH$1000,$N62),""),IF(INDEX('Cronograma R. Financiero'!$I$5:$I$1000,$N62)="","",INDEX('Cronograma R. Financiero'!$I$5:$I$1000,$N62))))</f>
        <v/>
      </c>
      <c r="G62" s="61">
        <f>IF($N62="","",IF($P62&gt;0,IF(2&lt;=SemanaActual,INDEX('Cronograma R. Financiero'!$AI$5:$AI$1000,$N62),""),IF(INDEX('Cronograma R. Financiero'!$J$5:$J$1000,$N62)="","",INDEX('Cronograma R. Financiero'!$J$5:$J$1000,$N62))))</f>
        <v/>
      </c>
      <c r="H62" s="61">
        <f>IF($N62="","",IF($P62&gt;0,IF(3&lt;=SemanaActual,INDEX('Cronograma R. Financiero'!$AJ$5:$AJ$1000,$N62),""),IF(INDEX('Cronograma R. Financiero'!$K$5:$K$1000,$N62)="","",INDEX('Cronograma R. Financiero'!$K$5:$K$1000,$N62))))</f>
        <v/>
      </c>
      <c r="I62" s="61">
        <f>IF($N62="","",IF($P62&gt;0,IF(4&lt;=SemanaActual,INDEX('Cronograma R. Financiero'!$AK$5:$AK$1000,$N62),""),IF(INDEX('Cronograma R. Financiero'!$L$5:$L$1000,$N62)="","",INDEX('Cronograma R. Financiero'!$L$5:$L$1000,$N62))))</f>
        <v/>
      </c>
      <c r="J62" s="61">
        <f>IF($N62="","",INDEX('Cronograma R. Financiero'!$M$5:$M$1000,$N62))</f>
        <v/>
      </c>
      <c r="K62" s="56">
        <f>IF($N62="","",IF(N($J62)&gt;=1,"Completado",IF(AND(ISNUMBER($D62),$D62&lt;FechaRef),"Vencida",IF(N($J62)&gt;0,"En curso","Pendiente"))))</f>
        <v/>
      </c>
      <c r="L62" s="56">
        <f>IF($N62="","",INDEX('Cronograma R. Financiero'!$O$5:$O$1000,$N62)&amp;"")</f>
        <v/>
      </c>
      <c r="M62" s="62">
        <f>IF($N62="","",INDEX('Cronograma R. Financiero'!$Q$5:$Q$1000,$N62)&amp;"")</f>
        <v/>
      </c>
      <c r="N62">
        <f>IFERROR(MATCH(ROW()-4,rOrden_RF,0),"")</f>
        <v/>
      </c>
      <c r="O62">
        <f>IF($N62="","",INDEX('Cronograma R. Financiero'!$V$5:$V$1000,$N62))</f>
        <v/>
      </c>
      <c r="P62">
        <f>IF($N62="","",N(INDEX('Cronograma R. Financiero'!$W$5:$W$1000,$N62)))</f>
        <v/>
      </c>
      <c r="Q62">
        <f>IF(OR(LEFT($L62,7)="Vencida",LEFT($L62,5)="Vence"),SUMPRODUCT(--(LEFT($L$5:$L62,7)="Vencida"))+SUMPRODUCT(--(LEFT($L$5:$L62,5)="Vence")),"")</f>
        <v/>
      </c>
    </row>
    <row r="63">
      <c r="A63" s="56">
        <f>IF($N63="","",INDEX('Cronograma R. Financiero'!$A$5:$A$1000,$N63))</f>
        <v/>
      </c>
      <c r="B63" s="62">
        <f>IF($N63="","",IF($O63="Sub","      ↳  "&amp;INDEX('Cronograma R. Financiero'!$C$5:$C$1000,$N63),INDEX('Cronograma R. Financiero'!$C$5:$C$1000,$N63)&amp;""))</f>
        <v/>
      </c>
      <c r="C63" s="79">
        <f>IF($N63="","",IF(INDEX('Cronograma R. Financiero'!$AR$5:$AR$1000,$N63)="","",INDEX('Cronograma R. Financiero'!$AR$5:$AR$1000,$N63)))</f>
        <v/>
      </c>
      <c r="D63" s="79">
        <f>IF($N63="","",IF(INDEX('Cronograma R. Financiero'!$AS$5:$AS$1000,$N63)="","",INDEX('Cronograma R. Financiero'!$AS$5:$AS$1000,$N63)))</f>
        <v/>
      </c>
      <c r="E63" s="56">
        <f>IF($N63="","",IF(NOT(ISNUMBER($D63)),"",IF($D63&lt;InicioCiclo,"Antes del ciclo",IF($D63&gt;=InicioCiclo+28,"Después del ciclo","Semana "&amp;(INT(($D63-InicioCiclo)/7)+1)))))</f>
        <v/>
      </c>
      <c r="F63" s="61">
        <f>IF($N63="","",IF($P63&gt;0,IF(1&lt;=SemanaActual,INDEX('Cronograma R. Financiero'!$AH$5:$AH$1000,$N63),""),IF(INDEX('Cronograma R. Financiero'!$I$5:$I$1000,$N63)="","",INDEX('Cronograma R. Financiero'!$I$5:$I$1000,$N63))))</f>
        <v/>
      </c>
      <c r="G63" s="61">
        <f>IF($N63="","",IF($P63&gt;0,IF(2&lt;=SemanaActual,INDEX('Cronograma R. Financiero'!$AI$5:$AI$1000,$N63),""),IF(INDEX('Cronograma R. Financiero'!$J$5:$J$1000,$N63)="","",INDEX('Cronograma R. Financiero'!$J$5:$J$1000,$N63))))</f>
        <v/>
      </c>
      <c r="H63" s="61">
        <f>IF($N63="","",IF($P63&gt;0,IF(3&lt;=SemanaActual,INDEX('Cronograma R. Financiero'!$AJ$5:$AJ$1000,$N63),""),IF(INDEX('Cronograma R. Financiero'!$K$5:$K$1000,$N63)="","",INDEX('Cronograma R. Financiero'!$K$5:$K$1000,$N63))))</f>
        <v/>
      </c>
      <c r="I63" s="61">
        <f>IF($N63="","",IF($P63&gt;0,IF(4&lt;=SemanaActual,INDEX('Cronograma R. Financiero'!$AK$5:$AK$1000,$N63),""),IF(INDEX('Cronograma R. Financiero'!$L$5:$L$1000,$N63)="","",INDEX('Cronograma R. Financiero'!$L$5:$L$1000,$N63))))</f>
        <v/>
      </c>
      <c r="J63" s="61">
        <f>IF($N63="","",INDEX('Cronograma R. Financiero'!$M$5:$M$1000,$N63))</f>
        <v/>
      </c>
      <c r="K63" s="56">
        <f>IF($N63="","",IF(N($J63)&gt;=1,"Completado",IF(AND(ISNUMBER($D63),$D63&lt;FechaRef),"Vencida",IF(N($J63)&gt;0,"En curso","Pendiente"))))</f>
        <v/>
      </c>
      <c r="L63" s="56">
        <f>IF($N63="","",INDEX('Cronograma R. Financiero'!$O$5:$O$1000,$N63)&amp;"")</f>
        <v/>
      </c>
      <c r="M63" s="62">
        <f>IF($N63="","",INDEX('Cronograma R. Financiero'!$Q$5:$Q$1000,$N63)&amp;"")</f>
        <v/>
      </c>
      <c r="N63">
        <f>IFERROR(MATCH(ROW()-4,rOrden_RF,0),"")</f>
        <v/>
      </c>
      <c r="O63">
        <f>IF($N63="","",INDEX('Cronograma R. Financiero'!$V$5:$V$1000,$N63))</f>
        <v/>
      </c>
      <c r="P63">
        <f>IF($N63="","",N(INDEX('Cronograma R. Financiero'!$W$5:$W$1000,$N63)))</f>
        <v/>
      </c>
      <c r="Q63">
        <f>IF(OR(LEFT($L63,7)="Vencida",LEFT($L63,5)="Vence"),SUMPRODUCT(--(LEFT($L$5:$L63,7)="Vencida"))+SUMPRODUCT(--(LEFT($L$5:$L63,5)="Vence")),"")</f>
        <v/>
      </c>
    </row>
    <row r="64">
      <c r="A64" s="56">
        <f>IF($N64="","",INDEX('Cronograma R. Financiero'!$A$5:$A$1000,$N64))</f>
        <v/>
      </c>
      <c r="B64" s="62">
        <f>IF($N64="","",IF($O64="Sub","      ↳  "&amp;INDEX('Cronograma R. Financiero'!$C$5:$C$1000,$N64),INDEX('Cronograma R. Financiero'!$C$5:$C$1000,$N64)&amp;""))</f>
        <v/>
      </c>
      <c r="C64" s="79">
        <f>IF($N64="","",IF(INDEX('Cronograma R. Financiero'!$AR$5:$AR$1000,$N64)="","",INDEX('Cronograma R. Financiero'!$AR$5:$AR$1000,$N64)))</f>
        <v/>
      </c>
      <c r="D64" s="79">
        <f>IF($N64="","",IF(INDEX('Cronograma R. Financiero'!$AS$5:$AS$1000,$N64)="","",INDEX('Cronograma R. Financiero'!$AS$5:$AS$1000,$N64)))</f>
        <v/>
      </c>
      <c r="E64" s="56">
        <f>IF($N64="","",IF(NOT(ISNUMBER($D64)),"",IF($D64&lt;InicioCiclo,"Antes del ciclo",IF($D64&gt;=InicioCiclo+28,"Después del ciclo","Semana "&amp;(INT(($D64-InicioCiclo)/7)+1)))))</f>
        <v/>
      </c>
      <c r="F64" s="61">
        <f>IF($N64="","",IF($P64&gt;0,IF(1&lt;=SemanaActual,INDEX('Cronograma R. Financiero'!$AH$5:$AH$1000,$N64),""),IF(INDEX('Cronograma R. Financiero'!$I$5:$I$1000,$N64)="","",INDEX('Cronograma R. Financiero'!$I$5:$I$1000,$N64))))</f>
        <v/>
      </c>
      <c r="G64" s="61">
        <f>IF($N64="","",IF($P64&gt;0,IF(2&lt;=SemanaActual,INDEX('Cronograma R. Financiero'!$AI$5:$AI$1000,$N64),""),IF(INDEX('Cronograma R. Financiero'!$J$5:$J$1000,$N64)="","",INDEX('Cronograma R. Financiero'!$J$5:$J$1000,$N64))))</f>
        <v/>
      </c>
      <c r="H64" s="61">
        <f>IF($N64="","",IF($P64&gt;0,IF(3&lt;=SemanaActual,INDEX('Cronograma R. Financiero'!$AJ$5:$AJ$1000,$N64),""),IF(INDEX('Cronograma R. Financiero'!$K$5:$K$1000,$N64)="","",INDEX('Cronograma R. Financiero'!$K$5:$K$1000,$N64))))</f>
        <v/>
      </c>
      <c r="I64" s="61">
        <f>IF($N64="","",IF($P64&gt;0,IF(4&lt;=SemanaActual,INDEX('Cronograma R. Financiero'!$AK$5:$AK$1000,$N64),""),IF(INDEX('Cronograma R. Financiero'!$L$5:$L$1000,$N64)="","",INDEX('Cronograma R. Financiero'!$L$5:$L$1000,$N64))))</f>
        <v/>
      </c>
      <c r="J64" s="61">
        <f>IF($N64="","",INDEX('Cronograma R. Financiero'!$M$5:$M$1000,$N64))</f>
        <v/>
      </c>
      <c r="K64" s="56">
        <f>IF($N64="","",IF(N($J64)&gt;=1,"Completado",IF(AND(ISNUMBER($D64),$D64&lt;FechaRef),"Vencida",IF(N($J64)&gt;0,"En curso","Pendiente"))))</f>
        <v/>
      </c>
      <c r="L64" s="56">
        <f>IF($N64="","",INDEX('Cronograma R. Financiero'!$O$5:$O$1000,$N64)&amp;"")</f>
        <v/>
      </c>
      <c r="M64" s="62">
        <f>IF($N64="","",INDEX('Cronograma R. Financiero'!$Q$5:$Q$1000,$N64)&amp;"")</f>
        <v/>
      </c>
      <c r="N64">
        <f>IFERROR(MATCH(ROW()-4,rOrden_RF,0),"")</f>
        <v/>
      </c>
      <c r="O64">
        <f>IF($N64="","",INDEX('Cronograma R. Financiero'!$V$5:$V$1000,$N64))</f>
        <v/>
      </c>
      <c r="P64">
        <f>IF($N64="","",N(INDEX('Cronograma R. Financiero'!$W$5:$W$1000,$N64)))</f>
        <v/>
      </c>
      <c r="Q64">
        <f>IF(OR(LEFT($L64,7)="Vencida",LEFT($L64,5)="Vence"),SUMPRODUCT(--(LEFT($L$5:$L64,7)="Vencida"))+SUMPRODUCT(--(LEFT($L$5:$L64,5)="Vence")),"")</f>
        <v/>
      </c>
    </row>
    <row r="65">
      <c r="A65" s="56">
        <f>IF($N65="","",INDEX('Cronograma R. Financiero'!$A$5:$A$1000,$N65))</f>
        <v/>
      </c>
      <c r="B65" s="62">
        <f>IF($N65="","",IF($O65="Sub","      ↳  "&amp;INDEX('Cronograma R. Financiero'!$C$5:$C$1000,$N65),INDEX('Cronograma R. Financiero'!$C$5:$C$1000,$N65)&amp;""))</f>
        <v/>
      </c>
      <c r="C65" s="79">
        <f>IF($N65="","",IF(INDEX('Cronograma R. Financiero'!$AR$5:$AR$1000,$N65)="","",INDEX('Cronograma R. Financiero'!$AR$5:$AR$1000,$N65)))</f>
        <v/>
      </c>
      <c r="D65" s="79">
        <f>IF($N65="","",IF(INDEX('Cronograma R. Financiero'!$AS$5:$AS$1000,$N65)="","",INDEX('Cronograma R. Financiero'!$AS$5:$AS$1000,$N65)))</f>
        <v/>
      </c>
      <c r="E65" s="56">
        <f>IF($N65="","",IF(NOT(ISNUMBER($D65)),"",IF($D65&lt;InicioCiclo,"Antes del ciclo",IF($D65&gt;=InicioCiclo+28,"Después del ciclo","Semana "&amp;(INT(($D65-InicioCiclo)/7)+1)))))</f>
        <v/>
      </c>
      <c r="F65" s="61">
        <f>IF($N65="","",IF($P65&gt;0,IF(1&lt;=SemanaActual,INDEX('Cronograma R. Financiero'!$AH$5:$AH$1000,$N65),""),IF(INDEX('Cronograma R. Financiero'!$I$5:$I$1000,$N65)="","",INDEX('Cronograma R. Financiero'!$I$5:$I$1000,$N65))))</f>
        <v/>
      </c>
      <c r="G65" s="61">
        <f>IF($N65="","",IF($P65&gt;0,IF(2&lt;=SemanaActual,INDEX('Cronograma R. Financiero'!$AI$5:$AI$1000,$N65),""),IF(INDEX('Cronograma R. Financiero'!$J$5:$J$1000,$N65)="","",INDEX('Cronograma R. Financiero'!$J$5:$J$1000,$N65))))</f>
        <v/>
      </c>
      <c r="H65" s="61">
        <f>IF($N65="","",IF($P65&gt;0,IF(3&lt;=SemanaActual,INDEX('Cronograma R. Financiero'!$AJ$5:$AJ$1000,$N65),""),IF(INDEX('Cronograma R. Financiero'!$K$5:$K$1000,$N65)="","",INDEX('Cronograma R. Financiero'!$K$5:$K$1000,$N65))))</f>
        <v/>
      </c>
      <c r="I65" s="61">
        <f>IF($N65="","",IF($P65&gt;0,IF(4&lt;=SemanaActual,INDEX('Cronograma R. Financiero'!$AK$5:$AK$1000,$N65),""),IF(INDEX('Cronograma R. Financiero'!$L$5:$L$1000,$N65)="","",INDEX('Cronograma R. Financiero'!$L$5:$L$1000,$N65))))</f>
        <v/>
      </c>
      <c r="J65" s="61">
        <f>IF($N65="","",INDEX('Cronograma R. Financiero'!$M$5:$M$1000,$N65))</f>
        <v/>
      </c>
      <c r="K65" s="56">
        <f>IF($N65="","",IF(N($J65)&gt;=1,"Completado",IF(AND(ISNUMBER($D65),$D65&lt;FechaRef),"Vencida",IF(N($J65)&gt;0,"En curso","Pendiente"))))</f>
        <v/>
      </c>
      <c r="L65" s="56">
        <f>IF($N65="","",INDEX('Cronograma R. Financiero'!$O$5:$O$1000,$N65)&amp;"")</f>
        <v/>
      </c>
      <c r="M65" s="62">
        <f>IF($N65="","",INDEX('Cronograma R. Financiero'!$Q$5:$Q$1000,$N65)&amp;"")</f>
        <v/>
      </c>
      <c r="N65">
        <f>IFERROR(MATCH(ROW()-4,rOrden_RF,0),"")</f>
        <v/>
      </c>
      <c r="O65">
        <f>IF($N65="","",INDEX('Cronograma R. Financiero'!$V$5:$V$1000,$N65))</f>
        <v/>
      </c>
      <c r="P65">
        <f>IF($N65="","",N(INDEX('Cronograma R. Financiero'!$W$5:$W$1000,$N65)))</f>
        <v/>
      </c>
      <c r="Q65">
        <f>IF(OR(LEFT($L65,7)="Vencida",LEFT($L65,5)="Vence"),SUMPRODUCT(--(LEFT($L$5:$L65,7)="Vencida"))+SUMPRODUCT(--(LEFT($L$5:$L65,5)="Vence")),"")</f>
        <v/>
      </c>
    </row>
    <row r="66">
      <c r="A66" s="56">
        <f>IF($N66="","",INDEX('Cronograma R. Financiero'!$A$5:$A$1000,$N66))</f>
        <v/>
      </c>
      <c r="B66" s="62">
        <f>IF($N66="","",IF($O66="Sub","      ↳  "&amp;INDEX('Cronograma R. Financiero'!$C$5:$C$1000,$N66),INDEX('Cronograma R. Financiero'!$C$5:$C$1000,$N66)&amp;""))</f>
        <v/>
      </c>
      <c r="C66" s="79">
        <f>IF($N66="","",IF(INDEX('Cronograma R. Financiero'!$AR$5:$AR$1000,$N66)="","",INDEX('Cronograma R. Financiero'!$AR$5:$AR$1000,$N66)))</f>
        <v/>
      </c>
      <c r="D66" s="79">
        <f>IF($N66="","",IF(INDEX('Cronograma R. Financiero'!$AS$5:$AS$1000,$N66)="","",INDEX('Cronograma R. Financiero'!$AS$5:$AS$1000,$N66)))</f>
        <v/>
      </c>
      <c r="E66" s="56">
        <f>IF($N66="","",IF(NOT(ISNUMBER($D66)),"",IF($D66&lt;InicioCiclo,"Antes del ciclo",IF($D66&gt;=InicioCiclo+28,"Después del ciclo","Semana "&amp;(INT(($D66-InicioCiclo)/7)+1)))))</f>
        <v/>
      </c>
      <c r="F66" s="61">
        <f>IF($N66="","",IF($P66&gt;0,IF(1&lt;=SemanaActual,INDEX('Cronograma R. Financiero'!$AH$5:$AH$1000,$N66),""),IF(INDEX('Cronograma R. Financiero'!$I$5:$I$1000,$N66)="","",INDEX('Cronograma R. Financiero'!$I$5:$I$1000,$N66))))</f>
        <v/>
      </c>
      <c r="G66" s="61">
        <f>IF($N66="","",IF($P66&gt;0,IF(2&lt;=SemanaActual,INDEX('Cronograma R. Financiero'!$AI$5:$AI$1000,$N66),""),IF(INDEX('Cronograma R. Financiero'!$J$5:$J$1000,$N66)="","",INDEX('Cronograma R. Financiero'!$J$5:$J$1000,$N66))))</f>
        <v/>
      </c>
      <c r="H66" s="61">
        <f>IF($N66="","",IF($P66&gt;0,IF(3&lt;=SemanaActual,INDEX('Cronograma R. Financiero'!$AJ$5:$AJ$1000,$N66),""),IF(INDEX('Cronograma R. Financiero'!$K$5:$K$1000,$N66)="","",INDEX('Cronograma R. Financiero'!$K$5:$K$1000,$N66))))</f>
        <v/>
      </c>
      <c r="I66" s="61">
        <f>IF($N66="","",IF($P66&gt;0,IF(4&lt;=SemanaActual,INDEX('Cronograma R. Financiero'!$AK$5:$AK$1000,$N66),""),IF(INDEX('Cronograma R. Financiero'!$L$5:$L$1000,$N66)="","",INDEX('Cronograma R. Financiero'!$L$5:$L$1000,$N66))))</f>
        <v/>
      </c>
      <c r="J66" s="61">
        <f>IF($N66="","",INDEX('Cronograma R. Financiero'!$M$5:$M$1000,$N66))</f>
        <v/>
      </c>
      <c r="K66" s="56">
        <f>IF($N66="","",IF(N($J66)&gt;=1,"Completado",IF(AND(ISNUMBER($D66),$D66&lt;FechaRef),"Vencida",IF(N($J66)&gt;0,"En curso","Pendiente"))))</f>
        <v/>
      </c>
      <c r="L66" s="56">
        <f>IF($N66="","",INDEX('Cronograma R. Financiero'!$O$5:$O$1000,$N66)&amp;"")</f>
        <v/>
      </c>
      <c r="M66" s="62">
        <f>IF($N66="","",INDEX('Cronograma R. Financiero'!$Q$5:$Q$1000,$N66)&amp;"")</f>
        <v/>
      </c>
      <c r="N66">
        <f>IFERROR(MATCH(ROW()-4,rOrden_RF,0),"")</f>
        <v/>
      </c>
      <c r="O66">
        <f>IF($N66="","",INDEX('Cronograma R. Financiero'!$V$5:$V$1000,$N66))</f>
        <v/>
      </c>
      <c r="P66">
        <f>IF($N66="","",N(INDEX('Cronograma R. Financiero'!$W$5:$W$1000,$N66)))</f>
        <v/>
      </c>
      <c r="Q66">
        <f>IF(OR(LEFT($L66,7)="Vencida",LEFT($L66,5)="Vence"),SUMPRODUCT(--(LEFT($L$5:$L66,7)="Vencida"))+SUMPRODUCT(--(LEFT($L$5:$L66,5)="Vence")),"")</f>
        <v/>
      </c>
    </row>
    <row r="67">
      <c r="A67" s="56">
        <f>IF($N67="","",INDEX('Cronograma R. Financiero'!$A$5:$A$1000,$N67))</f>
        <v/>
      </c>
      <c r="B67" s="62">
        <f>IF($N67="","",IF($O67="Sub","      ↳  "&amp;INDEX('Cronograma R. Financiero'!$C$5:$C$1000,$N67),INDEX('Cronograma R. Financiero'!$C$5:$C$1000,$N67)&amp;""))</f>
        <v/>
      </c>
      <c r="C67" s="79">
        <f>IF($N67="","",IF(INDEX('Cronograma R. Financiero'!$AR$5:$AR$1000,$N67)="","",INDEX('Cronograma R. Financiero'!$AR$5:$AR$1000,$N67)))</f>
        <v/>
      </c>
      <c r="D67" s="79">
        <f>IF($N67="","",IF(INDEX('Cronograma R. Financiero'!$AS$5:$AS$1000,$N67)="","",INDEX('Cronograma R. Financiero'!$AS$5:$AS$1000,$N67)))</f>
        <v/>
      </c>
      <c r="E67" s="56">
        <f>IF($N67="","",IF(NOT(ISNUMBER($D67)),"",IF($D67&lt;InicioCiclo,"Antes del ciclo",IF($D67&gt;=InicioCiclo+28,"Después del ciclo","Semana "&amp;(INT(($D67-InicioCiclo)/7)+1)))))</f>
        <v/>
      </c>
      <c r="F67" s="61">
        <f>IF($N67="","",IF($P67&gt;0,IF(1&lt;=SemanaActual,INDEX('Cronograma R. Financiero'!$AH$5:$AH$1000,$N67),""),IF(INDEX('Cronograma R. Financiero'!$I$5:$I$1000,$N67)="","",INDEX('Cronograma R. Financiero'!$I$5:$I$1000,$N67))))</f>
        <v/>
      </c>
      <c r="G67" s="61">
        <f>IF($N67="","",IF($P67&gt;0,IF(2&lt;=SemanaActual,INDEX('Cronograma R. Financiero'!$AI$5:$AI$1000,$N67),""),IF(INDEX('Cronograma R. Financiero'!$J$5:$J$1000,$N67)="","",INDEX('Cronograma R. Financiero'!$J$5:$J$1000,$N67))))</f>
        <v/>
      </c>
      <c r="H67" s="61">
        <f>IF($N67="","",IF($P67&gt;0,IF(3&lt;=SemanaActual,INDEX('Cronograma R. Financiero'!$AJ$5:$AJ$1000,$N67),""),IF(INDEX('Cronograma R. Financiero'!$K$5:$K$1000,$N67)="","",INDEX('Cronograma R. Financiero'!$K$5:$K$1000,$N67))))</f>
        <v/>
      </c>
      <c r="I67" s="61">
        <f>IF($N67="","",IF($P67&gt;0,IF(4&lt;=SemanaActual,INDEX('Cronograma R. Financiero'!$AK$5:$AK$1000,$N67),""),IF(INDEX('Cronograma R. Financiero'!$L$5:$L$1000,$N67)="","",INDEX('Cronograma R. Financiero'!$L$5:$L$1000,$N67))))</f>
        <v/>
      </c>
      <c r="J67" s="61">
        <f>IF($N67="","",INDEX('Cronograma R. Financiero'!$M$5:$M$1000,$N67))</f>
        <v/>
      </c>
      <c r="K67" s="56">
        <f>IF($N67="","",IF(N($J67)&gt;=1,"Completado",IF(AND(ISNUMBER($D67),$D67&lt;FechaRef),"Vencida",IF(N($J67)&gt;0,"En curso","Pendiente"))))</f>
        <v/>
      </c>
      <c r="L67" s="56">
        <f>IF($N67="","",INDEX('Cronograma R. Financiero'!$O$5:$O$1000,$N67)&amp;"")</f>
        <v/>
      </c>
      <c r="M67" s="62">
        <f>IF($N67="","",INDEX('Cronograma R. Financiero'!$Q$5:$Q$1000,$N67)&amp;"")</f>
        <v/>
      </c>
      <c r="N67">
        <f>IFERROR(MATCH(ROW()-4,rOrden_RF,0),"")</f>
        <v/>
      </c>
      <c r="O67">
        <f>IF($N67="","",INDEX('Cronograma R. Financiero'!$V$5:$V$1000,$N67))</f>
        <v/>
      </c>
      <c r="P67">
        <f>IF($N67="","",N(INDEX('Cronograma R. Financiero'!$W$5:$W$1000,$N67)))</f>
        <v/>
      </c>
      <c r="Q67">
        <f>IF(OR(LEFT($L67,7)="Vencida",LEFT($L67,5)="Vence"),SUMPRODUCT(--(LEFT($L$5:$L67,7)="Vencida"))+SUMPRODUCT(--(LEFT($L$5:$L67,5)="Vence")),"")</f>
        <v/>
      </c>
    </row>
    <row r="68">
      <c r="A68" s="56">
        <f>IF($N68="","",INDEX('Cronograma R. Financiero'!$A$5:$A$1000,$N68))</f>
        <v/>
      </c>
      <c r="B68" s="62">
        <f>IF($N68="","",IF($O68="Sub","      ↳  "&amp;INDEX('Cronograma R. Financiero'!$C$5:$C$1000,$N68),INDEX('Cronograma R. Financiero'!$C$5:$C$1000,$N68)&amp;""))</f>
        <v/>
      </c>
      <c r="C68" s="79">
        <f>IF($N68="","",IF(INDEX('Cronograma R. Financiero'!$AR$5:$AR$1000,$N68)="","",INDEX('Cronograma R. Financiero'!$AR$5:$AR$1000,$N68)))</f>
        <v/>
      </c>
      <c r="D68" s="79">
        <f>IF($N68="","",IF(INDEX('Cronograma R. Financiero'!$AS$5:$AS$1000,$N68)="","",INDEX('Cronograma R. Financiero'!$AS$5:$AS$1000,$N68)))</f>
        <v/>
      </c>
      <c r="E68" s="56">
        <f>IF($N68="","",IF(NOT(ISNUMBER($D68)),"",IF($D68&lt;InicioCiclo,"Antes del ciclo",IF($D68&gt;=InicioCiclo+28,"Después del ciclo","Semana "&amp;(INT(($D68-InicioCiclo)/7)+1)))))</f>
        <v/>
      </c>
      <c r="F68" s="61">
        <f>IF($N68="","",IF($P68&gt;0,IF(1&lt;=SemanaActual,INDEX('Cronograma R. Financiero'!$AH$5:$AH$1000,$N68),""),IF(INDEX('Cronograma R. Financiero'!$I$5:$I$1000,$N68)="","",INDEX('Cronograma R. Financiero'!$I$5:$I$1000,$N68))))</f>
        <v/>
      </c>
      <c r="G68" s="61">
        <f>IF($N68="","",IF($P68&gt;0,IF(2&lt;=SemanaActual,INDEX('Cronograma R. Financiero'!$AI$5:$AI$1000,$N68),""),IF(INDEX('Cronograma R. Financiero'!$J$5:$J$1000,$N68)="","",INDEX('Cronograma R. Financiero'!$J$5:$J$1000,$N68))))</f>
        <v/>
      </c>
      <c r="H68" s="61">
        <f>IF($N68="","",IF($P68&gt;0,IF(3&lt;=SemanaActual,INDEX('Cronograma R. Financiero'!$AJ$5:$AJ$1000,$N68),""),IF(INDEX('Cronograma R. Financiero'!$K$5:$K$1000,$N68)="","",INDEX('Cronograma R. Financiero'!$K$5:$K$1000,$N68))))</f>
        <v/>
      </c>
      <c r="I68" s="61">
        <f>IF($N68="","",IF($P68&gt;0,IF(4&lt;=SemanaActual,INDEX('Cronograma R. Financiero'!$AK$5:$AK$1000,$N68),""),IF(INDEX('Cronograma R. Financiero'!$L$5:$L$1000,$N68)="","",INDEX('Cronograma R. Financiero'!$L$5:$L$1000,$N68))))</f>
        <v/>
      </c>
      <c r="J68" s="61">
        <f>IF($N68="","",INDEX('Cronograma R. Financiero'!$M$5:$M$1000,$N68))</f>
        <v/>
      </c>
      <c r="K68" s="56">
        <f>IF($N68="","",IF(N($J68)&gt;=1,"Completado",IF(AND(ISNUMBER($D68),$D68&lt;FechaRef),"Vencida",IF(N($J68)&gt;0,"En curso","Pendiente"))))</f>
        <v/>
      </c>
      <c r="L68" s="56">
        <f>IF($N68="","",INDEX('Cronograma R. Financiero'!$O$5:$O$1000,$N68)&amp;"")</f>
        <v/>
      </c>
      <c r="M68" s="62">
        <f>IF($N68="","",INDEX('Cronograma R. Financiero'!$Q$5:$Q$1000,$N68)&amp;"")</f>
        <v/>
      </c>
      <c r="N68">
        <f>IFERROR(MATCH(ROW()-4,rOrden_RF,0),"")</f>
        <v/>
      </c>
      <c r="O68">
        <f>IF($N68="","",INDEX('Cronograma R. Financiero'!$V$5:$V$1000,$N68))</f>
        <v/>
      </c>
      <c r="P68">
        <f>IF($N68="","",N(INDEX('Cronograma R. Financiero'!$W$5:$W$1000,$N68)))</f>
        <v/>
      </c>
      <c r="Q68">
        <f>IF(OR(LEFT($L68,7)="Vencida",LEFT($L68,5)="Vence"),SUMPRODUCT(--(LEFT($L$5:$L68,7)="Vencida"))+SUMPRODUCT(--(LEFT($L$5:$L68,5)="Vence")),"")</f>
        <v/>
      </c>
    </row>
    <row r="69">
      <c r="A69" s="56">
        <f>IF($N69="","",INDEX('Cronograma R. Financiero'!$A$5:$A$1000,$N69))</f>
        <v/>
      </c>
      <c r="B69" s="62">
        <f>IF($N69="","",IF($O69="Sub","      ↳  "&amp;INDEX('Cronograma R. Financiero'!$C$5:$C$1000,$N69),INDEX('Cronograma R. Financiero'!$C$5:$C$1000,$N69)&amp;""))</f>
        <v/>
      </c>
      <c r="C69" s="79">
        <f>IF($N69="","",IF(INDEX('Cronograma R. Financiero'!$AR$5:$AR$1000,$N69)="","",INDEX('Cronograma R. Financiero'!$AR$5:$AR$1000,$N69)))</f>
        <v/>
      </c>
      <c r="D69" s="79">
        <f>IF($N69="","",IF(INDEX('Cronograma R. Financiero'!$AS$5:$AS$1000,$N69)="","",INDEX('Cronograma R. Financiero'!$AS$5:$AS$1000,$N69)))</f>
        <v/>
      </c>
      <c r="E69" s="56">
        <f>IF($N69="","",IF(NOT(ISNUMBER($D69)),"",IF($D69&lt;InicioCiclo,"Antes del ciclo",IF($D69&gt;=InicioCiclo+28,"Después del ciclo","Semana "&amp;(INT(($D69-InicioCiclo)/7)+1)))))</f>
        <v/>
      </c>
      <c r="F69" s="61">
        <f>IF($N69="","",IF($P69&gt;0,IF(1&lt;=SemanaActual,INDEX('Cronograma R. Financiero'!$AH$5:$AH$1000,$N69),""),IF(INDEX('Cronograma R. Financiero'!$I$5:$I$1000,$N69)="","",INDEX('Cronograma R. Financiero'!$I$5:$I$1000,$N69))))</f>
        <v/>
      </c>
      <c r="G69" s="61">
        <f>IF($N69="","",IF($P69&gt;0,IF(2&lt;=SemanaActual,INDEX('Cronograma R. Financiero'!$AI$5:$AI$1000,$N69),""),IF(INDEX('Cronograma R. Financiero'!$J$5:$J$1000,$N69)="","",INDEX('Cronograma R. Financiero'!$J$5:$J$1000,$N69))))</f>
        <v/>
      </c>
      <c r="H69" s="61">
        <f>IF($N69="","",IF($P69&gt;0,IF(3&lt;=SemanaActual,INDEX('Cronograma R. Financiero'!$AJ$5:$AJ$1000,$N69),""),IF(INDEX('Cronograma R. Financiero'!$K$5:$K$1000,$N69)="","",INDEX('Cronograma R. Financiero'!$K$5:$K$1000,$N69))))</f>
        <v/>
      </c>
      <c r="I69" s="61">
        <f>IF($N69="","",IF($P69&gt;0,IF(4&lt;=SemanaActual,INDEX('Cronograma R. Financiero'!$AK$5:$AK$1000,$N69),""),IF(INDEX('Cronograma R. Financiero'!$L$5:$L$1000,$N69)="","",INDEX('Cronograma R. Financiero'!$L$5:$L$1000,$N69))))</f>
        <v/>
      </c>
      <c r="J69" s="61">
        <f>IF($N69="","",INDEX('Cronograma R. Financiero'!$M$5:$M$1000,$N69))</f>
        <v/>
      </c>
      <c r="K69" s="56">
        <f>IF($N69="","",IF(N($J69)&gt;=1,"Completado",IF(AND(ISNUMBER($D69),$D69&lt;FechaRef),"Vencida",IF(N($J69)&gt;0,"En curso","Pendiente"))))</f>
        <v/>
      </c>
      <c r="L69" s="56">
        <f>IF($N69="","",INDEX('Cronograma R. Financiero'!$O$5:$O$1000,$N69)&amp;"")</f>
        <v/>
      </c>
      <c r="M69" s="62">
        <f>IF($N69="","",INDEX('Cronograma R. Financiero'!$Q$5:$Q$1000,$N69)&amp;"")</f>
        <v/>
      </c>
      <c r="N69">
        <f>IFERROR(MATCH(ROW()-4,rOrden_RF,0),"")</f>
        <v/>
      </c>
      <c r="O69">
        <f>IF($N69="","",INDEX('Cronograma R. Financiero'!$V$5:$V$1000,$N69))</f>
        <v/>
      </c>
      <c r="P69">
        <f>IF($N69="","",N(INDEX('Cronograma R. Financiero'!$W$5:$W$1000,$N69)))</f>
        <v/>
      </c>
      <c r="Q69">
        <f>IF(OR(LEFT($L69,7)="Vencida",LEFT($L69,5)="Vence"),SUMPRODUCT(--(LEFT($L$5:$L69,7)="Vencida"))+SUMPRODUCT(--(LEFT($L$5:$L69,5)="Vence")),"")</f>
        <v/>
      </c>
    </row>
    <row r="70">
      <c r="A70" s="56">
        <f>IF($N70="","",INDEX('Cronograma R. Financiero'!$A$5:$A$1000,$N70))</f>
        <v/>
      </c>
      <c r="B70" s="62">
        <f>IF($N70="","",IF($O70="Sub","      ↳  "&amp;INDEX('Cronograma R. Financiero'!$C$5:$C$1000,$N70),INDEX('Cronograma R. Financiero'!$C$5:$C$1000,$N70)&amp;""))</f>
        <v/>
      </c>
      <c r="C70" s="79">
        <f>IF($N70="","",IF(INDEX('Cronograma R. Financiero'!$AR$5:$AR$1000,$N70)="","",INDEX('Cronograma R. Financiero'!$AR$5:$AR$1000,$N70)))</f>
        <v/>
      </c>
      <c r="D70" s="79">
        <f>IF($N70="","",IF(INDEX('Cronograma R. Financiero'!$AS$5:$AS$1000,$N70)="","",INDEX('Cronograma R. Financiero'!$AS$5:$AS$1000,$N70)))</f>
        <v/>
      </c>
      <c r="E70" s="56">
        <f>IF($N70="","",IF(NOT(ISNUMBER($D70)),"",IF($D70&lt;InicioCiclo,"Antes del ciclo",IF($D70&gt;=InicioCiclo+28,"Después del ciclo","Semana "&amp;(INT(($D70-InicioCiclo)/7)+1)))))</f>
        <v/>
      </c>
      <c r="F70" s="61">
        <f>IF($N70="","",IF($P70&gt;0,IF(1&lt;=SemanaActual,INDEX('Cronograma R. Financiero'!$AH$5:$AH$1000,$N70),""),IF(INDEX('Cronograma R. Financiero'!$I$5:$I$1000,$N70)="","",INDEX('Cronograma R. Financiero'!$I$5:$I$1000,$N70))))</f>
        <v/>
      </c>
      <c r="G70" s="61">
        <f>IF($N70="","",IF($P70&gt;0,IF(2&lt;=SemanaActual,INDEX('Cronograma R. Financiero'!$AI$5:$AI$1000,$N70),""),IF(INDEX('Cronograma R. Financiero'!$J$5:$J$1000,$N70)="","",INDEX('Cronograma R. Financiero'!$J$5:$J$1000,$N70))))</f>
        <v/>
      </c>
      <c r="H70" s="61">
        <f>IF($N70="","",IF($P70&gt;0,IF(3&lt;=SemanaActual,INDEX('Cronograma R. Financiero'!$AJ$5:$AJ$1000,$N70),""),IF(INDEX('Cronograma R. Financiero'!$K$5:$K$1000,$N70)="","",INDEX('Cronograma R. Financiero'!$K$5:$K$1000,$N70))))</f>
        <v/>
      </c>
      <c r="I70" s="61">
        <f>IF($N70="","",IF($P70&gt;0,IF(4&lt;=SemanaActual,INDEX('Cronograma R. Financiero'!$AK$5:$AK$1000,$N70),""),IF(INDEX('Cronograma R. Financiero'!$L$5:$L$1000,$N70)="","",INDEX('Cronograma R. Financiero'!$L$5:$L$1000,$N70))))</f>
        <v/>
      </c>
      <c r="J70" s="61">
        <f>IF($N70="","",INDEX('Cronograma R. Financiero'!$M$5:$M$1000,$N70))</f>
        <v/>
      </c>
      <c r="K70" s="56">
        <f>IF($N70="","",IF(N($J70)&gt;=1,"Completado",IF(AND(ISNUMBER($D70),$D70&lt;FechaRef),"Vencida",IF(N($J70)&gt;0,"En curso","Pendiente"))))</f>
        <v/>
      </c>
      <c r="L70" s="56">
        <f>IF($N70="","",INDEX('Cronograma R. Financiero'!$O$5:$O$1000,$N70)&amp;"")</f>
        <v/>
      </c>
      <c r="M70" s="62">
        <f>IF($N70="","",INDEX('Cronograma R. Financiero'!$Q$5:$Q$1000,$N70)&amp;"")</f>
        <v/>
      </c>
      <c r="N70">
        <f>IFERROR(MATCH(ROW()-4,rOrden_RF,0),"")</f>
        <v/>
      </c>
      <c r="O70">
        <f>IF($N70="","",INDEX('Cronograma R. Financiero'!$V$5:$V$1000,$N70))</f>
        <v/>
      </c>
      <c r="P70">
        <f>IF($N70="","",N(INDEX('Cronograma R. Financiero'!$W$5:$W$1000,$N70)))</f>
        <v/>
      </c>
      <c r="Q70">
        <f>IF(OR(LEFT($L70,7)="Vencida",LEFT($L70,5)="Vence"),SUMPRODUCT(--(LEFT($L$5:$L70,7)="Vencida"))+SUMPRODUCT(--(LEFT($L$5:$L70,5)="Vence")),"")</f>
        <v/>
      </c>
    </row>
    <row r="71">
      <c r="A71" s="56">
        <f>IF($N71="","",INDEX('Cronograma R. Financiero'!$A$5:$A$1000,$N71))</f>
        <v/>
      </c>
      <c r="B71" s="62">
        <f>IF($N71="","",IF($O71="Sub","      ↳  "&amp;INDEX('Cronograma R. Financiero'!$C$5:$C$1000,$N71),INDEX('Cronograma R. Financiero'!$C$5:$C$1000,$N71)&amp;""))</f>
        <v/>
      </c>
      <c r="C71" s="79">
        <f>IF($N71="","",IF(INDEX('Cronograma R. Financiero'!$AR$5:$AR$1000,$N71)="","",INDEX('Cronograma R. Financiero'!$AR$5:$AR$1000,$N71)))</f>
        <v/>
      </c>
      <c r="D71" s="79">
        <f>IF($N71="","",IF(INDEX('Cronograma R. Financiero'!$AS$5:$AS$1000,$N71)="","",INDEX('Cronograma R. Financiero'!$AS$5:$AS$1000,$N71)))</f>
        <v/>
      </c>
      <c r="E71" s="56">
        <f>IF($N71="","",IF(NOT(ISNUMBER($D71)),"",IF($D71&lt;InicioCiclo,"Antes del ciclo",IF($D71&gt;=InicioCiclo+28,"Después del ciclo","Semana "&amp;(INT(($D71-InicioCiclo)/7)+1)))))</f>
        <v/>
      </c>
      <c r="F71" s="61">
        <f>IF($N71="","",IF($P71&gt;0,IF(1&lt;=SemanaActual,INDEX('Cronograma R. Financiero'!$AH$5:$AH$1000,$N71),""),IF(INDEX('Cronograma R. Financiero'!$I$5:$I$1000,$N71)="","",INDEX('Cronograma R. Financiero'!$I$5:$I$1000,$N71))))</f>
        <v/>
      </c>
      <c r="G71" s="61">
        <f>IF($N71="","",IF($P71&gt;0,IF(2&lt;=SemanaActual,INDEX('Cronograma R. Financiero'!$AI$5:$AI$1000,$N71),""),IF(INDEX('Cronograma R. Financiero'!$J$5:$J$1000,$N71)="","",INDEX('Cronograma R. Financiero'!$J$5:$J$1000,$N71))))</f>
        <v/>
      </c>
      <c r="H71" s="61">
        <f>IF($N71="","",IF($P71&gt;0,IF(3&lt;=SemanaActual,INDEX('Cronograma R. Financiero'!$AJ$5:$AJ$1000,$N71),""),IF(INDEX('Cronograma R. Financiero'!$K$5:$K$1000,$N71)="","",INDEX('Cronograma R. Financiero'!$K$5:$K$1000,$N71))))</f>
        <v/>
      </c>
      <c r="I71" s="61">
        <f>IF($N71="","",IF($P71&gt;0,IF(4&lt;=SemanaActual,INDEX('Cronograma R. Financiero'!$AK$5:$AK$1000,$N71),""),IF(INDEX('Cronograma R. Financiero'!$L$5:$L$1000,$N71)="","",INDEX('Cronograma R. Financiero'!$L$5:$L$1000,$N71))))</f>
        <v/>
      </c>
      <c r="J71" s="61">
        <f>IF($N71="","",INDEX('Cronograma R. Financiero'!$M$5:$M$1000,$N71))</f>
        <v/>
      </c>
      <c r="K71" s="56">
        <f>IF($N71="","",IF(N($J71)&gt;=1,"Completado",IF(AND(ISNUMBER($D71),$D71&lt;FechaRef),"Vencida",IF(N($J71)&gt;0,"En curso","Pendiente"))))</f>
        <v/>
      </c>
      <c r="L71" s="56">
        <f>IF($N71="","",INDEX('Cronograma R. Financiero'!$O$5:$O$1000,$N71)&amp;"")</f>
        <v/>
      </c>
      <c r="M71" s="62">
        <f>IF($N71="","",INDEX('Cronograma R. Financiero'!$Q$5:$Q$1000,$N71)&amp;"")</f>
        <v/>
      </c>
      <c r="N71">
        <f>IFERROR(MATCH(ROW()-4,rOrden_RF,0),"")</f>
        <v/>
      </c>
      <c r="O71">
        <f>IF($N71="","",INDEX('Cronograma R. Financiero'!$V$5:$V$1000,$N71))</f>
        <v/>
      </c>
      <c r="P71">
        <f>IF($N71="","",N(INDEX('Cronograma R. Financiero'!$W$5:$W$1000,$N71)))</f>
        <v/>
      </c>
      <c r="Q71">
        <f>IF(OR(LEFT($L71,7)="Vencida",LEFT($L71,5)="Vence"),SUMPRODUCT(--(LEFT($L$5:$L71,7)="Vencida"))+SUMPRODUCT(--(LEFT($L$5:$L71,5)="Vence")),"")</f>
        <v/>
      </c>
    </row>
    <row r="72">
      <c r="A72" s="56">
        <f>IF($N72="","",INDEX('Cronograma R. Financiero'!$A$5:$A$1000,$N72))</f>
        <v/>
      </c>
      <c r="B72" s="62">
        <f>IF($N72="","",IF($O72="Sub","      ↳  "&amp;INDEX('Cronograma R. Financiero'!$C$5:$C$1000,$N72),INDEX('Cronograma R. Financiero'!$C$5:$C$1000,$N72)&amp;""))</f>
        <v/>
      </c>
      <c r="C72" s="79">
        <f>IF($N72="","",IF(INDEX('Cronograma R. Financiero'!$AR$5:$AR$1000,$N72)="","",INDEX('Cronograma R. Financiero'!$AR$5:$AR$1000,$N72)))</f>
        <v/>
      </c>
      <c r="D72" s="79">
        <f>IF($N72="","",IF(INDEX('Cronograma R. Financiero'!$AS$5:$AS$1000,$N72)="","",INDEX('Cronograma R. Financiero'!$AS$5:$AS$1000,$N72)))</f>
        <v/>
      </c>
      <c r="E72" s="56">
        <f>IF($N72="","",IF(NOT(ISNUMBER($D72)),"",IF($D72&lt;InicioCiclo,"Antes del ciclo",IF($D72&gt;=InicioCiclo+28,"Después del ciclo","Semana "&amp;(INT(($D72-InicioCiclo)/7)+1)))))</f>
        <v/>
      </c>
      <c r="F72" s="61">
        <f>IF($N72="","",IF($P72&gt;0,IF(1&lt;=SemanaActual,INDEX('Cronograma R. Financiero'!$AH$5:$AH$1000,$N72),""),IF(INDEX('Cronograma R. Financiero'!$I$5:$I$1000,$N72)="","",INDEX('Cronograma R. Financiero'!$I$5:$I$1000,$N72))))</f>
        <v/>
      </c>
      <c r="G72" s="61">
        <f>IF($N72="","",IF($P72&gt;0,IF(2&lt;=SemanaActual,INDEX('Cronograma R. Financiero'!$AI$5:$AI$1000,$N72),""),IF(INDEX('Cronograma R. Financiero'!$J$5:$J$1000,$N72)="","",INDEX('Cronograma R. Financiero'!$J$5:$J$1000,$N72))))</f>
        <v/>
      </c>
      <c r="H72" s="61">
        <f>IF($N72="","",IF($P72&gt;0,IF(3&lt;=SemanaActual,INDEX('Cronograma R. Financiero'!$AJ$5:$AJ$1000,$N72),""),IF(INDEX('Cronograma R. Financiero'!$K$5:$K$1000,$N72)="","",INDEX('Cronograma R. Financiero'!$K$5:$K$1000,$N72))))</f>
        <v/>
      </c>
      <c r="I72" s="61">
        <f>IF($N72="","",IF($P72&gt;0,IF(4&lt;=SemanaActual,INDEX('Cronograma R. Financiero'!$AK$5:$AK$1000,$N72),""),IF(INDEX('Cronograma R. Financiero'!$L$5:$L$1000,$N72)="","",INDEX('Cronograma R. Financiero'!$L$5:$L$1000,$N72))))</f>
        <v/>
      </c>
      <c r="J72" s="61">
        <f>IF($N72="","",INDEX('Cronograma R. Financiero'!$M$5:$M$1000,$N72))</f>
        <v/>
      </c>
      <c r="K72" s="56">
        <f>IF($N72="","",IF(N($J72)&gt;=1,"Completado",IF(AND(ISNUMBER($D72),$D72&lt;FechaRef),"Vencida",IF(N($J72)&gt;0,"En curso","Pendiente"))))</f>
        <v/>
      </c>
      <c r="L72" s="56">
        <f>IF($N72="","",INDEX('Cronograma R. Financiero'!$O$5:$O$1000,$N72)&amp;"")</f>
        <v/>
      </c>
      <c r="M72" s="62">
        <f>IF($N72="","",INDEX('Cronograma R. Financiero'!$Q$5:$Q$1000,$N72)&amp;"")</f>
        <v/>
      </c>
      <c r="N72">
        <f>IFERROR(MATCH(ROW()-4,rOrden_RF,0),"")</f>
        <v/>
      </c>
      <c r="O72">
        <f>IF($N72="","",INDEX('Cronograma R. Financiero'!$V$5:$V$1000,$N72))</f>
        <v/>
      </c>
      <c r="P72">
        <f>IF($N72="","",N(INDEX('Cronograma R. Financiero'!$W$5:$W$1000,$N72)))</f>
        <v/>
      </c>
      <c r="Q72">
        <f>IF(OR(LEFT($L72,7)="Vencida",LEFT($L72,5)="Vence"),SUMPRODUCT(--(LEFT($L$5:$L72,7)="Vencida"))+SUMPRODUCT(--(LEFT($L$5:$L72,5)="Vence")),"")</f>
        <v/>
      </c>
    </row>
    <row r="73">
      <c r="A73" s="56">
        <f>IF($N73="","",INDEX('Cronograma R. Financiero'!$A$5:$A$1000,$N73))</f>
        <v/>
      </c>
      <c r="B73" s="62">
        <f>IF($N73="","",IF($O73="Sub","      ↳  "&amp;INDEX('Cronograma R. Financiero'!$C$5:$C$1000,$N73),INDEX('Cronograma R. Financiero'!$C$5:$C$1000,$N73)&amp;""))</f>
        <v/>
      </c>
      <c r="C73" s="79">
        <f>IF($N73="","",IF(INDEX('Cronograma R. Financiero'!$AR$5:$AR$1000,$N73)="","",INDEX('Cronograma R. Financiero'!$AR$5:$AR$1000,$N73)))</f>
        <v/>
      </c>
      <c r="D73" s="79">
        <f>IF($N73="","",IF(INDEX('Cronograma R. Financiero'!$AS$5:$AS$1000,$N73)="","",INDEX('Cronograma R. Financiero'!$AS$5:$AS$1000,$N73)))</f>
        <v/>
      </c>
      <c r="E73" s="56">
        <f>IF($N73="","",IF(NOT(ISNUMBER($D73)),"",IF($D73&lt;InicioCiclo,"Antes del ciclo",IF($D73&gt;=InicioCiclo+28,"Después del ciclo","Semana "&amp;(INT(($D73-InicioCiclo)/7)+1)))))</f>
        <v/>
      </c>
      <c r="F73" s="61">
        <f>IF($N73="","",IF($P73&gt;0,IF(1&lt;=SemanaActual,INDEX('Cronograma R. Financiero'!$AH$5:$AH$1000,$N73),""),IF(INDEX('Cronograma R. Financiero'!$I$5:$I$1000,$N73)="","",INDEX('Cronograma R. Financiero'!$I$5:$I$1000,$N73))))</f>
        <v/>
      </c>
      <c r="G73" s="61">
        <f>IF($N73="","",IF($P73&gt;0,IF(2&lt;=SemanaActual,INDEX('Cronograma R. Financiero'!$AI$5:$AI$1000,$N73),""),IF(INDEX('Cronograma R. Financiero'!$J$5:$J$1000,$N73)="","",INDEX('Cronograma R. Financiero'!$J$5:$J$1000,$N73))))</f>
        <v/>
      </c>
      <c r="H73" s="61">
        <f>IF($N73="","",IF($P73&gt;0,IF(3&lt;=SemanaActual,INDEX('Cronograma R. Financiero'!$AJ$5:$AJ$1000,$N73),""),IF(INDEX('Cronograma R. Financiero'!$K$5:$K$1000,$N73)="","",INDEX('Cronograma R. Financiero'!$K$5:$K$1000,$N73))))</f>
        <v/>
      </c>
      <c r="I73" s="61">
        <f>IF($N73="","",IF($P73&gt;0,IF(4&lt;=SemanaActual,INDEX('Cronograma R. Financiero'!$AK$5:$AK$1000,$N73),""),IF(INDEX('Cronograma R. Financiero'!$L$5:$L$1000,$N73)="","",INDEX('Cronograma R. Financiero'!$L$5:$L$1000,$N73))))</f>
        <v/>
      </c>
      <c r="J73" s="61">
        <f>IF($N73="","",INDEX('Cronograma R. Financiero'!$M$5:$M$1000,$N73))</f>
        <v/>
      </c>
      <c r="K73" s="56">
        <f>IF($N73="","",IF(N($J73)&gt;=1,"Completado",IF(AND(ISNUMBER($D73),$D73&lt;FechaRef),"Vencida",IF(N($J73)&gt;0,"En curso","Pendiente"))))</f>
        <v/>
      </c>
      <c r="L73" s="56">
        <f>IF($N73="","",INDEX('Cronograma R. Financiero'!$O$5:$O$1000,$N73)&amp;"")</f>
        <v/>
      </c>
      <c r="M73" s="62">
        <f>IF($N73="","",INDEX('Cronograma R. Financiero'!$Q$5:$Q$1000,$N73)&amp;"")</f>
        <v/>
      </c>
      <c r="N73">
        <f>IFERROR(MATCH(ROW()-4,rOrden_RF,0),"")</f>
        <v/>
      </c>
      <c r="O73">
        <f>IF($N73="","",INDEX('Cronograma R. Financiero'!$V$5:$V$1000,$N73))</f>
        <v/>
      </c>
      <c r="P73">
        <f>IF($N73="","",N(INDEX('Cronograma R. Financiero'!$W$5:$W$1000,$N73)))</f>
        <v/>
      </c>
      <c r="Q73">
        <f>IF(OR(LEFT($L73,7)="Vencida",LEFT($L73,5)="Vence"),SUMPRODUCT(--(LEFT($L$5:$L73,7)="Vencida"))+SUMPRODUCT(--(LEFT($L$5:$L73,5)="Vence")),"")</f>
        <v/>
      </c>
    </row>
    <row r="74">
      <c r="A74" s="56">
        <f>IF($N74="","",INDEX('Cronograma R. Financiero'!$A$5:$A$1000,$N74))</f>
        <v/>
      </c>
      <c r="B74" s="62">
        <f>IF($N74="","",IF($O74="Sub","      ↳  "&amp;INDEX('Cronograma R. Financiero'!$C$5:$C$1000,$N74),INDEX('Cronograma R. Financiero'!$C$5:$C$1000,$N74)&amp;""))</f>
        <v/>
      </c>
      <c r="C74" s="79">
        <f>IF($N74="","",IF(INDEX('Cronograma R. Financiero'!$AR$5:$AR$1000,$N74)="","",INDEX('Cronograma R. Financiero'!$AR$5:$AR$1000,$N74)))</f>
        <v/>
      </c>
      <c r="D74" s="79">
        <f>IF($N74="","",IF(INDEX('Cronograma R. Financiero'!$AS$5:$AS$1000,$N74)="","",INDEX('Cronograma R. Financiero'!$AS$5:$AS$1000,$N74)))</f>
        <v/>
      </c>
      <c r="E74" s="56">
        <f>IF($N74="","",IF(NOT(ISNUMBER($D74)),"",IF($D74&lt;InicioCiclo,"Antes del ciclo",IF($D74&gt;=InicioCiclo+28,"Después del ciclo","Semana "&amp;(INT(($D74-InicioCiclo)/7)+1)))))</f>
        <v/>
      </c>
      <c r="F74" s="61">
        <f>IF($N74="","",IF($P74&gt;0,IF(1&lt;=SemanaActual,INDEX('Cronograma R. Financiero'!$AH$5:$AH$1000,$N74),""),IF(INDEX('Cronograma R. Financiero'!$I$5:$I$1000,$N74)="","",INDEX('Cronograma R. Financiero'!$I$5:$I$1000,$N74))))</f>
        <v/>
      </c>
      <c r="G74" s="61">
        <f>IF($N74="","",IF($P74&gt;0,IF(2&lt;=SemanaActual,INDEX('Cronograma R. Financiero'!$AI$5:$AI$1000,$N74),""),IF(INDEX('Cronograma R. Financiero'!$J$5:$J$1000,$N74)="","",INDEX('Cronograma R. Financiero'!$J$5:$J$1000,$N74))))</f>
        <v/>
      </c>
      <c r="H74" s="61">
        <f>IF($N74="","",IF($P74&gt;0,IF(3&lt;=SemanaActual,INDEX('Cronograma R. Financiero'!$AJ$5:$AJ$1000,$N74),""),IF(INDEX('Cronograma R. Financiero'!$K$5:$K$1000,$N74)="","",INDEX('Cronograma R. Financiero'!$K$5:$K$1000,$N74))))</f>
        <v/>
      </c>
      <c r="I74" s="61">
        <f>IF($N74="","",IF($P74&gt;0,IF(4&lt;=SemanaActual,INDEX('Cronograma R. Financiero'!$AK$5:$AK$1000,$N74),""),IF(INDEX('Cronograma R. Financiero'!$L$5:$L$1000,$N74)="","",INDEX('Cronograma R. Financiero'!$L$5:$L$1000,$N74))))</f>
        <v/>
      </c>
      <c r="J74" s="61">
        <f>IF($N74="","",INDEX('Cronograma R. Financiero'!$M$5:$M$1000,$N74))</f>
        <v/>
      </c>
      <c r="K74" s="56">
        <f>IF($N74="","",IF(N($J74)&gt;=1,"Completado",IF(AND(ISNUMBER($D74),$D74&lt;FechaRef),"Vencida",IF(N($J74)&gt;0,"En curso","Pendiente"))))</f>
        <v/>
      </c>
      <c r="L74" s="56">
        <f>IF($N74="","",INDEX('Cronograma R. Financiero'!$O$5:$O$1000,$N74)&amp;"")</f>
        <v/>
      </c>
      <c r="M74" s="62">
        <f>IF($N74="","",INDEX('Cronograma R. Financiero'!$Q$5:$Q$1000,$N74)&amp;"")</f>
        <v/>
      </c>
      <c r="N74">
        <f>IFERROR(MATCH(ROW()-4,rOrden_RF,0),"")</f>
        <v/>
      </c>
      <c r="O74">
        <f>IF($N74="","",INDEX('Cronograma R. Financiero'!$V$5:$V$1000,$N74))</f>
        <v/>
      </c>
      <c r="P74">
        <f>IF($N74="","",N(INDEX('Cronograma R. Financiero'!$W$5:$W$1000,$N74)))</f>
        <v/>
      </c>
      <c r="Q74">
        <f>IF(OR(LEFT($L74,7)="Vencida",LEFT($L74,5)="Vence"),SUMPRODUCT(--(LEFT($L$5:$L74,7)="Vencida"))+SUMPRODUCT(--(LEFT($L$5:$L74,5)="Vence")),"")</f>
        <v/>
      </c>
    </row>
    <row r="75">
      <c r="A75" s="56">
        <f>IF($N75="","",INDEX('Cronograma R. Financiero'!$A$5:$A$1000,$N75))</f>
        <v/>
      </c>
      <c r="B75" s="62">
        <f>IF($N75="","",IF($O75="Sub","      ↳  "&amp;INDEX('Cronograma R. Financiero'!$C$5:$C$1000,$N75),INDEX('Cronograma R. Financiero'!$C$5:$C$1000,$N75)&amp;""))</f>
        <v/>
      </c>
      <c r="C75" s="79">
        <f>IF($N75="","",IF(INDEX('Cronograma R. Financiero'!$AR$5:$AR$1000,$N75)="","",INDEX('Cronograma R. Financiero'!$AR$5:$AR$1000,$N75)))</f>
        <v/>
      </c>
      <c r="D75" s="79">
        <f>IF($N75="","",IF(INDEX('Cronograma R. Financiero'!$AS$5:$AS$1000,$N75)="","",INDEX('Cronograma R. Financiero'!$AS$5:$AS$1000,$N75)))</f>
        <v/>
      </c>
      <c r="E75" s="56">
        <f>IF($N75="","",IF(NOT(ISNUMBER($D75)),"",IF($D75&lt;InicioCiclo,"Antes del ciclo",IF($D75&gt;=InicioCiclo+28,"Después del ciclo","Semana "&amp;(INT(($D75-InicioCiclo)/7)+1)))))</f>
        <v/>
      </c>
      <c r="F75" s="61">
        <f>IF($N75="","",IF($P75&gt;0,IF(1&lt;=SemanaActual,INDEX('Cronograma R. Financiero'!$AH$5:$AH$1000,$N75),""),IF(INDEX('Cronograma R. Financiero'!$I$5:$I$1000,$N75)="","",INDEX('Cronograma R. Financiero'!$I$5:$I$1000,$N75))))</f>
        <v/>
      </c>
      <c r="G75" s="61">
        <f>IF($N75="","",IF($P75&gt;0,IF(2&lt;=SemanaActual,INDEX('Cronograma R. Financiero'!$AI$5:$AI$1000,$N75),""),IF(INDEX('Cronograma R. Financiero'!$J$5:$J$1000,$N75)="","",INDEX('Cronograma R. Financiero'!$J$5:$J$1000,$N75))))</f>
        <v/>
      </c>
      <c r="H75" s="61">
        <f>IF($N75="","",IF($P75&gt;0,IF(3&lt;=SemanaActual,INDEX('Cronograma R. Financiero'!$AJ$5:$AJ$1000,$N75),""),IF(INDEX('Cronograma R. Financiero'!$K$5:$K$1000,$N75)="","",INDEX('Cronograma R. Financiero'!$K$5:$K$1000,$N75))))</f>
        <v/>
      </c>
      <c r="I75" s="61">
        <f>IF($N75="","",IF($P75&gt;0,IF(4&lt;=SemanaActual,INDEX('Cronograma R. Financiero'!$AK$5:$AK$1000,$N75),""),IF(INDEX('Cronograma R. Financiero'!$L$5:$L$1000,$N75)="","",INDEX('Cronograma R. Financiero'!$L$5:$L$1000,$N75))))</f>
        <v/>
      </c>
      <c r="J75" s="61">
        <f>IF($N75="","",INDEX('Cronograma R. Financiero'!$M$5:$M$1000,$N75))</f>
        <v/>
      </c>
      <c r="K75" s="56">
        <f>IF($N75="","",IF(N($J75)&gt;=1,"Completado",IF(AND(ISNUMBER($D75),$D75&lt;FechaRef),"Vencida",IF(N($J75)&gt;0,"En curso","Pendiente"))))</f>
        <v/>
      </c>
      <c r="L75" s="56">
        <f>IF($N75="","",INDEX('Cronograma R. Financiero'!$O$5:$O$1000,$N75)&amp;"")</f>
        <v/>
      </c>
      <c r="M75" s="62">
        <f>IF($N75="","",INDEX('Cronograma R. Financiero'!$Q$5:$Q$1000,$N75)&amp;"")</f>
        <v/>
      </c>
      <c r="N75">
        <f>IFERROR(MATCH(ROW()-4,rOrden_RF,0),"")</f>
        <v/>
      </c>
      <c r="O75">
        <f>IF($N75="","",INDEX('Cronograma R. Financiero'!$V$5:$V$1000,$N75))</f>
        <v/>
      </c>
      <c r="P75">
        <f>IF($N75="","",N(INDEX('Cronograma R. Financiero'!$W$5:$W$1000,$N75)))</f>
        <v/>
      </c>
      <c r="Q75">
        <f>IF(OR(LEFT($L75,7)="Vencida",LEFT($L75,5)="Vence"),SUMPRODUCT(--(LEFT($L$5:$L75,7)="Vencida"))+SUMPRODUCT(--(LEFT($L$5:$L75,5)="Vence")),"")</f>
        <v/>
      </c>
    </row>
    <row r="76">
      <c r="A76" s="56">
        <f>IF($N76="","",INDEX('Cronograma R. Financiero'!$A$5:$A$1000,$N76))</f>
        <v/>
      </c>
      <c r="B76" s="62">
        <f>IF($N76="","",IF($O76="Sub","      ↳  "&amp;INDEX('Cronograma R. Financiero'!$C$5:$C$1000,$N76),INDEX('Cronograma R. Financiero'!$C$5:$C$1000,$N76)&amp;""))</f>
        <v/>
      </c>
      <c r="C76" s="79">
        <f>IF($N76="","",IF(INDEX('Cronograma R. Financiero'!$AR$5:$AR$1000,$N76)="","",INDEX('Cronograma R. Financiero'!$AR$5:$AR$1000,$N76)))</f>
        <v/>
      </c>
      <c r="D76" s="79">
        <f>IF($N76="","",IF(INDEX('Cronograma R. Financiero'!$AS$5:$AS$1000,$N76)="","",INDEX('Cronograma R. Financiero'!$AS$5:$AS$1000,$N76)))</f>
        <v/>
      </c>
      <c r="E76" s="56">
        <f>IF($N76="","",IF(NOT(ISNUMBER($D76)),"",IF($D76&lt;InicioCiclo,"Antes del ciclo",IF($D76&gt;=InicioCiclo+28,"Después del ciclo","Semana "&amp;(INT(($D76-InicioCiclo)/7)+1)))))</f>
        <v/>
      </c>
      <c r="F76" s="61">
        <f>IF($N76="","",IF($P76&gt;0,IF(1&lt;=SemanaActual,INDEX('Cronograma R. Financiero'!$AH$5:$AH$1000,$N76),""),IF(INDEX('Cronograma R. Financiero'!$I$5:$I$1000,$N76)="","",INDEX('Cronograma R. Financiero'!$I$5:$I$1000,$N76))))</f>
        <v/>
      </c>
      <c r="G76" s="61">
        <f>IF($N76="","",IF($P76&gt;0,IF(2&lt;=SemanaActual,INDEX('Cronograma R. Financiero'!$AI$5:$AI$1000,$N76),""),IF(INDEX('Cronograma R. Financiero'!$J$5:$J$1000,$N76)="","",INDEX('Cronograma R. Financiero'!$J$5:$J$1000,$N76))))</f>
        <v/>
      </c>
      <c r="H76" s="61">
        <f>IF($N76="","",IF($P76&gt;0,IF(3&lt;=SemanaActual,INDEX('Cronograma R. Financiero'!$AJ$5:$AJ$1000,$N76),""),IF(INDEX('Cronograma R. Financiero'!$K$5:$K$1000,$N76)="","",INDEX('Cronograma R. Financiero'!$K$5:$K$1000,$N76))))</f>
        <v/>
      </c>
      <c r="I76" s="61">
        <f>IF($N76="","",IF($P76&gt;0,IF(4&lt;=SemanaActual,INDEX('Cronograma R. Financiero'!$AK$5:$AK$1000,$N76),""),IF(INDEX('Cronograma R. Financiero'!$L$5:$L$1000,$N76)="","",INDEX('Cronograma R. Financiero'!$L$5:$L$1000,$N76))))</f>
        <v/>
      </c>
      <c r="J76" s="61">
        <f>IF($N76="","",INDEX('Cronograma R. Financiero'!$M$5:$M$1000,$N76))</f>
        <v/>
      </c>
      <c r="K76" s="56">
        <f>IF($N76="","",IF(N($J76)&gt;=1,"Completado",IF(AND(ISNUMBER($D76),$D76&lt;FechaRef),"Vencida",IF(N($J76)&gt;0,"En curso","Pendiente"))))</f>
        <v/>
      </c>
      <c r="L76" s="56">
        <f>IF($N76="","",INDEX('Cronograma R. Financiero'!$O$5:$O$1000,$N76)&amp;"")</f>
        <v/>
      </c>
      <c r="M76" s="62">
        <f>IF($N76="","",INDEX('Cronograma R. Financiero'!$Q$5:$Q$1000,$N76)&amp;"")</f>
        <v/>
      </c>
      <c r="N76">
        <f>IFERROR(MATCH(ROW()-4,rOrden_RF,0),"")</f>
        <v/>
      </c>
      <c r="O76">
        <f>IF($N76="","",INDEX('Cronograma R. Financiero'!$V$5:$V$1000,$N76))</f>
        <v/>
      </c>
      <c r="P76">
        <f>IF($N76="","",N(INDEX('Cronograma R. Financiero'!$W$5:$W$1000,$N76)))</f>
        <v/>
      </c>
      <c r="Q76">
        <f>IF(OR(LEFT($L76,7)="Vencida",LEFT($L76,5)="Vence"),SUMPRODUCT(--(LEFT($L$5:$L76,7)="Vencida"))+SUMPRODUCT(--(LEFT($L$5:$L76,5)="Vence")),"")</f>
        <v/>
      </c>
    </row>
    <row r="77">
      <c r="A77" s="56">
        <f>IF($N77="","",INDEX('Cronograma R. Financiero'!$A$5:$A$1000,$N77))</f>
        <v/>
      </c>
      <c r="B77" s="62">
        <f>IF($N77="","",IF($O77="Sub","      ↳  "&amp;INDEX('Cronograma R. Financiero'!$C$5:$C$1000,$N77),INDEX('Cronograma R. Financiero'!$C$5:$C$1000,$N77)&amp;""))</f>
        <v/>
      </c>
      <c r="C77" s="79">
        <f>IF($N77="","",IF(INDEX('Cronograma R. Financiero'!$AR$5:$AR$1000,$N77)="","",INDEX('Cronograma R. Financiero'!$AR$5:$AR$1000,$N77)))</f>
        <v/>
      </c>
      <c r="D77" s="79">
        <f>IF($N77="","",IF(INDEX('Cronograma R. Financiero'!$AS$5:$AS$1000,$N77)="","",INDEX('Cronograma R. Financiero'!$AS$5:$AS$1000,$N77)))</f>
        <v/>
      </c>
      <c r="E77" s="56">
        <f>IF($N77="","",IF(NOT(ISNUMBER($D77)),"",IF($D77&lt;InicioCiclo,"Antes del ciclo",IF($D77&gt;=InicioCiclo+28,"Después del ciclo","Semana "&amp;(INT(($D77-InicioCiclo)/7)+1)))))</f>
        <v/>
      </c>
      <c r="F77" s="61">
        <f>IF($N77="","",IF($P77&gt;0,IF(1&lt;=SemanaActual,INDEX('Cronograma R. Financiero'!$AH$5:$AH$1000,$N77),""),IF(INDEX('Cronograma R. Financiero'!$I$5:$I$1000,$N77)="","",INDEX('Cronograma R. Financiero'!$I$5:$I$1000,$N77))))</f>
        <v/>
      </c>
      <c r="G77" s="61">
        <f>IF($N77="","",IF($P77&gt;0,IF(2&lt;=SemanaActual,INDEX('Cronograma R. Financiero'!$AI$5:$AI$1000,$N77),""),IF(INDEX('Cronograma R. Financiero'!$J$5:$J$1000,$N77)="","",INDEX('Cronograma R. Financiero'!$J$5:$J$1000,$N77))))</f>
        <v/>
      </c>
      <c r="H77" s="61">
        <f>IF($N77="","",IF($P77&gt;0,IF(3&lt;=SemanaActual,INDEX('Cronograma R. Financiero'!$AJ$5:$AJ$1000,$N77),""),IF(INDEX('Cronograma R. Financiero'!$K$5:$K$1000,$N77)="","",INDEX('Cronograma R. Financiero'!$K$5:$K$1000,$N77))))</f>
        <v/>
      </c>
      <c r="I77" s="61">
        <f>IF($N77="","",IF($P77&gt;0,IF(4&lt;=SemanaActual,INDEX('Cronograma R. Financiero'!$AK$5:$AK$1000,$N77),""),IF(INDEX('Cronograma R. Financiero'!$L$5:$L$1000,$N77)="","",INDEX('Cronograma R. Financiero'!$L$5:$L$1000,$N77))))</f>
        <v/>
      </c>
      <c r="J77" s="61">
        <f>IF($N77="","",INDEX('Cronograma R. Financiero'!$M$5:$M$1000,$N77))</f>
        <v/>
      </c>
      <c r="K77" s="56">
        <f>IF($N77="","",IF(N($J77)&gt;=1,"Completado",IF(AND(ISNUMBER($D77),$D77&lt;FechaRef),"Vencida",IF(N($J77)&gt;0,"En curso","Pendiente"))))</f>
        <v/>
      </c>
      <c r="L77" s="56">
        <f>IF($N77="","",INDEX('Cronograma R. Financiero'!$O$5:$O$1000,$N77)&amp;"")</f>
        <v/>
      </c>
      <c r="M77" s="62">
        <f>IF($N77="","",INDEX('Cronograma R. Financiero'!$Q$5:$Q$1000,$N77)&amp;"")</f>
        <v/>
      </c>
      <c r="N77">
        <f>IFERROR(MATCH(ROW()-4,rOrden_RF,0),"")</f>
        <v/>
      </c>
      <c r="O77">
        <f>IF($N77="","",INDEX('Cronograma R. Financiero'!$V$5:$V$1000,$N77))</f>
        <v/>
      </c>
      <c r="P77">
        <f>IF($N77="","",N(INDEX('Cronograma R. Financiero'!$W$5:$W$1000,$N77)))</f>
        <v/>
      </c>
      <c r="Q77">
        <f>IF(OR(LEFT($L77,7)="Vencida",LEFT($L77,5)="Vence"),SUMPRODUCT(--(LEFT($L$5:$L77,7)="Vencida"))+SUMPRODUCT(--(LEFT($L$5:$L77,5)="Vence")),"")</f>
        <v/>
      </c>
    </row>
    <row r="78">
      <c r="A78" s="56">
        <f>IF($N78="","",INDEX('Cronograma R. Financiero'!$A$5:$A$1000,$N78))</f>
        <v/>
      </c>
      <c r="B78" s="62">
        <f>IF($N78="","",IF($O78="Sub","      ↳  "&amp;INDEX('Cronograma R. Financiero'!$C$5:$C$1000,$N78),INDEX('Cronograma R. Financiero'!$C$5:$C$1000,$N78)&amp;""))</f>
        <v/>
      </c>
      <c r="C78" s="79">
        <f>IF($N78="","",IF(INDEX('Cronograma R. Financiero'!$AR$5:$AR$1000,$N78)="","",INDEX('Cronograma R. Financiero'!$AR$5:$AR$1000,$N78)))</f>
        <v/>
      </c>
      <c r="D78" s="79">
        <f>IF($N78="","",IF(INDEX('Cronograma R. Financiero'!$AS$5:$AS$1000,$N78)="","",INDEX('Cronograma R. Financiero'!$AS$5:$AS$1000,$N78)))</f>
        <v/>
      </c>
      <c r="E78" s="56">
        <f>IF($N78="","",IF(NOT(ISNUMBER($D78)),"",IF($D78&lt;InicioCiclo,"Antes del ciclo",IF($D78&gt;=InicioCiclo+28,"Después del ciclo","Semana "&amp;(INT(($D78-InicioCiclo)/7)+1)))))</f>
        <v/>
      </c>
      <c r="F78" s="61">
        <f>IF($N78="","",IF($P78&gt;0,IF(1&lt;=SemanaActual,INDEX('Cronograma R. Financiero'!$AH$5:$AH$1000,$N78),""),IF(INDEX('Cronograma R. Financiero'!$I$5:$I$1000,$N78)="","",INDEX('Cronograma R. Financiero'!$I$5:$I$1000,$N78))))</f>
        <v/>
      </c>
      <c r="G78" s="61">
        <f>IF($N78="","",IF($P78&gt;0,IF(2&lt;=SemanaActual,INDEX('Cronograma R. Financiero'!$AI$5:$AI$1000,$N78),""),IF(INDEX('Cronograma R. Financiero'!$J$5:$J$1000,$N78)="","",INDEX('Cronograma R. Financiero'!$J$5:$J$1000,$N78))))</f>
        <v/>
      </c>
      <c r="H78" s="61">
        <f>IF($N78="","",IF($P78&gt;0,IF(3&lt;=SemanaActual,INDEX('Cronograma R. Financiero'!$AJ$5:$AJ$1000,$N78),""),IF(INDEX('Cronograma R. Financiero'!$K$5:$K$1000,$N78)="","",INDEX('Cronograma R. Financiero'!$K$5:$K$1000,$N78))))</f>
        <v/>
      </c>
      <c r="I78" s="61">
        <f>IF($N78="","",IF($P78&gt;0,IF(4&lt;=SemanaActual,INDEX('Cronograma R. Financiero'!$AK$5:$AK$1000,$N78),""),IF(INDEX('Cronograma R. Financiero'!$L$5:$L$1000,$N78)="","",INDEX('Cronograma R. Financiero'!$L$5:$L$1000,$N78))))</f>
        <v/>
      </c>
      <c r="J78" s="61">
        <f>IF($N78="","",INDEX('Cronograma R. Financiero'!$M$5:$M$1000,$N78))</f>
        <v/>
      </c>
      <c r="K78" s="56">
        <f>IF($N78="","",IF(N($J78)&gt;=1,"Completado",IF(AND(ISNUMBER($D78),$D78&lt;FechaRef),"Vencida",IF(N($J78)&gt;0,"En curso","Pendiente"))))</f>
        <v/>
      </c>
      <c r="L78" s="56">
        <f>IF($N78="","",INDEX('Cronograma R. Financiero'!$O$5:$O$1000,$N78)&amp;"")</f>
        <v/>
      </c>
      <c r="M78" s="62">
        <f>IF($N78="","",INDEX('Cronograma R. Financiero'!$Q$5:$Q$1000,$N78)&amp;"")</f>
        <v/>
      </c>
      <c r="N78">
        <f>IFERROR(MATCH(ROW()-4,rOrden_RF,0),"")</f>
        <v/>
      </c>
      <c r="O78">
        <f>IF($N78="","",INDEX('Cronograma R. Financiero'!$V$5:$V$1000,$N78))</f>
        <v/>
      </c>
      <c r="P78">
        <f>IF($N78="","",N(INDEX('Cronograma R. Financiero'!$W$5:$W$1000,$N78)))</f>
        <v/>
      </c>
      <c r="Q78">
        <f>IF(OR(LEFT($L78,7)="Vencida",LEFT($L78,5)="Vence"),SUMPRODUCT(--(LEFT($L$5:$L78,7)="Vencida"))+SUMPRODUCT(--(LEFT($L$5:$L78,5)="Vence")),"")</f>
        <v/>
      </c>
    </row>
    <row r="79">
      <c r="A79" s="56">
        <f>IF($N79="","",INDEX('Cronograma R. Financiero'!$A$5:$A$1000,$N79))</f>
        <v/>
      </c>
      <c r="B79" s="62">
        <f>IF($N79="","",IF($O79="Sub","      ↳  "&amp;INDEX('Cronograma R. Financiero'!$C$5:$C$1000,$N79),INDEX('Cronograma R. Financiero'!$C$5:$C$1000,$N79)&amp;""))</f>
        <v/>
      </c>
      <c r="C79" s="79">
        <f>IF($N79="","",IF(INDEX('Cronograma R. Financiero'!$AR$5:$AR$1000,$N79)="","",INDEX('Cronograma R. Financiero'!$AR$5:$AR$1000,$N79)))</f>
        <v/>
      </c>
      <c r="D79" s="79">
        <f>IF($N79="","",IF(INDEX('Cronograma R. Financiero'!$AS$5:$AS$1000,$N79)="","",INDEX('Cronograma R. Financiero'!$AS$5:$AS$1000,$N79)))</f>
        <v/>
      </c>
      <c r="E79" s="56">
        <f>IF($N79="","",IF(NOT(ISNUMBER($D79)),"",IF($D79&lt;InicioCiclo,"Antes del ciclo",IF($D79&gt;=InicioCiclo+28,"Después del ciclo","Semana "&amp;(INT(($D79-InicioCiclo)/7)+1)))))</f>
        <v/>
      </c>
      <c r="F79" s="61">
        <f>IF($N79="","",IF($P79&gt;0,IF(1&lt;=SemanaActual,INDEX('Cronograma R. Financiero'!$AH$5:$AH$1000,$N79),""),IF(INDEX('Cronograma R. Financiero'!$I$5:$I$1000,$N79)="","",INDEX('Cronograma R. Financiero'!$I$5:$I$1000,$N79))))</f>
        <v/>
      </c>
      <c r="G79" s="61">
        <f>IF($N79="","",IF($P79&gt;0,IF(2&lt;=SemanaActual,INDEX('Cronograma R. Financiero'!$AI$5:$AI$1000,$N79),""),IF(INDEX('Cronograma R. Financiero'!$J$5:$J$1000,$N79)="","",INDEX('Cronograma R. Financiero'!$J$5:$J$1000,$N79))))</f>
        <v/>
      </c>
      <c r="H79" s="61">
        <f>IF($N79="","",IF($P79&gt;0,IF(3&lt;=SemanaActual,INDEX('Cronograma R. Financiero'!$AJ$5:$AJ$1000,$N79),""),IF(INDEX('Cronograma R. Financiero'!$K$5:$K$1000,$N79)="","",INDEX('Cronograma R. Financiero'!$K$5:$K$1000,$N79))))</f>
        <v/>
      </c>
      <c r="I79" s="61">
        <f>IF($N79="","",IF($P79&gt;0,IF(4&lt;=SemanaActual,INDEX('Cronograma R. Financiero'!$AK$5:$AK$1000,$N79),""),IF(INDEX('Cronograma R. Financiero'!$L$5:$L$1000,$N79)="","",INDEX('Cronograma R. Financiero'!$L$5:$L$1000,$N79))))</f>
        <v/>
      </c>
      <c r="J79" s="61">
        <f>IF($N79="","",INDEX('Cronograma R. Financiero'!$M$5:$M$1000,$N79))</f>
        <v/>
      </c>
      <c r="K79" s="56">
        <f>IF($N79="","",IF(N($J79)&gt;=1,"Completado",IF(AND(ISNUMBER($D79),$D79&lt;FechaRef),"Vencida",IF(N($J79)&gt;0,"En curso","Pendiente"))))</f>
        <v/>
      </c>
      <c r="L79" s="56">
        <f>IF($N79="","",INDEX('Cronograma R. Financiero'!$O$5:$O$1000,$N79)&amp;"")</f>
        <v/>
      </c>
      <c r="M79" s="62">
        <f>IF($N79="","",INDEX('Cronograma R. Financiero'!$Q$5:$Q$1000,$N79)&amp;"")</f>
        <v/>
      </c>
      <c r="N79">
        <f>IFERROR(MATCH(ROW()-4,rOrden_RF,0),"")</f>
        <v/>
      </c>
      <c r="O79">
        <f>IF($N79="","",INDEX('Cronograma R. Financiero'!$V$5:$V$1000,$N79))</f>
        <v/>
      </c>
      <c r="P79">
        <f>IF($N79="","",N(INDEX('Cronograma R. Financiero'!$W$5:$W$1000,$N79)))</f>
        <v/>
      </c>
      <c r="Q79">
        <f>IF(OR(LEFT($L79,7)="Vencida",LEFT($L79,5)="Vence"),SUMPRODUCT(--(LEFT($L$5:$L79,7)="Vencida"))+SUMPRODUCT(--(LEFT($L$5:$L79,5)="Vence")),"")</f>
        <v/>
      </c>
    </row>
    <row r="80">
      <c r="A80" s="56">
        <f>IF($N80="","",INDEX('Cronograma R. Financiero'!$A$5:$A$1000,$N80))</f>
        <v/>
      </c>
      <c r="B80" s="62">
        <f>IF($N80="","",IF($O80="Sub","      ↳  "&amp;INDEX('Cronograma R. Financiero'!$C$5:$C$1000,$N80),INDEX('Cronograma R. Financiero'!$C$5:$C$1000,$N80)&amp;""))</f>
        <v/>
      </c>
      <c r="C80" s="79">
        <f>IF($N80="","",IF(INDEX('Cronograma R. Financiero'!$AR$5:$AR$1000,$N80)="","",INDEX('Cronograma R. Financiero'!$AR$5:$AR$1000,$N80)))</f>
        <v/>
      </c>
      <c r="D80" s="79">
        <f>IF($N80="","",IF(INDEX('Cronograma R. Financiero'!$AS$5:$AS$1000,$N80)="","",INDEX('Cronograma R. Financiero'!$AS$5:$AS$1000,$N80)))</f>
        <v/>
      </c>
      <c r="E80" s="56">
        <f>IF($N80="","",IF(NOT(ISNUMBER($D80)),"",IF($D80&lt;InicioCiclo,"Antes del ciclo",IF($D80&gt;=InicioCiclo+28,"Después del ciclo","Semana "&amp;(INT(($D80-InicioCiclo)/7)+1)))))</f>
        <v/>
      </c>
      <c r="F80" s="61">
        <f>IF($N80="","",IF($P80&gt;0,IF(1&lt;=SemanaActual,INDEX('Cronograma R. Financiero'!$AH$5:$AH$1000,$N80),""),IF(INDEX('Cronograma R. Financiero'!$I$5:$I$1000,$N80)="","",INDEX('Cronograma R. Financiero'!$I$5:$I$1000,$N80))))</f>
        <v/>
      </c>
      <c r="G80" s="61">
        <f>IF($N80="","",IF($P80&gt;0,IF(2&lt;=SemanaActual,INDEX('Cronograma R. Financiero'!$AI$5:$AI$1000,$N80),""),IF(INDEX('Cronograma R. Financiero'!$J$5:$J$1000,$N80)="","",INDEX('Cronograma R. Financiero'!$J$5:$J$1000,$N80))))</f>
        <v/>
      </c>
      <c r="H80" s="61">
        <f>IF($N80="","",IF($P80&gt;0,IF(3&lt;=SemanaActual,INDEX('Cronograma R. Financiero'!$AJ$5:$AJ$1000,$N80),""),IF(INDEX('Cronograma R. Financiero'!$K$5:$K$1000,$N80)="","",INDEX('Cronograma R. Financiero'!$K$5:$K$1000,$N80))))</f>
        <v/>
      </c>
      <c r="I80" s="61">
        <f>IF($N80="","",IF($P80&gt;0,IF(4&lt;=SemanaActual,INDEX('Cronograma R. Financiero'!$AK$5:$AK$1000,$N80),""),IF(INDEX('Cronograma R. Financiero'!$L$5:$L$1000,$N80)="","",INDEX('Cronograma R. Financiero'!$L$5:$L$1000,$N80))))</f>
        <v/>
      </c>
      <c r="J80" s="61">
        <f>IF($N80="","",INDEX('Cronograma R. Financiero'!$M$5:$M$1000,$N80))</f>
        <v/>
      </c>
      <c r="K80" s="56">
        <f>IF($N80="","",IF(N($J80)&gt;=1,"Completado",IF(AND(ISNUMBER($D80),$D80&lt;FechaRef),"Vencida",IF(N($J80)&gt;0,"En curso","Pendiente"))))</f>
        <v/>
      </c>
      <c r="L80" s="56">
        <f>IF($N80="","",INDEX('Cronograma R. Financiero'!$O$5:$O$1000,$N80)&amp;"")</f>
        <v/>
      </c>
      <c r="M80" s="62">
        <f>IF($N80="","",INDEX('Cronograma R. Financiero'!$Q$5:$Q$1000,$N80)&amp;"")</f>
        <v/>
      </c>
      <c r="N80">
        <f>IFERROR(MATCH(ROW()-4,rOrden_RF,0),"")</f>
        <v/>
      </c>
      <c r="O80">
        <f>IF($N80="","",INDEX('Cronograma R. Financiero'!$V$5:$V$1000,$N80))</f>
        <v/>
      </c>
      <c r="P80">
        <f>IF($N80="","",N(INDEX('Cronograma R. Financiero'!$W$5:$W$1000,$N80)))</f>
        <v/>
      </c>
      <c r="Q80">
        <f>IF(OR(LEFT($L80,7)="Vencida",LEFT($L80,5)="Vence"),SUMPRODUCT(--(LEFT($L$5:$L80,7)="Vencida"))+SUMPRODUCT(--(LEFT($L$5:$L80,5)="Vence")),"")</f>
        <v/>
      </c>
    </row>
    <row r="81">
      <c r="A81" s="56">
        <f>IF($N81="","",INDEX('Cronograma R. Financiero'!$A$5:$A$1000,$N81))</f>
        <v/>
      </c>
      <c r="B81" s="62">
        <f>IF($N81="","",IF($O81="Sub","      ↳  "&amp;INDEX('Cronograma R. Financiero'!$C$5:$C$1000,$N81),INDEX('Cronograma R. Financiero'!$C$5:$C$1000,$N81)&amp;""))</f>
        <v/>
      </c>
      <c r="C81" s="79">
        <f>IF($N81="","",IF(INDEX('Cronograma R. Financiero'!$AR$5:$AR$1000,$N81)="","",INDEX('Cronograma R. Financiero'!$AR$5:$AR$1000,$N81)))</f>
        <v/>
      </c>
      <c r="D81" s="79">
        <f>IF($N81="","",IF(INDEX('Cronograma R. Financiero'!$AS$5:$AS$1000,$N81)="","",INDEX('Cronograma R. Financiero'!$AS$5:$AS$1000,$N81)))</f>
        <v/>
      </c>
      <c r="E81" s="56">
        <f>IF($N81="","",IF(NOT(ISNUMBER($D81)),"",IF($D81&lt;InicioCiclo,"Antes del ciclo",IF($D81&gt;=InicioCiclo+28,"Después del ciclo","Semana "&amp;(INT(($D81-InicioCiclo)/7)+1)))))</f>
        <v/>
      </c>
      <c r="F81" s="61">
        <f>IF($N81="","",IF($P81&gt;0,IF(1&lt;=SemanaActual,INDEX('Cronograma R. Financiero'!$AH$5:$AH$1000,$N81),""),IF(INDEX('Cronograma R. Financiero'!$I$5:$I$1000,$N81)="","",INDEX('Cronograma R. Financiero'!$I$5:$I$1000,$N81))))</f>
        <v/>
      </c>
      <c r="G81" s="61">
        <f>IF($N81="","",IF($P81&gt;0,IF(2&lt;=SemanaActual,INDEX('Cronograma R. Financiero'!$AI$5:$AI$1000,$N81),""),IF(INDEX('Cronograma R. Financiero'!$J$5:$J$1000,$N81)="","",INDEX('Cronograma R. Financiero'!$J$5:$J$1000,$N81))))</f>
        <v/>
      </c>
      <c r="H81" s="61">
        <f>IF($N81="","",IF($P81&gt;0,IF(3&lt;=SemanaActual,INDEX('Cronograma R. Financiero'!$AJ$5:$AJ$1000,$N81),""),IF(INDEX('Cronograma R. Financiero'!$K$5:$K$1000,$N81)="","",INDEX('Cronograma R. Financiero'!$K$5:$K$1000,$N81))))</f>
        <v/>
      </c>
      <c r="I81" s="61">
        <f>IF($N81="","",IF($P81&gt;0,IF(4&lt;=SemanaActual,INDEX('Cronograma R. Financiero'!$AK$5:$AK$1000,$N81),""),IF(INDEX('Cronograma R. Financiero'!$L$5:$L$1000,$N81)="","",INDEX('Cronograma R. Financiero'!$L$5:$L$1000,$N81))))</f>
        <v/>
      </c>
      <c r="J81" s="61">
        <f>IF($N81="","",INDEX('Cronograma R. Financiero'!$M$5:$M$1000,$N81))</f>
        <v/>
      </c>
      <c r="K81" s="56">
        <f>IF($N81="","",IF(N($J81)&gt;=1,"Completado",IF(AND(ISNUMBER($D81),$D81&lt;FechaRef),"Vencida",IF(N($J81)&gt;0,"En curso","Pendiente"))))</f>
        <v/>
      </c>
      <c r="L81" s="56">
        <f>IF($N81="","",INDEX('Cronograma R. Financiero'!$O$5:$O$1000,$N81)&amp;"")</f>
        <v/>
      </c>
      <c r="M81" s="62">
        <f>IF($N81="","",INDEX('Cronograma R. Financiero'!$Q$5:$Q$1000,$N81)&amp;"")</f>
        <v/>
      </c>
      <c r="N81">
        <f>IFERROR(MATCH(ROW()-4,rOrden_RF,0),"")</f>
        <v/>
      </c>
      <c r="O81">
        <f>IF($N81="","",INDEX('Cronograma R. Financiero'!$V$5:$V$1000,$N81))</f>
        <v/>
      </c>
      <c r="P81">
        <f>IF($N81="","",N(INDEX('Cronograma R. Financiero'!$W$5:$W$1000,$N81)))</f>
        <v/>
      </c>
      <c r="Q81">
        <f>IF(OR(LEFT($L81,7)="Vencida",LEFT($L81,5)="Vence"),SUMPRODUCT(--(LEFT($L$5:$L81,7)="Vencida"))+SUMPRODUCT(--(LEFT($L$5:$L81,5)="Vence")),"")</f>
        <v/>
      </c>
    </row>
    <row r="82">
      <c r="A82" s="56">
        <f>IF($N82="","",INDEX('Cronograma R. Financiero'!$A$5:$A$1000,$N82))</f>
        <v/>
      </c>
      <c r="B82" s="62">
        <f>IF($N82="","",IF($O82="Sub","      ↳  "&amp;INDEX('Cronograma R. Financiero'!$C$5:$C$1000,$N82),INDEX('Cronograma R. Financiero'!$C$5:$C$1000,$N82)&amp;""))</f>
        <v/>
      </c>
      <c r="C82" s="79">
        <f>IF($N82="","",IF(INDEX('Cronograma R. Financiero'!$AR$5:$AR$1000,$N82)="","",INDEX('Cronograma R. Financiero'!$AR$5:$AR$1000,$N82)))</f>
        <v/>
      </c>
      <c r="D82" s="79">
        <f>IF($N82="","",IF(INDEX('Cronograma R. Financiero'!$AS$5:$AS$1000,$N82)="","",INDEX('Cronograma R. Financiero'!$AS$5:$AS$1000,$N82)))</f>
        <v/>
      </c>
      <c r="E82" s="56">
        <f>IF($N82="","",IF(NOT(ISNUMBER($D82)),"",IF($D82&lt;InicioCiclo,"Antes del ciclo",IF($D82&gt;=InicioCiclo+28,"Después del ciclo","Semana "&amp;(INT(($D82-InicioCiclo)/7)+1)))))</f>
        <v/>
      </c>
      <c r="F82" s="61">
        <f>IF($N82="","",IF($P82&gt;0,IF(1&lt;=SemanaActual,INDEX('Cronograma R. Financiero'!$AH$5:$AH$1000,$N82),""),IF(INDEX('Cronograma R. Financiero'!$I$5:$I$1000,$N82)="","",INDEX('Cronograma R. Financiero'!$I$5:$I$1000,$N82))))</f>
        <v/>
      </c>
      <c r="G82" s="61">
        <f>IF($N82="","",IF($P82&gt;0,IF(2&lt;=SemanaActual,INDEX('Cronograma R. Financiero'!$AI$5:$AI$1000,$N82),""),IF(INDEX('Cronograma R. Financiero'!$J$5:$J$1000,$N82)="","",INDEX('Cronograma R. Financiero'!$J$5:$J$1000,$N82))))</f>
        <v/>
      </c>
      <c r="H82" s="61">
        <f>IF($N82="","",IF($P82&gt;0,IF(3&lt;=SemanaActual,INDEX('Cronograma R. Financiero'!$AJ$5:$AJ$1000,$N82),""),IF(INDEX('Cronograma R. Financiero'!$K$5:$K$1000,$N82)="","",INDEX('Cronograma R. Financiero'!$K$5:$K$1000,$N82))))</f>
        <v/>
      </c>
      <c r="I82" s="61">
        <f>IF($N82="","",IF($P82&gt;0,IF(4&lt;=SemanaActual,INDEX('Cronograma R. Financiero'!$AK$5:$AK$1000,$N82),""),IF(INDEX('Cronograma R. Financiero'!$L$5:$L$1000,$N82)="","",INDEX('Cronograma R. Financiero'!$L$5:$L$1000,$N82))))</f>
        <v/>
      </c>
      <c r="J82" s="61">
        <f>IF($N82="","",INDEX('Cronograma R. Financiero'!$M$5:$M$1000,$N82))</f>
        <v/>
      </c>
      <c r="K82" s="56">
        <f>IF($N82="","",IF(N($J82)&gt;=1,"Completado",IF(AND(ISNUMBER($D82),$D82&lt;FechaRef),"Vencida",IF(N($J82)&gt;0,"En curso","Pendiente"))))</f>
        <v/>
      </c>
      <c r="L82" s="56">
        <f>IF($N82="","",INDEX('Cronograma R. Financiero'!$O$5:$O$1000,$N82)&amp;"")</f>
        <v/>
      </c>
      <c r="M82" s="62">
        <f>IF($N82="","",INDEX('Cronograma R. Financiero'!$Q$5:$Q$1000,$N82)&amp;"")</f>
        <v/>
      </c>
      <c r="N82">
        <f>IFERROR(MATCH(ROW()-4,rOrden_RF,0),"")</f>
        <v/>
      </c>
      <c r="O82">
        <f>IF($N82="","",INDEX('Cronograma R. Financiero'!$V$5:$V$1000,$N82))</f>
        <v/>
      </c>
      <c r="P82">
        <f>IF($N82="","",N(INDEX('Cronograma R. Financiero'!$W$5:$W$1000,$N82)))</f>
        <v/>
      </c>
      <c r="Q82">
        <f>IF(OR(LEFT($L82,7)="Vencida",LEFT($L82,5)="Vence"),SUMPRODUCT(--(LEFT($L$5:$L82,7)="Vencida"))+SUMPRODUCT(--(LEFT($L$5:$L82,5)="Vence")),"")</f>
        <v/>
      </c>
    </row>
    <row r="83">
      <c r="A83" s="56">
        <f>IF($N83="","",INDEX('Cronograma R. Financiero'!$A$5:$A$1000,$N83))</f>
        <v/>
      </c>
      <c r="B83" s="62">
        <f>IF($N83="","",IF($O83="Sub","      ↳  "&amp;INDEX('Cronograma R. Financiero'!$C$5:$C$1000,$N83),INDEX('Cronograma R. Financiero'!$C$5:$C$1000,$N83)&amp;""))</f>
        <v/>
      </c>
      <c r="C83" s="79">
        <f>IF($N83="","",IF(INDEX('Cronograma R. Financiero'!$AR$5:$AR$1000,$N83)="","",INDEX('Cronograma R. Financiero'!$AR$5:$AR$1000,$N83)))</f>
        <v/>
      </c>
      <c r="D83" s="79">
        <f>IF($N83="","",IF(INDEX('Cronograma R. Financiero'!$AS$5:$AS$1000,$N83)="","",INDEX('Cronograma R. Financiero'!$AS$5:$AS$1000,$N83)))</f>
        <v/>
      </c>
      <c r="E83" s="56">
        <f>IF($N83="","",IF(NOT(ISNUMBER($D83)),"",IF($D83&lt;InicioCiclo,"Antes del ciclo",IF($D83&gt;=InicioCiclo+28,"Después del ciclo","Semana "&amp;(INT(($D83-InicioCiclo)/7)+1)))))</f>
        <v/>
      </c>
      <c r="F83" s="61">
        <f>IF($N83="","",IF($P83&gt;0,IF(1&lt;=SemanaActual,INDEX('Cronograma R. Financiero'!$AH$5:$AH$1000,$N83),""),IF(INDEX('Cronograma R. Financiero'!$I$5:$I$1000,$N83)="","",INDEX('Cronograma R. Financiero'!$I$5:$I$1000,$N83))))</f>
        <v/>
      </c>
      <c r="G83" s="61">
        <f>IF($N83="","",IF($P83&gt;0,IF(2&lt;=SemanaActual,INDEX('Cronograma R. Financiero'!$AI$5:$AI$1000,$N83),""),IF(INDEX('Cronograma R. Financiero'!$J$5:$J$1000,$N83)="","",INDEX('Cronograma R. Financiero'!$J$5:$J$1000,$N83))))</f>
        <v/>
      </c>
      <c r="H83" s="61">
        <f>IF($N83="","",IF($P83&gt;0,IF(3&lt;=SemanaActual,INDEX('Cronograma R. Financiero'!$AJ$5:$AJ$1000,$N83),""),IF(INDEX('Cronograma R. Financiero'!$K$5:$K$1000,$N83)="","",INDEX('Cronograma R. Financiero'!$K$5:$K$1000,$N83))))</f>
        <v/>
      </c>
      <c r="I83" s="61">
        <f>IF($N83="","",IF($P83&gt;0,IF(4&lt;=SemanaActual,INDEX('Cronograma R. Financiero'!$AK$5:$AK$1000,$N83),""),IF(INDEX('Cronograma R. Financiero'!$L$5:$L$1000,$N83)="","",INDEX('Cronograma R. Financiero'!$L$5:$L$1000,$N83))))</f>
        <v/>
      </c>
      <c r="J83" s="61">
        <f>IF($N83="","",INDEX('Cronograma R. Financiero'!$M$5:$M$1000,$N83))</f>
        <v/>
      </c>
      <c r="K83" s="56">
        <f>IF($N83="","",IF(N($J83)&gt;=1,"Completado",IF(AND(ISNUMBER($D83),$D83&lt;FechaRef),"Vencida",IF(N($J83)&gt;0,"En curso","Pendiente"))))</f>
        <v/>
      </c>
      <c r="L83" s="56">
        <f>IF($N83="","",INDEX('Cronograma R. Financiero'!$O$5:$O$1000,$N83)&amp;"")</f>
        <v/>
      </c>
      <c r="M83" s="62">
        <f>IF($N83="","",INDEX('Cronograma R. Financiero'!$Q$5:$Q$1000,$N83)&amp;"")</f>
        <v/>
      </c>
      <c r="N83">
        <f>IFERROR(MATCH(ROW()-4,rOrden_RF,0),"")</f>
        <v/>
      </c>
      <c r="O83">
        <f>IF($N83="","",INDEX('Cronograma R. Financiero'!$V$5:$V$1000,$N83))</f>
        <v/>
      </c>
      <c r="P83">
        <f>IF($N83="","",N(INDEX('Cronograma R. Financiero'!$W$5:$W$1000,$N83)))</f>
        <v/>
      </c>
      <c r="Q83">
        <f>IF(OR(LEFT($L83,7)="Vencida",LEFT($L83,5)="Vence"),SUMPRODUCT(--(LEFT($L$5:$L83,7)="Vencida"))+SUMPRODUCT(--(LEFT($L$5:$L83,5)="Vence")),"")</f>
        <v/>
      </c>
    </row>
    <row r="84">
      <c r="A84" s="56">
        <f>IF($N84="","",INDEX('Cronograma R. Financiero'!$A$5:$A$1000,$N84))</f>
        <v/>
      </c>
      <c r="B84" s="62">
        <f>IF($N84="","",IF($O84="Sub","      ↳  "&amp;INDEX('Cronograma R. Financiero'!$C$5:$C$1000,$N84),INDEX('Cronograma R. Financiero'!$C$5:$C$1000,$N84)&amp;""))</f>
        <v/>
      </c>
      <c r="C84" s="79">
        <f>IF($N84="","",IF(INDEX('Cronograma R. Financiero'!$AR$5:$AR$1000,$N84)="","",INDEX('Cronograma R. Financiero'!$AR$5:$AR$1000,$N84)))</f>
        <v/>
      </c>
      <c r="D84" s="79">
        <f>IF($N84="","",IF(INDEX('Cronograma R. Financiero'!$AS$5:$AS$1000,$N84)="","",INDEX('Cronograma R. Financiero'!$AS$5:$AS$1000,$N84)))</f>
        <v/>
      </c>
      <c r="E84" s="56">
        <f>IF($N84="","",IF(NOT(ISNUMBER($D84)),"",IF($D84&lt;InicioCiclo,"Antes del ciclo",IF($D84&gt;=InicioCiclo+28,"Después del ciclo","Semana "&amp;(INT(($D84-InicioCiclo)/7)+1)))))</f>
        <v/>
      </c>
      <c r="F84" s="61">
        <f>IF($N84="","",IF($P84&gt;0,IF(1&lt;=SemanaActual,INDEX('Cronograma R. Financiero'!$AH$5:$AH$1000,$N84),""),IF(INDEX('Cronograma R. Financiero'!$I$5:$I$1000,$N84)="","",INDEX('Cronograma R. Financiero'!$I$5:$I$1000,$N84))))</f>
        <v/>
      </c>
      <c r="G84" s="61">
        <f>IF($N84="","",IF($P84&gt;0,IF(2&lt;=SemanaActual,INDEX('Cronograma R. Financiero'!$AI$5:$AI$1000,$N84),""),IF(INDEX('Cronograma R. Financiero'!$J$5:$J$1000,$N84)="","",INDEX('Cronograma R. Financiero'!$J$5:$J$1000,$N84))))</f>
        <v/>
      </c>
      <c r="H84" s="61">
        <f>IF($N84="","",IF($P84&gt;0,IF(3&lt;=SemanaActual,INDEX('Cronograma R. Financiero'!$AJ$5:$AJ$1000,$N84),""),IF(INDEX('Cronograma R. Financiero'!$K$5:$K$1000,$N84)="","",INDEX('Cronograma R. Financiero'!$K$5:$K$1000,$N84))))</f>
        <v/>
      </c>
      <c r="I84" s="61">
        <f>IF($N84="","",IF($P84&gt;0,IF(4&lt;=SemanaActual,INDEX('Cronograma R. Financiero'!$AK$5:$AK$1000,$N84),""),IF(INDEX('Cronograma R. Financiero'!$L$5:$L$1000,$N84)="","",INDEX('Cronograma R. Financiero'!$L$5:$L$1000,$N84))))</f>
        <v/>
      </c>
      <c r="J84" s="61">
        <f>IF($N84="","",INDEX('Cronograma R. Financiero'!$M$5:$M$1000,$N84))</f>
        <v/>
      </c>
      <c r="K84" s="56">
        <f>IF($N84="","",IF(N($J84)&gt;=1,"Completado",IF(AND(ISNUMBER($D84),$D84&lt;FechaRef),"Vencida",IF(N($J84)&gt;0,"En curso","Pendiente"))))</f>
        <v/>
      </c>
      <c r="L84" s="56">
        <f>IF($N84="","",INDEX('Cronograma R. Financiero'!$O$5:$O$1000,$N84)&amp;"")</f>
        <v/>
      </c>
      <c r="M84" s="62">
        <f>IF($N84="","",INDEX('Cronograma R. Financiero'!$Q$5:$Q$1000,$N84)&amp;"")</f>
        <v/>
      </c>
      <c r="N84">
        <f>IFERROR(MATCH(ROW()-4,rOrden_RF,0),"")</f>
        <v/>
      </c>
      <c r="O84">
        <f>IF($N84="","",INDEX('Cronograma R. Financiero'!$V$5:$V$1000,$N84))</f>
        <v/>
      </c>
      <c r="P84">
        <f>IF($N84="","",N(INDEX('Cronograma R. Financiero'!$W$5:$W$1000,$N84)))</f>
        <v/>
      </c>
      <c r="Q84">
        <f>IF(OR(LEFT($L84,7)="Vencida",LEFT($L84,5)="Vence"),SUMPRODUCT(--(LEFT($L$5:$L84,7)="Vencida"))+SUMPRODUCT(--(LEFT($L$5:$L84,5)="Vence")),"")</f>
        <v/>
      </c>
    </row>
    <row r="85">
      <c r="A85" s="56">
        <f>IF($N85="","",INDEX('Cronograma R. Financiero'!$A$5:$A$1000,$N85))</f>
        <v/>
      </c>
      <c r="B85" s="62">
        <f>IF($N85="","",IF($O85="Sub","      ↳  "&amp;INDEX('Cronograma R. Financiero'!$C$5:$C$1000,$N85),INDEX('Cronograma R. Financiero'!$C$5:$C$1000,$N85)&amp;""))</f>
        <v/>
      </c>
      <c r="C85" s="79">
        <f>IF($N85="","",IF(INDEX('Cronograma R. Financiero'!$AR$5:$AR$1000,$N85)="","",INDEX('Cronograma R. Financiero'!$AR$5:$AR$1000,$N85)))</f>
        <v/>
      </c>
      <c r="D85" s="79">
        <f>IF($N85="","",IF(INDEX('Cronograma R. Financiero'!$AS$5:$AS$1000,$N85)="","",INDEX('Cronograma R. Financiero'!$AS$5:$AS$1000,$N85)))</f>
        <v/>
      </c>
      <c r="E85" s="56">
        <f>IF($N85="","",IF(NOT(ISNUMBER($D85)),"",IF($D85&lt;InicioCiclo,"Antes del ciclo",IF($D85&gt;=InicioCiclo+28,"Después del ciclo","Semana "&amp;(INT(($D85-InicioCiclo)/7)+1)))))</f>
        <v/>
      </c>
      <c r="F85" s="61">
        <f>IF($N85="","",IF($P85&gt;0,IF(1&lt;=SemanaActual,INDEX('Cronograma R. Financiero'!$AH$5:$AH$1000,$N85),""),IF(INDEX('Cronograma R. Financiero'!$I$5:$I$1000,$N85)="","",INDEX('Cronograma R. Financiero'!$I$5:$I$1000,$N85))))</f>
        <v/>
      </c>
      <c r="G85" s="61">
        <f>IF($N85="","",IF($P85&gt;0,IF(2&lt;=SemanaActual,INDEX('Cronograma R. Financiero'!$AI$5:$AI$1000,$N85),""),IF(INDEX('Cronograma R. Financiero'!$J$5:$J$1000,$N85)="","",INDEX('Cronograma R. Financiero'!$J$5:$J$1000,$N85))))</f>
        <v/>
      </c>
      <c r="H85" s="61">
        <f>IF($N85="","",IF($P85&gt;0,IF(3&lt;=SemanaActual,INDEX('Cronograma R. Financiero'!$AJ$5:$AJ$1000,$N85),""),IF(INDEX('Cronograma R. Financiero'!$K$5:$K$1000,$N85)="","",INDEX('Cronograma R. Financiero'!$K$5:$K$1000,$N85))))</f>
        <v/>
      </c>
      <c r="I85" s="61">
        <f>IF($N85="","",IF($P85&gt;0,IF(4&lt;=SemanaActual,INDEX('Cronograma R. Financiero'!$AK$5:$AK$1000,$N85),""),IF(INDEX('Cronograma R. Financiero'!$L$5:$L$1000,$N85)="","",INDEX('Cronograma R. Financiero'!$L$5:$L$1000,$N85))))</f>
        <v/>
      </c>
      <c r="J85" s="61">
        <f>IF($N85="","",INDEX('Cronograma R. Financiero'!$M$5:$M$1000,$N85))</f>
        <v/>
      </c>
      <c r="K85" s="56">
        <f>IF($N85="","",IF(N($J85)&gt;=1,"Completado",IF(AND(ISNUMBER($D85),$D85&lt;FechaRef),"Vencida",IF(N($J85)&gt;0,"En curso","Pendiente"))))</f>
        <v/>
      </c>
      <c r="L85" s="56">
        <f>IF($N85="","",INDEX('Cronograma R. Financiero'!$O$5:$O$1000,$N85)&amp;"")</f>
        <v/>
      </c>
      <c r="M85" s="62">
        <f>IF($N85="","",INDEX('Cronograma R. Financiero'!$Q$5:$Q$1000,$N85)&amp;"")</f>
        <v/>
      </c>
      <c r="N85">
        <f>IFERROR(MATCH(ROW()-4,rOrden_RF,0),"")</f>
        <v/>
      </c>
      <c r="O85">
        <f>IF($N85="","",INDEX('Cronograma R. Financiero'!$V$5:$V$1000,$N85))</f>
        <v/>
      </c>
      <c r="P85">
        <f>IF($N85="","",N(INDEX('Cronograma R. Financiero'!$W$5:$W$1000,$N85)))</f>
        <v/>
      </c>
      <c r="Q85">
        <f>IF(OR(LEFT($L85,7)="Vencida",LEFT($L85,5)="Vence"),SUMPRODUCT(--(LEFT($L$5:$L85,7)="Vencida"))+SUMPRODUCT(--(LEFT($L$5:$L85,5)="Vence")),"")</f>
        <v/>
      </c>
    </row>
    <row r="86">
      <c r="A86" s="56">
        <f>IF($N86="","",INDEX('Cronograma R. Financiero'!$A$5:$A$1000,$N86))</f>
        <v/>
      </c>
      <c r="B86" s="62">
        <f>IF($N86="","",IF($O86="Sub","      ↳  "&amp;INDEX('Cronograma R. Financiero'!$C$5:$C$1000,$N86),INDEX('Cronograma R. Financiero'!$C$5:$C$1000,$N86)&amp;""))</f>
        <v/>
      </c>
      <c r="C86" s="79">
        <f>IF($N86="","",IF(INDEX('Cronograma R. Financiero'!$AR$5:$AR$1000,$N86)="","",INDEX('Cronograma R. Financiero'!$AR$5:$AR$1000,$N86)))</f>
        <v/>
      </c>
      <c r="D86" s="79">
        <f>IF($N86="","",IF(INDEX('Cronograma R. Financiero'!$AS$5:$AS$1000,$N86)="","",INDEX('Cronograma R. Financiero'!$AS$5:$AS$1000,$N86)))</f>
        <v/>
      </c>
      <c r="E86" s="56">
        <f>IF($N86="","",IF(NOT(ISNUMBER($D86)),"",IF($D86&lt;InicioCiclo,"Antes del ciclo",IF($D86&gt;=InicioCiclo+28,"Después del ciclo","Semana "&amp;(INT(($D86-InicioCiclo)/7)+1)))))</f>
        <v/>
      </c>
      <c r="F86" s="61">
        <f>IF($N86="","",IF($P86&gt;0,IF(1&lt;=SemanaActual,INDEX('Cronograma R. Financiero'!$AH$5:$AH$1000,$N86),""),IF(INDEX('Cronograma R. Financiero'!$I$5:$I$1000,$N86)="","",INDEX('Cronograma R. Financiero'!$I$5:$I$1000,$N86))))</f>
        <v/>
      </c>
      <c r="G86" s="61">
        <f>IF($N86="","",IF($P86&gt;0,IF(2&lt;=SemanaActual,INDEX('Cronograma R. Financiero'!$AI$5:$AI$1000,$N86),""),IF(INDEX('Cronograma R. Financiero'!$J$5:$J$1000,$N86)="","",INDEX('Cronograma R. Financiero'!$J$5:$J$1000,$N86))))</f>
        <v/>
      </c>
      <c r="H86" s="61">
        <f>IF($N86="","",IF($P86&gt;0,IF(3&lt;=SemanaActual,INDEX('Cronograma R. Financiero'!$AJ$5:$AJ$1000,$N86),""),IF(INDEX('Cronograma R. Financiero'!$K$5:$K$1000,$N86)="","",INDEX('Cronograma R. Financiero'!$K$5:$K$1000,$N86))))</f>
        <v/>
      </c>
      <c r="I86" s="61">
        <f>IF($N86="","",IF($P86&gt;0,IF(4&lt;=SemanaActual,INDEX('Cronograma R. Financiero'!$AK$5:$AK$1000,$N86),""),IF(INDEX('Cronograma R. Financiero'!$L$5:$L$1000,$N86)="","",INDEX('Cronograma R. Financiero'!$L$5:$L$1000,$N86))))</f>
        <v/>
      </c>
      <c r="J86" s="61">
        <f>IF($N86="","",INDEX('Cronograma R. Financiero'!$M$5:$M$1000,$N86))</f>
        <v/>
      </c>
      <c r="K86" s="56">
        <f>IF($N86="","",IF(N($J86)&gt;=1,"Completado",IF(AND(ISNUMBER($D86),$D86&lt;FechaRef),"Vencida",IF(N($J86)&gt;0,"En curso","Pendiente"))))</f>
        <v/>
      </c>
      <c r="L86" s="56">
        <f>IF($N86="","",INDEX('Cronograma R. Financiero'!$O$5:$O$1000,$N86)&amp;"")</f>
        <v/>
      </c>
      <c r="M86" s="62">
        <f>IF($N86="","",INDEX('Cronograma R. Financiero'!$Q$5:$Q$1000,$N86)&amp;"")</f>
        <v/>
      </c>
      <c r="N86">
        <f>IFERROR(MATCH(ROW()-4,rOrden_RF,0),"")</f>
        <v/>
      </c>
      <c r="O86">
        <f>IF($N86="","",INDEX('Cronograma R. Financiero'!$V$5:$V$1000,$N86))</f>
        <v/>
      </c>
      <c r="P86">
        <f>IF($N86="","",N(INDEX('Cronograma R. Financiero'!$W$5:$W$1000,$N86)))</f>
        <v/>
      </c>
      <c r="Q86">
        <f>IF(OR(LEFT($L86,7)="Vencida",LEFT($L86,5)="Vence"),SUMPRODUCT(--(LEFT($L$5:$L86,7)="Vencida"))+SUMPRODUCT(--(LEFT($L$5:$L86,5)="Vence")),"")</f>
        <v/>
      </c>
    </row>
    <row r="87">
      <c r="A87" s="56">
        <f>IF($N87="","",INDEX('Cronograma R. Financiero'!$A$5:$A$1000,$N87))</f>
        <v/>
      </c>
      <c r="B87" s="62">
        <f>IF($N87="","",IF($O87="Sub","      ↳  "&amp;INDEX('Cronograma R. Financiero'!$C$5:$C$1000,$N87),INDEX('Cronograma R. Financiero'!$C$5:$C$1000,$N87)&amp;""))</f>
        <v/>
      </c>
      <c r="C87" s="79">
        <f>IF($N87="","",IF(INDEX('Cronograma R. Financiero'!$AR$5:$AR$1000,$N87)="","",INDEX('Cronograma R. Financiero'!$AR$5:$AR$1000,$N87)))</f>
        <v/>
      </c>
      <c r="D87" s="79">
        <f>IF($N87="","",IF(INDEX('Cronograma R. Financiero'!$AS$5:$AS$1000,$N87)="","",INDEX('Cronograma R. Financiero'!$AS$5:$AS$1000,$N87)))</f>
        <v/>
      </c>
      <c r="E87" s="56">
        <f>IF($N87="","",IF(NOT(ISNUMBER($D87)),"",IF($D87&lt;InicioCiclo,"Antes del ciclo",IF($D87&gt;=InicioCiclo+28,"Después del ciclo","Semana "&amp;(INT(($D87-InicioCiclo)/7)+1)))))</f>
        <v/>
      </c>
      <c r="F87" s="61">
        <f>IF($N87="","",IF($P87&gt;0,IF(1&lt;=SemanaActual,INDEX('Cronograma R. Financiero'!$AH$5:$AH$1000,$N87),""),IF(INDEX('Cronograma R. Financiero'!$I$5:$I$1000,$N87)="","",INDEX('Cronograma R. Financiero'!$I$5:$I$1000,$N87))))</f>
        <v/>
      </c>
      <c r="G87" s="61">
        <f>IF($N87="","",IF($P87&gt;0,IF(2&lt;=SemanaActual,INDEX('Cronograma R. Financiero'!$AI$5:$AI$1000,$N87),""),IF(INDEX('Cronograma R. Financiero'!$J$5:$J$1000,$N87)="","",INDEX('Cronograma R. Financiero'!$J$5:$J$1000,$N87))))</f>
        <v/>
      </c>
      <c r="H87" s="61">
        <f>IF($N87="","",IF($P87&gt;0,IF(3&lt;=SemanaActual,INDEX('Cronograma R. Financiero'!$AJ$5:$AJ$1000,$N87),""),IF(INDEX('Cronograma R. Financiero'!$K$5:$K$1000,$N87)="","",INDEX('Cronograma R. Financiero'!$K$5:$K$1000,$N87))))</f>
        <v/>
      </c>
      <c r="I87" s="61">
        <f>IF($N87="","",IF($P87&gt;0,IF(4&lt;=SemanaActual,INDEX('Cronograma R. Financiero'!$AK$5:$AK$1000,$N87),""),IF(INDEX('Cronograma R. Financiero'!$L$5:$L$1000,$N87)="","",INDEX('Cronograma R. Financiero'!$L$5:$L$1000,$N87))))</f>
        <v/>
      </c>
      <c r="J87" s="61">
        <f>IF($N87="","",INDEX('Cronograma R. Financiero'!$M$5:$M$1000,$N87))</f>
        <v/>
      </c>
      <c r="K87" s="56">
        <f>IF($N87="","",IF(N($J87)&gt;=1,"Completado",IF(AND(ISNUMBER($D87),$D87&lt;FechaRef),"Vencida",IF(N($J87)&gt;0,"En curso","Pendiente"))))</f>
        <v/>
      </c>
      <c r="L87" s="56">
        <f>IF($N87="","",INDEX('Cronograma R. Financiero'!$O$5:$O$1000,$N87)&amp;"")</f>
        <v/>
      </c>
      <c r="M87" s="62">
        <f>IF($N87="","",INDEX('Cronograma R. Financiero'!$Q$5:$Q$1000,$N87)&amp;"")</f>
        <v/>
      </c>
      <c r="N87">
        <f>IFERROR(MATCH(ROW()-4,rOrden_RF,0),"")</f>
        <v/>
      </c>
      <c r="O87">
        <f>IF($N87="","",INDEX('Cronograma R. Financiero'!$V$5:$V$1000,$N87))</f>
        <v/>
      </c>
      <c r="P87">
        <f>IF($N87="","",N(INDEX('Cronograma R. Financiero'!$W$5:$W$1000,$N87)))</f>
        <v/>
      </c>
      <c r="Q87">
        <f>IF(OR(LEFT($L87,7)="Vencida",LEFT($L87,5)="Vence"),SUMPRODUCT(--(LEFT($L$5:$L87,7)="Vencida"))+SUMPRODUCT(--(LEFT($L$5:$L87,5)="Vence")),"")</f>
        <v/>
      </c>
    </row>
    <row r="88">
      <c r="A88" s="56">
        <f>IF($N88="","",INDEX('Cronograma R. Financiero'!$A$5:$A$1000,$N88))</f>
        <v/>
      </c>
      <c r="B88" s="62">
        <f>IF($N88="","",IF($O88="Sub","      ↳  "&amp;INDEX('Cronograma R. Financiero'!$C$5:$C$1000,$N88),INDEX('Cronograma R. Financiero'!$C$5:$C$1000,$N88)&amp;""))</f>
        <v/>
      </c>
      <c r="C88" s="79">
        <f>IF($N88="","",IF(INDEX('Cronograma R. Financiero'!$AR$5:$AR$1000,$N88)="","",INDEX('Cronograma R. Financiero'!$AR$5:$AR$1000,$N88)))</f>
        <v/>
      </c>
      <c r="D88" s="79">
        <f>IF($N88="","",IF(INDEX('Cronograma R. Financiero'!$AS$5:$AS$1000,$N88)="","",INDEX('Cronograma R. Financiero'!$AS$5:$AS$1000,$N88)))</f>
        <v/>
      </c>
      <c r="E88" s="56">
        <f>IF($N88="","",IF(NOT(ISNUMBER($D88)),"",IF($D88&lt;InicioCiclo,"Antes del ciclo",IF($D88&gt;=InicioCiclo+28,"Después del ciclo","Semana "&amp;(INT(($D88-InicioCiclo)/7)+1)))))</f>
        <v/>
      </c>
      <c r="F88" s="61">
        <f>IF($N88="","",IF($P88&gt;0,IF(1&lt;=SemanaActual,INDEX('Cronograma R. Financiero'!$AH$5:$AH$1000,$N88),""),IF(INDEX('Cronograma R. Financiero'!$I$5:$I$1000,$N88)="","",INDEX('Cronograma R. Financiero'!$I$5:$I$1000,$N88))))</f>
        <v/>
      </c>
      <c r="G88" s="61">
        <f>IF($N88="","",IF($P88&gt;0,IF(2&lt;=SemanaActual,INDEX('Cronograma R. Financiero'!$AI$5:$AI$1000,$N88),""),IF(INDEX('Cronograma R. Financiero'!$J$5:$J$1000,$N88)="","",INDEX('Cronograma R. Financiero'!$J$5:$J$1000,$N88))))</f>
        <v/>
      </c>
      <c r="H88" s="61">
        <f>IF($N88="","",IF($P88&gt;0,IF(3&lt;=SemanaActual,INDEX('Cronograma R. Financiero'!$AJ$5:$AJ$1000,$N88),""),IF(INDEX('Cronograma R. Financiero'!$K$5:$K$1000,$N88)="","",INDEX('Cronograma R. Financiero'!$K$5:$K$1000,$N88))))</f>
        <v/>
      </c>
      <c r="I88" s="61">
        <f>IF($N88="","",IF($P88&gt;0,IF(4&lt;=SemanaActual,INDEX('Cronograma R. Financiero'!$AK$5:$AK$1000,$N88),""),IF(INDEX('Cronograma R. Financiero'!$L$5:$L$1000,$N88)="","",INDEX('Cronograma R. Financiero'!$L$5:$L$1000,$N88))))</f>
        <v/>
      </c>
      <c r="J88" s="61">
        <f>IF($N88="","",INDEX('Cronograma R. Financiero'!$M$5:$M$1000,$N88))</f>
        <v/>
      </c>
      <c r="K88" s="56">
        <f>IF($N88="","",IF(N($J88)&gt;=1,"Completado",IF(AND(ISNUMBER($D88),$D88&lt;FechaRef),"Vencida",IF(N($J88)&gt;0,"En curso","Pendiente"))))</f>
        <v/>
      </c>
      <c r="L88" s="56">
        <f>IF($N88="","",INDEX('Cronograma R. Financiero'!$O$5:$O$1000,$N88)&amp;"")</f>
        <v/>
      </c>
      <c r="M88" s="62">
        <f>IF($N88="","",INDEX('Cronograma R. Financiero'!$Q$5:$Q$1000,$N88)&amp;"")</f>
        <v/>
      </c>
      <c r="N88">
        <f>IFERROR(MATCH(ROW()-4,rOrden_RF,0),"")</f>
        <v/>
      </c>
      <c r="O88">
        <f>IF($N88="","",INDEX('Cronograma R. Financiero'!$V$5:$V$1000,$N88))</f>
        <v/>
      </c>
      <c r="P88">
        <f>IF($N88="","",N(INDEX('Cronograma R. Financiero'!$W$5:$W$1000,$N88)))</f>
        <v/>
      </c>
      <c r="Q88">
        <f>IF(OR(LEFT($L88,7)="Vencida",LEFT($L88,5)="Vence"),SUMPRODUCT(--(LEFT($L$5:$L88,7)="Vencida"))+SUMPRODUCT(--(LEFT($L$5:$L88,5)="Vence")),"")</f>
        <v/>
      </c>
    </row>
    <row r="89">
      <c r="A89" s="56">
        <f>IF($N89="","",INDEX('Cronograma R. Financiero'!$A$5:$A$1000,$N89))</f>
        <v/>
      </c>
      <c r="B89" s="62">
        <f>IF($N89="","",IF($O89="Sub","      ↳  "&amp;INDEX('Cronograma R. Financiero'!$C$5:$C$1000,$N89),INDEX('Cronograma R. Financiero'!$C$5:$C$1000,$N89)&amp;""))</f>
        <v/>
      </c>
      <c r="C89" s="79">
        <f>IF($N89="","",IF(INDEX('Cronograma R. Financiero'!$AR$5:$AR$1000,$N89)="","",INDEX('Cronograma R. Financiero'!$AR$5:$AR$1000,$N89)))</f>
        <v/>
      </c>
      <c r="D89" s="79">
        <f>IF($N89="","",IF(INDEX('Cronograma R. Financiero'!$AS$5:$AS$1000,$N89)="","",INDEX('Cronograma R. Financiero'!$AS$5:$AS$1000,$N89)))</f>
        <v/>
      </c>
      <c r="E89" s="56">
        <f>IF($N89="","",IF(NOT(ISNUMBER($D89)),"",IF($D89&lt;InicioCiclo,"Antes del ciclo",IF($D89&gt;=InicioCiclo+28,"Después del ciclo","Semana "&amp;(INT(($D89-InicioCiclo)/7)+1)))))</f>
        <v/>
      </c>
      <c r="F89" s="61">
        <f>IF($N89="","",IF($P89&gt;0,IF(1&lt;=SemanaActual,INDEX('Cronograma R. Financiero'!$AH$5:$AH$1000,$N89),""),IF(INDEX('Cronograma R. Financiero'!$I$5:$I$1000,$N89)="","",INDEX('Cronograma R. Financiero'!$I$5:$I$1000,$N89))))</f>
        <v/>
      </c>
      <c r="G89" s="61">
        <f>IF($N89="","",IF($P89&gt;0,IF(2&lt;=SemanaActual,INDEX('Cronograma R. Financiero'!$AI$5:$AI$1000,$N89),""),IF(INDEX('Cronograma R. Financiero'!$J$5:$J$1000,$N89)="","",INDEX('Cronograma R. Financiero'!$J$5:$J$1000,$N89))))</f>
        <v/>
      </c>
      <c r="H89" s="61">
        <f>IF($N89="","",IF($P89&gt;0,IF(3&lt;=SemanaActual,INDEX('Cronograma R. Financiero'!$AJ$5:$AJ$1000,$N89),""),IF(INDEX('Cronograma R. Financiero'!$K$5:$K$1000,$N89)="","",INDEX('Cronograma R. Financiero'!$K$5:$K$1000,$N89))))</f>
        <v/>
      </c>
      <c r="I89" s="61">
        <f>IF($N89="","",IF($P89&gt;0,IF(4&lt;=SemanaActual,INDEX('Cronograma R. Financiero'!$AK$5:$AK$1000,$N89),""),IF(INDEX('Cronograma R. Financiero'!$L$5:$L$1000,$N89)="","",INDEX('Cronograma R. Financiero'!$L$5:$L$1000,$N89))))</f>
        <v/>
      </c>
      <c r="J89" s="61">
        <f>IF($N89="","",INDEX('Cronograma R. Financiero'!$M$5:$M$1000,$N89))</f>
        <v/>
      </c>
      <c r="K89" s="56">
        <f>IF($N89="","",IF(N($J89)&gt;=1,"Completado",IF(AND(ISNUMBER($D89),$D89&lt;FechaRef),"Vencida",IF(N($J89)&gt;0,"En curso","Pendiente"))))</f>
        <v/>
      </c>
      <c r="L89" s="56">
        <f>IF($N89="","",INDEX('Cronograma R. Financiero'!$O$5:$O$1000,$N89)&amp;"")</f>
        <v/>
      </c>
      <c r="M89" s="62">
        <f>IF($N89="","",INDEX('Cronograma R. Financiero'!$Q$5:$Q$1000,$N89)&amp;"")</f>
        <v/>
      </c>
      <c r="N89">
        <f>IFERROR(MATCH(ROW()-4,rOrden_RF,0),"")</f>
        <v/>
      </c>
      <c r="O89">
        <f>IF($N89="","",INDEX('Cronograma R. Financiero'!$V$5:$V$1000,$N89))</f>
        <v/>
      </c>
      <c r="P89">
        <f>IF($N89="","",N(INDEX('Cronograma R. Financiero'!$W$5:$W$1000,$N89)))</f>
        <v/>
      </c>
      <c r="Q89">
        <f>IF(OR(LEFT($L89,7)="Vencida",LEFT($L89,5)="Vence"),SUMPRODUCT(--(LEFT($L$5:$L89,7)="Vencida"))+SUMPRODUCT(--(LEFT($L$5:$L89,5)="Vence")),"")</f>
        <v/>
      </c>
    </row>
    <row r="90">
      <c r="A90" s="56">
        <f>IF($N90="","",INDEX('Cronograma R. Financiero'!$A$5:$A$1000,$N90))</f>
        <v/>
      </c>
      <c r="B90" s="62">
        <f>IF($N90="","",IF($O90="Sub","      ↳  "&amp;INDEX('Cronograma R. Financiero'!$C$5:$C$1000,$N90),INDEX('Cronograma R. Financiero'!$C$5:$C$1000,$N90)&amp;""))</f>
        <v/>
      </c>
      <c r="C90" s="79">
        <f>IF($N90="","",IF(INDEX('Cronograma R. Financiero'!$AR$5:$AR$1000,$N90)="","",INDEX('Cronograma R. Financiero'!$AR$5:$AR$1000,$N90)))</f>
        <v/>
      </c>
      <c r="D90" s="79">
        <f>IF($N90="","",IF(INDEX('Cronograma R. Financiero'!$AS$5:$AS$1000,$N90)="","",INDEX('Cronograma R. Financiero'!$AS$5:$AS$1000,$N90)))</f>
        <v/>
      </c>
      <c r="E90" s="56">
        <f>IF($N90="","",IF(NOT(ISNUMBER($D90)),"",IF($D90&lt;InicioCiclo,"Antes del ciclo",IF($D90&gt;=InicioCiclo+28,"Después del ciclo","Semana "&amp;(INT(($D90-InicioCiclo)/7)+1)))))</f>
        <v/>
      </c>
      <c r="F90" s="61">
        <f>IF($N90="","",IF($P90&gt;0,IF(1&lt;=SemanaActual,INDEX('Cronograma R. Financiero'!$AH$5:$AH$1000,$N90),""),IF(INDEX('Cronograma R. Financiero'!$I$5:$I$1000,$N90)="","",INDEX('Cronograma R. Financiero'!$I$5:$I$1000,$N90))))</f>
        <v/>
      </c>
      <c r="G90" s="61">
        <f>IF($N90="","",IF($P90&gt;0,IF(2&lt;=SemanaActual,INDEX('Cronograma R. Financiero'!$AI$5:$AI$1000,$N90),""),IF(INDEX('Cronograma R. Financiero'!$J$5:$J$1000,$N90)="","",INDEX('Cronograma R. Financiero'!$J$5:$J$1000,$N90))))</f>
        <v/>
      </c>
      <c r="H90" s="61">
        <f>IF($N90="","",IF($P90&gt;0,IF(3&lt;=SemanaActual,INDEX('Cronograma R. Financiero'!$AJ$5:$AJ$1000,$N90),""),IF(INDEX('Cronograma R. Financiero'!$K$5:$K$1000,$N90)="","",INDEX('Cronograma R. Financiero'!$K$5:$K$1000,$N90))))</f>
        <v/>
      </c>
      <c r="I90" s="61">
        <f>IF($N90="","",IF($P90&gt;0,IF(4&lt;=SemanaActual,INDEX('Cronograma R. Financiero'!$AK$5:$AK$1000,$N90),""),IF(INDEX('Cronograma R. Financiero'!$L$5:$L$1000,$N90)="","",INDEX('Cronograma R. Financiero'!$L$5:$L$1000,$N90))))</f>
        <v/>
      </c>
      <c r="J90" s="61">
        <f>IF($N90="","",INDEX('Cronograma R. Financiero'!$M$5:$M$1000,$N90))</f>
        <v/>
      </c>
      <c r="K90" s="56">
        <f>IF($N90="","",IF(N($J90)&gt;=1,"Completado",IF(AND(ISNUMBER($D90),$D90&lt;FechaRef),"Vencida",IF(N($J90)&gt;0,"En curso","Pendiente"))))</f>
        <v/>
      </c>
      <c r="L90" s="56">
        <f>IF($N90="","",INDEX('Cronograma R. Financiero'!$O$5:$O$1000,$N90)&amp;"")</f>
        <v/>
      </c>
      <c r="M90" s="62">
        <f>IF($N90="","",INDEX('Cronograma R. Financiero'!$Q$5:$Q$1000,$N90)&amp;"")</f>
        <v/>
      </c>
      <c r="N90">
        <f>IFERROR(MATCH(ROW()-4,rOrden_RF,0),"")</f>
        <v/>
      </c>
      <c r="O90">
        <f>IF($N90="","",INDEX('Cronograma R. Financiero'!$V$5:$V$1000,$N90))</f>
        <v/>
      </c>
      <c r="P90">
        <f>IF($N90="","",N(INDEX('Cronograma R. Financiero'!$W$5:$W$1000,$N90)))</f>
        <v/>
      </c>
      <c r="Q90">
        <f>IF(OR(LEFT($L90,7)="Vencida",LEFT($L90,5)="Vence"),SUMPRODUCT(--(LEFT($L$5:$L90,7)="Vencida"))+SUMPRODUCT(--(LEFT($L$5:$L90,5)="Vence")),"")</f>
        <v/>
      </c>
    </row>
    <row r="91">
      <c r="A91" s="56">
        <f>IF($N91="","",INDEX('Cronograma R. Financiero'!$A$5:$A$1000,$N91))</f>
        <v/>
      </c>
      <c r="B91" s="62">
        <f>IF($N91="","",IF($O91="Sub","      ↳  "&amp;INDEX('Cronograma R. Financiero'!$C$5:$C$1000,$N91),INDEX('Cronograma R. Financiero'!$C$5:$C$1000,$N91)&amp;""))</f>
        <v/>
      </c>
      <c r="C91" s="79">
        <f>IF($N91="","",IF(INDEX('Cronograma R. Financiero'!$AR$5:$AR$1000,$N91)="","",INDEX('Cronograma R. Financiero'!$AR$5:$AR$1000,$N91)))</f>
        <v/>
      </c>
      <c r="D91" s="79">
        <f>IF($N91="","",IF(INDEX('Cronograma R. Financiero'!$AS$5:$AS$1000,$N91)="","",INDEX('Cronograma R. Financiero'!$AS$5:$AS$1000,$N91)))</f>
        <v/>
      </c>
      <c r="E91" s="56">
        <f>IF($N91="","",IF(NOT(ISNUMBER($D91)),"",IF($D91&lt;InicioCiclo,"Antes del ciclo",IF($D91&gt;=InicioCiclo+28,"Después del ciclo","Semana "&amp;(INT(($D91-InicioCiclo)/7)+1)))))</f>
        <v/>
      </c>
      <c r="F91" s="61">
        <f>IF($N91="","",IF($P91&gt;0,IF(1&lt;=SemanaActual,INDEX('Cronograma R. Financiero'!$AH$5:$AH$1000,$N91),""),IF(INDEX('Cronograma R. Financiero'!$I$5:$I$1000,$N91)="","",INDEX('Cronograma R. Financiero'!$I$5:$I$1000,$N91))))</f>
        <v/>
      </c>
      <c r="G91" s="61">
        <f>IF($N91="","",IF($P91&gt;0,IF(2&lt;=SemanaActual,INDEX('Cronograma R. Financiero'!$AI$5:$AI$1000,$N91),""),IF(INDEX('Cronograma R. Financiero'!$J$5:$J$1000,$N91)="","",INDEX('Cronograma R. Financiero'!$J$5:$J$1000,$N91))))</f>
        <v/>
      </c>
      <c r="H91" s="61">
        <f>IF($N91="","",IF($P91&gt;0,IF(3&lt;=SemanaActual,INDEX('Cronograma R. Financiero'!$AJ$5:$AJ$1000,$N91),""),IF(INDEX('Cronograma R. Financiero'!$K$5:$K$1000,$N91)="","",INDEX('Cronograma R. Financiero'!$K$5:$K$1000,$N91))))</f>
        <v/>
      </c>
      <c r="I91" s="61">
        <f>IF($N91="","",IF($P91&gt;0,IF(4&lt;=SemanaActual,INDEX('Cronograma R. Financiero'!$AK$5:$AK$1000,$N91),""),IF(INDEX('Cronograma R. Financiero'!$L$5:$L$1000,$N91)="","",INDEX('Cronograma R. Financiero'!$L$5:$L$1000,$N91))))</f>
        <v/>
      </c>
      <c r="J91" s="61">
        <f>IF($N91="","",INDEX('Cronograma R. Financiero'!$M$5:$M$1000,$N91))</f>
        <v/>
      </c>
      <c r="K91" s="56">
        <f>IF($N91="","",IF(N($J91)&gt;=1,"Completado",IF(AND(ISNUMBER($D91),$D91&lt;FechaRef),"Vencida",IF(N($J91)&gt;0,"En curso","Pendiente"))))</f>
        <v/>
      </c>
      <c r="L91" s="56">
        <f>IF($N91="","",INDEX('Cronograma R. Financiero'!$O$5:$O$1000,$N91)&amp;"")</f>
        <v/>
      </c>
      <c r="M91" s="62">
        <f>IF($N91="","",INDEX('Cronograma R. Financiero'!$Q$5:$Q$1000,$N91)&amp;"")</f>
        <v/>
      </c>
      <c r="N91">
        <f>IFERROR(MATCH(ROW()-4,rOrden_RF,0),"")</f>
        <v/>
      </c>
      <c r="O91">
        <f>IF($N91="","",INDEX('Cronograma R. Financiero'!$V$5:$V$1000,$N91))</f>
        <v/>
      </c>
      <c r="P91">
        <f>IF($N91="","",N(INDEX('Cronograma R. Financiero'!$W$5:$W$1000,$N91)))</f>
        <v/>
      </c>
      <c r="Q91">
        <f>IF(OR(LEFT($L91,7)="Vencida",LEFT($L91,5)="Vence"),SUMPRODUCT(--(LEFT($L$5:$L91,7)="Vencida"))+SUMPRODUCT(--(LEFT($L$5:$L91,5)="Vence")),"")</f>
        <v/>
      </c>
    </row>
    <row r="92">
      <c r="A92" s="56">
        <f>IF($N92="","",INDEX('Cronograma R. Financiero'!$A$5:$A$1000,$N92))</f>
        <v/>
      </c>
      <c r="B92" s="62">
        <f>IF($N92="","",IF($O92="Sub","      ↳  "&amp;INDEX('Cronograma R. Financiero'!$C$5:$C$1000,$N92),INDEX('Cronograma R. Financiero'!$C$5:$C$1000,$N92)&amp;""))</f>
        <v/>
      </c>
      <c r="C92" s="79">
        <f>IF($N92="","",IF(INDEX('Cronograma R. Financiero'!$AR$5:$AR$1000,$N92)="","",INDEX('Cronograma R. Financiero'!$AR$5:$AR$1000,$N92)))</f>
        <v/>
      </c>
      <c r="D92" s="79">
        <f>IF($N92="","",IF(INDEX('Cronograma R. Financiero'!$AS$5:$AS$1000,$N92)="","",INDEX('Cronograma R. Financiero'!$AS$5:$AS$1000,$N92)))</f>
        <v/>
      </c>
      <c r="E92" s="56">
        <f>IF($N92="","",IF(NOT(ISNUMBER($D92)),"",IF($D92&lt;InicioCiclo,"Antes del ciclo",IF($D92&gt;=InicioCiclo+28,"Después del ciclo","Semana "&amp;(INT(($D92-InicioCiclo)/7)+1)))))</f>
        <v/>
      </c>
      <c r="F92" s="61">
        <f>IF($N92="","",IF($P92&gt;0,IF(1&lt;=SemanaActual,INDEX('Cronograma R. Financiero'!$AH$5:$AH$1000,$N92),""),IF(INDEX('Cronograma R. Financiero'!$I$5:$I$1000,$N92)="","",INDEX('Cronograma R. Financiero'!$I$5:$I$1000,$N92))))</f>
        <v/>
      </c>
      <c r="G92" s="61">
        <f>IF($N92="","",IF($P92&gt;0,IF(2&lt;=SemanaActual,INDEX('Cronograma R. Financiero'!$AI$5:$AI$1000,$N92),""),IF(INDEX('Cronograma R. Financiero'!$J$5:$J$1000,$N92)="","",INDEX('Cronograma R. Financiero'!$J$5:$J$1000,$N92))))</f>
        <v/>
      </c>
      <c r="H92" s="61">
        <f>IF($N92="","",IF($P92&gt;0,IF(3&lt;=SemanaActual,INDEX('Cronograma R. Financiero'!$AJ$5:$AJ$1000,$N92),""),IF(INDEX('Cronograma R. Financiero'!$K$5:$K$1000,$N92)="","",INDEX('Cronograma R. Financiero'!$K$5:$K$1000,$N92))))</f>
        <v/>
      </c>
      <c r="I92" s="61">
        <f>IF($N92="","",IF($P92&gt;0,IF(4&lt;=SemanaActual,INDEX('Cronograma R. Financiero'!$AK$5:$AK$1000,$N92),""),IF(INDEX('Cronograma R. Financiero'!$L$5:$L$1000,$N92)="","",INDEX('Cronograma R. Financiero'!$L$5:$L$1000,$N92))))</f>
        <v/>
      </c>
      <c r="J92" s="61">
        <f>IF($N92="","",INDEX('Cronograma R. Financiero'!$M$5:$M$1000,$N92))</f>
        <v/>
      </c>
      <c r="K92" s="56">
        <f>IF($N92="","",IF(N($J92)&gt;=1,"Completado",IF(AND(ISNUMBER($D92),$D92&lt;FechaRef),"Vencida",IF(N($J92)&gt;0,"En curso","Pendiente"))))</f>
        <v/>
      </c>
      <c r="L92" s="56">
        <f>IF($N92="","",INDEX('Cronograma R. Financiero'!$O$5:$O$1000,$N92)&amp;"")</f>
        <v/>
      </c>
      <c r="M92" s="62">
        <f>IF($N92="","",INDEX('Cronograma R. Financiero'!$Q$5:$Q$1000,$N92)&amp;"")</f>
        <v/>
      </c>
      <c r="N92">
        <f>IFERROR(MATCH(ROW()-4,rOrden_RF,0),"")</f>
        <v/>
      </c>
      <c r="O92">
        <f>IF($N92="","",INDEX('Cronograma R. Financiero'!$V$5:$V$1000,$N92))</f>
        <v/>
      </c>
      <c r="P92">
        <f>IF($N92="","",N(INDEX('Cronograma R. Financiero'!$W$5:$W$1000,$N92)))</f>
        <v/>
      </c>
      <c r="Q92">
        <f>IF(OR(LEFT($L92,7)="Vencida",LEFT($L92,5)="Vence"),SUMPRODUCT(--(LEFT($L$5:$L92,7)="Vencida"))+SUMPRODUCT(--(LEFT($L$5:$L92,5)="Vence")),"")</f>
        <v/>
      </c>
    </row>
    <row r="93">
      <c r="A93" s="56">
        <f>IF($N93="","",INDEX('Cronograma R. Financiero'!$A$5:$A$1000,$N93))</f>
        <v/>
      </c>
      <c r="B93" s="62">
        <f>IF($N93="","",IF($O93="Sub","      ↳  "&amp;INDEX('Cronograma R. Financiero'!$C$5:$C$1000,$N93),INDEX('Cronograma R. Financiero'!$C$5:$C$1000,$N93)&amp;""))</f>
        <v/>
      </c>
      <c r="C93" s="79">
        <f>IF($N93="","",IF(INDEX('Cronograma R. Financiero'!$AR$5:$AR$1000,$N93)="","",INDEX('Cronograma R. Financiero'!$AR$5:$AR$1000,$N93)))</f>
        <v/>
      </c>
      <c r="D93" s="79">
        <f>IF($N93="","",IF(INDEX('Cronograma R. Financiero'!$AS$5:$AS$1000,$N93)="","",INDEX('Cronograma R. Financiero'!$AS$5:$AS$1000,$N93)))</f>
        <v/>
      </c>
      <c r="E93" s="56">
        <f>IF($N93="","",IF(NOT(ISNUMBER($D93)),"",IF($D93&lt;InicioCiclo,"Antes del ciclo",IF($D93&gt;=InicioCiclo+28,"Después del ciclo","Semana "&amp;(INT(($D93-InicioCiclo)/7)+1)))))</f>
        <v/>
      </c>
      <c r="F93" s="61">
        <f>IF($N93="","",IF($P93&gt;0,IF(1&lt;=SemanaActual,INDEX('Cronograma R. Financiero'!$AH$5:$AH$1000,$N93),""),IF(INDEX('Cronograma R. Financiero'!$I$5:$I$1000,$N93)="","",INDEX('Cronograma R. Financiero'!$I$5:$I$1000,$N93))))</f>
        <v/>
      </c>
      <c r="G93" s="61">
        <f>IF($N93="","",IF($P93&gt;0,IF(2&lt;=SemanaActual,INDEX('Cronograma R. Financiero'!$AI$5:$AI$1000,$N93),""),IF(INDEX('Cronograma R. Financiero'!$J$5:$J$1000,$N93)="","",INDEX('Cronograma R. Financiero'!$J$5:$J$1000,$N93))))</f>
        <v/>
      </c>
      <c r="H93" s="61">
        <f>IF($N93="","",IF($P93&gt;0,IF(3&lt;=SemanaActual,INDEX('Cronograma R. Financiero'!$AJ$5:$AJ$1000,$N93),""),IF(INDEX('Cronograma R. Financiero'!$K$5:$K$1000,$N93)="","",INDEX('Cronograma R. Financiero'!$K$5:$K$1000,$N93))))</f>
        <v/>
      </c>
      <c r="I93" s="61">
        <f>IF($N93="","",IF($P93&gt;0,IF(4&lt;=SemanaActual,INDEX('Cronograma R. Financiero'!$AK$5:$AK$1000,$N93),""),IF(INDEX('Cronograma R. Financiero'!$L$5:$L$1000,$N93)="","",INDEX('Cronograma R. Financiero'!$L$5:$L$1000,$N93))))</f>
        <v/>
      </c>
      <c r="J93" s="61">
        <f>IF($N93="","",INDEX('Cronograma R. Financiero'!$M$5:$M$1000,$N93))</f>
        <v/>
      </c>
      <c r="K93" s="56">
        <f>IF($N93="","",IF(N($J93)&gt;=1,"Completado",IF(AND(ISNUMBER($D93),$D93&lt;FechaRef),"Vencida",IF(N($J93)&gt;0,"En curso","Pendiente"))))</f>
        <v/>
      </c>
      <c r="L93" s="56">
        <f>IF($N93="","",INDEX('Cronograma R. Financiero'!$O$5:$O$1000,$N93)&amp;"")</f>
        <v/>
      </c>
      <c r="M93" s="62">
        <f>IF($N93="","",INDEX('Cronograma R. Financiero'!$Q$5:$Q$1000,$N93)&amp;"")</f>
        <v/>
      </c>
      <c r="N93">
        <f>IFERROR(MATCH(ROW()-4,rOrden_RF,0),"")</f>
        <v/>
      </c>
      <c r="O93">
        <f>IF($N93="","",INDEX('Cronograma R. Financiero'!$V$5:$V$1000,$N93))</f>
        <v/>
      </c>
      <c r="P93">
        <f>IF($N93="","",N(INDEX('Cronograma R. Financiero'!$W$5:$W$1000,$N93)))</f>
        <v/>
      </c>
      <c r="Q93">
        <f>IF(OR(LEFT($L93,7)="Vencida",LEFT($L93,5)="Vence"),SUMPRODUCT(--(LEFT($L$5:$L93,7)="Vencida"))+SUMPRODUCT(--(LEFT($L$5:$L93,5)="Vence")),"")</f>
        <v/>
      </c>
    </row>
    <row r="94">
      <c r="A94" s="56">
        <f>IF($N94="","",INDEX('Cronograma R. Financiero'!$A$5:$A$1000,$N94))</f>
        <v/>
      </c>
      <c r="B94" s="62">
        <f>IF($N94="","",IF($O94="Sub","      ↳  "&amp;INDEX('Cronograma R. Financiero'!$C$5:$C$1000,$N94),INDEX('Cronograma R. Financiero'!$C$5:$C$1000,$N94)&amp;""))</f>
        <v/>
      </c>
      <c r="C94" s="79">
        <f>IF($N94="","",IF(INDEX('Cronograma R. Financiero'!$AR$5:$AR$1000,$N94)="","",INDEX('Cronograma R. Financiero'!$AR$5:$AR$1000,$N94)))</f>
        <v/>
      </c>
      <c r="D94" s="79">
        <f>IF($N94="","",IF(INDEX('Cronograma R. Financiero'!$AS$5:$AS$1000,$N94)="","",INDEX('Cronograma R. Financiero'!$AS$5:$AS$1000,$N94)))</f>
        <v/>
      </c>
      <c r="E94" s="56">
        <f>IF($N94="","",IF(NOT(ISNUMBER($D94)),"",IF($D94&lt;InicioCiclo,"Antes del ciclo",IF($D94&gt;=InicioCiclo+28,"Después del ciclo","Semana "&amp;(INT(($D94-InicioCiclo)/7)+1)))))</f>
        <v/>
      </c>
      <c r="F94" s="61">
        <f>IF($N94="","",IF($P94&gt;0,IF(1&lt;=SemanaActual,INDEX('Cronograma R. Financiero'!$AH$5:$AH$1000,$N94),""),IF(INDEX('Cronograma R. Financiero'!$I$5:$I$1000,$N94)="","",INDEX('Cronograma R. Financiero'!$I$5:$I$1000,$N94))))</f>
        <v/>
      </c>
      <c r="G94" s="61">
        <f>IF($N94="","",IF($P94&gt;0,IF(2&lt;=SemanaActual,INDEX('Cronograma R. Financiero'!$AI$5:$AI$1000,$N94),""),IF(INDEX('Cronograma R. Financiero'!$J$5:$J$1000,$N94)="","",INDEX('Cronograma R. Financiero'!$J$5:$J$1000,$N94))))</f>
        <v/>
      </c>
      <c r="H94" s="61">
        <f>IF($N94="","",IF($P94&gt;0,IF(3&lt;=SemanaActual,INDEX('Cronograma R. Financiero'!$AJ$5:$AJ$1000,$N94),""),IF(INDEX('Cronograma R. Financiero'!$K$5:$K$1000,$N94)="","",INDEX('Cronograma R. Financiero'!$K$5:$K$1000,$N94))))</f>
        <v/>
      </c>
      <c r="I94" s="61">
        <f>IF($N94="","",IF($P94&gt;0,IF(4&lt;=SemanaActual,INDEX('Cronograma R. Financiero'!$AK$5:$AK$1000,$N94),""),IF(INDEX('Cronograma R. Financiero'!$L$5:$L$1000,$N94)="","",INDEX('Cronograma R. Financiero'!$L$5:$L$1000,$N94))))</f>
        <v/>
      </c>
      <c r="J94" s="61">
        <f>IF($N94="","",INDEX('Cronograma R. Financiero'!$M$5:$M$1000,$N94))</f>
        <v/>
      </c>
      <c r="K94" s="56">
        <f>IF($N94="","",IF(N($J94)&gt;=1,"Completado",IF(AND(ISNUMBER($D94),$D94&lt;FechaRef),"Vencida",IF(N($J94)&gt;0,"En curso","Pendiente"))))</f>
        <v/>
      </c>
      <c r="L94" s="56">
        <f>IF($N94="","",INDEX('Cronograma R. Financiero'!$O$5:$O$1000,$N94)&amp;"")</f>
        <v/>
      </c>
      <c r="M94" s="62">
        <f>IF($N94="","",INDEX('Cronograma R. Financiero'!$Q$5:$Q$1000,$N94)&amp;"")</f>
        <v/>
      </c>
      <c r="N94">
        <f>IFERROR(MATCH(ROW()-4,rOrden_RF,0),"")</f>
        <v/>
      </c>
      <c r="O94">
        <f>IF($N94="","",INDEX('Cronograma R. Financiero'!$V$5:$V$1000,$N94))</f>
        <v/>
      </c>
      <c r="P94">
        <f>IF($N94="","",N(INDEX('Cronograma R. Financiero'!$W$5:$W$1000,$N94)))</f>
        <v/>
      </c>
      <c r="Q94">
        <f>IF(OR(LEFT($L94,7)="Vencida",LEFT($L94,5)="Vence"),SUMPRODUCT(--(LEFT($L$5:$L94,7)="Vencida"))+SUMPRODUCT(--(LEFT($L$5:$L94,5)="Vence")),"")</f>
        <v/>
      </c>
    </row>
    <row r="95">
      <c r="A95" s="56">
        <f>IF($N95="","",INDEX('Cronograma R. Financiero'!$A$5:$A$1000,$N95))</f>
        <v/>
      </c>
      <c r="B95" s="62">
        <f>IF($N95="","",IF($O95="Sub","      ↳  "&amp;INDEX('Cronograma R. Financiero'!$C$5:$C$1000,$N95),INDEX('Cronograma R. Financiero'!$C$5:$C$1000,$N95)&amp;""))</f>
        <v/>
      </c>
      <c r="C95" s="79">
        <f>IF($N95="","",IF(INDEX('Cronograma R. Financiero'!$AR$5:$AR$1000,$N95)="","",INDEX('Cronograma R. Financiero'!$AR$5:$AR$1000,$N95)))</f>
        <v/>
      </c>
      <c r="D95" s="79">
        <f>IF($N95="","",IF(INDEX('Cronograma R. Financiero'!$AS$5:$AS$1000,$N95)="","",INDEX('Cronograma R. Financiero'!$AS$5:$AS$1000,$N95)))</f>
        <v/>
      </c>
      <c r="E95" s="56">
        <f>IF($N95="","",IF(NOT(ISNUMBER($D95)),"",IF($D95&lt;InicioCiclo,"Antes del ciclo",IF($D95&gt;=InicioCiclo+28,"Después del ciclo","Semana "&amp;(INT(($D95-InicioCiclo)/7)+1)))))</f>
        <v/>
      </c>
      <c r="F95" s="61">
        <f>IF($N95="","",IF($P95&gt;0,IF(1&lt;=SemanaActual,INDEX('Cronograma R. Financiero'!$AH$5:$AH$1000,$N95),""),IF(INDEX('Cronograma R. Financiero'!$I$5:$I$1000,$N95)="","",INDEX('Cronograma R. Financiero'!$I$5:$I$1000,$N95))))</f>
        <v/>
      </c>
      <c r="G95" s="61">
        <f>IF($N95="","",IF($P95&gt;0,IF(2&lt;=SemanaActual,INDEX('Cronograma R. Financiero'!$AI$5:$AI$1000,$N95),""),IF(INDEX('Cronograma R. Financiero'!$J$5:$J$1000,$N95)="","",INDEX('Cronograma R. Financiero'!$J$5:$J$1000,$N95))))</f>
        <v/>
      </c>
      <c r="H95" s="61">
        <f>IF($N95="","",IF($P95&gt;0,IF(3&lt;=SemanaActual,INDEX('Cronograma R. Financiero'!$AJ$5:$AJ$1000,$N95),""),IF(INDEX('Cronograma R. Financiero'!$K$5:$K$1000,$N95)="","",INDEX('Cronograma R. Financiero'!$K$5:$K$1000,$N95))))</f>
        <v/>
      </c>
      <c r="I95" s="61">
        <f>IF($N95="","",IF($P95&gt;0,IF(4&lt;=SemanaActual,INDEX('Cronograma R. Financiero'!$AK$5:$AK$1000,$N95),""),IF(INDEX('Cronograma R. Financiero'!$L$5:$L$1000,$N95)="","",INDEX('Cronograma R. Financiero'!$L$5:$L$1000,$N95))))</f>
        <v/>
      </c>
      <c r="J95" s="61">
        <f>IF($N95="","",INDEX('Cronograma R. Financiero'!$M$5:$M$1000,$N95))</f>
        <v/>
      </c>
      <c r="K95" s="56">
        <f>IF($N95="","",IF(N($J95)&gt;=1,"Completado",IF(AND(ISNUMBER($D95),$D95&lt;FechaRef),"Vencida",IF(N($J95)&gt;0,"En curso","Pendiente"))))</f>
        <v/>
      </c>
      <c r="L95" s="56">
        <f>IF($N95="","",INDEX('Cronograma R. Financiero'!$O$5:$O$1000,$N95)&amp;"")</f>
        <v/>
      </c>
      <c r="M95" s="62">
        <f>IF($N95="","",INDEX('Cronograma R. Financiero'!$Q$5:$Q$1000,$N95)&amp;"")</f>
        <v/>
      </c>
      <c r="N95">
        <f>IFERROR(MATCH(ROW()-4,rOrden_RF,0),"")</f>
        <v/>
      </c>
      <c r="O95">
        <f>IF($N95="","",INDEX('Cronograma R. Financiero'!$V$5:$V$1000,$N95))</f>
        <v/>
      </c>
      <c r="P95">
        <f>IF($N95="","",N(INDEX('Cronograma R. Financiero'!$W$5:$W$1000,$N95)))</f>
        <v/>
      </c>
      <c r="Q95">
        <f>IF(OR(LEFT($L95,7)="Vencida",LEFT($L95,5)="Vence"),SUMPRODUCT(--(LEFT($L$5:$L95,7)="Vencida"))+SUMPRODUCT(--(LEFT($L$5:$L95,5)="Vence")),"")</f>
        <v/>
      </c>
    </row>
    <row r="96">
      <c r="A96" s="56">
        <f>IF($N96="","",INDEX('Cronograma R. Financiero'!$A$5:$A$1000,$N96))</f>
        <v/>
      </c>
      <c r="B96" s="62">
        <f>IF($N96="","",IF($O96="Sub","      ↳  "&amp;INDEX('Cronograma R. Financiero'!$C$5:$C$1000,$N96),INDEX('Cronograma R. Financiero'!$C$5:$C$1000,$N96)&amp;""))</f>
        <v/>
      </c>
      <c r="C96" s="79">
        <f>IF($N96="","",IF(INDEX('Cronograma R. Financiero'!$AR$5:$AR$1000,$N96)="","",INDEX('Cronograma R. Financiero'!$AR$5:$AR$1000,$N96)))</f>
        <v/>
      </c>
      <c r="D96" s="79">
        <f>IF($N96="","",IF(INDEX('Cronograma R. Financiero'!$AS$5:$AS$1000,$N96)="","",INDEX('Cronograma R. Financiero'!$AS$5:$AS$1000,$N96)))</f>
        <v/>
      </c>
      <c r="E96" s="56">
        <f>IF($N96="","",IF(NOT(ISNUMBER($D96)),"",IF($D96&lt;InicioCiclo,"Antes del ciclo",IF($D96&gt;=InicioCiclo+28,"Después del ciclo","Semana "&amp;(INT(($D96-InicioCiclo)/7)+1)))))</f>
        <v/>
      </c>
      <c r="F96" s="61">
        <f>IF($N96="","",IF($P96&gt;0,IF(1&lt;=SemanaActual,INDEX('Cronograma R. Financiero'!$AH$5:$AH$1000,$N96),""),IF(INDEX('Cronograma R. Financiero'!$I$5:$I$1000,$N96)="","",INDEX('Cronograma R. Financiero'!$I$5:$I$1000,$N96))))</f>
        <v/>
      </c>
      <c r="G96" s="61">
        <f>IF($N96="","",IF($P96&gt;0,IF(2&lt;=SemanaActual,INDEX('Cronograma R. Financiero'!$AI$5:$AI$1000,$N96),""),IF(INDEX('Cronograma R. Financiero'!$J$5:$J$1000,$N96)="","",INDEX('Cronograma R. Financiero'!$J$5:$J$1000,$N96))))</f>
        <v/>
      </c>
      <c r="H96" s="61">
        <f>IF($N96="","",IF($P96&gt;0,IF(3&lt;=SemanaActual,INDEX('Cronograma R. Financiero'!$AJ$5:$AJ$1000,$N96),""),IF(INDEX('Cronograma R. Financiero'!$K$5:$K$1000,$N96)="","",INDEX('Cronograma R. Financiero'!$K$5:$K$1000,$N96))))</f>
        <v/>
      </c>
      <c r="I96" s="61">
        <f>IF($N96="","",IF($P96&gt;0,IF(4&lt;=SemanaActual,INDEX('Cronograma R. Financiero'!$AK$5:$AK$1000,$N96),""),IF(INDEX('Cronograma R. Financiero'!$L$5:$L$1000,$N96)="","",INDEX('Cronograma R. Financiero'!$L$5:$L$1000,$N96))))</f>
        <v/>
      </c>
      <c r="J96" s="61">
        <f>IF($N96="","",INDEX('Cronograma R. Financiero'!$M$5:$M$1000,$N96))</f>
        <v/>
      </c>
      <c r="K96" s="56">
        <f>IF($N96="","",IF(N($J96)&gt;=1,"Completado",IF(AND(ISNUMBER($D96),$D96&lt;FechaRef),"Vencida",IF(N($J96)&gt;0,"En curso","Pendiente"))))</f>
        <v/>
      </c>
      <c r="L96" s="56">
        <f>IF($N96="","",INDEX('Cronograma R. Financiero'!$O$5:$O$1000,$N96)&amp;"")</f>
        <v/>
      </c>
      <c r="M96" s="62">
        <f>IF($N96="","",INDEX('Cronograma R. Financiero'!$Q$5:$Q$1000,$N96)&amp;"")</f>
        <v/>
      </c>
      <c r="N96">
        <f>IFERROR(MATCH(ROW()-4,rOrden_RF,0),"")</f>
        <v/>
      </c>
      <c r="O96">
        <f>IF($N96="","",INDEX('Cronograma R. Financiero'!$V$5:$V$1000,$N96))</f>
        <v/>
      </c>
      <c r="P96">
        <f>IF($N96="","",N(INDEX('Cronograma R. Financiero'!$W$5:$W$1000,$N96)))</f>
        <v/>
      </c>
      <c r="Q96">
        <f>IF(OR(LEFT($L96,7)="Vencida",LEFT($L96,5)="Vence"),SUMPRODUCT(--(LEFT($L$5:$L96,7)="Vencida"))+SUMPRODUCT(--(LEFT($L$5:$L96,5)="Vence")),"")</f>
        <v/>
      </c>
    </row>
    <row r="97">
      <c r="A97" s="56">
        <f>IF($N97="","",INDEX('Cronograma R. Financiero'!$A$5:$A$1000,$N97))</f>
        <v/>
      </c>
      <c r="B97" s="62">
        <f>IF($N97="","",IF($O97="Sub","      ↳  "&amp;INDEX('Cronograma R. Financiero'!$C$5:$C$1000,$N97),INDEX('Cronograma R. Financiero'!$C$5:$C$1000,$N97)&amp;""))</f>
        <v/>
      </c>
      <c r="C97" s="79">
        <f>IF($N97="","",IF(INDEX('Cronograma R. Financiero'!$AR$5:$AR$1000,$N97)="","",INDEX('Cronograma R. Financiero'!$AR$5:$AR$1000,$N97)))</f>
        <v/>
      </c>
      <c r="D97" s="79">
        <f>IF($N97="","",IF(INDEX('Cronograma R. Financiero'!$AS$5:$AS$1000,$N97)="","",INDEX('Cronograma R. Financiero'!$AS$5:$AS$1000,$N97)))</f>
        <v/>
      </c>
      <c r="E97" s="56">
        <f>IF($N97="","",IF(NOT(ISNUMBER($D97)),"",IF($D97&lt;InicioCiclo,"Antes del ciclo",IF($D97&gt;=InicioCiclo+28,"Después del ciclo","Semana "&amp;(INT(($D97-InicioCiclo)/7)+1)))))</f>
        <v/>
      </c>
      <c r="F97" s="61">
        <f>IF($N97="","",IF($P97&gt;0,IF(1&lt;=SemanaActual,INDEX('Cronograma R. Financiero'!$AH$5:$AH$1000,$N97),""),IF(INDEX('Cronograma R. Financiero'!$I$5:$I$1000,$N97)="","",INDEX('Cronograma R. Financiero'!$I$5:$I$1000,$N97))))</f>
        <v/>
      </c>
      <c r="G97" s="61">
        <f>IF($N97="","",IF($P97&gt;0,IF(2&lt;=SemanaActual,INDEX('Cronograma R. Financiero'!$AI$5:$AI$1000,$N97),""),IF(INDEX('Cronograma R. Financiero'!$J$5:$J$1000,$N97)="","",INDEX('Cronograma R. Financiero'!$J$5:$J$1000,$N97))))</f>
        <v/>
      </c>
      <c r="H97" s="61">
        <f>IF($N97="","",IF($P97&gt;0,IF(3&lt;=SemanaActual,INDEX('Cronograma R. Financiero'!$AJ$5:$AJ$1000,$N97),""),IF(INDEX('Cronograma R. Financiero'!$K$5:$K$1000,$N97)="","",INDEX('Cronograma R. Financiero'!$K$5:$K$1000,$N97))))</f>
        <v/>
      </c>
      <c r="I97" s="61">
        <f>IF($N97="","",IF($P97&gt;0,IF(4&lt;=SemanaActual,INDEX('Cronograma R. Financiero'!$AK$5:$AK$1000,$N97),""),IF(INDEX('Cronograma R. Financiero'!$L$5:$L$1000,$N97)="","",INDEX('Cronograma R. Financiero'!$L$5:$L$1000,$N97))))</f>
        <v/>
      </c>
      <c r="J97" s="61">
        <f>IF($N97="","",INDEX('Cronograma R. Financiero'!$M$5:$M$1000,$N97))</f>
        <v/>
      </c>
      <c r="K97" s="56">
        <f>IF($N97="","",IF(N($J97)&gt;=1,"Completado",IF(AND(ISNUMBER($D97),$D97&lt;FechaRef),"Vencida",IF(N($J97)&gt;0,"En curso","Pendiente"))))</f>
        <v/>
      </c>
      <c r="L97" s="56">
        <f>IF($N97="","",INDEX('Cronograma R. Financiero'!$O$5:$O$1000,$N97)&amp;"")</f>
        <v/>
      </c>
      <c r="M97" s="62">
        <f>IF($N97="","",INDEX('Cronograma R. Financiero'!$Q$5:$Q$1000,$N97)&amp;"")</f>
        <v/>
      </c>
      <c r="N97">
        <f>IFERROR(MATCH(ROW()-4,rOrden_RF,0),"")</f>
        <v/>
      </c>
      <c r="O97">
        <f>IF($N97="","",INDEX('Cronograma R. Financiero'!$V$5:$V$1000,$N97))</f>
        <v/>
      </c>
      <c r="P97">
        <f>IF($N97="","",N(INDEX('Cronograma R. Financiero'!$W$5:$W$1000,$N97)))</f>
        <v/>
      </c>
      <c r="Q97">
        <f>IF(OR(LEFT($L97,7)="Vencida",LEFT($L97,5)="Vence"),SUMPRODUCT(--(LEFT($L$5:$L97,7)="Vencida"))+SUMPRODUCT(--(LEFT($L$5:$L97,5)="Vence")),"")</f>
        <v/>
      </c>
    </row>
    <row r="98">
      <c r="A98" s="56">
        <f>IF($N98="","",INDEX('Cronograma R. Financiero'!$A$5:$A$1000,$N98))</f>
        <v/>
      </c>
      <c r="B98" s="62">
        <f>IF($N98="","",IF($O98="Sub","      ↳  "&amp;INDEX('Cronograma R. Financiero'!$C$5:$C$1000,$N98),INDEX('Cronograma R. Financiero'!$C$5:$C$1000,$N98)&amp;""))</f>
        <v/>
      </c>
      <c r="C98" s="79">
        <f>IF($N98="","",IF(INDEX('Cronograma R. Financiero'!$AR$5:$AR$1000,$N98)="","",INDEX('Cronograma R. Financiero'!$AR$5:$AR$1000,$N98)))</f>
        <v/>
      </c>
      <c r="D98" s="79">
        <f>IF($N98="","",IF(INDEX('Cronograma R. Financiero'!$AS$5:$AS$1000,$N98)="","",INDEX('Cronograma R. Financiero'!$AS$5:$AS$1000,$N98)))</f>
        <v/>
      </c>
      <c r="E98" s="56">
        <f>IF($N98="","",IF(NOT(ISNUMBER($D98)),"",IF($D98&lt;InicioCiclo,"Antes del ciclo",IF($D98&gt;=InicioCiclo+28,"Después del ciclo","Semana "&amp;(INT(($D98-InicioCiclo)/7)+1)))))</f>
        <v/>
      </c>
      <c r="F98" s="61">
        <f>IF($N98="","",IF($P98&gt;0,IF(1&lt;=SemanaActual,INDEX('Cronograma R. Financiero'!$AH$5:$AH$1000,$N98),""),IF(INDEX('Cronograma R. Financiero'!$I$5:$I$1000,$N98)="","",INDEX('Cronograma R. Financiero'!$I$5:$I$1000,$N98))))</f>
        <v/>
      </c>
      <c r="G98" s="61">
        <f>IF($N98="","",IF($P98&gt;0,IF(2&lt;=SemanaActual,INDEX('Cronograma R. Financiero'!$AI$5:$AI$1000,$N98),""),IF(INDEX('Cronograma R. Financiero'!$J$5:$J$1000,$N98)="","",INDEX('Cronograma R. Financiero'!$J$5:$J$1000,$N98))))</f>
        <v/>
      </c>
      <c r="H98" s="61">
        <f>IF($N98="","",IF($P98&gt;0,IF(3&lt;=SemanaActual,INDEX('Cronograma R. Financiero'!$AJ$5:$AJ$1000,$N98),""),IF(INDEX('Cronograma R. Financiero'!$K$5:$K$1000,$N98)="","",INDEX('Cronograma R. Financiero'!$K$5:$K$1000,$N98))))</f>
        <v/>
      </c>
      <c r="I98" s="61">
        <f>IF($N98="","",IF($P98&gt;0,IF(4&lt;=SemanaActual,INDEX('Cronograma R. Financiero'!$AK$5:$AK$1000,$N98),""),IF(INDEX('Cronograma R. Financiero'!$L$5:$L$1000,$N98)="","",INDEX('Cronograma R. Financiero'!$L$5:$L$1000,$N98))))</f>
        <v/>
      </c>
      <c r="J98" s="61">
        <f>IF($N98="","",INDEX('Cronograma R. Financiero'!$M$5:$M$1000,$N98))</f>
        <v/>
      </c>
      <c r="K98" s="56">
        <f>IF($N98="","",IF(N($J98)&gt;=1,"Completado",IF(AND(ISNUMBER($D98),$D98&lt;FechaRef),"Vencida",IF(N($J98)&gt;0,"En curso","Pendiente"))))</f>
        <v/>
      </c>
      <c r="L98" s="56">
        <f>IF($N98="","",INDEX('Cronograma R. Financiero'!$O$5:$O$1000,$N98)&amp;"")</f>
        <v/>
      </c>
      <c r="M98" s="62">
        <f>IF($N98="","",INDEX('Cronograma R. Financiero'!$Q$5:$Q$1000,$N98)&amp;"")</f>
        <v/>
      </c>
      <c r="N98">
        <f>IFERROR(MATCH(ROW()-4,rOrden_RF,0),"")</f>
        <v/>
      </c>
      <c r="O98">
        <f>IF($N98="","",INDEX('Cronograma R. Financiero'!$V$5:$V$1000,$N98))</f>
        <v/>
      </c>
      <c r="P98">
        <f>IF($N98="","",N(INDEX('Cronograma R. Financiero'!$W$5:$W$1000,$N98)))</f>
        <v/>
      </c>
      <c r="Q98">
        <f>IF(OR(LEFT($L98,7)="Vencida",LEFT($L98,5)="Vence"),SUMPRODUCT(--(LEFT($L$5:$L98,7)="Vencida"))+SUMPRODUCT(--(LEFT($L$5:$L98,5)="Vence")),"")</f>
        <v/>
      </c>
    </row>
    <row r="99">
      <c r="A99" s="56">
        <f>IF($N99="","",INDEX('Cronograma R. Financiero'!$A$5:$A$1000,$N99))</f>
        <v/>
      </c>
      <c r="B99" s="62">
        <f>IF($N99="","",IF($O99="Sub","      ↳  "&amp;INDEX('Cronograma R. Financiero'!$C$5:$C$1000,$N99),INDEX('Cronograma R. Financiero'!$C$5:$C$1000,$N99)&amp;""))</f>
        <v/>
      </c>
      <c r="C99" s="79">
        <f>IF($N99="","",IF(INDEX('Cronograma R. Financiero'!$AR$5:$AR$1000,$N99)="","",INDEX('Cronograma R. Financiero'!$AR$5:$AR$1000,$N99)))</f>
        <v/>
      </c>
      <c r="D99" s="79">
        <f>IF($N99="","",IF(INDEX('Cronograma R. Financiero'!$AS$5:$AS$1000,$N99)="","",INDEX('Cronograma R. Financiero'!$AS$5:$AS$1000,$N99)))</f>
        <v/>
      </c>
      <c r="E99" s="56">
        <f>IF($N99="","",IF(NOT(ISNUMBER($D99)),"",IF($D99&lt;InicioCiclo,"Antes del ciclo",IF($D99&gt;=InicioCiclo+28,"Después del ciclo","Semana "&amp;(INT(($D99-InicioCiclo)/7)+1)))))</f>
        <v/>
      </c>
      <c r="F99" s="61">
        <f>IF($N99="","",IF($P99&gt;0,IF(1&lt;=SemanaActual,INDEX('Cronograma R. Financiero'!$AH$5:$AH$1000,$N99),""),IF(INDEX('Cronograma R. Financiero'!$I$5:$I$1000,$N99)="","",INDEX('Cronograma R. Financiero'!$I$5:$I$1000,$N99))))</f>
        <v/>
      </c>
      <c r="G99" s="61">
        <f>IF($N99="","",IF($P99&gt;0,IF(2&lt;=SemanaActual,INDEX('Cronograma R. Financiero'!$AI$5:$AI$1000,$N99),""),IF(INDEX('Cronograma R. Financiero'!$J$5:$J$1000,$N99)="","",INDEX('Cronograma R. Financiero'!$J$5:$J$1000,$N99))))</f>
        <v/>
      </c>
      <c r="H99" s="61">
        <f>IF($N99="","",IF($P99&gt;0,IF(3&lt;=SemanaActual,INDEX('Cronograma R. Financiero'!$AJ$5:$AJ$1000,$N99),""),IF(INDEX('Cronograma R. Financiero'!$K$5:$K$1000,$N99)="","",INDEX('Cronograma R. Financiero'!$K$5:$K$1000,$N99))))</f>
        <v/>
      </c>
      <c r="I99" s="61">
        <f>IF($N99="","",IF($P99&gt;0,IF(4&lt;=SemanaActual,INDEX('Cronograma R. Financiero'!$AK$5:$AK$1000,$N99),""),IF(INDEX('Cronograma R. Financiero'!$L$5:$L$1000,$N99)="","",INDEX('Cronograma R. Financiero'!$L$5:$L$1000,$N99))))</f>
        <v/>
      </c>
      <c r="J99" s="61">
        <f>IF($N99="","",INDEX('Cronograma R. Financiero'!$M$5:$M$1000,$N99))</f>
        <v/>
      </c>
      <c r="K99" s="56">
        <f>IF($N99="","",IF(N($J99)&gt;=1,"Completado",IF(AND(ISNUMBER($D99),$D99&lt;FechaRef),"Vencida",IF(N($J99)&gt;0,"En curso","Pendiente"))))</f>
        <v/>
      </c>
      <c r="L99" s="56">
        <f>IF($N99="","",INDEX('Cronograma R. Financiero'!$O$5:$O$1000,$N99)&amp;"")</f>
        <v/>
      </c>
      <c r="M99" s="62">
        <f>IF($N99="","",INDEX('Cronograma R. Financiero'!$Q$5:$Q$1000,$N99)&amp;"")</f>
        <v/>
      </c>
      <c r="N99">
        <f>IFERROR(MATCH(ROW()-4,rOrden_RF,0),"")</f>
        <v/>
      </c>
      <c r="O99">
        <f>IF($N99="","",INDEX('Cronograma R. Financiero'!$V$5:$V$1000,$N99))</f>
        <v/>
      </c>
      <c r="P99">
        <f>IF($N99="","",N(INDEX('Cronograma R. Financiero'!$W$5:$W$1000,$N99)))</f>
        <v/>
      </c>
      <c r="Q99">
        <f>IF(OR(LEFT($L99,7)="Vencida",LEFT($L99,5)="Vence"),SUMPRODUCT(--(LEFT($L$5:$L99,7)="Vencida"))+SUMPRODUCT(--(LEFT($L$5:$L99,5)="Vence")),"")</f>
        <v/>
      </c>
    </row>
    <row r="100">
      <c r="A100" s="56">
        <f>IF($N100="","",INDEX('Cronograma R. Financiero'!$A$5:$A$1000,$N100))</f>
        <v/>
      </c>
      <c r="B100" s="62">
        <f>IF($N100="","",IF($O100="Sub","      ↳  "&amp;INDEX('Cronograma R. Financiero'!$C$5:$C$1000,$N100),INDEX('Cronograma R. Financiero'!$C$5:$C$1000,$N100)&amp;""))</f>
        <v/>
      </c>
      <c r="C100" s="79">
        <f>IF($N100="","",IF(INDEX('Cronograma R. Financiero'!$AR$5:$AR$1000,$N100)="","",INDEX('Cronograma R. Financiero'!$AR$5:$AR$1000,$N100)))</f>
        <v/>
      </c>
      <c r="D100" s="79">
        <f>IF($N100="","",IF(INDEX('Cronograma R. Financiero'!$AS$5:$AS$1000,$N100)="","",INDEX('Cronograma R. Financiero'!$AS$5:$AS$1000,$N100)))</f>
        <v/>
      </c>
      <c r="E100" s="56">
        <f>IF($N100="","",IF(NOT(ISNUMBER($D100)),"",IF($D100&lt;InicioCiclo,"Antes del ciclo",IF($D100&gt;=InicioCiclo+28,"Después del ciclo","Semana "&amp;(INT(($D100-InicioCiclo)/7)+1)))))</f>
        <v/>
      </c>
      <c r="F100" s="61">
        <f>IF($N100="","",IF($P100&gt;0,IF(1&lt;=SemanaActual,INDEX('Cronograma R. Financiero'!$AH$5:$AH$1000,$N100),""),IF(INDEX('Cronograma R. Financiero'!$I$5:$I$1000,$N100)="","",INDEX('Cronograma R. Financiero'!$I$5:$I$1000,$N100))))</f>
        <v/>
      </c>
      <c r="G100" s="61">
        <f>IF($N100="","",IF($P100&gt;0,IF(2&lt;=SemanaActual,INDEX('Cronograma R. Financiero'!$AI$5:$AI$1000,$N100),""),IF(INDEX('Cronograma R. Financiero'!$J$5:$J$1000,$N100)="","",INDEX('Cronograma R. Financiero'!$J$5:$J$1000,$N100))))</f>
        <v/>
      </c>
      <c r="H100" s="61">
        <f>IF($N100="","",IF($P100&gt;0,IF(3&lt;=SemanaActual,INDEX('Cronograma R. Financiero'!$AJ$5:$AJ$1000,$N100),""),IF(INDEX('Cronograma R. Financiero'!$K$5:$K$1000,$N100)="","",INDEX('Cronograma R. Financiero'!$K$5:$K$1000,$N100))))</f>
        <v/>
      </c>
      <c r="I100" s="61">
        <f>IF($N100="","",IF($P100&gt;0,IF(4&lt;=SemanaActual,INDEX('Cronograma R. Financiero'!$AK$5:$AK$1000,$N100),""),IF(INDEX('Cronograma R. Financiero'!$L$5:$L$1000,$N100)="","",INDEX('Cronograma R. Financiero'!$L$5:$L$1000,$N100))))</f>
        <v/>
      </c>
      <c r="J100" s="61">
        <f>IF($N100="","",INDEX('Cronograma R. Financiero'!$M$5:$M$1000,$N100))</f>
        <v/>
      </c>
      <c r="K100" s="56">
        <f>IF($N100="","",IF(N($J100)&gt;=1,"Completado",IF(AND(ISNUMBER($D100),$D100&lt;FechaRef),"Vencida",IF(N($J100)&gt;0,"En curso","Pendiente"))))</f>
        <v/>
      </c>
      <c r="L100" s="56">
        <f>IF($N100="","",INDEX('Cronograma R. Financiero'!$O$5:$O$1000,$N100)&amp;"")</f>
        <v/>
      </c>
      <c r="M100" s="62">
        <f>IF($N100="","",INDEX('Cronograma R. Financiero'!$Q$5:$Q$1000,$N100)&amp;"")</f>
        <v/>
      </c>
      <c r="N100">
        <f>IFERROR(MATCH(ROW()-4,rOrden_RF,0),"")</f>
        <v/>
      </c>
      <c r="O100">
        <f>IF($N100="","",INDEX('Cronograma R. Financiero'!$V$5:$V$1000,$N100))</f>
        <v/>
      </c>
      <c r="P100">
        <f>IF($N100="","",N(INDEX('Cronograma R. Financiero'!$W$5:$W$1000,$N100)))</f>
        <v/>
      </c>
      <c r="Q100">
        <f>IF(OR(LEFT($L100,7)="Vencida",LEFT($L100,5)="Vence"),SUMPRODUCT(--(LEFT($L$5:$L100,7)="Vencida"))+SUMPRODUCT(--(LEFT($L$5:$L100,5)="Vence")),"")</f>
        <v/>
      </c>
    </row>
    <row r="101">
      <c r="A101" s="56">
        <f>IF($N101="","",INDEX('Cronograma R. Financiero'!$A$5:$A$1000,$N101))</f>
        <v/>
      </c>
      <c r="B101" s="62">
        <f>IF($N101="","",IF($O101="Sub","      ↳  "&amp;INDEX('Cronograma R. Financiero'!$C$5:$C$1000,$N101),INDEX('Cronograma R. Financiero'!$C$5:$C$1000,$N101)&amp;""))</f>
        <v/>
      </c>
      <c r="C101" s="79">
        <f>IF($N101="","",IF(INDEX('Cronograma R. Financiero'!$AR$5:$AR$1000,$N101)="","",INDEX('Cronograma R. Financiero'!$AR$5:$AR$1000,$N101)))</f>
        <v/>
      </c>
      <c r="D101" s="79">
        <f>IF($N101="","",IF(INDEX('Cronograma R. Financiero'!$AS$5:$AS$1000,$N101)="","",INDEX('Cronograma R. Financiero'!$AS$5:$AS$1000,$N101)))</f>
        <v/>
      </c>
      <c r="E101" s="56">
        <f>IF($N101="","",IF(NOT(ISNUMBER($D101)),"",IF($D101&lt;InicioCiclo,"Antes del ciclo",IF($D101&gt;=InicioCiclo+28,"Después del ciclo","Semana "&amp;(INT(($D101-InicioCiclo)/7)+1)))))</f>
        <v/>
      </c>
      <c r="F101" s="61">
        <f>IF($N101="","",IF($P101&gt;0,IF(1&lt;=SemanaActual,INDEX('Cronograma R. Financiero'!$AH$5:$AH$1000,$N101),""),IF(INDEX('Cronograma R. Financiero'!$I$5:$I$1000,$N101)="","",INDEX('Cronograma R. Financiero'!$I$5:$I$1000,$N101))))</f>
        <v/>
      </c>
      <c r="G101" s="61">
        <f>IF($N101="","",IF($P101&gt;0,IF(2&lt;=SemanaActual,INDEX('Cronograma R. Financiero'!$AI$5:$AI$1000,$N101),""),IF(INDEX('Cronograma R. Financiero'!$J$5:$J$1000,$N101)="","",INDEX('Cronograma R. Financiero'!$J$5:$J$1000,$N101))))</f>
        <v/>
      </c>
      <c r="H101" s="61">
        <f>IF($N101="","",IF($P101&gt;0,IF(3&lt;=SemanaActual,INDEX('Cronograma R. Financiero'!$AJ$5:$AJ$1000,$N101),""),IF(INDEX('Cronograma R. Financiero'!$K$5:$K$1000,$N101)="","",INDEX('Cronograma R. Financiero'!$K$5:$K$1000,$N101))))</f>
        <v/>
      </c>
      <c r="I101" s="61">
        <f>IF($N101="","",IF($P101&gt;0,IF(4&lt;=SemanaActual,INDEX('Cronograma R. Financiero'!$AK$5:$AK$1000,$N101),""),IF(INDEX('Cronograma R. Financiero'!$L$5:$L$1000,$N101)="","",INDEX('Cronograma R. Financiero'!$L$5:$L$1000,$N101))))</f>
        <v/>
      </c>
      <c r="J101" s="61">
        <f>IF($N101="","",INDEX('Cronograma R. Financiero'!$M$5:$M$1000,$N101))</f>
        <v/>
      </c>
      <c r="K101" s="56">
        <f>IF($N101="","",IF(N($J101)&gt;=1,"Completado",IF(AND(ISNUMBER($D101),$D101&lt;FechaRef),"Vencida",IF(N($J101)&gt;0,"En curso","Pendiente"))))</f>
        <v/>
      </c>
      <c r="L101" s="56">
        <f>IF($N101="","",INDEX('Cronograma R. Financiero'!$O$5:$O$1000,$N101)&amp;"")</f>
        <v/>
      </c>
      <c r="M101" s="62">
        <f>IF($N101="","",INDEX('Cronograma R. Financiero'!$Q$5:$Q$1000,$N101)&amp;"")</f>
        <v/>
      </c>
      <c r="N101">
        <f>IFERROR(MATCH(ROW()-4,rOrden_RF,0),"")</f>
        <v/>
      </c>
      <c r="O101">
        <f>IF($N101="","",INDEX('Cronograma R. Financiero'!$V$5:$V$1000,$N101))</f>
        <v/>
      </c>
      <c r="P101">
        <f>IF($N101="","",N(INDEX('Cronograma R. Financiero'!$W$5:$W$1000,$N101)))</f>
        <v/>
      </c>
      <c r="Q101">
        <f>IF(OR(LEFT($L101,7)="Vencida",LEFT($L101,5)="Vence"),SUMPRODUCT(--(LEFT($L$5:$L101,7)="Vencida"))+SUMPRODUCT(--(LEFT($L$5:$L101,5)="Vence")),"")</f>
        <v/>
      </c>
    </row>
    <row r="102">
      <c r="A102" s="56">
        <f>IF($N102="","",INDEX('Cronograma R. Financiero'!$A$5:$A$1000,$N102))</f>
        <v/>
      </c>
      <c r="B102" s="62">
        <f>IF($N102="","",IF($O102="Sub","      ↳  "&amp;INDEX('Cronograma R. Financiero'!$C$5:$C$1000,$N102),INDEX('Cronograma R. Financiero'!$C$5:$C$1000,$N102)&amp;""))</f>
        <v/>
      </c>
      <c r="C102" s="79">
        <f>IF($N102="","",IF(INDEX('Cronograma R. Financiero'!$AR$5:$AR$1000,$N102)="","",INDEX('Cronograma R. Financiero'!$AR$5:$AR$1000,$N102)))</f>
        <v/>
      </c>
      <c r="D102" s="79">
        <f>IF($N102="","",IF(INDEX('Cronograma R. Financiero'!$AS$5:$AS$1000,$N102)="","",INDEX('Cronograma R. Financiero'!$AS$5:$AS$1000,$N102)))</f>
        <v/>
      </c>
      <c r="E102" s="56">
        <f>IF($N102="","",IF(NOT(ISNUMBER($D102)),"",IF($D102&lt;InicioCiclo,"Antes del ciclo",IF($D102&gt;=InicioCiclo+28,"Después del ciclo","Semana "&amp;(INT(($D102-InicioCiclo)/7)+1)))))</f>
        <v/>
      </c>
      <c r="F102" s="61">
        <f>IF($N102="","",IF($P102&gt;0,IF(1&lt;=SemanaActual,INDEX('Cronograma R. Financiero'!$AH$5:$AH$1000,$N102),""),IF(INDEX('Cronograma R. Financiero'!$I$5:$I$1000,$N102)="","",INDEX('Cronograma R. Financiero'!$I$5:$I$1000,$N102))))</f>
        <v/>
      </c>
      <c r="G102" s="61">
        <f>IF($N102="","",IF($P102&gt;0,IF(2&lt;=SemanaActual,INDEX('Cronograma R. Financiero'!$AI$5:$AI$1000,$N102),""),IF(INDEX('Cronograma R. Financiero'!$J$5:$J$1000,$N102)="","",INDEX('Cronograma R. Financiero'!$J$5:$J$1000,$N102))))</f>
        <v/>
      </c>
      <c r="H102" s="61">
        <f>IF($N102="","",IF($P102&gt;0,IF(3&lt;=SemanaActual,INDEX('Cronograma R. Financiero'!$AJ$5:$AJ$1000,$N102),""),IF(INDEX('Cronograma R. Financiero'!$K$5:$K$1000,$N102)="","",INDEX('Cronograma R. Financiero'!$K$5:$K$1000,$N102))))</f>
        <v/>
      </c>
      <c r="I102" s="61">
        <f>IF($N102="","",IF($P102&gt;0,IF(4&lt;=SemanaActual,INDEX('Cronograma R. Financiero'!$AK$5:$AK$1000,$N102),""),IF(INDEX('Cronograma R. Financiero'!$L$5:$L$1000,$N102)="","",INDEX('Cronograma R. Financiero'!$L$5:$L$1000,$N102))))</f>
        <v/>
      </c>
      <c r="J102" s="61">
        <f>IF($N102="","",INDEX('Cronograma R. Financiero'!$M$5:$M$1000,$N102))</f>
        <v/>
      </c>
      <c r="K102" s="56">
        <f>IF($N102="","",IF(N($J102)&gt;=1,"Completado",IF(AND(ISNUMBER($D102),$D102&lt;FechaRef),"Vencida",IF(N($J102)&gt;0,"En curso","Pendiente"))))</f>
        <v/>
      </c>
      <c r="L102" s="56">
        <f>IF($N102="","",INDEX('Cronograma R. Financiero'!$O$5:$O$1000,$N102)&amp;"")</f>
        <v/>
      </c>
      <c r="M102" s="62">
        <f>IF($N102="","",INDEX('Cronograma R. Financiero'!$Q$5:$Q$1000,$N102)&amp;"")</f>
        <v/>
      </c>
      <c r="N102">
        <f>IFERROR(MATCH(ROW()-4,rOrden_RF,0),"")</f>
        <v/>
      </c>
      <c r="O102">
        <f>IF($N102="","",INDEX('Cronograma R. Financiero'!$V$5:$V$1000,$N102))</f>
        <v/>
      </c>
      <c r="P102">
        <f>IF($N102="","",N(INDEX('Cronograma R. Financiero'!$W$5:$W$1000,$N102)))</f>
        <v/>
      </c>
      <c r="Q102">
        <f>IF(OR(LEFT($L102,7)="Vencida",LEFT($L102,5)="Vence"),SUMPRODUCT(--(LEFT($L$5:$L102,7)="Vencida"))+SUMPRODUCT(--(LEFT($L$5:$L102,5)="Vence")),"")</f>
        <v/>
      </c>
    </row>
    <row r="103">
      <c r="A103" s="56">
        <f>IF($N103="","",INDEX('Cronograma R. Financiero'!$A$5:$A$1000,$N103))</f>
        <v/>
      </c>
      <c r="B103" s="62">
        <f>IF($N103="","",IF($O103="Sub","      ↳  "&amp;INDEX('Cronograma R. Financiero'!$C$5:$C$1000,$N103),INDEX('Cronograma R. Financiero'!$C$5:$C$1000,$N103)&amp;""))</f>
        <v/>
      </c>
      <c r="C103" s="79">
        <f>IF($N103="","",IF(INDEX('Cronograma R. Financiero'!$AR$5:$AR$1000,$N103)="","",INDEX('Cronograma R. Financiero'!$AR$5:$AR$1000,$N103)))</f>
        <v/>
      </c>
      <c r="D103" s="79">
        <f>IF($N103="","",IF(INDEX('Cronograma R. Financiero'!$AS$5:$AS$1000,$N103)="","",INDEX('Cronograma R. Financiero'!$AS$5:$AS$1000,$N103)))</f>
        <v/>
      </c>
      <c r="E103" s="56">
        <f>IF($N103="","",IF(NOT(ISNUMBER($D103)),"",IF($D103&lt;InicioCiclo,"Antes del ciclo",IF($D103&gt;=InicioCiclo+28,"Después del ciclo","Semana "&amp;(INT(($D103-InicioCiclo)/7)+1)))))</f>
        <v/>
      </c>
      <c r="F103" s="61">
        <f>IF($N103="","",IF($P103&gt;0,IF(1&lt;=SemanaActual,INDEX('Cronograma R. Financiero'!$AH$5:$AH$1000,$N103),""),IF(INDEX('Cronograma R. Financiero'!$I$5:$I$1000,$N103)="","",INDEX('Cronograma R. Financiero'!$I$5:$I$1000,$N103))))</f>
        <v/>
      </c>
      <c r="G103" s="61">
        <f>IF($N103="","",IF($P103&gt;0,IF(2&lt;=SemanaActual,INDEX('Cronograma R. Financiero'!$AI$5:$AI$1000,$N103),""),IF(INDEX('Cronograma R. Financiero'!$J$5:$J$1000,$N103)="","",INDEX('Cronograma R. Financiero'!$J$5:$J$1000,$N103))))</f>
        <v/>
      </c>
      <c r="H103" s="61">
        <f>IF($N103="","",IF($P103&gt;0,IF(3&lt;=SemanaActual,INDEX('Cronograma R. Financiero'!$AJ$5:$AJ$1000,$N103),""),IF(INDEX('Cronograma R. Financiero'!$K$5:$K$1000,$N103)="","",INDEX('Cronograma R. Financiero'!$K$5:$K$1000,$N103))))</f>
        <v/>
      </c>
      <c r="I103" s="61">
        <f>IF($N103="","",IF($P103&gt;0,IF(4&lt;=SemanaActual,INDEX('Cronograma R. Financiero'!$AK$5:$AK$1000,$N103),""),IF(INDEX('Cronograma R. Financiero'!$L$5:$L$1000,$N103)="","",INDEX('Cronograma R. Financiero'!$L$5:$L$1000,$N103))))</f>
        <v/>
      </c>
      <c r="J103" s="61">
        <f>IF($N103="","",INDEX('Cronograma R. Financiero'!$M$5:$M$1000,$N103))</f>
        <v/>
      </c>
      <c r="K103" s="56">
        <f>IF($N103="","",IF(N($J103)&gt;=1,"Completado",IF(AND(ISNUMBER($D103),$D103&lt;FechaRef),"Vencida",IF(N($J103)&gt;0,"En curso","Pendiente"))))</f>
        <v/>
      </c>
      <c r="L103" s="56">
        <f>IF($N103="","",INDEX('Cronograma R. Financiero'!$O$5:$O$1000,$N103)&amp;"")</f>
        <v/>
      </c>
      <c r="M103" s="62">
        <f>IF($N103="","",INDEX('Cronograma R. Financiero'!$Q$5:$Q$1000,$N103)&amp;"")</f>
        <v/>
      </c>
      <c r="N103">
        <f>IFERROR(MATCH(ROW()-4,rOrden_RF,0),"")</f>
        <v/>
      </c>
      <c r="O103">
        <f>IF($N103="","",INDEX('Cronograma R. Financiero'!$V$5:$V$1000,$N103))</f>
        <v/>
      </c>
      <c r="P103">
        <f>IF($N103="","",N(INDEX('Cronograma R. Financiero'!$W$5:$W$1000,$N103)))</f>
        <v/>
      </c>
      <c r="Q103">
        <f>IF(OR(LEFT($L103,7)="Vencida",LEFT($L103,5)="Vence"),SUMPRODUCT(--(LEFT($L$5:$L103,7)="Vencida"))+SUMPRODUCT(--(LEFT($L$5:$L103,5)="Vence")),"")</f>
        <v/>
      </c>
    </row>
    <row r="104">
      <c r="A104" s="56">
        <f>IF($N104="","",INDEX('Cronograma R. Financiero'!$A$5:$A$1000,$N104))</f>
        <v/>
      </c>
      <c r="B104" s="62">
        <f>IF($N104="","",IF($O104="Sub","      ↳  "&amp;INDEX('Cronograma R. Financiero'!$C$5:$C$1000,$N104),INDEX('Cronograma R. Financiero'!$C$5:$C$1000,$N104)&amp;""))</f>
        <v/>
      </c>
      <c r="C104" s="79">
        <f>IF($N104="","",IF(INDEX('Cronograma R. Financiero'!$AR$5:$AR$1000,$N104)="","",INDEX('Cronograma R. Financiero'!$AR$5:$AR$1000,$N104)))</f>
        <v/>
      </c>
      <c r="D104" s="79">
        <f>IF($N104="","",IF(INDEX('Cronograma R. Financiero'!$AS$5:$AS$1000,$N104)="","",INDEX('Cronograma R. Financiero'!$AS$5:$AS$1000,$N104)))</f>
        <v/>
      </c>
      <c r="E104" s="56">
        <f>IF($N104="","",IF(NOT(ISNUMBER($D104)),"",IF($D104&lt;InicioCiclo,"Antes del ciclo",IF($D104&gt;=InicioCiclo+28,"Después del ciclo","Semana "&amp;(INT(($D104-InicioCiclo)/7)+1)))))</f>
        <v/>
      </c>
      <c r="F104" s="61">
        <f>IF($N104="","",IF($P104&gt;0,IF(1&lt;=SemanaActual,INDEX('Cronograma R. Financiero'!$AH$5:$AH$1000,$N104),""),IF(INDEX('Cronograma R. Financiero'!$I$5:$I$1000,$N104)="","",INDEX('Cronograma R. Financiero'!$I$5:$I$1000,$N104))))</f>
        <v/>
      </c>
      <c r="G104" s="61">
        <f>IF($N104="","",IF($P104&gt;0,IF(2&lt;=SemanaActual,INDEX('Cronograma R. Financiero'!$AI$5:$AI$1000,$N104),""),IF(INDEX('Cronograma R. Financiero'!$J$5:$J$1000,$N104)="","",INDEX('Cronograma R. Financiero'!$J$5:$J$1000,$N104))))</f>
        <v/>
      </c>
      <c r="H104" s="61">
        <f>IF($N104="","",IF($P104&gt;0,IF(3&lt;=SemanaActual,INDEX('Cronograma R. Financiero'!$AJ$5:$AJ$1000,$N104),""),IF(INDEX('Cronograma R. Financiero'!$K$5:$K$1000,$N104)="","",INDEX('Cronograma R. Financiero'!$K$5:$K$1000,$N104))))</f>
        <v/>
      </c>
      <c r="I104" s="61">
        <f>IF($N104="","",IF($P104&gt;0,IF(4&lt;=SemanaActual,INDEX('Cronograma R. Financiero'!$AK$5:$AK$1000,$N104),""),IF(INDEX('Cronograma R. Financiero'!$L$5:$L$1000,$N104)="","",INDEX('Cronograma R. Financiero'!$L$5:$L$1000,$N104))))</f>
        <v/>
      </c>
      <c r="J104" s="61">
        <f>IF($N104="","",INDEX('Cronograma R. Financiero'!$M$5:$M$1000,$N104))</f>
        <v/>
      </c>
      <c r="K104" s="56">
        <f>IF($N104="","",IF(N($J104)&gt;=1,"Completado",IF(AND(ISNUMBER($D104),$D104&lt;FechaRef),"Vencida",IF(N($J104)&gt;0,"En curso","Pendiente"))))</f>
        <v/>
      </c>
      <c r="L104" s="56">
        <f>IF($N104="","",INDEX('Cronograma R. Financiero'!$O$5:$O$1000,$N104)&amp;"")</f>
        <v/>
      </c>
      <c r="M104" s="62">
        <f>IF($N104="","",INDEX('Cronograma R. Financiero'!$Q$5:$Q$1000,$N104)&amp;"")</f>
        <v/>
      </c>
      <c r="N104">
        <f>IFERROR(MATCH(ROW()-4,rOrden_RF,0),"")</f>
        <v/>
      </c>
      <c r="O104">
        <f>IF($N104="","",INDEX('Cronograma R. Financiero'!$V$5:$V$1000,$N104))</f>
        <v/>
      </c>
      <c r="P104">
        <f>IF($N104="","",N(INDEX('Cronograma R. Financiero'!$W$5:$W$1000,$N104)))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5">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4"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tabColor rgb="002E75B6"/>
    <outlinePr summaryBelow="1" summaryRight="1"/>
    <pageSetUpPr fitToPage="1"/>
  </sheetPr>
  <dimension ref="A1:AS3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48" customWidth="1" min="3" max="3"/>
    <col hidden="1" width="22" customWidth="1" min="4" max="4"/>
    <col width="12" customWidth="1" min="5" max="5"/>
    <col width="12" customWidth="1" min="6" max="6"/>
    <col width="14" customWidth="1" min="7" max="7"/>
    <col width="12" customWidth="1" min="8" max="8"/>
    <col width="10" customWidth="1" min="9" max="9"/>
    <col width="10" customWidth="1" min="10" max="10"/>
    <col width="10" customWidth="1" min="11" max="11"/>
    <col width="10" customWidth="1" min="12" max="12"/>
    <col width="12" customWidth="1" min="13" max="13"/>
    <col width="12" customWidth="1" min="14" max="14"/>
    <col width="24" customWidth="1" min="15" max="15"/>
    <col hidden="1" width="30" customWidth="1" min="16" max="16"/>
    <col width="36" customWidth="1" min="17" max="17"/>
    <col width="44" customWidth="1" min="18" max="18"/>
    <col width="14"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ht="28" customHeight="1">
      <c r="A1" s="84" t="inlineStr">
        <is>
          <t>Cronograma – Asistente Técnico de Riesgo</t>
        </is>
      </c>
      <c r="B1" s="84" t="n"/>
      <c r="C1" s="84" t="n"/>
      <c r="D1" s="84" t="n"/>
      <c r="E1" s="84" t="n"/>
      <c r="F1" s="84" t="n"/>
      <c r="G1" s="84" t="n"/>
      <c r="H1" s="84" t="n"/>
      <c r="I1" s="84" t="n"/>
      <c r="J1" s="84" t="n"/>
      <c r="K1" s="84" t="n"/>
      <c r="L1" s="84" t="n"/>
      <c r="M1" s="84" t="n"/>
      <c r="N1" s="84" t="n"/>
      <c r="O1" s="84" t="n"/>
      <c r="P1" s="84" t="n"/>
      <c r="Q1" s="84" t="n"/>
      <c r="R1" s="84" t="n"/>
      <c r="S1" s="84" t="n"/>
    </row>
    <row r="2" ht="44" customHeight="1">
      <c r="A2" s="48" t="inlineStr">
        <is>
          <t>Llene solo las celdas GRIS SUAVE; las AZUL CLARO son automáticas. En «Tipo» elija Macroactividad o Subactividad: las subactividades van en las filas de ABAJO de su macroactividad (se ven con ↳); a cada una póngale su avance en las semanas o, cuando la termine, su FECHA DE CUMPLIMIENTO, y la macroactividad se llena sola. Cuando termine algo, escriba la FECHA DE CUMPLIMIENTO: queda al 100% y ya no aparece vencido. Si quiere registrar avances parciales, escriba en cada semana el % total logrado hasta esa semana. Cada mes agregue sus actividades debajo de las anteriores (no borre los meses pasados: quedan como historial).</t>
        </is>
      </c>
      <c r="B2" s="48" t="n"/>
      <c r="C2" s="48" t="n"/>
      <c r="D2" s="48" t="n"/>
      <c r="E2" s="48" t="n"/>
      <c r="F2" s="48" t="n"/>
      <c r="G2" s="48" t="n"/>
      <c r="H2" s="48" t="n"/>
      <c r="I2" s="48" t="n"/>
      <c r="J2" s="48" t="n"/>
      <c r="K2" s="48" t="n"/>
      <c r="L2" s="48" t="n"/>
      <c r="M2" s="48" t="n"/>
      <c r="N2" s="48" t="n"/>
      <c r="O2" s="48" t="n"/>
      <c r="P2" s="48" t="n"/>
      <c r="Q2" s="48" t="n"/>
      <c r="R2" s="48" t="n"/>
      <c r="S2" s="48" t="n"/>
    </row>
    <row r="3" ht="30" customHeight="1">
      <c r="A3" s="49" t="inlineStr">
        <is>
          <t>Llenar</t>
        </is>
      </c>
      <c r="B3" s="50" t="inlineStr">
        <is>
          <t>Automático</t>
        </is>
      </c>
      <c r="C3" s="85" t="inlineStr">
        <is>
          <t>Macroactividad (fila resaltada)</t>
        </is>
      </c>
      <c r="E3" s="52" t="inlineStr">
        <is>
          <t>Peso: macro = cuánto vale en el mes (opcional). Subactividad = su % dentro de la macro.  Fechas de cada semana →</t>
        </is>
      </c>
      <c r="F3" s="52" t="n"/>
      <c r="G3" s="52" t="n"/>
      <c r="H3" s="52" t="n"/>
      <c r="I3" s="31">
        <f>TEXT(DAY((InicioCiclo+0)),"00")&amp;"/"&amp;TEXT(MONTH((InicioCiclo+0)),"00")&amp;" – "&amp;TEXT(DAY((InicioCiclo+0)+6),"00")&amp;"/"&amp;TEXT(MONTH((InicioCiclo+0)+6),"00")</f>
        <v/>
      </c>
      <c r="J3" s="31">
        <f>TEXT(DAY((InicioCiclo+7)),"00")&amp;"/"&amp;TEXT(MONTH((InicioCiclo+7)),"00")&amp;" – "&amp;TEXT(DAY((InicioCiclo+7)+6),"00")&amp;"/"&amp;TEXT(MONTH((InicioCiclo+7)+6),"00")</f>
        <v/>
      </c>
      <c r="K3" s="31">
        <f>TEXT(DAY((InicioCiclo+14)),"00")&amp;"/"&amp;TEXT(MONTH((InicioCiclo+14)),"00")&amp;" – "&amp;TEXT(DAY((InicioCiclo+14)+6),"00")&amp;"/"&amp;TEXT(MONTH((InicioCiclo+14)+6),"00")</f>
        <v/>
      </c>
      <c r="L3" s="31">
        <f>TEXT(DAY((InicioCiclo+21)),"00")&amp;"/"&amp;TEXT(MONTH((InicioCiclo+21)),"00")&amp;" – "&amp;TEXT(DAY((InicioCiclo+21)+6),"00")&amp;"/"&amp;TEXT(MONTH((InicioCiclo+21)+6),"00")</f>
        <v/>
      </c>
      <c r="M3" s="43">
        <f>"Plazos del mes: "&amp;COUNTIFS($S$5:$S$1000,MesCiclo,$O$5:$O$1000,"Vencida*")&amp;" vencida(s) · "&amp;COUNTIFS($S$5:$S$1000,MesCiclo,$O$5:$O$1000,"Vence*")&amp;" por vencer"</f>
        <v/>
      </c>
      <c r="N3" s="43" t="n"/>
      <c r="O3" s="43" t="n"/>
      <c r="Q3" s="45">
        <f>IF(COUNTIFS('Administración'!$D$5:$D$1000,"Asistente Técnico de Riesgo",'Administración'!$S$5:$S$1000,MesCiclo,'Administración'!$V$5:$V$1000,"Macro")=0,"Sin actividades delegadas por la jefatura este mes","★ La jefatura le delegó "&amp;COUNTIFS('Administración'!$D$5:$D$1000,"Asistente Técnico de Riesgo",'Administración'!$S$5:$S$1000,MesCiclo,'Administración'!$V$5:$V$1000,"Macro")&amp;" actividad(es) este mes · "&amp;(COUNTIFS('Administración'!$D$5:$D$1000,"Asistente Técnico de Riesgo",'Administración'!$S$5:$S$1000,MesCiclo,'Administración'!$V$5:$V$1000,"Macro")-COUNTIFS('Administración'!$D$5:$D$1000,"Asistente Técnico de Riesgo",'Administración'!$S$5:$S$1000,MesCiclo,'Administración'!$V$5:$V$1000,"Macro",'Administración'!$AM$5:$AM$1000,"&gt;0"))&amp;" pendiente(s) de agregar (elíjalas en la lista de «Actividad»). Cuentan en su avance del mes.")</f>
        <v/>
      </c>
      <c r="R3" s="45" t="n"/>
      <c r="S3" s="45" t="n"/>
    </row>
    <row r="4" ht="42" customHeight="1">
      <c r="A4" s="54" t="inlineStr">
        <is>
          <t>N°</t>
        </is>
      </c>
      <c r="B4" s="7" t="inlineStr">
        <is>
          <t>Tipo</t>
        </is>
      </c>
      <c r="C4" s="7" t="inlineStr">
        <is>
          <t>Actividad</t>
        </is>
      </c>
      <c r="D4" s="7" t="inlineStr">
        <is>
          <t>Delegar a</t>
        </is>
      </c>
      <c r="E4" s="7" t="inlineStr">
        <is>
          <t>Fecha de inicio</t>
        </is>
      </c>
      <c r="F4" s="7" t="inlineStr">
        <is>
          <t>Fecha límite</t>
        </is>
      </c>
      <c r="G4" s="7" t="inlineStr">
        <is>
          <t>Fecha de cumplimiento</t>
        </is>
      </c>
      <c r="H4" s="7" t="inlineStr">
        <is>
          <t>Peso / % de la subactividad</t>
        </is>
      </c>
      <c r="I4" s="7" t="inlineStr">
        <is>
          <t>Avance Semana 1 (%)</t>
        </is>
      </c>
      <c r="J4" s="7" t="inlineStr">
        <is>
          <t>Avance Semana 2 (%)</t>
        </is>
      </c>
      <c r="K4" s="7" t="inlineStr">
        <is>
          <t>Avance Semana 3 (%)</t>
        </is>
      </c>
      <c r="L4" s="7" t="inlineStr">
        <is>
          <t>Avance Semana 4 (%)</t>
        </is>
      </c>
      <c r="M4" s="54" t="inlineStr">
        <is>
          <t>% de Avance Total Actual</t>
        </is>
      </c>
      <c r="N4" s="54" t="inlineStr">
        <is>
          <t>Estado</t>
        </is>
      </c>
      <c r="O4" s="54" t="inlineStr">
        <is>
          <t>Alerta de plazo</t>
        </is>
      </c>
      <c r="P4" s="54" t="inlineStr">
        <is>
          <t>Seguimiento de la delegación</t>
        </is>
      </c>
      <c r="Q4" s="7" t="inlineStr">
        <is>
          <t>Observaciones</t>
        </is>
      </c>
      <c r="R4" s="54" t="inlineStr">
        <is>
          <t>Revisión automática (alertas)</t>
        </is>
      </c>
      <c r="S4" s="54" t="inlineStr">
        <is>
          <t>Mes</t>
        </is>
      </c>
      <c r="T4" s="54" t="inlineStr">
        <is>
          <t>Orden en el mes (aux)</t>
        </is>
      </c>
      <c r="U4" s="54" t="inlineStr">
        <is>
          <t>Grupo (aux)</t>
        </is>
      </c>
      <c r="V4" s="54" t="inlineStr">
        <is>
          <t>Tipo (aux)</t>
        </is>
      </c>
      <c r="W4" s="54" t="inlineStr">
        <is>
          <t>N subactividades (aux)</t>
        </is>
      </c>
      <c r="X4" s="54" t="inlineStr">
        <is>
          <t>% efectivo de la subactividad (aux)</t>
        </is>
      </c>
      <c r="Y4" s="54" t="inlineStr">
        <is>
          <t>Avance propio (aux)</t>
        </is>
      </c>
      <c r="Z4" s="54" t="inlineStr">
        <is>
          <t>Propio S1 (aux)</t>
        </is>
      </c>
      <c r="AA4" s="54" t="inlineStr">
        <is>
          <t>Propio S2 (aux)</t>
        </is>
      </c>
      <c r="AB4" s="54" t="inlineStr">
        <is>
          <t>Propio S3 (aux)</t>
        </is>
      </c>
      <c r="AC4" s="54" t="inlineStr">
        <is>
          <t>Propio S4 (aux)</t>
        </is>
      </c>
      <c r="AD4" s="54" t="inlineStr">
        <is>
          <t>Sub cumplida S1 (aux)</t>
        </is>
      </c>
      <c r="AE4" s="54" t="inlineStr">
        <is>
          <t>Sub cumplida S2 (aux)</t>
        </is>
      </c>
      <c r="AF4" s="54" t="inlineStr">
        <is>
          <t>Sub cumplida S3 (aux)</t>
        </is>
      </c>
      <c r="AG4" s="54" t="inlineStr">
        <is>
          <t>Sub cumplida S4 (aux)</t>
        </is>
      </c>
      <c r="AH4" s="54" t="inlineStr">
        <is>
          <t>Efectivo S1 (aux)</t>
        </is>
      </c>
      <c r="AI4" s="54" t="inlineStr">
        <is>
          <t>Efectivo S2 (aux)</t>
        </is>
      </c>
      <c r="AJ4" s="54" t="inlineStr">
        <is>
          <t>Efectivo S3 (aux)</t>
        </is>
      </c>
      <c r="AK4" s="54" t="inlineStr">
        <is>
          <t>Efectivo S4 (aux)</t>
        </is>
      </c>
      <c r="AL4" s="54" t="inlineStr">
        <is>
          <t>Peso efectivo (aux)</t>
        </is>
      </c>
      <c r="AM4" s="54" t="inlineStr">
        <is>
          <t>Fila en el puesto (aux)</t>
        </is>
      </c>
      <c r="AN4" s="54" t="inlineStr">
        <is>
          <t>N° delegada en el mes (aux)</t>
        </is>
      </c>
      <c r="AO4" s="54" t="inlineStr">
        <is>
          <t>Clave delegada (aux)</t>
        </is>
      </c>
      <c r="AP4" s="54" t="inlineStr">
        <is>
          <t>Clave puesto-actividad (aux)</t>
        </is>
      </c>
      <c r="AQ4" s="54" t="inlineStr">
        <is>
          <t>Fila en Administración (aux)</t>
        </is>
      </c>
      <c r="AR4" s="54" t="inlineStr">
        <is>
          <t>Inicio efectivo (aux)</t>
        </is>
      </c>
      <c r="AS4" s="54" t="inlineStr">
        <is>
          <t>Límite efectivo (aux)</t>
        </is>
      </c>
    </row>
    <row r="5">
      <c r="A5" s="56">
        <f>IF(NOT((COUNTA($B5:$D5)+COUNTA($G5:$H5)+COUNTA($Q5))&gt;0),"",IF($V5="Macro",COUNTIFS($V$5:$V5,"Macro",$S$5:$S5,$S5),IF(N($U5)=0,"?",COUNTIFS(INDEX($V$5:$V$1000,1):INDEX($V$5:$V$1000,$U5-4),"Macro",INDEX($S$5:$S$1000,1):INDEX($S$5:$S$1000,$U5-4),INDEX($S$5:$S$1000,$U5-4))&amp;"."&amp;COUNTIFS($U$5:$U5,$U5,$V$5:$V5,"Sub"))))</f>
        <v/>
      </c>
      <c r="B5" s="57" t="inlineStr">
        <is>
          <t>Macroactividad</t>
        </is>
      </c>
      <c r="C5" s="58" t="inlineStr">
        <is>
          <t>Realizar informe de Jonathan Jacobo Marroquín</t>
        </is>
      </c>
      <c r="D5" s="58" t="n"/>
      <c r="E5" s="59" t="n">
        <v>46308</v>
      </c>
      <c r="F5" s="59">
        <f>IF(N($AQ5)&gt;0,INDEX(rLim_ADM,$AQ5),"")</f>
        <v/>
      </c>
      <c r="G5" s="59" t="n"/>
      <c r="H5" s="60" t="n"/>
      <c r="I5" s="60">
        <f>IF(N($W5)=0,"",IF(AND($S5=MesCiclo,1&gt;SemanaActual),"",MIN(1,SUMIFS(OFFSET($A$1,ROW(),29,1000-ROW(),1),OFFSET($A$1,ROW(),20,1000-ROW(),1),ROW(),OFFSET($A$1,ROW(),21,1000-ROW(),1),"Sub"))))</f>
        <v/>
      </c>
      <c r="J5" s="60" t="n">
        <v>1</v>
      </c>
      <c r="K5" s="60">
        <f>IF(N($W5)=0,"",IF(AND($S5=MesCiclo,3&gt;SemanaActual),"",MIN(1,SUMIFS(OFFSET($A$1,ROW(),31,1000-ROW(),1),OFFSET($A$1,ROW(),20,1000-ROW(),1),ROW(),OFFSET($A$1,ROW(),21,1000-ROW(),1),"Sub"))))</f>
        <v/>
      </c>
      <c r="L5" s="60">
        <f>IF(N($W5)=0,"",IF(AND($S5=MesCiclo,4&gt;SemanaActual),"",MIN(1,SUMIFS(OFFSET($A$1,ROW(),32,1000-ROW(),1),OFFSET($A$1,ROW(),20,1000-ROW(),1),ROW(),OFFSET($A$1,ROW(),21,1000-ROW(),1),"Sub"))))</f>
        <v/>
      </c>
      <c r="M5" s="61">
        <f>IF(OR(NOT((COUNTA($B5:$D5)+COUNTA($G5:$H5)+COUNTA($Q5))&gt;0),$V5="Sub"),"",IF(ISNUMBER($G5),1,IF(N($W5)&gt;0,MIN(1,SUMIFS($Y$5:$Y$1000,$U$5:$U$1000,ROW(),$V$5:$V$1000,"Sub")),$Y5)))</f>
        <v/>
      </c>
      <c r="N5" s="56">
        <f>IF(OR($M5="",$V5="Sub"),"",IF($M5&gt;=1,"Completado",IF($M5&gt;0,"En curso","Pendiente")))</f>
        <v/>
      </c>
      <c r="O5" s="56">
        <f>IF(OR(NOT((COUNTA($B5:$D5)+COUNTA($G5:$H5)+COUNTA($Q5))&gt;0),$V5="Sub"),"",IF(ISNUMBER($G5),IF(AND(ISNUMBER($AS5),$G5&gt;$AS5),"Cumplida con "&amp;($G5-$AS5)&amp;IF($G5-$AS5=1," día"," días")&amp;" de retraso","Cumplida"),IF(N($M5)&gt;=1,"Cumplida",IF(NOT(ISNUMBER($AS5)),"Sin fecha límite",IF($AS5&lt;FechaRef,"Vencida hace "&amp;(FechaRef-$AS5)&amp;IF(FechaRef-$AS5=1," día"," días"),IF($AS5=FechaRef,"Vence hoy",IF($AS5-FechaRef&lt;=DiasAlerta,"Vence en "&amp;($AS5-FechaRef)&amp;IF($AS5-FechaRef=1," día"," días"),"En plazo")))))))</f>
        <v/>
      </c>
      <c r="P5" s="62" t="n"/>
      <c r="Q5" s="58" t="n"/>
      <c r="R5" s="63">
        <f>IF(NOT((COUNTA($B5:$D5)+COUNTA($G5:$H5)+COUNTA($Q5))&gt;0),"",IF((IF($C5="","Falta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 OK","⚠ "&amp;LEFT(IF($C5="","Falta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",""),LEN(IF($C5="","Falta el nombre de la actividad"&amp;" · ","")&amp;IF(AND($V5="Sub",N($U5)=0),"Subactividad sin macroactividad arriba"&amp;" · ","")&amp;IF(AND($V5="Macro",$AR5=""),"Sin fecha de inicio"&amp;" · ","")&amp;IF(AND($V5="Macro",$AS5=""),"Sin fecha límite"&amp;" · ","")&amp;IF(AND(LEFT($C5,11)="[Jefatura] ",N($AQ5)=0),"No se encuentra en la hoja de la jefatura (elíjala de nuevo en la lista)"&amp;" · ","")&amp;IF(OR(AND($E5&lt;&gt;"",NOT(ISNUMBER($E5))),AND($F5&lt;&gt;"",NOT(ISNUMBER($F5))),AND($G5&lt;&gt;"",NOT(ISNUMBER($G5)))),"Fecha no válida"&amp;" · ","")&amp;IF(AND(ISNUMBER($AR5),ISNUMBER($AS5),$AR5&gt;$AS5),"Inicio posterior a fecha límite"&amp;" · ","")&amp;IF(AND($V5="Macro",$H5&lt;&gt;"",OR(NOT(ISNUMBER($H5)),$H5&lt;0,$H5&gt;1)),"Peso fuera de rango"&amp;" · ","")&amp;IF(AND($V5="Sub",$H5&lt;&gt;"",OR(NOT(ISNUMBER($H5)),$H5&lt;0,$H5&gt;1)),"% de la subactividad fuera de rango 0-100%"&amp;" · ","")&amp;IF(AND(N($W5)&gt;0,SUMIFS($H$5:$H$1000,$U$5:$U$1000,ROW(),$V$5:$V$1000,"Sub")&gt;1.0001),"Las subactividades suman más de 100%"&amp;" · ","")&amp;IF(AND(N($W5)&gt;0,OR(IF(ISNUMBER($I5),ROUND($I5,6)&lt;&gt;ROUND(MIN(1,SUMIFS($AD$5:$AD$1000,$U$5:$U$1000,ROW(),$V$5:$V$1000,"Sub")),6),FALSE),IF(ISNUMBER($J5),ROUND($J5,6)&lt;&gt;ROUND(MIN(1,SUMIFS($AE$5:$AE$1000,$U$5:$U$1000,ROW(),$V$5:$V$1000,"Sub")),6),FALSE),IF(ISNUMBER($K5),ROUND($K5,6)&lt;&gt;ROUND(MIN(1,SUMIFS($AF$5:$AF$1000,$U$5:$U$1000,ROW(),$V$5:$V$1000,"Sub")),6),FALSE),IF(ISNUMBER($L5),ROUND($L5,6)&lt;&gt;ROUND(MIN(1,SUMIFS($AG$5:$AG$1000,$U$5:$U$1000,ROW(),$V$5:$V$1000,"Sub")),6),FALSE))),"Con subactividades: no escriba en las semanas (se llenan solas)"&amp;" · ","")&amp;IF((COUNTIF($I5:$L5,"&gt;1")+COUNTIF($I5:$L5,"&lt;0")+SUMPRODUCT((LEN($I5:$L5)&gt;0)*NOT(ISNUMBER($I5:$L5))))&gt;0,"Avance fuera de rango 0-100%"&amp;" · ","")&amp;IF(OR(AND(ISNUMBER($J5),$J5&lt;N($I5)),AND(ISNUMBER($K5),$K5&lt;MAX($I5:$J5)),AND(ISNUMBER($L5),$L5&lt;MAX($I5:$K5))),"Avance semanal decreciente"&amp;" · ","")&amp;IF(AND(ISNUMBER($AS5),$AS5&lt;FechaRef,IF($V5="Sub",1,N($M5))&lt;1),"Vencida"&amp;" · ","")&amp;IF(AND(ObsObligatoria="Sí",ISNUMBER($AS5),$AS5&lt;FechaRef,IF($V5="Sub",1,N($M5))&lt;1,$Q5=""),"Vencida sin observación"&amp;" · ",""))-3)))</f>
        <v/>
      </c>
      <c r="S5" s="64">
        <f>IF(NOT((COUNTA($B5:$D5)+COUNTA($G5:$H5)+COUNTA($Q5))&gt;0),"",IF(AND($V5="Sub",N($U5)&gt;0),IF(ISNUMBER(INDEX($AR$5:$AR$1000,$U5-4)),DATE(YEAR(INDEX($AR$5:$AR$1000,$U5-4)),MONTH(INDEX($AR$5:$AR$1000,$U5-4)),1),IF(ISNUMBER(INDEX($AS$5:$AS$1000,$U5-4)),DATE(YEAR(INDEX($AS$5:$AS$1000,$U5-4)),MONTH(INDEX($AS$5:$AS$1000,$U5-4)),1),MesCiclo)),IF(ISNUMBER($AR5),DATE(YEAR($AR5),MONTH($AR5),1),IF(ISNUMBER($AS5),DATE(YEAR($AS5),MONTH($AS5),1),MesCiclo))))</f>
        <v/>
      </c>
      <c r="T5" s="62">
        <f>IF(OR($S5="",$S5&lt;&gt;MesCiclo,$V5&lt;&gt;"Macro"),"",COUNTIFS($S$5:$S5,MesCiclo,$V$5:$V5,"Macro"))</f>
        <v/>
      </c>
      <c r="U5" s="62">
        <f>IF($V5="","",IF($V5="Macro",ROW(),IFERROR(LOOKUP(2,1/($V$5:$V5="Macro"),ROW($V$5:$V5)),0)))</f>
        <v/>
      </c>
      <c r="V5" s="62">
        <f>IF(NOT((COUNTA($B5:$D5)+COUNTA($G5:$H5)+COUNTA($Q5))&gt;0),"",IF($B5="Subactividad","Sub","Macro"))</f>
        <v/>
      </c>
      <c r="W5" s="62">
        <f>IF($V5="Macro",COUNTIFS($U$5:$U$1000,ROW(),$V$5:$V$1000,"Sub"),"")</f>
        <v/>
      </c>
      <c r="X5" s="62">
        <f>IF($V5&lt;&gt;"Sub","",IF(AND(ISNUMBER($H5),N($H5)&gt;0),$H5,IFERROR(MAX(0,1-SUMIFS($H$5:$H$1000,$U$5:$U$1000,$U5,$V$5:$V$1000,"Sub"))/(COUNTIFS($U$5:$U$1000,$U5,$V$5:$V$1000,"Sub")-COUNTIFS($U$5:$U$1000,$U5,$V$5:$V$1000,"Sub",$H$5:$H$1000,"&gt;0")),0)))</f>
        <v/>
      </c>
      <c r="Y5" s="62">
        <f>IF($V5="","",IF($V5="Sub",N($X5)*IF(ISNUMBER($G5),1,MIN(1,MAX(0,IFERROR(LOOKUP(2,1/ISNUMBER($I5:$L5),$I5:$L5),0)))),IF(ISNUMBER($G5),1,IFERROR(LOOKUP(2,1/($I5:$L5&lt;&gt;""),$I5:$L5),0))))</f>
        <v/>
      </c>
      <c r="Z5" s="62">
        <f>IF($V5="","",IF(AND(ISNUMBER($G5),$G5&lt;=IF($S5=MesCiclo,InicioCiclo,$S5+MOD(2-WEEKDAY($S5),7))+6),1,IF(ISNUMBER($I5),$I5,0)))</f>
        <v/>
      </c>
      <c r="AA5" s="62">
        <f>IF($V5="","",IF(AND(ISNUMBER($G5),$G5&lt;=IF($S5=MesCiclo,InicioCiclo,$S5+MOD(2-WEEKDAY($S5),7))+13),1,IF(ISNUMBER($J5),$J5,$Z5)))</f>
        <v/>
      </c>
      <c r="AB5" s="62">
        <f>IF($V5="","",IF(AND(ISNUMBER($G5),$G5&lt;=IF($S5=MesCiclo,InicioCiclo,$S5+MOD(2-WEEKDAY($S5),7))+20),1,IF(ISNUMBER($K5),$K5,$AA5)))</f>
        <v/>
      </c>
      <c r="AC5" s="62">
        <f>IF($V5="","",IF(AND(ISNUMBER($G5),$G5&lt;=IF($S5=MesCiclo,InicioCiclo,$S5+MOD(2-WEEKDAY($S5),7))+27),1,IF(ISNUMBER($L5),$L5,$AB5)))</f>
        <v/>
      </c>
      <c r="AD5" s="62">
        <f>IF($V5&lt;&gt;"Sub","",N($X5)*IF(AND(ISNUMBER($G5),$G5&lt;=IF($S5=MesCiclo,InicioCiclo,$S5+MOD(2-WEEKDAY($S5),7))+6),1,MIN(1,MAX(0,IF(ISNUMBER(OFFSET($A$1,ROW()-1,8)),OFFSET($A$1,ROW()-1,8),0)))))</f>
        <v/>
      </c>
      <c r="AE5" s="62">
        <f>IF($V5&lt;&gt;"Sub","",N($X5)*IF(AND(ISNUMBER($G5),$G5&lt;=IF($S5=MesCiclo,InicioCiclo,$S5+MOD(2-WEEKDAY($S5),7))+13),1,MIN(1,MAX(0,IF(ISNUMBER(OFFSET($A$1,ROW()-1,9)),OFFSET($A$1,ROW()-1,9),IF(ISNUMBER(OFFSET($A$1,ROW()-1,8)),OFFSET($A$1,ROW()-1,8),0))))))</f>
        <v/>
      </c>
      <c r="AF5" s="62">
        <f>IF($V5&lt;&gt;"Sub","",N($X5)*IF(AND(ISNUMBER($G5),$G5&lt;=IF($S5=MesCiclo,InicioCiclo,$S5+MOD(2-WEEKDAY($S5),7))+20),1,MIN(1,MAX(0,IF(ISNUMBER(OFFSET($A$1,ROW()-1,10)),OFFSET($A$1,ROW()-1,10),IF(ISNUMBER(OFFSET($A$1,ROW()-1,9)),OFFSET($A$1,ROW()-1,9),IF(ISNUMBER(OFFSET($A$1,ROW()-1,8)),OFFSET($A$1,ROW()-1,8),0)))))))</f>
        <v/>
      </c>
      <c r="AG5" s="62">
        <f>IF($V5&lt;&gt;"Sub","",N($X5)*IF(AND(ISNUMBER($G5),$G5&lt;=IF($S5=MesCiclo,InicioCiclo,$S5+MOD(2-WEEKDAY($S5),7))+27),1,MIN(1,MAX(0,IF(ISNUMBER(OFFSET($A$1,ROW()-1,11)),OFFSET($A$1,ROW()-1,11),IF(ISNUMBER(OFFSET($A$1,ROW()-1,10)),OFFSET($A$1,ROW()-1,10),IF(ISNUMBER(OFFSET($A$1,ROW()-1,9)),OFFSET($A$1,ROW()-1,9),IF(ISNUMBER(OFFSET($A$1,ROW()-1,8)),OFFSET($A$1,ROW()-1,8),0))))))))</f>
        <v/>
      </c>
      <c r="AH5" s="62">
        <f>IF($V5="","",IF(AND(ISNUMBER($G5),$G5&lt;=IF($S5=MesCiclo,InicioCiclo,$S5+MOD(2-WEEKDAY($S5),7))+6),1,IF(N($W5)&gt;0,MIN(1,SUMIFS($AD$5:$AD$1000,$U$5:$U$1000,ROW(),$V$5:$V$1000,"Sub")),$Z5)))</f>
        <v/>
      </c>
      <c r="AI5" s="62">
        <f>IF($V5="","",IF(AND(ISNUMBER($G5),$G5&lt;=IF($S5=MesCiclo,InicioCiclo,$S5+MOD(2-WEEKDAY($S5),7))+13),1,IF(N($W5)&gt;0,MIN(1,SUMIFS($AE$5:$AE$1000,$U$5:$U$1000,ROW(),$V$5:$V$1000,"Sub")),$AA5)))</f>
        <v/>
      </c>
      <c r="AJ5" s="62">
        <f>IF($V5="","",IF(AND(ISNUMBER($G5),$G5&lt;=IF($S5=MesCiclo,InicioCiclo,$S5+MOD(2-WEEKDAY($S5),7))+20),1,IF(N($W5)&gt;0,MIN(1,SUMIFS($AF$5:$AF$1000,$U$5:$U$1000,ROW(),$V$5:$V$1000,"Sub")),$AB5)))</f>
        <v/>
      </c>
      <c r="AK5" s="62">
        <f>IF($V5="","",IF(AND(ISNUMBER($G5),$G5&lt;=IF($S5=MesCiclo,InicioCiclo,$S5+MOD(2-WEEKDAY($S5),7))+27),1,IF(N($W5)&gt;0,MIN(1,SUMIFS($AG$5:$AG$1000,$U$5:$U$1000,ROW(),$V$5:$V$1000,"Sub")),$AC5)))</f>
        <v/>
      </c>
      <c r="AL5" s="62">
        <f>IF($V5&lt;&gt;"Macro","",IF(COUNTIFS($S$5:$S$1000,$S5,$V$5:$V$1000,"Macro",$H$5:$H$1000,"&gt;0")=0,1/COUNTIFS($S$5:$S$1000,$S5,$V$5:$V$1000,"Macro"),IF(AND(ISNUMBER($H5),N($H5)&gt;0),$H5,SUMIFS($H$5:$H$1000,$S$5:$S$1000,$S5,$V$5:$V$1000,"Macro")/COUNTIFS($S$5:$S$1000,$S5,$V$5:$V$1000,"Macro",$H$5:$H$1000,"&gt;0"))/(COUNTIFS($S$5:$S$1000,$S5,$V$5:$V$1000,"Macro")*SUMIFS($H$5:$H$1000,$S$5:$S$1000,$S5,$V$5:$V$1000,"Macro")/COUNTIFS($S$5:$S$1000,$S5,$V$5:$V$1000,"Macro",$H$5:$H$1000,"&gt;0"))))</f>
        <v/>
      </c>
      <c r="AM5" s="62" t="n"/>
      <c r="AN5" s="62" t="n"/>
      <c r="AO5" s="62" t="n"/>
      <c r="AP5" s="62" t="n"/>
      <c r="AQ5" s="62">
        <f>IF(LEFT($C5,11)="[Jefatura] ",IFERROR(MATCH("Asistente Técnico de Riesgo|"&amp;MID($C5,12,500),rDname_ADM,0),0),"")</f>
        <v/>
      </c>
      <c r="AR5" s="62">
        <f>IF(N($AQ5)&gt;0,INDEX(rIni_ADM,$AQ5),IF(ISNUMBER($E5),$E5,""))</f>
        <v/>
      </c>
      <c r="AS5" s="62">
        <f>IF(N($AQ5)&gt;0,INDEX(rLim_ADM,$AQ5),IF(ISNUMBER($F5),$F5,""))</f>
        <v/>
      </c>
    </row>
    <row r="6">
      <c r="A6" s="56">
        <f>IF(NOT((COUNTA($B6:$D6)+COUNTA($G6:$H6)+COUNTA($Q6))&gt;0),"",IF($V6="Macro",COUNTIFS($V$5:$V6,"Macro",$S$5:$S6,$S6),IF(N($U6)=0,"?",COUNTIFS(INDEX($V$5:$V$1000,1):INDEX($V$5:$V$1000,$U6-4),"Macro",INDEX($S$5:$S$1000,1):INDEX($S$5:$S$1000,$U6-4),INDEX($S$5:$S$1000,$U6-4))&amp;"."&amp;COUNTIFS($U$5:$U6,$U6,$V$5:$V6,"Sub"))))</f>
        <v/>
      </c>
      <c r="B6" s="57" t="inlineStr">
        <is>
          <t>Macroactividad</t>
        </is>
      </c>
      <c r="C6" s="58" t="inlineStr">
        <is>
          <t>Informe de seguimiento de examen de gestión integral de riesgos</t>
        </is>
      </c>
      <c r="D6" s="58" t="n"/>
      <c r="E6" s="59" t="n">
        <v>46308</v>
      </c>
      <c r="F6" s="59">
        <f>IF(N($AQ6)&gt;0,INDEX(rLim_ADM,$AQ6),"")</f>
        <v/>
      </c>
      <c r="G6" s="59" t="n"/>
      <c r="H6" s="60" t="n"/>
      <c r="I6" s="60">
        <f>IF(N($W6)=0,"",IF(AND($S6=MesCiclo,1&gt;SemanaActual),"",MIN(1,SUMIFS(OFFSET($A$1,ROW(),29,1000-ROW(),1),OFFSET($A$1,ROW(),20,1000-ROW(),1),ROW(),OFFSET($A$1,ROW(),21,1000-ROW(),1),"Sub"))))</f>
        <v/>
      </c>
      <c r="J6" s="60" t="n">
        <v>0.9</v>
      </c>
      <c r="K6" s="60">
        <f>IF(N($W6)=0,"",IF(AND($S6=MesCiclo,3&gt;SemanaActual),"",MIN(1,SUMIFS(OFFSET($A$1,ROW(),31,1000-ROW(),1),OFFSET($A$1,ROW(),20,1000-ROW(),1),ROW(),OFFSET($A$1,ROW(),21,1000-ROW(),1),"Sub"))))</f>
        <v/>
      </c>
      <c r="L6" s="60">
        <f>IF(N($W6)=0,"",IF(AND($S6=MesCiclo,4&gt;SemanaActual),"",MIN(1,SUMIFS(OFFSET($A$1,ROW(),32,1000-ROW(),1),OFFSET($A$1,ROW(),20,1000-ROW(),1),ROW(),OFFSET($A$1,ROW(),21,1000-ROW(),1),"Sub"))))</f>
        <v/>
      </c>
      <c r="M6" s="61">
        <f>IF(OR(NOT((COUNTA($B6:$D6)+COUNTA($G6:$H6)+COUNTA($Q6))&gt;0),$V6="Sub"),"",IF(ISNUMBER($G6),1,IF(N($W6)&gt;0,MIN(1,SUMIFS($Y$5:$Y$1000,$U$5:$U$1000,ROW(),$V$5:$V$1000,"Sub")),$Y6)))</f>
        <v/>
      </c>
      <c r="N6" s="56">
        <f>IF(OR($M6="",$V6="Sub"),"",IF($M6&gt;=1,"Completado",IF($M6&gt;0,"En curso","Pendiente")))</f>
        <v/>
      </c>
      <c r="O6" s="56">
        <f>IF(OR(NOT((COUNTA($B6:$D6)+COUNTA($G6:$H6)+COUNTA($Q6))&gt;0),$V6="Sub"),"",IF(ISNUMBER($G6),IF(AND(ISNUMBER($AS6),$G6&gt;$AS6),"Cumplida con "&amp;($G6-$AS6)&amp;IF($G6-$AS6=1," día"," días")&amp;" de retraso","Cumplida"),IF(N($M6)&gt;=1,"Cumplida",IF(NOT(ISNUMBER($AS6)),"Sin fecha límite",IF($AS6&lt;FechaRef,"Vencida hace "&amp;(FechaRef-$AS6)&amp;IF(FechaRef-$AS6=1," día"," días"),IF($AS6=FechaRef,"Vence hoy",IF($AS6-FechaRef&lt;=DiasAlerta,"Vence en "&amp;($AS6-FechaRef)&amp;IF($AS6-FechaRef=1," día"," días"),"En plazo")))))))</f>
        <v/>
      </c>
      <c r="P6" s="62" t="n"/>
      <c r="Q6" s="58" t="n"/>
      <c r="R6" s="63">
        <f>IF(NOT((COUNTA($B6:$D6)+COUNTA($G6:$H6)+COUNTA($Q6))&gt;0),"",IF((IF($C6="","Falta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 OK","⚠ "&amp;LEFT(IF($C6="","Falta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",""),LEN(IF($C6="","Falta el nombre de la actividad"&amp;" · ","")&amp;IF(AND($V6="Sub",N($U6)=0),"Subactividad sin macroactividad arriba"&amp;" · ","")&amp;IF(AND($V6="Macro",$AR6=""),"Sin fecha de inicio"&amp;" · ","")&amp;IF(AND($V6="Macro",$AS6=""),"Sin fecha límite"&amp;" · ","")&amp;IF(AND(LEFT($C6,11)="[Jefatura] ",N($AQ6)=0),"No se encuentra en la hoja de la jefatura (elíjala de nuevo en la lista)"&amp;" · ","")&amp;IF(OR(AND($E6&lt;&gt;"",NOT(ISNUMBER($E6))),AND($F6&lt;&gt;"",NOT(ISNUMBER($F6))),AND($G6&lt;&gt;"",NOT(ISNUMBER($G6)))),"Fecha no válida"&amp;" · ","")&amp;IF(AND(ISNUMBER($AR6),ISNUMBER($AS6),$AR6&gt;$AS6),"Inicio posterior a fecha límite"&amp;" · ","")&amp;IF(AND($V6="Macro",$H6&lt;&gt;"",OR(NOT(ISNUMBER($H6)),$H6&lt;0,$H6&gt;1)),"Peso fuera de rango"&amp;" · ","")&amp;IF(AND($V6="Sub",$H6&lt;&gt;"",OR(NOT(ISNUMBER($H6)),$H6&lt;0,$H6&gt;1)),"% de la subactividad fuera de rango 0-100%"&amp;" · ","")&amp;IF(AND(N($W6)&gt;0,SUMIFS($H$5:$H$1000,$U$5:$U$1000,ROW(),$V$5:$V$1000,"Sub")&gt;1.0001),"Las subactividades suman más de 100%"&amp;" · ","")&amp;IF(AND(N($W6)&gt;0,OR(IF(ISNUMBER($I6),ROUND($I6,6)&lt;&gt;ROUND(MIN(1,SUMIFS($AD$5:$AD$1000,$U$5:$U$1000,ROW(),$V$5:$V$1000,"Sub")),6),FALSE),IF(ISNUMBER($J6),ROUND($J6,6)&lt;&gt;ROUND(MIN(1,SUMIFS($AE$5:$AE$1000,$U$5:$U$1000,ROW(),$V$5:$V$1000,"Sub")),6),FALSE),IF(ISNUMBER($K6),ROUND($K6,6)&lt;&gt;ROUND(MIN(1,SUMIFS($AF$5:$AF$1000,$U$5:$U$1000,ROW(),$V$5:$V$1000,"Sub")),6),FALSE),IF(ISNUMBER($L6),ROUND($L6,6)&lt;&gt;ROUND(MIN(1,SUMIFS($AG$5:$AG$1000,$U$5:$U$1000,ROW(),$V$5:$V$1000,"Sub")),6),FALSE))),"Con subactividades: no escriba en las semanas (se llenan solas)"&amp;" · ","")&amp;IF((COUNTIF($I6:$L6,"&gt;1")+COUNTIF($I6:$L6,"&lt;0")+SUMPRODUCT((LEN($I6:$L6)&gt;0)*NOT(ISNUMBER($I6:$L6))))&gt;0,"Avance fuera de rango 0-100%"&amp;" · ","")&amp;IF(OR(AND(ISNUMBER($J6),$J6&lt;N($I6)),AND(ISNUMBER($K6),$K6&lt;MAX($I6:$J6)),AND(ISNUMBER($L6),$L6&lt;MAX($I6:$K6))),"Avance semanal decreciente"&amp;" · ","")&amp;IF(AND(ISNUMBER($AS6),$AS6&lt;FechaRef,IF($V6="Sub",1,N($M6))&lt;1),"Vencida"&amp;" · ","")&amp;IF(AND(ObsObligatoria="Sí",ISNUMBER($AS6),$AS6&lt;FechaRef,IF($V6="Sub",1,N($M6))&lt;1,$Q6=""),"Vencida sin observación"&amp;" · ",""))-3)))</f>
        <v/>
      </c>
      <c r="S6" s="64">
        <f>IF(NOT((COUNTA($B6:$D6)+COUNTA($G6:$H6)+COUNTA($Q6))&gt;0),"",IF(AND($V6="Sub",N($U6)&gt;0),IF(ISNUMBER(INDEX($AR$5:$AR$1000,$U6-4)),DATE(YEAR(INDEX($AR$5:$AR$1000,$U6-4)),MONTH(INDEX($AR$5:$AR$1000,$U6-4)),1),IF(ISNUMBER(INDEX($AS$5:$AS$1000,$U6-4)),DATE(YEAR(INDEX($AS$5:$AS$1000,$U6-4)),MONTH(INDEX($AS$5:$AS$1000,$U6-4)),1),MesCiclo)),IF(ISNUMBER($AR6),DATE(YEAR($AR6),MONTH($AR6),1),IF(ISNUMBER($AS6),DATE(YEAR($AS6),MONTH($AS6),1),MesCiclo))))</f>
        <v/>
      </c>
      <c r="T6" s="62">
        <f>IF(OR($S6="",$S6&lt;&gt;MesCiclo,$V6&lt;&gt;"Macro"),"",COUNTIFS($S$5:$S6,MesCiclo,$V$5:$V6,"Macro"))</f>
        <v/>
      </c>
      <c r="U6" s="62">
        <f>IF($V6="","",IF($V6="Macro",ROW(),IFERROR(LOOKUP(2,1/($V$5:$V6="Macro"),ROW($V$5:$V6)),0)))</f>
        <v/>
      </c>
      <c r="V6" s="62">
        <f>IF(NOT((COUNTA($B6:$D6)+COUNTA($G6:$H6)+COUNTA($Q6))&gt;0),"",IF($B6="Subactividad","Sub","Macro"))</f>
        <v/>
      </c>
      <c r="W6" s="62">
        <f>IF($V6="Macro",COUNTIFS($U$5:$U$1000,ROW(),$V$5:$V$1000,"Sub"),"")</f>
        <v/>
      </c>
      <c r="X6" s="62">
        <f>IF($V6&lt;&gt;"Sub","",IF(AND(ISNUMBER($H6),N($H6)&gt;0),$H6,IFERROR(MAX(0,1-SUMIFS($H$5:$H$1000,$U$5:$U$1000,$U6,$V$5:$V$1000,"Sub"))/(COUNTIFS($U$5:$U$1000,$U6,$V$5:$V$1000,"Sub")-COUNTIFS($U$5:$U$1000,$U6,$V$5:$V$1000,"Sub",$H$5:$H$1000,"&gt;0")),0)))</f>
        <v/>
      </c>
      <c r="Y6" s="62">
        <f>IF($V6="","",IF($V6="Sub",N($X6)*IF(ISNUMBER($G6),1,MIN(1,MAX(0,IFERROR(LOOKUP(2,1/ISNUMBER($I6:$L6),$I6:$L6),0)))),IF(ISNUMBER($G6),1,IFERROR(LOOKUP(2,1/($I6:$L6&lt;&gt;""),$I6:$L6),0))))</f>
        <v/>
      </c>
      <c r="Z6" s="62">
        <f>IF($V6="","",IF(AND(ISNUMBER($G6),$G6&lt;=IF($S6=MesCiclo,InicioCiclo,$S6+MOD(2-WEEKDAY($S6),7))+6),1,IF(ISNUMBER($I6),$I6,0)))</f>
        <v/>
      </c>
      <c r="AA6" s="62">
        <f>IF($V6="","",IF(AND(ISNUMBER($G6),$G6&lt;=IF($S6=MesCiclo,InicioCiclo,$S6+MOD(2-WEEKDAY($S6),7))+13),1,IF(ISNUMBER($J6),$J6,$Z6)))</f>
        <v/>
      </c>
      <c r="AB6" s="62">
        <f>IF($V6="","",IF(AND(ISNUMBER($G6),$G6&lt;=IF($S6=MesCiclo,InicioCiclo,$S6+MOD(2-WEEKDAY($S6),7))+20),1,IF(ISNUMBER($K6),$K6,$AA6)))</f>
        <v/>
      </c>
      <c r="AC6" s="62">
        <f>IF($V6="","",IF(AND(ISNUMBER($G6),$G6&lt;=IF($S6=MesCiclo,InicioCiclo,$S6+MOD(2-WEEKDAY($S6),7))+27),1,IF(ISNUMBER($L6),$L6,$AB6)))</f>
        <v/>
      </c>
      <c r="AD6" s="62">
        <f>IF($V6&lt;&gt;"Sub","",N($X6)*IF(AND(ISNUMBER($G6),$G6&lt;=IF($S6=MesCiclo,InicioCiclo,$S6+MOD(2-WEEKDAY($S6),7))+6),1,MIN(1,MAX(0,IF(ISNUMBER(OFFSET($A$1,ROW()-1,8)),OFFSET($A$1,ROW()-1,8),0)))))</f>
        <v/>
      </c>
      <c r="AE6" s="62">
        <f>IF($V6&lt;&gt;"Sub","",N($X6)*IF(AND(ISNUMBER($G6),$G6&lt;=IF($S6=MesCiclo,InicioCiclo,$S6+MOD(2-WEEKDAY($S6),7))+13),1,MIN(1,MAX(0,IF(ISNUMBER(OFFSET($A$1,ROW()-1,9)),OFFSET($A$1,ROW()-1,9),IF(ISNUMBER(OFFSET($A$1,ROW()-1,8)),OFFSET($A$1,ROW()-1,8),0))))))</f>
        <v/>
      </c>
      <c r="AF6" s="62">
        <f>IF($V6&lt;&gt;"Sub","",N($X6)*IF(AND(ISNUMBER($G6),$G6&lt;=IF($S6=MesCiclo,InicioCiclo,$S6+MOD(2-WEEKDAY($S6),7))+20),1,MIN(1,MAX(0,IF(ISNUMBER(OFFSET($A$1,ROW()-1,10)),OFFSET($A$1,ROW()-1,10),IF(ISNUMBER(OFFSET($A$1,ROW()-1,9)),OFFSET($A$1,ROW()-1,9),IF(ISNUMBER(OFFSET($A$1,ROW()-1,8)),OFFSET($A$1,ROW()-1,8),0)))))))</f>
        <v/>
      </c>
      <c r="AG6" s="62">
        <f>IF($V6&lt;&gt;"Sub","",N($X6)*IF(AND(ISNUMBER($G6),$G6&lt;=IF($S6=MesCiclo,InicioCiclo,$S6+MOD(2-WEEKDAY($S6),7))+27),1,MIN(1,MAX(0,IF(ISNUMBER(OFFSET($A$1,ROW()-1,11)),OFFSET($A$1,ROW()-1,11),IF(ISNUMBER(OFFSET($A$1,ROW()-1,10)),OFFSET($A$1,ROW()-1,10),IF(ISNUMBER(OFFSET($A$1,ROW()-1,9)),OFFSET($A$1,ROW()-1,9),IF(ISNUMBER(OFFSET($A$1,ROW()-1,8)),OFFSET($A$1,ROW()-1,8),0))))))))</f>
        <v/>
      </c>
      <c r="AH6" s="62">
        <f>IF($V6="","",IF(AND(ISNUMBER($G6),$G6&lt;=IF($S6=MesCiclo,InicioCiclo,$S6+MOD(2-WEEKDAY($S6),7))+6),1,IF(N($W6)&gt;0,MIN(1,SUMIFS($AD$5:$AD$1000,$U$5:$U$1000,ROW(),$V$5:$V$1000,"Sub")),$Z6)))</f>
        <v/>
      </c>
      <c r="AI6" s="62">
        <f>IF($V6="","",IF(AND(ISNUMBER($G6),$G6&lt;=IF($S6=MesCiclo,InicioCiclo,$S6+MOD(2-WEEKDAY($S6),7))+13),1,IF(N($W6)&gt;0,MIN(1,SUMIFS($AE$5:$AE$1000,$U$5:$U$1000,ROW(),$V$5:$V$1000,"Sub")),$AA6)))</f>
        <v/>
      </c>
      <c r="AJ6" s="62">
        <f>IF($V6="","",IF(AND(ISNUMBER($G6),$G6&lt;=IF($S6=MesCiclo,InicioCiclo,$S6+MOD(2-WEEKDAY($S6),7))+20),1,IF(N($W6)&gt;0,MIN(1,SUMIFS($AF$5:$AF$1000,$U$5:$U$1000,ROW(),$V$5:$V$1000,"Sub")),$AB6)))</f>
        <v/>
      </c>
      <c r="AK6" s="62">
        <f>IF($V6="","",IF(AND(ISNUMBER($G6),$G6&lt;=IF($S6=MesCiclo,InicioCiclo,$S6+MOD(2-WEEKDAY($S6),7))+27),1,IF(N($W6)&gt;0,MIN(1,SUMIFS($AG$5:$AG$1000,$U$5:$U$1000,ROW(),$V$5:$V$1000,"Sub")),$AC6)))</f>
        <v/>
      </c>
      <c r="AL6" s="62">
        <f>IF($V6&lt;&gt;"Macro","",IF(COUNTIFS($S$5:$S$1000,$S6,$V$5:$V$1000,"Macro",$H$5:$H$1000,"&gt;0")=0,1/COUNTIFS($S$5:$S$1000,$S6,$V$5:$V$1000,"Macro"),IF(AND(ISNUMBER($H6),N($H6)&gt;0),$H6,SUMIFS($H$5:$H$1000,$S$5:$S$1000,$S6,$V$5:$V$1000,"Macro")/COUNTIFS($S$5:$S$1000,$S6,$V$5:$V$1000,"Macro",$H$5:$H$1000,"&gt;0"))/(COUNTIFS($S$5:$S$1000,$S6,$V$5:$V$1000,"Macro")*SUMIFS($H$5:$H$1000,$S$5:$S$1000,$S6,$V$5:$V$1000,"Macro")/COUNTIFS($S$5:$S$1000,$S6,$V$5:$V$1000,"Macro",$H$5:$H$1000,"&gt;0"))))</f>
        <v/>
      </c>
      <c r="AM6" s="62" t="n"/>
      <c r="AN6" s="62" t="n"/>
      <c r="AO6" s="62" t="n"/>
      <c r="AP6" s="62" t="n"/>
      <c r="AQ6" s="62">
        <f>IF(LEFT($C6,11)="[Jefatura] ",IFERROR(MATCH("Asistente Técnico de Riesgo|"&amp;MID($C6,12,500),rDname_ADM,0),0),"")</f>
        <v/>
      </c>
      <c r="AR6" s="62">
        <f>IF(N($AQ6)&gt;0,INDEX(rIni_ADM,$AQ6),IF(ISNUMBER($E6),$E6,""))</f>
        <v/>
      </c>
      <c r="AS6" s="62">
        <f>IF(N($AQ6)&gt;0,INDEX(rLim_ADM,$AQ6),IF(ISNUMBER($F6),$F6,""))</f>
        <v/>
      </c>
    </row>
    <row r="7">
      <c r="A7" s="56">
        <f>IF(NOT((COUNTA($B7:$D7)+COUNTA($G7:$H7)+COUNTA($Q7))&gt;0),"",IF($V7="Macro",COUNTIFS($V$5:$V7,"Macro",$S$5:$S7,$S7),IF(N($U7)=0,"?",COUNTIFS(INDEX($V$5:$V$1000,1):INDEX($V$5:$V$1000,$U7-4),"Macro",INDEX($S$5:$S$1000,1):INDEX($S$5:$S$1000,$U7-4),INDEX($S$5:$S$1000,$U7-4))&amp;"."&amp;COUNTIFS($U$5:$U7,$U7,$V$5:$V7,"Sub"))))</f>
        <v/>
      </c>
      <c r="B7" s="57" t="inlineStr">
        <is>
          <t>Macroactividad</t>
        </is>
      </c>
      <c r="C7" s="58" t="inlineStr">
        <is>
          <t>Presentación resultados preliminares de Gestión de Riesgo Específico</t>
        </is>
      </c>
      <c r="D7" s="58" t="n"/>
      <c r="E7" s="59" t="n">
        <v>46308</v>
      </c>
      <c r="F7" s="59">
        <f>IF(N($AQ7)&gt;0,INDEX(rLim_ADM,$AQ7),"")</f>
        <v/>
      </c>
      <c r="G7" s="59" t="n"/>
      <c r="H7" s="60" t="n"/>
      <c r="I7" s="60">
        <f>IF(N($W7)=0,"",IF(AND($S7=MesCiclo,1&gt;SemanaActual),"",MIN(1,SUMIFS(OFFSET($A$1,ROW(),29,1000-ROW(),1),OFFSET($A$1,ROW(),20,1000-ROW(),1),ROW(),OFFSET($A$1,ROW(),21,1000-ROW(),1),"Sub"))))</f>
        <v/>
      </c>
      <c r="J7" s="60" t="n">
        <v>1</v>
      </c>
      <c r="K7" s="60">
        <f>IF(N($W7)=0,"",IF(AND($S7=MesCiclo,3&gt;SemanaActual),"",MIN(1,SUMIFS(OFFSET($A$1,ROW(),31,1000-ROW(),1),OFFSET($A$1,ROW(),20,1000-ROW(),1),ROW(),OFFSET($A$1,ROW(),21,1000-ROW(),1),"Sub"))))</f>
        <v/>
      </c>
      <c r="L7" s="60">
        <f>IF(N($W7)=0,"",IF(AND($S7=MesCiclo,4&gt;SemanaActual),"",MIN(1,SUMIFS(OFFSET($A$1,ROW(),32,1000-ROW(),1),OFFSET($A$1,ROW(),20,1000-ROW(),1),ROW(),OFFSET($A$1,ROW(),21,1000-ROW(),1),"Sub"))))</f>
        <v/>
      </c>
      <c r="M7" s="61">
        <f>IF(OR(NOT((COUNTA($B7:$D7)+COUNTA($G7:$H7)+COUNTA($Q7))&gt;0),$V7="Sub"),"",IF(ISNUMBER($G7),1,IF(N($W7)&gt;0,MIN(1,SUMIFS($Y$5:$Y$1000,$U$5:$U$1000,ROW(),$V$5:$V$1000,"Sub")),$Y7)))</f>
        <v/>
      </c>
      <c r="N7" s="56">
        <f>IF(OR($M7="",$V7="Sub"),"",IF($M7&gt;=1,"Completado",IF($M7&gt;0,"En curso","Pendiente")))</f>
        <v/>
      </c>
      <c r="O7" s="56">
        <f>IF(OR(NOT((COUNTA($B7:$D7)+COUNTA($G7:$H7)+COUNTA($Q7))&gt;0),$V7="Sub"),"",IF(ISNUMBER($G7),IF(AND(ISNUMBER($AS7),$G7&gt;$AS7),"Cumplida con "&amp;($G7-$AS7)&amp;IF($G7-$AS7=1," día"," días")&amp;" de retraso","Cumplida"),IF(N($M7)&gt;=1,"Cumplida",IF(NOT(ISNUMBER($AS7)),"Sin fecha límite",IF($AS7&lt;FechaRef,"Vencida hace "&amp;(FechaRef-$AS7)&amp;IF(FechaRef-$AS7=1," día"," días"),IF($AS7=FechaRef,"Vence hoy",IF($AS7-FechaRef&lt;=DiasAlerta,"Vence en "&amp;($AS7-FechaRef)&amp;IF($AS7-FechaRef=1," día"," días"),"En plazo")))))))</f>
        <v/>
      </c>
      <c r="P7" s="62" t="n"/>
      <c r="Q7" s="58" t="n"/>
      <c r="R7" s="63">
        <f>IF(NOT((COUNTA($B7:$D7)+COUNTA($G7:$H7)+COUNTA($Q7))&gt;0),"",IF((IF($C7="","Falta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 OK","⚠ "&amp;LEFT(IF($C7="","Falta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",""),LEN(IF($C7="","Falta el nombre de la actividad"&amp;" · ","")&amp;IF(AND($V7="Sub",N($U7)=0),"Subactividad sin macroactividad arriba"&amp;" · ","")&amp;IF(AND($V7="Macro",$AR7=""),"Sin fecha de inicio"&amp;" · ","")&amp;IF(AND($V7="Macro",$AS7=""),"Sin fecha límite"&amp;" · ","")&amp;IF(AND(LEFT($C7,11)="[Jefatura] ",N($AQ7)=0),"No se encuentra en la hoja de la jefatura (elíjala de nuevo en la lista)"&amp;" · ","")&amp;IF(OR(AND($E7&lt;&gt;"",NOT(ISNUMBER($E7))),AND($F7&lt;&gt;"",NOT(ISNUMBER($F7))),AND($G7&lt;&gt;"",NOT(ISNUMBER($G7)))),"Fecha no válida"&amp;" · ","")&amp;IF(AND(ISNUMBER($AR7),ISNUMBER($AS7),$AR7&gt;$AS7),"Inicio posterior a fecha límite"&amp;" · ","")&amp;IF(AND($V7="Macro",$H7&lt;&gt;"",OR(NOT(ISNUMBER($H7)),$H7&lt;0,$H7&gt;1)),"Peso fuera de rango"&amp;" · ","")&amp;IF(AND($V7="Sub",$H7&lt;&gt;"",OR(NOT(ISNUMBER($H7)),$H7&lt;0,$H7&gt;1)),"% de la subactividad fuera de rango 0-100%"&amp;" · ","")&amp;IF(AND(N($W7)&gt;0,SUMIFS($H$5:$H$1000,$U$5:$U$1000,ROW(),$V$5:$V$1000,"Sub")&gt;1.0001),"Las subactividades suman más de 100%"&amp;" · ","")&amp;IF(AND(N($W7)&gt;0,OR(IF(ISNUMBER($I7),ROUND($I7,6)&lt;&gt;ROUND(MIN(1,SUMIFS($AD$5:$AD$1000,$U$5:$U$1000,ROW(),$V$5:$V$1000,"Sub")),6),FALSE),IF(ISNUMBER($J7),ROUND($J7,6)&lt;&gt;ROUND(MIN(1,SUMIFS($AE$5:$AE$1000,$U$5:$U$1000,ROW(),$V$5:$V$1000,"Sub")),6),FALSE),IF(ISNUMBER($K7),ROUND($K7,6)&lt;&gt;ROUND(MIN(1,SUMIFS($AF$5:$AF$1000,$U$5:$U$1000,ROW(),$V$5:$V$1000,"Sub")),6),FALSE),IF(ISNUMBER($L7),ROUND($L7,6)&lt;&gt;ROUND(MIN(1,SUMIFS($AG$5:$AG$1000,$U$5:$U$1000,ROW(),$V$5:$V$1000,"Sub")),6),FALSE))),"Con subactividades: no escriba en las semanas (se llenan solas)"&amp;" · ","")&amp;IF((COUNTIF($I7:$L7,"&gt;1")+COUNTIF($I7:$L7,"&lt;0")+SUMPRODUCT((LEN($I7:$L7)&gt;0)*NOT(ISNUMBER($I7:$L7))))&gt;0,"Avance fuera de rango 0-100%"&amp;" · ","")&amp;IF(OR(AND(ISNUMBER($J7),$J7&lt;N($I7)),AND(ISNUMBER($K7),$K7&lt;MAX($I7:$J7)),AND(ISNUMBER($L7),$L7&lt;MAX($I7:$K7))),"Avance semanal decreciente"&amp;" · ","")&amp;IF(AND(ISNUMBER($AS7),$AS7&lt;FechaRef,IF($V7="Sub",1,N($M7))&lt;1),"Vencida"&amp;" · ","")&amp;IF(AND(ObsObligatoria="Sí",ISNUMBER($AS7),$AS7&lt;FechaRef,IF($V7="Sub",1,N($M7))&lt;1,$Q7=""),"Vencida sin observación"&amp;" · ",""))-3)))</f>
        <v/>
      </c>
      <c r="S7" s="64">
        <f>IF(NOT((COUNTA($B7:$D7)+COUNTA($G7:$H7)+COUNTA($Q7))&gt;0),"",IF(AND($V7="Sub",N($U7)&gt;0),IF(ISNUMBER(INDEX($AR$5:$AR$1000,$U7-4)),DATE(YEAR(INDEX($AR$5:$AR$1000,$U7-4)),MONTH(INDEX($AR$5:$AR$1000,$U7-4)),1),IF(ISNUMBER(INDEX($AS$5:$AS$1000,$U7-4)),DATE(YEAR(INDEX($AS$5:$AS$1000,$U7-4)),MONTH(INDEX($AS$5:$AS$1000,$U7-4)),1),MesCiclo)),IF(ISNUMBER($AR7),DATE(YEAR($AR7),MONTH($AR7),1),IF(ISNUMBER($AS7),DATE(YEAR($AS7),MONTH($AS7),1),MesCiclo))))</f>
        <v/>
      </c>
      <c r="T7" s="62">
        <f>IF(OR($S7="",$S7&lt;&gt;MesCiclo,$V7&lt;&gt;"Macro"),"",COUNTIFS($S$5:$S7,MesCiclo,$V$5:$V7,"Macro"))</f>
        <v/>
      </c>
      <c r="U7" s="62">
        <f>IF($V7="","",IF($V7="Macro",ROW(),IFERROR(LOOKUP(2,1/($V$5:$V7="Macro"),ROW($V$5:$V7)),0)))</f>
        <v/>
      </c>
      <c r="V7" s="62">
        <f>IF(NOT((COUNTA($B7:$D7)+COUNTA($G7:$H7)+COUNTA($Q7))&gt;0),"",IF($B7="Subactividad","Sub","Macro"))</f>
        <v/>
      </c>
      <c r="W7" s="62">
        <f>IF($V7="Macro",COUNTIFS($U$5:$U$1000,ROW(),$V$5:$V$1000,"Sub"),"")</f>
        <v/>
      </c>
      <c r="X7" s="62">
        <f>IF($V7&lt;&gt;"Sub","",IF(AND(ISNUMBER($H7),N($H7)&gt;0),$H7,IFERROR(MAX(0,1-SUMIFS($H$5:$H$1000,$U$5:$U$1000,$U7,$V$5:$V$1000,"Sub"))/(COUNTIFS($U$5:$U$1000,$U7,$V$5:$V$1000,"Sub")-COUNTIFS($U$5:$U$1000,$U7,$V$5:$V$1000,"Sub",$H$5:$H$1000,"&gt;0")),0)))</f>
        <v/>
      </c>
      <c r="Y7" s="62">
        <f>IF($V7="","",IF($V7="Sub",N($X7)*IF(ISNUMBER($G7),1,MIN(1,MAX(0,IFERROR(LOOKUP(2,1/ISNUMBER($I7:$L7),$I7:$L7),0)))),IF(ISNUMBER($G7),1,IFERROR(LOOKUP(2,1/($I7:$L7&lt;&gt;""),$I7:$L7),0))))</f>
        <v/>
      </c>
      <c r="Z7" s="62">
        <f>IF($V7="","",IF(AND(ISNUMBER($G7),$G7&lt;=IF($S7=MesCiclo,InicioCiclo,$S7+MOD(2-WEEKDAY($S7),7))+6),1,IF(ISNUMBER($I7),$I7,0)))</f>
        <v/>
      </c>
      <c r="AA7" s="62">
        <f>IF($V7="","",IF(AND(ISNUMBER($G7),$G7&lt;=IF($S7=MesCiclo,InicioCiclo,$S7+MOD(2-WEEKDAY($S7),7))+13),1,IF(ISNUMBER($J7),$J7,$Z7)))</f>
        <v/>
      </c>
      <c r="AB7" s="62">
        <f>IF($V7="","",IF(AND(ISNUMBER($G7),$G7&lt;=IF($S7=MesCiclo,InicioCiclo,$S7+MOD(2-WEEKDAY($S7),7))+20),1,IF(ISNUMBER($K7),$K7,$AA7)))</f>
        <v/>
      </c>
      <c r="AC7" s="62">
        <f>IF($V7="","",IF(AND(ISNUMBER($G7),$G7&lt;=IF($S7=MesCiclo,InicioCiclo,$S7+MOD(2-WEEKDAY($S7),7))+27),1,IF(ISNUMBER($L7),$L7,$AB7)))</f>
        <v/>
      </c>
      <c r="AD7" s="62">
        <f>IF($V7&lt;&gt;"Sub","",N($X7)*IF(AND(ISNUMBER($G7),$G7&lt;=IF($S7=MesCiclo,InicioCiclo,$S7+MOD(2-WEEKDAY($S7),7))+6),1,MIN(1,MAX(0,IF(ISNUMBER(OFFSET($A$1,ROW()-1,8)),OFFSET($A$1,ROW()-1,8),0)))))</f>
        <v/>
      </c>
      <c r="AE7" s="62">
        <f>IF($V7&lt;&gt;"Sub","",N($X7)*IF(AND(ISNUMBER($G7),$G7&lt;=IF($S7=MesCiclo,InicioCiclo,$S7+MOD(2-WEEKDAY($S7),7))+13),1,MIN(1,MAX(0,IF(ISNUMBER(OFFSET($A$1,ROW()-1,9)),OFFSET($A$1,ROW()-1,9),IF(ISNUMBER(OFFSET($A$1,ROW()-1,8)),OFFSET($A$1,ROW()-1,8),0))))))</f>
        <v/>
      </c>
      <c r="AF7" s="62">
        <f>IF($V7&lt;&gt;"Sub","",N($X7)*IF(AND(ISNUMBER($G7),$G7&lt;=IF($S7=MesCiclo,InicioCiclo,$S7+MOD(2-WEEKDAY($S7),7))+20),1,MIN(1,MAX(0,IF(ISNUMBER(OFFSET($A$1,ROW()-1,10)),OFFSET($A$1,ROW()-1,10),IF(ISNUMBER(OFFSET($A$1,ROW()-1,9)),OFFSET($A$1,ROW()-1,9),IF(ISNUMBER(OFFSET($A$1,ROW()-1,8)),OFFSET($A$1,ROW()-1,8),0)))))))</f>
        <v/>
      </c>
      <c r="AG7" s="62">
        <f>IF($V7&lt;&gt;"Sub","",N($X7)*IF(AND(ISNUMBER($G7),$G7&lt;=IF($S7=MesCiclo,InicioCiclo,$S7+MOD(2-WEEKDAY($S7),7))+27),1,MIN(1,MAX(0,IF(ISNUMBER(OFFSET($A$1,ROW()-1,11)),OFFSET($A$1,ROW()-1,11),IF(ISNUMBER(OFFSET($A$1,ROW()-1,10)),OFFSET($A$1,ROW()-1,10),IF(ISNUMBER(OFFSET($A$1,ROW()-1,9)),OFFSET($A$1,ROW()-1,9),IF(ISNUMBER(OFFSET($A$1,ROW()-1,8)),OFFSET($A$1,ROW()-1,8),0))))))))</f>
        <v/>
      </c>
      <c r="AH7" s="62">
        <f>IF($V7="","",IF(AND(ISNUMBER($G7),$G7&lt;=IF($S7=MesCiclo,InicioCiclo,$S7+MOD(2-WEEKDAY($S7),7))+6),1,IF(N($W7)&gt;0,MIN(1,SUMIFS($AD$5:$AD$1000,$U$5:$U$1000,ROW(),$V$5:$V$1000,"Sub")),$Z7)))</f>
        <v/>
      </c>
      <c r="AI7" s="62">
        <f>IF($V7="","",IF(AND(ISNUMBER($G7),$G7&lt;=IF($S7=MesCiclo,InicioCiclo,$S7+MOD(2-WEEKDAY($S7),7))+13),1,IF(N($W7)&gt;0,MIN(1,SUMIFS($AE$5:$AE$1000,$U$5:$U$1000,ROW(),$V$5:$V$1000,"Sub")),$AA7)))</f>
        <v/>
      </c>
      <c r="AJ7" s="62">
        <f>IF($V7="","",IF(AND(ISNUMBER($G7),$G7&lt;=IF($S7=MesCiclo,InicioCiclo,$S7+MOD(2-WEEKDAY($S7),7))+20),1,IF(N($W7)&gt;0,MIN(1,SUMIFS($AF$5:$AF$1000,$U$5:$U$1000,ROW(),$V$5:$V$1000,"Sub")),$AB7)))</f>
        <v/>
      </c>
      <c r="AK7" s="62">
        <f>IF($V7="","",IF(AND(ISNUMBER($G7),$G7&lt;=IF($S7=MesCiclo,InicioCiclo,$S7+MOD(2-WEEKDAY($S7),7))+27),1,IF(N($W7)&gt;0,MIN(1,SUMIFS($AG$5:$AG$1000,$U$5:$U$1000,ROW(),$V$5:$V$1000,"Sub")),$AC7)))</f>
        <v/>
      </c>
      <c r="AL7" s="62">
        <f>IF($V7&lt;&gt;"Macro","",IF(COUNTIFS($S$5:$S$1000,$S7,$V$5:$V$1000,"Macro",$H$5:$H$1000,"&gt;0")=0,1/COUNTIFS($S$5:$S$1000,$S7,$V$5:$V$1000,"Macro"),IF(AND(ISNUMBER($H7),N($H7)&gt;0),$H7,SUMIFS($H$5:$H$1000,$S$5:$S$1000,$S7,$V$5:$V$1000,"Macro")/COUNTIFS($S$5:$S$1000,$S7,$V$5:$V$1000,"Macro",$H$5:$H$1000,"&gt;0"))/(COUNTIFS($S$5:$S$1000,$S7,$V$5:$V$1000,"Macro")*SUMIFS($H$5:$H$1000,$S$5:$S$1000,$S7,$V$5:$V$1000,"Macro")/COUNTIFS($S$5:$S$1000,$S7,$V$5:$V$1000,"Macro",$H$5:$H$1000,"&gt;0"))))</f>
        <v/>
      </c>
      <c r="AM7" s="62" t="n"/>
      <c r="AN7" s="62" t="n"/>
      <c r="AO7" s="62" t="n"/>
      <c r="AP7" s="62" t="n"/>
      <c r="AQ7" s="62">
        <f>IF(LEFT($C7,11)="[Jefatura] ",IFERROR(MATCH("Asistente Técnico de Riesgo|"&amp;MID($C7,12,500),rDname_ADM,0),0),"")</f>
        <v/>
      </c>
      <c r="AR7" s="62">
        <f>IF(N($AQ7)&gt;0,INDEX(rIni_ADM,$AQ7),IF(ISNUMBER($E7),$E7,""))</f>
        <v/>
      </c>
      <c r="AS7" s="62">
        <f>IF(N($AQ7)&gt;0,INDEX(rLim_ADM,$AQ7),IF(ISNUMBER($F7),$F7,""))</f>
        <v/>
      </c>
    </row>
    <row r="8">
      <c r="A8" s="56">
        <f>IF(NOT((COUNTA($B8:$D8)+COUNTA($G8:$H8)+COUNTA($Q8))&gt;0),"",IF($V8="Macro",COUNTIFS($V$5:$V8,"Macro",$S$5:$S8,$S8),IF(N($U8)=0,"?",COUNTIFS(INDEX($V$5:$V$1000,1):INDEX($V$5:$V$1000,$U8-4),"Macro",INDEX($S$5:$S$1000,1):INDEX($S$5:$S$1000,$U8-4),INDEX($S$5:$S$1000,$U8-4))&amp;"."&amp;COUNTIFS($U$5:$U8,$U8,$V$5:$V8,"Sub"))))</f>
        <v/>
      </c>
      <c r="B8" s="57" t="inlineStr">
        <is>
          <t>Macroactividad</t>
        </is>
      </c>
      <c r="C8" s="58" t="inlineStr">
        <is>
          <t>Comparativo de política de servicios tercerizados</t>
        </is>
      </c>
      <c r="D8" s="58" t="n"/>
      <c r="E8" s="59" t="n">
        <v>46308</v>
      </c>
      <c r="F8" s="59">
        <f>IF(N($AQ8)&gt;0,INDEX(rLim_ADM,$AQ8),"")</f>
        <v/>
      </c>
      <c r="G8" s="59" t="n"/>
      <c r="H8" s="60" t="n"/>
      <c r="I8" s="60">
        <f>IF(N($W8)=0,"",IF(AND($S8=MesCiclo,1&gt;SemanaActual),"",MIN(1,SUMIFS(OFFSET($A$1,ROW(),29,1000-ROW(),1),OFFSET($A$1,ROW(),20,1000-ROW(),1),ROW(),OFFSET($A$1,ROW(),21,1000-ROW(),1),"Sub"))))</f>
        <v/>
      </c>
      <c r="J8" s="60" t="n">
        <v>0.9</v>
      </c>
      <c r="K8" s="60">
        <f>IF(N($W8)=0,"",IF(AND($S8=MesCiclo,3&gt;SemanaActual),"",MIN(1,SUMIFS(OFFSET($A$1,ROW(),31,1000-ROW(),1),OFFSET($A$1,ROW(),20,1000-ROW(),1),ROW(),OFFSET($A$1,ROW(),21,1000-ROW(),1),"Sub"))))</f>
        <v/>
      </c>
      <c r="L8" s="60">
        <f>IF(N($W8)=0,"",IF(AND($S8=MesCiclo,4&gt;SemanaActual),"",MIN(1,SUMIFS(OFFSET($A$1,ROW(),32,1000-ROW(),1),OFFSET($A$1,ROW(),20,1000-ROW(),1),ROW(),OFFSET($A$1,ROW(),21,1000-ROW(),1),"Sub"))))</f>
        <v/>
      </c>
      <c r="M8" s="61">
        <f>IF(OR(NOT((COUNTA($B8:$D8)+COUNTA($G8:$H8)+COUNTA($Q8))&gt;0),$V8="Sub"),"",IF(ISNUMBER($G8),1,IF(N($W8)&gt;0,MIN(1,SUMIFS($Y$5:$Y$1000,$U$5:$U$1000,ROW(),$V$5:$V$1000,"Sub")),$Y8)))</f>
        <v/>
      </c>
      <c r="N8" s="56">
        <f>IF(OR($M8="",$V8="Sub"),"",IF($M8&gt;=1,"Completado",IF($M8&gt;0,"En curso","Pendiente")))</f>
        <v/>
      </c>
      <c r="O8" s="56">
        <f>IF(OR(NOT((COUNTA($B8:$D8)+COUNTA($G8:$H8)+COUNTA($Q8))&gt;0),$V8="Sub"),"",IF(ISNUMBER($G8),IF(AND(ISNUMBER($AS8),$G8&gt;$AS8),"Cumplida con "&amp;($G8-$AS8)&amp;IF($G8-$AS8=1," día"," días")&amp;" de retraso","Cumplida"),IF(N($M8)&gt;=1,"Cumplida",IF(NOT(ISNUMBER($AS8)),"Sin fecha límite",IF($AS8&lt;FechaRef,"Vencida hace "&amp;(FechaRef-$AS8)&amp;IF(FechaRef-$AS8=1," día"," días"),IF($AS8=FechaRef,"Vence hoy",IF($AS8-FechaRef&lt;=DiasAlerta,"Vence en "&amp;($AS8-FechaRef)&amp;IF($AS8-FechaRef=1," día"," días"),"En plazo")))))))</f>
        <v/>
      </c>
      <c r="P8" s="62" t="n"/>
      <c r="Q8" s="58" t="n"/>
      <c r="R8" s="63">
        <f>IF(NOT((COUNTA($B8:$D8)+COUNTA($G8:$H8)+COUNTA($Q8))&gt;0),"",IF((IF($C8="","Falta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 OK","⚠ "&amp;LEFT(IF($C8="","Falta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",""),LEN(IF($C8="","Falta el nombre de la actividad"&amp;" · ","")&amp;IF(AND($V8="Sub",N($U8)=0),"Subactividad sin macroactividad arriba"&amp;" · ","")&amp;IF(AND($V8="Macro",$AR8=""),"Sin fecha de inicio"&amp;" · ","")&amp;IF(AND($V8="Macro",$AS8=""),"Sin fecha límite"&amp;" · ","")&amp;IF(AND(LEFT($C8,11)="[Jefatura] ",N($AQ8)=0),"No se encuentra en la hoja de la jefatura (elíjala de nuevo en la lista)"&amp;" · ","")&amp;IF(OR(AND($E8&lt;&gt;"",NOT(ISNUMBER($E8))),AND($F8&lt;&gt;"",NOT(ISNUMBER($F8))),AND($G8&lt;&gt;"",NOT(ISNUMBER($G8)))),"Fecha no válida"&amp;" · ","")&amp;IF(AND(ISNUMBER($AR8),ISNUMBER($AS8),$AR8&gt;$AS8),"Inicio posterior a fecha límite"&amp;" · ","")&amp;IF(AND($V8="Macro",$H8&lt;&gt;"",OR(NOT(ISNUMBER($H8)),$H8&lt;0,$H8&gt;1)),"Peso fuera de rango"&amp;" · ","")&amp;IF(AND($V8="Sub",$H8&lt;&gt;"",OR(NOT(ISNUMBER($H8)),$H8&lt;0,$H8&gt;1)),"% de la subactividad fuera de rango 0-100%"&amp;" · ","")&amp;IF(AND(N($W8)&gt;0,SUMIFS($H$5:$H$1000,$U$5:$U$1000,ROW(),$V$5:$V$1000,"Sub")&gt;1.0001),"Las subactividades suman más de 100%"&amp;" · ","")&amp;IF(AND(N($W8)&gt;0,OR(IF(ISNUMBER($I8),ROUND($I8,6)&lt;&gt;ROUND(MIN(1,SUMIFS($AD$5:$AD$1000,$U$5:$U$1000,ROW(),$V$5:$V$1000,"Sub")),6),FALSE),IF(ISNUMBER($J8),ROUND($J8,6)&lt;&gt;ROUND(MIN(1,SUMIFS($AE$5:$AE$1000,$U$5:$U$1000,ROW(),$V$5:$V$1000,"Sub")),6),FALSE),IF(ISNUMBER($K8),ROUND($K8,6)&lt;&gt;ROUND(MIN(1,SUMIFS($AF$5:$AF$1000,$U$5:$U$1000,ROW(),$V$5:$V$1000,"Sub")),6),FALSE),IF(ISNUMBER($L8),ROUND($L8,6)&lt;&gt;ROUND(MIN(1,SUMIFS($AG$5:$AG$1000,$U$5:$U$1000,ROW(),$V$5:$V$1000,"Sub")),6),FALSE))),"Con subactividades: no escriba en las semanas (se llenan solas)"&amp;" · ","")&amp;IF((COUNTIF($I8:$L8,"&gt;1")+COUNTIF($I8:$L8,"&lt;0")+SUMPRODUCT((LEN($I8:$L8)&gt;0)*NOT(ISNUMBER($I8:$L8))))&gt;0,"Avance fuera de rango 0-100%"&amp;" · ","")&amp;IF(OR(AND(ISNUMBER($J8),$J8&lt;N($I8)),AND(ISNUMBER($K8),$K8&lt;MAX($I8:$J8)),AND(ISNUMBER($L8),$L8&lt;MAX($I8:$K8))),"Avance semanal decreciente"&amp;" · ","")&amp;IF(AND(ISNUMBER($AS8),$AS8&lt;FechaRef,IF($V8="Sub",1,N($M8))&lt;1),"Vencida"&amp;" · ","")&amp;IF(AND(ObsObligatoria="Sí",ISNUMBER($AS8),$AS8&lt;FechaRef,IF($V8="Sub",1,N($M8))&lt;1,$Q8=""),"Vencida sin observación"&amp;" · ",""))-3)))</f>
        <v/>
      </c>
      <c r="S8" s="64">
        <f>IF(NOT((COUNTA($B8:$D8)+COUNTA($G8:$H8)+COUNTA($Q8))&gt;0),"",IF(AND($V8="Sub",N($U8)&gt;0),IF(ISNUMBER(INDEX($AR$5:$AR$1000,$U8-4)),DATE(YEAR(INDEX($AR$5:$AR$1000,$U8-4)),MONTH(INDEX($AR$5:$AR$1000,$U8-4)),1),IF(ISNUMBER(INDEX($AS$5:$AS$1000,$U8-4)),DATE(YEAR(INDEX($AS$5:$AS$1000,$U8-4)),MONTH(INDEX($AS$5:$AS$1000,$U8-4)),1),MesCiclo)),IF(ISNUMBER($AR8),DATE(YEAR($AR8),MONTH($AR8),1),IF(ISNUMBER($AS8),DATE(YEAR($AS8),MONTH($AS8),1),MesCiclo))))</f>
        <v/>
      </c>
      <c r="T8" s="62">
        <f>IF(OR($S8="",$S8&lt;&gt;MesCiclo,$V8&lt;&gt;"Macro"),"",COUNTIFS($S$5:$S8,MesCiclo,$V$5:$V8,"Macro"))</f>
        <v/>
      </c>
      <c r="U8" s="62">
        <f>IF($V8="","",IF($V8="Macro",ROW(),IFERROR(LOOKUP(2,1/($V$5:$V8="Macro"),ROW($V$5:$V8)),0)))</f>
        <v/>
      </c>
      <c r="V8" s="62">
        <f>IF(NOT((COUNTA($B8:$D8)+COUNTA($G8:$H8)+COUNTA($Q8))&gt;0),"",IF($B8="Subactividad","Sub","Macro"))</f>
        <v/>
      </c>
      <c r="W8" s="62">
        <f>IF($V8="Macro",COUNTIFS($U$5:$U$1000,ROW(),$V$5:$V$1000,"Sub"),"")</f>
        <v/>
      </c>
      <c r="X8" s="62">
        <f>IF($V8&lt;&gt;"Sub","",IF(AND(ISNUMBER($H8),N($H8)&gt;0),$H8,IFERROR(MAX(0,1-SUMIFS($H$5:$H$1000,$U$5:$U$1000,$U8,$V$5:$V$1000,"Sub"))/(COUNTIFS($U$5:$U$1000,$U8,$V$5:$V$1000,"Sub")-COUNTIFS($U$5:$U$1000,$U8,$V$5:$V$1000,"Sub",$H$5:$H$1000,"&gt;0")),0)))</f>
        <v/>
      </c>
      <c r="Y8" s="62">
        <f>IF($V8="","",IF($V8="Sub",N($X8)*IF(ISNUMBER($G8),1,MIN(1,MAX(0,IFERROR(LOOKUP(2,1/ISNUMBER($I8:$L8),$I8:$L8),0)))),IF(ISNUMBER($G8),1,IFERROR(LOOKUP(2,1/($I8:$L8&lt;&gt;""),$I8:$L8),0))))</f>
        <v/>
      </c>
      <c r="Z8" s="62">
        <f>IF($V8="","",IF(AND(ISNUMBER($G8),$G8&lt;=IF($S8=MesCiclo,InicioCiclo,$S8+MOD(2-WEEKDAY($S8),7))+6),1,IF(ISNUMBER($I8),$I8,0)))</f>
        <v/>
      </c>
      <c r="AA8" s="62">
        <f>IF($V8="","",IF(AND(ISNUMBER($G8),$G8&lt;=IF($S8=MesCiclo,InicioCiclo,$S8+MOD(2-WEEKDAY($S8),7))+13),1,IF(ISNUMBER($J8),$J8,$Z8)))</f>
        <v/>
      </c>
      <c r="AB8" s="62">
        <f>IF($V8="","",IF(AND(ISNUMBER($G8),$G8&lt;=IF($S8=MesCiclo,InicioCiclo,$S8+MOD(2-WEEKDAY($S8),7))+20),1,IF(ISNUMBER($K8),$K8,$AA8)))</f>
        <v/>
      </c>
      <c r="AC8" s="62">
        <f>IF($V8="","",IF(AND(ISNUMBER($G8),$G8&lt;=IF($S8=MesCiclo,InicioCiclo,$S8+MOD(2-WEEKDAY($S8),7))+27),1,IF(ISNUMBER($L8),$L8,$AB8)))</f>
        <v/>
      </c>
      <c r="AD8" s="62">
        <f>IF($V8&lt;&gt;"Sub","",N($X8)*IF(AND(ISNUMBER($G8),$G8&lt;=IF($S8=MesCiclo,InicioCiclo,$S8+MOD(2-WEEKDAY($S8),7))+6),1,MIN(1,MAX(0,IF(ISNUMBER(OFFSET($A$1,ROW()-1,8)),OFFSET($A$1,ROW()-1,8),0)))))</f>
        <v/>
      </c>
      <c r="AE8" s="62">
        <f>IF($V8&lt;&gt;"Sub","",N($X8)*IF(AND(ISNUMBER($G8),$G8&lt;=IF($S8=MesCiclo,InicioCiclo,$S8+MOD(2-WEEKDAY($S8),7))+13),1,MIN(1,MAX(0,IF(ISNUMBER(OFFSET($A$1,ROW()-1,9)),OFFSET($A$1,ROW()-1,9),IF(ISNUMBER(OFFSET($A$1,ROW()-1,8)),OFFSET($A$1,ROW()-1,8),0))))))</f>
        <v/>
      </c>
      <c r="AF8" s="62">
        <f>IF($V8&lt;&gt;"Sub","",N($X8)*IF(AND(ISNUMBER($G8),$G8&lt;=IF($S8=MesCiclo,InicioCiclo,$S8+MOD(2-WEEKDAY($S8),7))+20),1,MIN(1,MAX(0,IF(ISNUMBER(OFFSET($A$1,ROW()-1,10)),OFFSET($A$1,ROW()-1,10),IF(ISNUMBER(OFFSET($A$1,ROW()-1,9)),OFFSET($A$1,ROW()-1,9),IF(ISNUMBER(OFFSET($A$1,ROW()-1,8)),OFFSET($A$1,ROW()-1,8),0)))))))</f>
        <v/>
      </c>
      <c r="AG8" s="62">
        <f>IF($V8&lt;&gt;"Sub","",N($X8)*IF(AND(ISNUMBER($G8),$G8&lt;=IF($S8=MesCiclo,InicioCiclo,$S8+MOD(2-WEEKDAY($S8),7))+27),1,MIN(1,MAX(0,IF(ISNUMBER(OFFSET($A$1,ROW()-1,11)),OFFSET($A$1,ROW()-1,11),IF(ISNUMBER(OFFSET($A$1,ROW()-1,10)),OFFSET($A$1,ROW()-1,10),IF(ISNUMBER(OFFSET($A$1,ROW()-1,9)),OFFSET($A$1,ROW()-1,9),IF(ISNUMBER(OFFSET($A$1,ROW()-1,8)),OFFSET($A$1,ROW()-1,8),0))))))))</f>
        <v/>
      </c>
      <c r="AH8" s="62">
        <f>IF($V8="","",IF(AND(ISNUMBER($G8),$G8&lt;=IF($S8=MesCiclo,InicioCiclo,$S8+MOD(2-WEEKDAY($S8),7))+6),1,IF(N($W8)&gt;0,MIN(1,SUMIFS($AD$5:$AD$1000,$U$5:$U$1000,ROW(),$V$5:$V$1000,"Sub")),$Z8)))</f>
        <v/>
      </c>
      <c r="AI8" s="62">
        <f>IF($V8="","",IF(AND(ISNUMBER($G8),$G8&lt;=IF($S8=MesCiclo,InicioCiclo,$S8+MOD(2-WEEKDAY($S8),7))+13),1,IF(N($W8)&gt;0,MIN(1,SUMIFS($AE$5:$AE$1000,$U$5:$U$1000,ROW(),$V$5:$V$1000,"Sub")),$AA8)))</f>
        <v/>
      </c>
      <c r="AJ8" s="62">
        <f>IF($V8="","",IF(AND(ISNUMBER($G8),$G8&lt;=IF($S8=MesCiclo,InicioCiclo,$S8+MOD(2-WEEKDAY($S8),7))+20),1,IF(N($W8)&gt;0,MIN(1,SUMIFS($AF$5:$AF$1000,$U$5:$U$1000,ROW(),$V$5:$V$1000,"Sub")),$AB8)))</f>
        <v/>
      </c>
      <c r="AK8" s="62">
        <f>IF($V8="","",IF(AND(ISNUMBER($G8),$G8&lt;=IF($S8=MesCiclo,InicioCiclo,$S8+MOD(2-WEEKDAY($S8),7))+27),1,IF(N($W8)&gt;0,MIN(1,SUMIFS($AG$5:$AG$1000,$U$5:$U$1000,ROW(),$V$5:$V$1000,"Sub")),$AC8)))</f>
        <v/>
      </c>
      <c r="AL8" s="62">
        <f>IF($V8&lt;&gt;"Macro","",IF(COUNTIFS($S$5:$S$1000,$S8,$V$5:$V$1000,"Macro",$H$5:$H$1000,"&gt;0")=0,1/COUNTIFS($S$5:$S$1000,$S8,$V$5:$V$1000,"Macro"),IF(AND(ISNUMBER($H8),N($H8)&gt;0),$H8,SUMIFS($H$5:$H$1000,$S$5:$S$1000,$S8,$V$5:$V$1000,"Macro")/COUNTIFS($S$5:$S$1000,$S8,$V$5:$V$1000,"Macro",$H$5:$H$1000,"&gt;0"))/(COUNTIFS($S$5:$S$1000,$S8,$V$5:$V$1000,"Macro")*SUMIFS($H$5:$H$1000,$S$5:$S$1000,$S8,$V$5:$V$1000,"Macro")/COUNTIFS($S$5:$S$1000,$S8,$V$5:$V$1000,"Macro",$H$5:$H$1000,"&gt;0"))))</f>
        <v/>
      </c>
      <c r="AM8" s="62" t="n"/>
      <c r="AN8" s="62" t="n"/>
      <c r="AO8" s="62" t="n"/>
      <c r="AP8" s="62" t="n"/>
      <c r="AQ8" s="62">
        <f>IF(LEFT($C8,11)="[Jefatura] ",IFERROR(MATCH("Asistente Técnico de Riesgo|"&amp;MID($C8,12,500),rDname_ADM,0),0),"")</f>
        <v/>
      </c>
      <c r="AR8" s="62">
        <f>IF(N($AQ8)&gt;0,INDEX(rIni_ADM,$AQ8),IF(ISNUMBER($E8),$E8,""))</f>
        <v/>
      </c>
      <c r="AS8" s="62">
        <f>IF(N($AQ8)&gt;0,INDEX(rLim_ADM,$AQ8),IF(ISNUMBER($F8),$F8,""))</f>
        <v/>
      </c>
    </row>
    <row r="9">
      <c r="A9" s="56">
        <f>IF(NOT((COUNTA($B9:$D9)+COUNTA($G9:$H9)+COUNTA($Q9))&gt;0),"",IF($V9="Macro",COUNTIFS($V$5:$V9,"Macro",$S$5:$S9,$S9),IF(N($U9)=0,"?",COUNTIFS(INDEX($V$5:$V$1000,1):INDEX($V$5:$V$1000,$U9-4),"Macro",INDEX($S$5:$S$1000,1):INDEX($S$5:$S$1000,$U9-4),INDEX($S$5:$S$1000,$U9-4))&amp;"."&amp;COUNTIFS($U$5:$U9,$U9,$V$5:$V9,"Sub"))))</f>
        <v/>
      </c>
      <c r="B9" s="57" t="inlineStr">
        <is>
          <t>Macroactividad</t>
        </is>
      </c>
      <c r="C9" s="58" t="inlineStr">
        <is>
          <t>Comparativo de política de gobierno corporativo</t>
        </is>
      </c>
      <c r="D9" s="58" t="n"/>
      <c r="E9" s="59" t="n">
        <v>46308</v>
      </c>
      <c r="F9" s="59">
        <f>IF(N($AQ9)&gt;0,INDEX(rLim_ADM,$AQ9),"")</f>
        <v/>
      </c>
      <c r="G9" s="59" t="n"/>
      <c r="H9" s="60" t="n"/>
      <c r="I9" s="60">
        <f>IF(N($W9)=0,"",IF(AND($S9=MesCiclo,1&gt;SemanaActual),"",MIN(1,SUMIFS(OFFSET($A$1,ROW(),29,1000-ROW(),1),OFFSET($A$1,ROW(),20,1000-ROW(),1),ROW(),OFFSET($A$1,ROW(),21,1000-ROW(),1),"Sub"))))</f>
        <v/>
      </c>
      <c r="J9" s="60" t="n">
        <v>0.9</v>
      </c>
      <c r="K9" s="60">
        <f>IF(N($W9)=0,"",IF(AND($S9=MesCiclo,3&gt;SemanaActual),"",MIN(1,SUMIFS(OFFSET($A$1,ROW(),31,1000-ROW(),1),OFFSET($A$1,ROW(),20,1000-ROW(),1),ROW(),OFFSET($A$1,ROW(),21,1000-ROW(),1),"Sub"))))</f>
        <v/>
      </c>
      <c r="L9" s="60">
        <f>IF(N($W9)=0,"",IF(AND($S9=MesCiclo,4&gt;SemanaActual),"",MIN(1,SUMIFS(OFFSET($A$1,ROW(),32,1000-ROW(),1),OFFSET($A$1,ROW(),20,1000-ROW(),1),ROW(),OFFSET($A$1,ROW(),21,1000-ROW(),1),"Sub"))))</f>
        <v/>
      </c>
      <c r="M9" s="61">
        <f>IF(OR(NOT((COUNTA($B9:$D9)+COUNTA($G9:$H9)+COUNTA($Q9))&gt;0),$V9="Sub"),"",IF(ISNUMBER($G9),1,IF(N($W9)&gt;0,MIN(1,SUMIFS($Y$5:$Y$1000,$U$5:$U$1000,ROW(),$V$5:$V$1000,"Sub")),$Y9)))</f>
        <v/>
      </c>
      <c r="N9" s="56">
        <f>IF(OR($M9="",$V9="Sub"),"",IF($M9&gt;=1,"Completado",IF($M9&gt;0,"En curso","Pendiente")))</f>
        <v/>
      </c>
      <c r="O9" s="56">
        <f>IF(OR(NOT((COUNTA($B9:$D9)+COUNTA($G9:$H9)+COUNTA($Q9))&gt;0),$V9="Sub"),"",IF(ISNUMBER($G9),IF(AND(ISNUMBER($AS9),$G9&gt;$AS9),"Cumplida con "&amp;($G9-$AS9)&amp;IF($G9-$AS9=1," día"," días")&amp;" de retraso","Cumplida"),IF(N($M9)&gt;=1,"Cumplida",IF(NOT(ISNUMBER($AS9)),"Sin fecha límite",IF($AS9&lt;FechaRef,"Vencida hace "&amp;(FechaRef-$AS9)&amp;IF(FechaRef-$AS9=1," día"," días"),IF($AS9=FechaRef,"Vence hoy",IF($AS9-FechaRef&lt;=DiasAlerta,"Vence en "&amp;($AS9-FechaRef)&amp;IF($AS9-FechaRef=1," día"," días"),"En plazo")))))))</f>
        <v/>
      </c>
      <c r="P9" s="62" t="n"/>
      <c r="Q9" s="58" t="n"/>
      <c r="R9" s="63">
        <f>IF(NOT((COUNTA($B9:$D9)+COUNTA($G9:$H9)+COUNTA($Q9))&gt;0),"",IF((IF($C9="","Falta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 OK","⚠ "&amp;LEFT(IF($C9="","Falta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",""),LEN(IF($C9="","Falta el nombre de la actividad"&amp;" · ","")&amp;IF(AND($V9="Sub",N($U9)=0),"Subactividad sin macroactividad arriba"&amp;" · ","")&amp;IF(AND($V9="Macro",$AR9=""),"Sin fecha de inicio"&amp;" · ","")&amp;IF(AND($V9="Macro",$AS9=""),"Sin fecha límite"&amp;" · ","")&amp;IF(AND(LEFT($C9,11)="[Jefatura] ",N($AQ9)=0),"No se encuentra en la hoja de la jefatura (elíjala de nuevo en la lista)"&amp;" · ","")&amp;IF(OR(AND($E9&lt;&gt;"",NOT(ISNUMBER($E9))),AND($F9&lt;&gt;"",NOT(ISNUMBER($F9))),AND($G9&lt;&gt;"",NOT(ISNUMBER($G9)))),"Fecha no válida"&amp;" · ","")&amp;IF(AND(ISNUMBER($AR9),ISNUMBER($AS9),$AR9&gt;$AS9),"Inicio posterior a fecha límite"&amp;" · ","")&amp;IF(AND($V9="Macro",$H9&lt;&gt;"",OR(NOT(ISNUMBER($H9)),$H9&lt;0,$H9&gt;1)),"Peso fuera de rango"&amp;" · ","")&amp;IF(AND($V9="Sub",$H9&lt;&gt;"",OR(NOT(ISNUMBER($H9)),$H9&lt;0,$H9&gt;1)),"% de la subactividad fuera de rango 0-100%"&amp;" · ","")&amp;IF(AND(N($W9)&gt;0,SUMIFS($H$5:$H$1000,$U$5:$U$1000,ROW(),$V$5:$V$1000,"Sub")&gt;1.0001),"Las subactividades suman más de 100%"&amp;" · ","")&amp;IF(AND(N($W9)&gt;0,OR(IF(ISNUMBER($I9),ROUND($I9,6)&lt;&gt;ROUND(MIN(1,SUMIFS($AD$5:$AD$1000,$U$5:$U$1000,ROW(),$V$5:$V$1000,"Sub")),6),FALSE),IF(ISNUMBER($J9),ROUND($J9,6)&lt;&gt;ROUND(MIN(1,SUMIFS($AE$5:$AE$1000,$U$5:$U$1000,ROW(),$V$5:$V$1000,"Sub")),6),FALSE),IF(ISNUMBER($K9),ROUND($K9,6)&lt;&gt;ROUND(MIN(1,SUMIFS($AF$5:$AF$1000,$U$5:$U$1000,ROW(),$V$5:$V$1000,"Sub")),6),FALSE),IF(ISNUMBER($L9),ROUND($L9,6)&lt;&gt;ROUND(MIN(1,SUMIFS($AG$5:$AG$1000,$U$5:$U$1000,ROW(),$V$5:$V$1000,"Sub")),6),FALSE))),"Con subactividades: no escriba en las semanas (se llenan solas)"&amp;" · ","")&amp;IF((COUNTIF($I9:$L9,"&gt;1")+COUNTIF($I9:$L9,"&lt;0")+SUMPRODUCT((LEN($I9:$L9)&gt;0)*NOT(ISNUMBER($I9:$L9))))&gt;0,"Avance fuera de rango 0-100%"&amp;" · ","")&amp;IF(OR(AND(ISNUMBER($J9),$J9&lt;N($I9)),AND(ISNUMBER($K9),$K9&lt;MAX($I9:$J9)),AND(ISNUMBER($L9),$L9&lt;MAX($I9:$K9))),"Avance semanal decreciente"&amp;" · ","")&amp;IF(AND(ISNUMBER($AS9),$AS9&lt;FechaRef,IF($V9="Sub",1,N($M9))&lt;1),"Vencida"&amp;" · ","")&amp;IF(AND(ObsObligatoria="Sí",ISNUMBER($AS9),$AS9&lt;FechaRef,IF($V9="Sub",1,N($M9))&lt;1,$Q9=""),"Vencida sin observación"&amp;" · ",""))-3)))</f>
        <v/>
      </c>
      <c r="S9" s="64">
        <f>IF(NOT((COUNTA($B9:$D9)+COUNTA($G9:$H9)+COUNTA($Q9))&gt;0),"",IF(AND($V9="Sub",N($U9)&gt;0),IF(ISNUMBER(INDEX($AR$5:$AR$1000,$U9-4)),DATE(YEAR(INDEX($AR$5:$AR$1000,$U9-4)),MONTH(INDEX($AR$5:$AR$1000,$U9-4)),1),IF(ISNUMBER(INDEX($AS$5:$AS$1000,$U9-4)),DATE(YEAR(INDEX($AS$5:$AS$1000,$U9-4)),MONTH(INDEX($AS$5:$AS$1000,$U9-4)),1),MesCiclo)),IF(ISNUMBER($AR9),DATE(YEAR($AR9),MONTH($AR9),1),IF(ISNUMBER($AS9),DATE(YEAR($AS9),MONTH($AS9),1),MesCiclo))))</f>
        <v/>
      </c>
      <c r="T9" s="62">
        <f>IF(OR($S9="",$S9&lt;&gt;MesCiclo,$V9&lt;&gt;"Macro"),"",COUNTIFS($S$5:$S9,MesCiclo,$V$5:$V9,"Macro"))</f>
        <v/>
      </c>
      <c r="U9" s="62">
        <f>IF($V9="","",IF($V9="Macro",ROW(),IFERROR(LOOKUP(2,1/($V$5:$V9="Macro"),ROW($V$5:$V9)),0)))</f>
        <v/>
      </c>
      <c r="V9" s="62">
        <f>IF(NOT((COUNTA($B9:$D9)+COUNTA($G9:$H9)+COUNTA($Q9))&gt;0),"",IF($B9="Subactividad","Sub","Macro"))</f>
        <v/>
      </c>
      <c r="W9" s="62">
        <f>IF($V9="Macro",COUNTIFS($U$5:$U$1000,ROW(),$V$5:$V$1000,"Sub"),"")</f>
        <v/>
      </c>
      <c r="X9" s="62">
        <f>IF($V9&lt;&gt;"Sub","",IF(AND(ISNUMBER($H9),N($H9)&gt;0),$H9,IFERROR(MAX(0,1-SUMIFS($H$5:$H$1000,$U$5:$U$1000,$U9,$V$5:$V$1000,"Sub"))/(COUNTIFS($U$5:$U$1000,$U9,$V$5:$V$1000,"Sub")-COUNTIFS($U$5:$U$1000,$U9,$V$5:$V$1000,"Sub",$H$5:$H$1000,"&gt;0")),0)))</f>
        <v/>
      </c>
      <c r="Y9" s="62">
        <f>IF($V9="","",IF($V9="Sub",N($X9)*IF(ISNUMBER($G9),1,MIN(1,MAX(0,IFERROR(LOOKUP(2,1/ISNUMBER($I9:$L9),$I9:$L9),0)))),IF(ISNUMBER($G9),1,IFERROR(LOOKUP(2,1/($I9:$L9&lt;&gt;""),$I9:$L9),0))))</f>
        <v/>
      </c>
      <c r="Z9" s="62">
        <f>IF($V9="","",IF(AND(ISNUMBER($G9),$G9&lt;=IF($S9=MesCiclo,InicioCiclo,$S9+MOD(2-WEEKDAY($S9),7))+6),1,IF(ISNUMBER($I9),$I9,0)))</f>
        <v/>
      </c>
      <c r="AA9" s="62">
        <f>IF($V9="","",IF(AND(ISNUMBER($G9),$G9&lt;=IF($S9=MesCiclo,InicioCiclo,$S9+MOD(2-WEEKDAY($S9),7))+13),1,IF(ISNUMBER($J9),$J9,$Z9)))</f>
        <v/>
      </c>
      <c r="AB9" s="62">
        <f>IF($V9="","",IF(AND(ISNUMBER($G9),$G9&lt;=IF($S9=MesCiclo,InicioCiclo,$S9+MOD(2-WEEKDAY($S9),7))+20),1,IF(ISNUMBER($K9),$K9,$AA9)))</f>
        <v/>
      </c>
      <c r="AC9" s="62">
        <f>IF($V9="","",IF(AND(ISNUMBER($G9),$G9&lt;=IF($S9=MesCiclo,InicioCiclo,$S9+MOD(2-WEEKDAY($S9),7))+27),1,IF(ISNUMBER($L9),$L9,$AB9)))</f>
        <v/>
      </c>
      <c r="AD9" s="62">
        <f>IF($V9&lt;&gt;"Sub","",N($X9)*IF(AND(ISNUMBER($G9),$G9&lt;=IF($S9=MesCiclo,InicioCiclo,$S9+MOD(2-WEEKDAY($S9),7))+6),1,MIN(1,MAX(0,IF(ISNUMBER(OFFSET($A$1,ROW()-1,8)),OFFSET($A$1,ROW()-1,8),0)))))</f>
        <v/>
      </c>
      <c r="AE9" s="62">
        <f>IF($V9&lt;&gt;"Sub","",N($X9)*IF(AND(ISNUMBER($G9),$G9&lt;=IF($S9=MesCiclo,InicioCiclo,$S9+MOD(2-WEEKDAY($S9),7))+13),1,MIN(1,MAX(0,IF(ISNUMBER(OFFSET($A$1,ROW()-1,9)),OFFSET($A$1,ROW()-1,9),IF(ISNUMBER(OFFSET($A$1,ROW()-1,8)),OFFSET($A$1,ROW()-1,8),0))))))</f>
        <v/>
      </c>
      <c r="AF9" s="62">
        <f>IF($V9&lt;&gt;"Sub","",N($X9)*IF(AND(ISNUMBER($G9),$G9&lt;=IF($S9=MesCiclo,InicioCiclo,$S9+MOD(2-WEEKDAY($S9),7))+20),1,MIN(1,MAX(0,IF(ISNUMBER(OFFSET($A$1,ROW()-1,10)),OFFSET($A$1,ROW()-1,10),IF(ISNUMBER(OFFSET($A$1,ROW()-1,9)),OFFSET($A$1,ROW()-1,9),IF(ISNUMBER(OFFSET($A$1,ROW()-1,8)),OFFSET($A$1,ROW()-1,8),0)))))))</f>
        <v/>
      </c>
      <c r="AG9" s="62">
        <f>IF($V9&lt;&gt;"Sub","",N($X9)*IF(AND(ISNUMBER($G9),$G9&lt;=IF($S9=MesCiclo,InicioCiclo,$S9+MOD(2-WEEKDAY($S9),7))+27),1,MIN(1,MAX(0,IF(ISNUMBER(OFFSET($A$1,ROW()-1,11)),OFFSET($A$1,ROW()-1,11),IF(ISNUMBER(OFFSET($A$1,ROW()-1,10)),OFFSET($A$1,ROW()-1,10),IF(ISNUMBER(OFFSET($A$1,ROW()-1,9)),OFFSET($A$1,ROW()-1,9),IF(ISNUMBER(OFFSET($A$1,ROW()-1,8)),OFFSET($A$1,ROW()-1,8),0))))))))</f>
        <v/>
      </c>
      <c r="AH9" s="62">
        <f>IF($V9="","",IF(AND(ISNUMBER($G9),$G9&lt;=IF($S9=MesCiclo,InicioCiclo,$S9+MOD(2-WEEKDAY($S9),7))+6),1,IF(N($W9)&gt;0,MIN(1,SUMIFS($AD$5:$AD$1000,$U$5:$U$1000,ROW(),$V$5:$V$1000,"Sub")),$Z9)))</f>
        <v/>
      </c>
      <c r="AI9" s="62">
        <f>IF($V9="","",IF(AND(ISNUMBER($G9),$G9&lt;=IF($S9=MesCiclo,InicioCiclo,$S9+MOD(2-WEEKDAY($S9),7))+13),1,IF(N($W9)&gt;0,MIN(1,SUMIFS($AE$5:$AE$1000,$U$5:$U$1000,ROW(),$V$5:$V$1000,"Sub")),$AA9)))</f>
        <v/>
      </c>
      <c r="AJ9" s="62">
        <f>IF($V9="","",IF(AND(ISNUMBER($G9),$G9&lt;=IF($S9=MesCiclo,InicioCiclo,$S9+MOD(2-WEEKDAY($S9),7))+20),1,IF(N($W9)&gt;0,MIN(1,SUMIFS($AF$5:$AF$1000,$U$5:$U$1000,ROW(),$V$5:$V$1000,"Sub")),$AB9)))</f>
        <v/>
      </c>
      <c r="AK9" s="62">
        <f>IF($V9="","",IF(AND(ISNUMBER($G9),$G9&lt;=IF($S9=MesCiclo,InicioCiclo,$S9+MOD(2-WEEKDAY($S9),7))+27),1,IF(N($W9)&gt;0,MIN(1,SUMIFS($AG$5:$AG$1000,$U$5:$U$1000,ROW(),$V$5:$V$1000,"Sub")),$AC9)))</f>
        <v/>
      </c>
      <c r="AL9" s="62">
        <f>IF($V9&lt;&gt;"Macro","",IF(COUNTIFS($S$5:$S$1000,$S9,$V$5:$V$1000,"Macro",$H$5:$H$1000,"&gt;0")=0,1/COUNTIFS($S$5:$S$1000,$S9,$V$5:$V$1000,"Macro"),IF(AND(ISNUMBER($H9),N($H9)&gt;0),$H9,SUMIFS($H$5:$H$1000,$S$5:$S$1000,$S9,$V$5:$V$1000,"Macro")/COUNTIFS($S$5:$S$1000,$S9,$V$5:$V$1000,"Macro",$H$5:$H$1000,"&gt;0"))/(COUNTIFS($S$5:$S$1000,$S9,$V$5:$V$1000,"Macro")*SUMIFS($H$5:$H$1000,$S$5:$S$1000,$S9,$V$5:$V$1000,"Macro")/COUNTIFS($S$5:$S$1000,$S9,$V$5:$V$1000,"Macro",$H$5:$H$1000,"&gt;0"))))</f>
        <v/>
      </c>
      <c r="AM9" s="62" t="n"/>
      <c r="AN9" s="62" t="n"/>
      <c r="AO9" s="62" t="n"/>
      <c r="AP9" s="62" t="n"/>
      <c r="AQ9" s="62">
        <f>IF(LEFT($C9,11)="[Jefatura] ",IFERROR(MATCH("Asistente Técnico de Riesgo|"&amp;MID($C9,12,500),rDname_ADM,0),0),"")</f>
        <v/>
      </c>
      <c r="AR9" s="62">
        <f>IF(N($AQ9)&gt;0,INDEX(rIni_ADM,$AQ9),IF(ISNUMBER($E9),$E9,""))</f>
        <v/>
      </c>
      <c r="AS9" s="62">
        <f>IF(N($AQ9)&gt;0,INDEX(rLim_ADM,$AQ9),IF(ISNUMBER($F9),$F9,""))</f>
        <v/>
      </c>
    </row>
    <row r="10">
      <c r="A10" s="56">
        <f>IF(NOT((COUNTA($B10:$D10)+COUNTA($G10:$H10)+COUNTA($Q10))&gt;0),"",IF($V10="Macro",COUNTIFS($V$5:$V10,"Macro",$S$5:$S10,$S10),IF(N($U10)=0,"?",COUNTIFS(INDEX($V$5:$V$1000,1):INDEX($V$5:$V$1000,$U10-4),"Macro",INDEX($S$5:$S$1000,1):INDEX($S$5:$S$1000,$U10-4),INDEX($S$5:$S$1000,$U10-4))&amp;"."&amp;COUNTIFS($U$5:$U10,$U10,$V$5:$V10,"Sub"))))</f>
        <v/>
      </c>
      <c r="B10" s="57" t="inlineStr">
        <is>
          <t>Macroactividad</t>
        </is>
      </c>
      <c r="C10" s="58" t="inlineStr">
        <is>
          <t>Presentación visita de supervisión gobierno corporativo</t>
        </is>
      </c>
      <c r="D10" s="58" t="n"/>
      <c r="E10" s="59" t="n">
        <v>46308</v>
      </c>
      <c r="F10" s="59">
        <f>IF(N($AQ10)&gt;0,INDEX(rLim_ADM,$AQ10),"")</f>
        <v/>
      </c>
      <c r="G10" s="59" t="n"/>
      <c r="H10" s="60" t="n"/>
      <c r="I10" s="60">
        <f>IF(N($W10)=0,"",IF(AND($S10=MesCiclo,1&gt;SemanaActual),"",MIN(1,SUMIFS(OFFSET($A$1,ROW(),29,1000-ROW(),1),OFFSET($A$1,ROW(),20,1000-ROW(),1),ROW(),OFFSET($A$1,ROW(),21,1000-ROW(),1),"Sub"))))</f>
        <v/>
      </c>
      <c r="J10" s="60" t="n">
        <v>1</v>
      </c>
      <c r="K10" s="60">
        <f>IF(N($W10)=0,"",IF(AND($S10=MesCiclo,3&gt;SemanaActual),"",MIN(1,SUMIFS(OFFSET($A$1,ROW(),31,1000-ROW(),1),OFFSET($A$1,ROW(),20,1000-ROW(),1),ROW(),OFFSET($A$1,ROW(),21,1000-ROW(),1),"Sub"))))</f>
        <v/>
      </c>
      <c r="L10" s="60">
        <f>IF(N($W10)=0,"",IF(AND($S10=MesCiclo,4&gt;SemanaActual),"",MIN(1,SUMIFS(OFFSET($A$1,ROW(),32,1000-ROW(),1),OFFSET($A$1,ROW(),20,1000-ROW(),1),ROW(),OFFSET($A$1,ROW(),21,1000-ROW(),1),"Sub"))))</f>
        <v/>
      </c>
      <c r="M10" s="61">
        <f>IF(OR(NOT((COUNTA($B10:$D10)+COUNTA($G10:$H10)+COUNTA($Q10))&gt;0),$V10="Sub"),"",IF(ISNUMBER($G10),1,IF(N($W10)&gt;0,MIN(1,SUMIFS($Y$5:$Y$1000,$U$5:$U$1000,ROW(),$V$5:$V$1000,"Sub")),$Y10)))</f>
        <v/>
      </c>
      <c r="N10" s="56">
        <f>IF(OR($M10="",$V10="Sub"),"",IF($M10&gt;=1,"Completado",IF($M10&gt;0,"En curso","Pendiente")))</f>
        <v/>
      </c>
      <c r="O10" s="56">
        <f>IF(OR(NOT((COUNTA($B10:$D10)+COUNTA($G10:$H10)+COUNTA($Q10))&gt;0),$V10="Sub"),"",IF(ISNUMBER($G10),IF(AND(ISNUMBER($AS10),$G10&gt;$AS10),"Cumplida con "&amp;($G10-$AS10)&amp;IF($G10-$AS10=1," día"," días")&amp;" de retraso","Cumplida"),IF(N($M10)&gt;=1,"Cumplida",IF(NOT(ISNUMBER($AS10)),"Sin fecha límite",IF($AS10&lt;FechaRef,"Vencida hace "&amp;(FechaRef-$AS10)&amp;IF(FechaRef-$AS10=1," día"," días"),IF($AS10=FechaRef,"Vence hoy",IF($AS10-FechaRef&lt;=DiasAlerta,"Vence en "&amp;($AS10-FechaRef)&amp;IF($AS10-FechaRef=1," día"," días"),"En plazo")))))))</f>
        <v/>
      </c>
      <c r="P10" s="62" t="n"/>
      <c r="Q10" s="58" t="n"/>
      <c r="R10" s="63">
        <f>IF(NOT((COUNTA($B10:$D10)+COUNTA($G10:$H10)+COUNTA($Q10))&gt;0),"",IF((IF($C10="","Falta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 OK","⚠ "&amp;LEFT(IF($C10="","Falta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",""),LEN(IF($C10="","Falta el nombre de la actividad"&amp;" · ","")&amp;IF(AND($V10="Sub",N($U10)=0),"Subactividad sin macroactividad arriba"&amp;" · ","")&amp;IF(AND($V10="Macro",$AR10=""),"Sin fecha de inicio"&amp;" · ","")&amp;IF(AND($V10="Macro",$AS10=""),"Sin fecha límite"&amp;" · ","")&amp;IF(AND(LEFT($C10,11)="[Jefatura] ",N($AQ10)=0),"No se encuentra en la hoja de la jefatura (elíjala de nuevo en la lista)"&amp;" · ","")&amp;IF(OR(AND($E10&lt;&gt;"",NOT(ISNUMBER($E10))),AND($F10&lt;&gt;"",NOT(ISNUMBER($F10))),AND($G10&lt;&gt;"",NOT(ISNUMBER($G10)))),"Fecha no válida"&amp;" · ","")&amp;IF(AND(ISNUMBER($AR10),ISNUMBER($AS10),$AR10&gt;$AS10),"Inicio posterior a fecha límite"&amp;" · ","")&amp;IF(AND($V10="Macro",$H10&lt;&gt;"",OR(NOT(ISNUMBER($H10)),$H10&lt;0,$H10&gt;1)),"Peso fuera de rango"&amp;" · ","")&amp;IF(AND($V10="Sub",$H10&lt;&gt;"",OR(NOT(ISNUMBER($H10)),$H10&lt;0,$H10&gt;1)),"% de la subactividad fuera de rango 0-100%"&amp;" · ","")&amp;IF(AND(N($W10)&gt;0,SUMIFS($H$5:$H$1000,$U$5:$U$1000,ROW(),$V$5:$V$1000,"Sub")&gt;1.0001),"Las subactividades suman más de 100%"&amp;" · ","")&amp;IF(AND(N($W10)&gt;0,OR(IF(ISNUMBER($I10),ROUND($I10,6)&lt;&gt;ROUND(MIN(1,SUMIFS($AD$5:$AD$1000,$U$5:$U$1000,ROW(),$V$5:$V$1000,"Sub")),6),FALSE),IF(ISNUMBER($J10),ROUND($J10,6)&lt;&gt;ROUND(MIN(1,SUMIFS($AE$5:$AE$1000,$U$5:$U$1000,ROW(),$V$5:$V$1000,"Sub")),6),FALSE),IF(ISNUMBER($K10),ROUND($K10,6)&lt;&gt;ROUND(MIN(1,SUMIFS($AF$5:$AF$1000,$U$5:$U$1000,ROW(),$V$5:$V$1000,"Sub")),6),FALSE),IF(ISNUMBER($L10),ROUND($L10,6)&lt;&gt;ROUND(MIN(1,SUMIFS($AG$5:$AG$1000,$U$5:$U$1000,ROW(),$V$5:$V$1000,"Sub")),6),FALSE))),"Con subactividades: no escriba en las semanas (se llenan solas)"&amp;" · ","")&amp;IF((COUNTIF($I10:$L10,"&gt;1")+COUNTIF($I10:$L10,"&lt;0")+SUMPRODUCT((LEN($I10:$L10)&gt;0)*NOT(ISNUMBER($I10:$L10))))&gt;0,"Avance fuera de rango 0-100%"&amp;" · ","")&amp;IF(OR(AND(ISNUMBER($J10),$J10&lt;N($I10)),AND(ISNUMBER($K10),$K10&lt;MAX($I10:$J10)),AND(ISNUMBER($L10),$L10&lt;MAX($I10:$K10))),"Avance semanal decreciente"&amp;" · ","")&amp;IF(AND(ISNUMBER($AS10),$AS10&lt;FechaRef,IF($V10="Sub",1,N($M10))&lt;1),"Vencida"&amp;" · ","")&amp;IF(AND(ObsObligatoria="Sí",ISNUMBER($AS10),$AS10&lt;FechaRef,IF($V10="Sub",1,N($M10))&lt;1,$Q10=""),"Vencida sin observación"&amp;" · ",""))-3)))</f>
        <v/>
      </c>
      <c r="S10" s="64">
        <f>IF(NOT((COUNTA($B10:$D10)+COUNTA($G10:$H10)+COUNTA($Q10))&gt;0),"",IF(AND($V10="Sub",N($U10)&gt;0),IF(ISNUMBER(INDEX($AR$5:$AR$1000,$U10-4)),DATE(YEAR(INDEX($AR$5:$AR$1000,$U10-4)),MONTH(INDEX($AR$5:$AR$1000,$U10-4)),1),IF(ISNUMBER(INDEX($AS$5:$AS$1000,$U10-4)),DATE(YEAR(INDEX($AS$5:$AS$1000,$U10-4)),MONTH(INDEX($AS$5:$AS$1000,$U10-4)),1),MesCiclo)),IF(ISNUMBER($AR10),DATE(YEAR($AR10),MONTH($AR10),1),IF(ISNUMBER($AS10),DATE(YEAR($AS10),MONTH($AS10),1),MesCiclo))))</f>
        <v/>
      </c>
      <c r="T10" s="62">
        <f>IF(OR($S10="",$S10&lt;&gt;MesCiclo,$V10&lt;&gt;"Macro"),"",COUNTIFS($S$5:$S10,MesCiclo,$V$5:$V10,"Macro"))</f>
        <v/>
      </c>
      <c r="U10" s="62">
        <f>IF($V10="","",IF($V10="Macro",ROW(),IFERROR(LOOKUP(2,1/($V$5:$V10="Macro"),ROW($V$5:$V10)),0)))</f>
        <v/>
      </c>
      <c r="V10" s="62">
        <f>IF(NOT((COUNTA($B10:$D10)+COUNTA($G10:$H10)+COUNTA($Q10))&gt;0),"",IF($B10="Subactividad","Sub","Macro"))</f>
        <v/>
      </c>
      <c r="W10" s="62">
        <f>IF($V10="Macro",COUNTIFS($U$5:$U$1000,ROW(),$V$5:$V$1000,"Sub"),"")</f>
        <v/>
      </c>
      <c r="X10" s="62">
        <f>IF($V10&lt;&gt;"Sub","",IF(AND(ISNUMBER($H10),N($H10)&gt;0),$H10,IFERROR(MAX(0,1-SUMIFS($H$5:$H$1000,$U$5:$U$1000,$U10,$V$5:$V$1000,"Sub"))/(COUNTIFS($U$5:$U$1000,$U10,$V$5:$V$1000,"Sub")-COUNTIFS($U$5:$U$1000,$U10,$V$5:$V$1000,"Sub",$H$5:$H$1000,"&gt;0")),0)))</f>
        <v/>
      </c>
      <c r="Y10" s="62">
        <f>IF($V10="","",IF($V10="Sub",N($X10)*IF(ISNUMBER($G10),1,MIN(1,MAX(0,IFERROR(LOOKUP(2,1/ISNUMBER($I10:$L10),$I10:$L10),0)))),IF(ISNUMBER($G10),1,IFERROR(LOOKUP(2,1/($I10:$L10&lt;&gt;""),$I10:$L10),0))))</f>
        <v/>
      </c>
      <c r="Z10" s="62">
        <f>IF($V10="","",IF(AND(ISNUMBER($G10),$G10&lt;=IF($S10=MesCiclo,InicioCiclo,$S10+MOD(2-WEEKDAY($S10),7))+6),1,IF(ISNUMBER($I10),$I10,0)))</f>
        <v/>
      </c>
      <c r="AA10" s="62">
        <f>IF($V10="","",IF(AND(ISNUMBER($G10),$G10&lt;=IF($S10=MesCiclo,InicioCiclo,$S10+MOD(2-WEEKDAY($S10),7))+13),1,IF(ISNUMBER($J10),$J10,$Z10)))</f>
        <v/>
      </c>
      <c r="AB10" s="62">
        <f>IF($V10="","",IF(AND(ISNUMBER($G10),$G10&lt;=IF($S10=MesCiclo,InicioCiclo,$S10+MOD(2-WEEKDAY($S10),7))+20),1,IF(ISNUMBER($K10),$K10,$AA10)))</f>
        <v/>
      </c>
      <c r="AC10" s="62">
        <f>IF($V10="","",IF(AND(ISNUMBER($G10),$G10&lt;=IF($S10=MesCiclo,InicioCiclo,$S10+MOD(2-WEEKDAY($S10),7))+27),1,IF(ISNUMBER($L10),$L10,$AB10)))</f>
        <v/>
      </c>
      <c r="AD10" s="62">
        <f>IF($V10&lt;&gt;"Sub","",N($X10)*IF(AND(ISNUMBER($G10),$G10&lt;=IF($S10=MesCiclo,InicioCiclo,$S10+MOD(2-WEEKDAY($S10),7))+6),1,MIN(1,MAX(0,IF(ISNUMBER(OFFSET($A$1,ROW()-1,8)),OFFSET($A$1,ROW()-1,8),0)))))</f>
        <v/>
      </c>
      <c r="AE10" s="62">
        <f>IF($V10&lt;&gt;"Sub","",N($X10)*IF(AND(ISNUMBER($G10),$G10&lt;=IF($S10=MesCiclo,InicioCiclo,$S10+MOD(2-WEEKDAY($S10),7))+13),1,MIN(1,MAX(0,IF(ISNUMBER(OFFSET($A$1,ROW()-1,9)),OFFSET($A$1,ROW()-1,9),IF(ISNUMBER(OFFSET($A$1,ROW()-1,8)),OFFSET($A$1,ROW()-1,8),0))))))</f>
        <v/>
      </c>
      <c r="AF10" s="62">
        <f>IF($V10&lt;&gt;"Sub","",N($X10)*IF(AND(ISNUMBER($G10),$G10&lt;=IF($S10=MesCiclo,InicioCiclo,$S10+MOD(2-WEEKDAY($S10),7))+20),1,MIN(1,MAX(0,IF(ISNUMBER(OFFSET($A$1,ROW()-1,10)),OFFSET($A$1,ROW()-1,10),IF(ISNUMBER(OFFSET($A$1,ROW()-1,9)),OFFSET($A$1,ROW()-1,9),IF(ISNUMBER(OFFSET($A$1,ROW()-1,8)),OFFSET($A$1,ROW()-1,8),0)))))))</f>
        <v/>
      </c>
      <c r="AG10" s="62">
        <f>IF($V10&lt;&gt;"Sub","",N($X10)*IF(AND(ISNUMBER($G10),$G10&lt;=IF($S10=MesCiclo,InicioCiclo,$S10+MOD(2-WEEKDAY($S10),7))+27),1,MIN(1,MAX(0,IF(ISNUMBER(OFFSET($A$1,ROW()-1,11)),OFFSET($A$1,ROW()-1,11),IF(ISNUMBER(OFFSET($A$1,ROW()-1,10)),OFFSET($A$1,ROW()-1,10),IF(ISNUMBER(OFFSET($A$1,ROW()-1,9)),OFFSET($A$1,ROW()-1,9),IF(ISNUMBER(OFFSET($A$1,ROW()-1,8)),OFFSET($A$1,ROW()-1,8),0))))))))</f>
        <v/>
      </c>
      <c r="AH10" s="62">
        <f>IF($V10="","",IF(AND(ISNUMBER($G10),$G10&lt;=IF($S10=MesCiclo,InicioCiclo,$S10+MOD(2-WEEKDAY($S10),7))+6),1,IF(N($W10)&gt;0,MIN(1,SUMIFS($AD$5:$AD$1000,$U$5:$U$1000,ROW(),$V$5:$V$1000,"Sub")),$Z10)))</f>
        <v/>
      </c>
      <c r="AI10" s="62">
        <f>IF($V10="","",IF(AND(ISNUMBER($G10),$G10&lt;=IF($S10=MesCiclo,InicioCiclo,$S10+MOD(2-WEEKDAY($S10),7))+13),1,IF(N($W10)&gt;0,MIN(1,SUMIFS($AE$5:$AE$1000,$U$5:$U$1000,ROW(),$V$5:$V$1000,"Sub")),$AA10)))</f>
        <v/>
      </c>
      <c r="AJ10" s="62">
        <f>IF($V10="","",IF(AND(ISNUMBER($G10),$G10&lt;=IF($S10=MesCiclo,InicioCiclo,$S10+MOD(2-WEEKDAY($S10),7))+20),1,IF(N($W10)&gt;0,MIN(1,SUMIFS($AF$5:$AF$1000,$U$5:$U$1000,ROW(),$V$5:$V$1000,"Sub")),$AB10)))</f>
        <v/>
      </c>
      <c r="AK10" s="62">
        <f>IF($V10="","",IF(AND(ISNUMBER($G10),$G10&lt;=IF($S10=MesCiclo,InicioCiclo,$S10+MOD(2-WEEKDAY($S10),7))+27),1,IF(N($W10)&gt;0,MIN(1,SUMIFS($AG$5:$AG$1000,$U$5:$U$1000,ROW(),$V$5:$V$1000,"Sub")),$AC10)))</f>
        <v/>
      </c>
      <c r="AL10" s="62">
        <f>IF($V10&lt;&gt;"Macro","",IF(COUNTIFS($S$5:$S$1000,$S10,$V$5:$V$1000,"Macro",$H$5:$H$1000,"&gt;0")=0,1/COUNTIFS($S$5:$S$1000,$S10,$V$5:$V$1000,"Macro"),IF(AND(ISNUMBER($H10),N($H10)&gt;0),$H10,SUMIFS($H$5:$H$1000,$S$5:$S$1000,$S10,$V$5:$V$1000,"Macro")/COUNTIFS($S$5:$S$1000,$S10,$V$5:$V$1000,"Macro",$H$5:$H$1000,"&gt;0"))/(COUNTIFS($S$5:$S$1000,$S10,$V$5:$V$1000,"Macro")*SUMIFS($H$5:$H$1000,$S$5:$S$1000,$S10,$V$5:$V$1000,"Macro")/COUNTIFS($S$5:$S$1000,$S10,$V$5:$V$1000,"Macro",$H$5:$H$1000,"&gt;0"))))</f>
        <v/>
      </c>
      <c r="AM10" s="62" t="n"/>
      <c r="AN10" s="62" t="n"/>
      <c r="AO10" s="62" t="n"/>
      <c r="AP10" s="62" t="n"/>
      <c r="AQ10" s="62">
        <f>IF(LEFT($C10,11)="[Jefatura] ",IFERROR(MATCH("Asistente Técnico de Riesgo|"&amp;MID($C10,12,500),rDname_ADM,0),0),"")</f>
        <v/>
      </c>
      <c r="AR10" s="62">
        <f>IF(N($AQ10)&gt;0,INDEX(rIni_ADM,$AQ10),IF(ISNUMBER($E10),$E10,""))</f>
        <v/>
      </c>
      <c r="AS10" s="62">
        <f>IF(N($AQ10)&gt;0,INDEX(rLim_ADM,$AQ10),IF(ISNUMBER($F10),$F10,""))</f>
        <v/>
      </c>
    </row>
    <row r="11">
      <c r="A11" s="56">
        <f>IF(NOT((COUNTA($B11:$D11)+COUNTA($G11:$H11)+COUNTA($Q11))&gt;0),"",IF($V11="Macro",COUNTIFS($V$5:$V11,"Macro",$S$5:$S11,$S11),IF(N($U11)=0,"?",COUNTIFS(INDEX($V$5:$V$1000,1):INDEX($V$5:$V$1000,$U11-4),"Macro",INDEX($S$5:$S$1000,1):INDEX($S$5:$S$1000,$U11-4),INDEX($S$5:$S$1000,$U11-4))&amp;"."&amp;COUNTIFS($U$5:$U11,$U11,$V$5:$V11,"Sub"))))</f>
        <v/>
      </c>
      <c r="B11" s="57" t="inlineStr">
        <is>
          <t>Macroactividad</t>
        </is>
      </c>
      <c r="C11" s="58" t="inlineStr">
        <is>
          <t>Elaboración del cuestionario para la entrevista de BIA</t>
        </is>
      </c>
      <c r="D11" s="58" t="n"/>
      <c r="E11" s="59" t="n">
        <v>46308</v>
      </c>
      <c r="F11" s="59">
        <f>IF(N($AQ11)&gt;0,INDEX(rLim_ADM,$AQ11),"")</f>
        <v/>
      </c>
      <c r="G11" s="59" t="n"/>
      <c r="H11" s="60" t="n"/>
      <c r="I11" s="60">
        <f>IF(N($W11)=0,"",IF(AND($S11=MesCiclo,1&gt;SemanaActual),"",MIN(1,SUMIFS(OFFSET($A$1,ROW(),29,1000-ROW(),1),OFFSET($A$1,ROW(),20,1000-ROW(),1),ROW(),OFFSET($A$1,ROW(),21,1000-ROW(),1),"Sub"))))</f>
        <v/>
      </c>
      <c r="J11" s="60" t="n">
        <v>1</v>
      </c>
      <c r="K11" s="60">
        <f>IF(N($W11)=0,"",IF(AND($S11=MesCiclo,3&gt;SemanaActual),"",MIN(1,SUMIFS(OFFSET($A$1,ROW(),31,1000-ROW(),1),OFFSET($A$1,ROW(),20,1000-ROW(),1),ROW(),OFFSET($A$1,ROW(),21,1000-ROW(),1),"Sub"))))</f>
        <v/>
      </c>
      <c r="L11" s="60">
        <f>IF(N($W11)=0,"",IF(AND($S11=MesCiclo,4&gt;SemanaActual),"",MIN(1,SUMIFS(OFFSET($A$1,ROW(),32,1000-ROW(),1),OFFSET($A$1,ROW(),20,1000-ROW(),1),ROW(),OFFSET($A$1,ROW(),21,1000-ROW(),1),"Sub"))))</f>
        <v/>
      </c>
      <c r="M11" s="61">
        <f>IF(OR(NOT((COUNTA($B11:$D11)+COUNTA($G11:$H11)+COUNTA($Q11))&gt;0),$V11="Sub"),"",IF(ISNUMBER($G11),1,IF(N($W11)&gt;0,MIN(1,SUMIFS($Y$5:$Y$1000,$U$5:$U$1000,ROW(),$V$5:$V$1000,"Sub")),$Y11)))</f>
        <v/>
      </c>
      <c r="N11" s="56">
        <f>IF(OR($M11="",$V11="Sub"),"",IF($M11&gt;=1,"Completado",IF($M11&gt;0,"En curso","Pendiente")))</f>
        <v/>
      </c>
      <c r="O11" s="56">
        <f>IF(OR(NOT((COUNTA($B11:$D11)+COUNTA($G11:$H11)+COUNTA($Q11))&gt;0),$V11="Sub"),"",IF(ISNUMBER($G11),IF(AND(ISNUMBER($AS11),$G11&gt;$AS11),"Cumplida con "&amp;($G11-$AS11)&amp;IF($G11-$AS11=1," día"," días")&amp;" de retraso","Cumplida"),IF(N($M11)&gt;=1,"Cumplida",IF(NOT(ISNUMBER($AS11)),"Sin fecha límite",IF($AS11&lt;FechaRef,"Vencida hace "&amp;(FechaRef-$AS11)&amp;IF(FechaRef-$AS11=1," día"," días"),IF($AS11=FechaRef,"Vence hoy",IF($AS11-FechaRef&lt;=DiasAlerta,"Vence en "&amp;($AS11-FechaRef)&amp;IF($AS11-FechaRef=1," día"," días"),"En plazo")))))))</f>
        <v/>
      </c>
      <c r="P11" s="62" t="n"/>
      <c r="Q11" s="58" t="n"/>
      <c r="R11" s="63">
        <f>IF(NOT((COUNTA($B11:$D11)+COUNTA($G11:$H11)+COUNTA($Q11))&gt;0),"",IF((IF($C11="","Falta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 OK","⚠ "&amp;LEFT(IF($C11="","Falta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",""),LEN(IF($C11="","Falta el nombre de la actividad"&amp;" · ","")&amp;IF(AND($V11="Sub",N($U11)=0),"Subactividad sin macroactividad arriba"&amp;" · ","")&amp;IF(AND($V11="Macro",$AR11=""),"Sin fecha de inicio"&amp;" · ","")&amp;IF(AND($V11="Macro",$AS11=""),"Sin fecha límite"&amp;" · ","")&amp;IF(AND(LEFT($C11,11)="[Jefatura] ",N($AQ11)=0),"No se encuentra en la hoja de la jefatura (elíjala de nuevo en la lista)"&amp;" · ","")&amp;IF(OR(AND($E11&lt;&gt;"",NOT(ISNUMBER($E11))),AND($F11&lt;&gt;"",NOT(ISNUMBER($F11))),AND($G11&lt;&gt;"",NOT(ISNUMBER($G11)))),"Fecha no válida"&amp;" · ","")&amp;IF(AND(ISNUMBER($AR11),ISNUMBER($AS11),$AR11&gt;$AS11),"Inicio posterior a fecha límite"&amp;" · ","")&amp;IF(AND($V11="Macro",$H11&lt;&gt;"",OR(NOT(ISNUMBER($H11)),$H11&lt;0,$H11&gt;1)),"Peso fuera de rango"&amp;" · ","")&amp;IF(AND($V11="Sub",$H11&lt;&gt;"",OR(NOT(ISNUMBER($H11)),$H11&lt;0,$H11&gt;1)),"% de la subactividad fuera de rango 0-100%"&amp;" · ","")&amp;IF(AND(N($W11)&gt;0,SUMIFS($H$5:$H$1000,$U$5:$U$1000,ROW(),$V$5:$V$1000,"Sub")&gt;1.0001),"Las subactividades suman más de 100%"&amp;" · ","")&amp;IF(AND(N($W11)&gt;0,OR(IF(ISNUMBER($I11),ROUND($I11,6)&lt;&gt;ROUND(MIN(1,SUMIFS($AD$5:$AD$1000,$U$5:$U$1000,ROW(),$V$5:$V$1000,"Sub")),6),FALSE),IF(ISNUMBER($J11),ROUND($J11,6)&lt;&gt;ROUND(MIN(1,SUMIFS($AE$5:$AE$1000,$U$5:$U$1000,ROW(),$V$5:$V$1000,"Sub")),6),FALSE),IF(ISNUMBER($K11),ROUND($K11,6)&lt;&gt;ROUND(MIN(1,SUMIFS($AF$5:$AF$1000,$U$5:$U$1000,ROW(),$V$5:$V$1000,"Sub")),6),FALSE),IF(ISNUMBER($L11),ROUND($L11,6)&lt;&gt;ROUND(MIN(1,SUMIFS($AG$5:$AG$1000,$U$5:$U$1000,ROW(),$V$5:$V$1000,"Sub")),6),FALSE))),"Con subactividades: no escriba en las semanas (se llenan solas)"&amp;" · ","")&amp;IF((COUNTIF($I11:$L11,"&gt;1")+COUNTIF($I11:$L11,"&lt;0")+SUMPRODUCT((LEN($I11:$L11)&gt;0)*NOT(ISNUMBER($I11:$L11))))&gt;0,"Avance fuera de rango 0-100%"&amp;" · ","")&amp;IF(OR(AND(ISNUMBER($J11),$J11&lt;N($I11)),AND(ISNUMBER($K11),$K11&lt;MAX($I11:$J11)),AND(ISNUMBER($L11),$L11&lt;MAX($I11:$K11))),"Avance semanal decreciente"&amp;" · ","")&amp;IF(AND(ISNUMBER($AS11),$AS11&lt;FechaRef,IF($V11="Sub",1,N($M11))&lt;1),"Vencida"&amp;" · ","")&amp;IF(AND(ObsObligatoria="Sí",ISNUMBER($AS11),$AS11&lt;FechaRef,IF($V11="Sub",1,N($M11))&lt;1,$Q11=""),"Vencida sin observación"&amp;" · ",""))-3)))</f>
        <v/>
      </c>
      <c r="S11" s="64">
        <f>IF(NOT((COUNTA($B11:$D11)+COUNTA($G11:$H11)+COUNTA($Q11))&gt;0),"",IF(AND($V11="Sub",N($U11)&gt;0),IF(ISNUMBER(INDEX($AR$5:$AR$1000,$U11-4)),DATE(YEAR(INDEX($AR$5:$AR$1000,$U11-4)),MONTH(INDEX($AR$5:$AR$1000,$U11-4)),1),IF(ISNUMBER(INDEX($AS$5:$AS$1000,$U11-4)),DATE(YEAR(INDEX($AS$5:$AS$1000,$U11-4)),MONTH(INDEX($AS$5:$AS$1000,$U11-4)),1),MesCiclo)),IF(ISNUMBER($AR11),DATE(YEAR($AR11),MONTH($AR11),1),IF(ISNUMBER($AS11),DATE(YEAR($AS11),MONTH($AS11),1),MesCiclo))))</f>
        <v/>
      </c>
      <c r="T11" s="62">
        <f>IF(OR($S11="",$S11&lt;&gt;MesCiclo,$V11&lt;&gt;"Macro"),"",COUNTIFS($S$5:$S11,MesCiclo,$V$5:$V11,"Macro"))</f>
        <v/>
      </c>
      <c r="U11" s="62">
        <f>IF($V11="","",IF($V11="Macro",ROW(),IFERROR(LOOKUP(2,1/($V$5:$V11="Macro"),ROW($V$5:$V11)),0)))</f>
        <v/>
      </c>
      <c r="V11" s="62">
        <f>IF(NOT((COUNTA($B11:$D11)+COUNTA($G11:$H11)+COUNTA($Q11))&gt;0),"",IF($B11="Subactividad","Sub","Macro"))</f>
        <v/>
      </c>
      <c r="W11" s="62">
        <f>IF($V11="Macro",COUNTIFS($U$5:$U$1000,ROW(),$V$5:$V$1000,"Sub"),"")</f>
        <v/>
      </c>
      <c r="X11" s="62">
        <f>IF($V11&lt;&gt;"Sub","",IF(AND(ISNUMBER($H11),N($H11)&gt;0),$H11,IFERROR(MAX(0,1-SUMIFS($H$5:$H$1000,$U$5:$U$1000,$U11,$V$5:$V$1000,"Sub"))/(COUNTIFS($U$5:$U$1000,$U11,$V$5:$V$1000,"Sub")-COUNTIFS($U$5:$U$1000,$U11,$V$5:$V$1000,"Sub",$H$5:$H$1000,"&gt;0")),0)))</f>
        <v/>
      </c>
      <c r="Y11" s="62">
        <f>IF($V11="","",IF($V11="Sub",N($X11)*IF(ISNUMBER($G11),1,MIN(1,MAX(0,IFERROR(LOOKUP(2,1/ISNUMBER($I11:$L11),$I11:$L11),0)))),IF(ISNUMBER($G11),1,IFERROR(LOOKUP(2,1/($I11:$L11&lt;&gt;""),$I11:$L11),0))))</f>
        <v/>
      </c>
      <c r="Z11" s="62">
        <f>IF($V11="","",IF(AND(ISNUMBER($G11),$G11&lt;=IF($S11=MesCiclo,InicioCiclo,$S11+MOD(2-WEEKDAY($S11),7))+6),1,IF(ISNUMBER($I11),$I11,0)))</f>
        <v/>
      </c>
      <c r="AA11" s="62">
        <f>IF($V11="","",IF(AND(ISNUMBER($G11),$G11&lt;=IF($S11=MesCiclo,InicioCiclo,$S11+MOD(2-WEEKDAY($S11),7))+13),1,IF(ISNUMBER($J11),$J11,$Z11)))</f>
        <v/>
      </c>
      <c r="AB11" s="62">
        <f>IF($V11="","",IF(AND(ISNUMBER($G11),$G11&lt;=IF($S11=MesCiclo,InicioCiclo,$S11+MOD(2-WEEKDAY($S11),7))+20),1,IF(ISNUMBER($K11),$K11,$AA11)))</f>
        <v/>
      </c>
      <c r="AC11" s="62">
        <f>IF($V11="","",IF(AND(ISNUMBER($G11),$G11&lt;=IF($S11=MesCiclo,InicioCiclo,$S11+MOD(2-WEEKDAY($S11),7))+27),1,IF(ISNUMBER($L11),$L11,$AB11)))</f>
        <v/>
      </c>
      <c r="AD11" s="62">
        <f>IF($V11&lt;&gt;"Sub","",N($X11)*IF(AND(ISNUMBER($G11),$G11&lt;=IF($S11=MesCiclo,InicioCiclo,$S11+MOD(2-WEEKDAY($S11),7))+6),1,MIN(1,MAX(0,IF(ISNUMBER(OFFSET($A$1,ROW()-1,8)),OFFSET($A$1,ROW()-1,8),0)))))</f>
        <v/>
      </c>
      <c r="AE11" s="62">
        <f>IF($V11&lt;&gt;"Sub","",N($X11)*IF(AND(ISNUMBER($G11),$G11&lt;=IF($S11=MesCiclo,InicioCiclo,$S11+MOD(2-WEEKDAY($S11),7))+13),1,MIN(1,MAX(0,IF(ISNUMBER(OFFSET($A$1,ROW()-1,9)),OFFSET($A$1,ROW()-1,9),IF(ISNUMBER(OFFSET($A$1,ROW()-1,8)),OFFSET($A$1,ROW()-1,8),0))))))</f>
        <v/>
      </c>
      <c r="AF11" s="62">
        <f>IF($V11&lt;&gt;"Sub","",N($X11)*IF(AND(ISNUMBER($G11),$G11&lt;=IF($S11=MesCiclo,InicioCiclo,$S11+MOD(2-WEEKDAY($S11),7))+20),1,MIN(1,MAX(0,IF(ISNUMBER(OFFSET($A$1,ROW()-1,10)),OFFSET($A$1,ROW()-1,10),IF(ISNUMBER(OFFSET($A$1,ROW()-1,9)),OFFSET($A$1,ROW()-1,9),IF(ISNUMBER(OFFSET($A$1,ROW()-1,8)),OFFSET($A$1,ROW()-1,8),0)))))))</f>
        <v/>
      </c>
      <c r="AG11" s="62">
        <f>IF($V11&lt;&gt;"Sub","",N($X11)*IF(AND(ISNUMBER($G11),$G11&lt;=IF($S11=MesCiclo,InicioCiclo,$S11+MOD(2-WEEKDAY($S11),7))+27),1,MIN(1,MAX(0,IF(ISNUMBER(OFFSET($A$1,ROW()-1,11)),OFFSET($A$1,ROW()-1,11),IF(ISNUMBER(OFFSET($A$1,ROW()-1,10)),OFFSET($A$1,ROW()-1,10),IF(ISNUMBER(OFFSET($A$1,ROW()-1,9)),OFFSET($A$1,ROW()-1,9),IF(ISNUMBER(OFFSET($A$1,ROW()-1,8)),OFFSET($A$1,ROW()-1,8),0))))))))</f>
        <v/>
      </c>
      <c r="AH11" s="62">
        <f>IF($V11="","",IF(AND(ISNUMBER($G11),$G11&lt;=IF($S11=MesCiclo,InicioCiclo,$S11+MOD(2-WEEKDAY($S11),7))+6),1,IF(N($W11)&gt;0,MIN(1,SUMIFS($AD$5:$AD$1000,$U$5:$U$1000,ROW(),$V$5:$V$1000,"Sub")),$Z11)))</f>
        <v/>
      </c>
      <c r="AI11" s="62">
        <f>IF($V11="","",IF(AND(ISNUMBER($G11),$G11&lt;=IF($S11=MesCiclo,InicioCiclo,$S11+MOD(2-WEEKDAY($S11),7))+13),1,IF(N($W11)&gt;0,MIN(1,SUMIFS($AE$5:$AE$1000,$U$5:$U$1000,ROW(),$V$5:$V$1000,"Sub")),$AA11)))</f>
        <v/>
      </c>
      <c r="AJ11" s="62">
        <f>IF($V11="","",IF(AND(ISNUMBER($G11),$G11&lt;=IF($S11=MesCiclo,InicioCiclo,$S11+MOD(2-WEEKDAY($S11),7))+20),1,IF(N($W11)&gt;0,MIN(1,SUMIFS($AF$5:$AF$1000,$U$5:$U$1000,ROW(),$V$5:$V$1000,"Sub")),$AB11)))</f>
        <v/>
      </c>
      <c r="AK11" s="62">
        <f>IF($V11="","",IF(AND(ISNUMBER($G11),$G11&lt;=IF($S11=MesCiclo,InicioCiclo,$S11+MOD(2-WEEKDAY($S11),7))+27),1,IF(N($W11)&gt;0,MIN(1,SUMIFS($AG$5:$AG$1000,$U$5:$U$1000,ROW(),$V$5:$V$1000,"Sub")),$AC11)))</f>
        <v/>
      </c>
      <c r="AL11" s="62">
        <f>IF($V11&lt;&gt;"Macro","",IF(COUNTIFS($S$5:$S$1000,$S11,$V$5:$V$1000,"Macro",$H$5:$H$1000,"&gt;0")=0,1/COUNTIFS($S$5:$S$1000,$S11,$V$5:$V$1000,"Macro"),IF(AND(ISNUMBER($H11),N($H11)&gt;0),$H11,SUMIFS($H$5:$H$1000,$S$5:$S$1000,$S11,$V$5:$V$1000,"Macro")/COUNTIFS($S$5:$S$1000,$S11,$V$5:$V$1000,"Macro",$H$5:$H$1000,"&gt;0"))/(COUNTIFS($S$5:$S$1000,$S11,$V$5:$V$1000,"Macro")*SUMIFS($H$5:$H$1000,$S$5:$S$1000,$S11,$V$5:$V$1000,"Macro")/COUNTIFS($S$5:$S$1000,$S11,$V$5:$V$1000,"Macro",$H$5:$H$1000,"&gt;0"))))</f>
        <v/>
      </c>
      <c r="AM11" s="62" t="n"/>
      <c r="AN11" s="62" t="n"/>
      <c r="AO11" s="62" t="n"/>
      <c r="AP11" s="62" t="n"/>
      <c r="AQ11" s="62">
        <f>IF(LEFT($C11,11)="[Jefatura] ",IFERROR(MATCH("Asistente Técnico de Riesgo|"&amp;MID($C11,12,500),rDname_ADM,0),0),"")</f>
        <v/>
      </c>
      <c r="AR11" s="62">
        <f>IF(N($AQ11)&gt;0,INDEX(rIni_ADM,$AQ11),IF(ISNUMBER($E11),$E11,""))</f>
        <v/>
      </c>
      <c r="AS11" s="62">
        <f>IF(N($AQ11)&gt;0,INDEX(rLim_ADM,$AQ11),IF(ISNUMBER($F11),$F11,""))</f>
        <v/>
      </c>
    </row>
    <row r="12">
      <c r="A12" s="56">
        <f>IF(NOT((COUNTA($B12:$D12)+COUNTA($G12:$H12)+COUNTA($Q12))&gt;0),"",IF($V12="Macro",COUNTIFS($V$5:$V12,"Macro",$S$5:$S12,$S12),IF(N($U12)=0,"?",COUNTIFS(INDEX($V$5:$V$1000,1):INDEX($V$5:$V$1000,$U12-4),"Macro",INDEX($S$5:$S$1000,1):INDEX($S$5:$S$1000,$U12-4),INDEX($S$5:$S$1000,$U12-4))&amp;"."&amp;COUNTIFS($U$5:$U12,$U12,$V$5:$V12,"Sub"))))</f>
        <v/>
      </c>
      <c r="B12" s="57" t="n"/>
      <c r="C12" s="58" t="n"/>
      <c r="D12" s="58" t="n"/>
      <c r="E12" s="59">
        <f>IF(N($AQ12)&gt;0,INDEX(rIni_ADM,$AQ12),"")</f>
        <v/>
      </c>
      <c r="F12" s="59">
        <f>IF(N($AQ12)&gt;0,INDEX(rLim_ADM,$AQ12),"")</f>
        <v/>
      </c>
      <c r="G12" s="59" t="n"/>
      <c r="H12" s="60" t="n"/>
      <c r="I12" s="60">
        <f>IF(N($W12)=0,"",IF(AND($S12=MesCiclo,1&gt;SemanaActual),"",MIN(1,SUMIFS(OFFSET($A$1,ROW(),29,1000-ROW(),1),OFFSET($A$1,ROW(),20,1000-ROW(),1),ROW(),OFFSET($A$1,ROW(),21,1000-ROW(),1),"Sub"))))</f>
        <v/>
      </c>
      <c r="J12" s="60">
        <f>IF(N($W12)=0,"",IF(AND($S12=MesCiclo,2&gt;SemanaActual),"",MIN(1,SUMIFS(OFFSET($A$1,ROW(),30,1000-ROW(),1),OFFSET($A$1,ROW(),20,1000-ROW(),1),ROW(),OFFSET($A$1,ROW(),21,1000-ROW(),1),"Sub"))))</f>
        <v/>
      </c>
      <c r="K12" s="60">
        <f>IF(N($W12)=0,"",IF(AND($S12=MesCiclo,3&gt;SemanaActual),"",MIN(1,SUMIFS(OFFSET($A$1,ROW(),31,1000-ROW(),1),OFFSET($A$1,ROW(),20,1000-ROW(),1),ROW(),OFFSET($A$1,ROW(),21,1000-ROW(),1),"Sub"))))</f>
        <v/>
      </c>
      <c r="L12" s="60">
        <f>IF(N($W12)=0,"",IF(AND($S12=MesCiclo,4&gt;SemanaActual),"",MIN(1,SUMIFS(OFFSET($A$1,ROW(),32,1000-ROW(),1),OFFSET($A$1,ROW(),20,1000-ROW(),1),ROW(),OFFSET($A$1,ROW(),21,1000-ROW(),1),"Sub"))))</f>
        <v/>
      </c>
      <c r="M12" s="61">
        <f>IF(OR(NOT((COUNTA($B12:$D12)+COUNTA($G12:$H12)+COUNTA($Q12))&gt;0),$V12="Sub"),"",IF(ISNUMBER($G12),1,IF(N($W12)&gt;0,MIN(1,SUMIFS($Y$5:$Y$1000,$U$5:$U$1000,ROW(),$V$5:$V$1000,"Sub")),$Y12)))</f>
        <v/>
      </c>
      <c r="N12" s="56">
        <f>IF(OR($M12="",$V12="Sub"),"",IF($M12&gt;=1,"Completado",IF($M12&gt;0,"En curso","Pendiente")))</f>
        <v/>
      </c>
      <c r="O12" s="56">
        <f>IF(OR(NOT((COUNTA($B12:$D12)+COUNTA($G12:$H12)+COUNTA($Q12))&gt;0),$V12="Sub"),"",IF(ISNUMBER($G12),IF(AND(ISNUMBER($AS12),$G12&gt;$AS12),"Cumplida con "&amp;($G12-$AS12)&amp;IF($G12-$AS12=1," día"," días")&amp;" de retraso","Cumplida"),IF(N($M12)&gt;=1,"Cumplida",IF(NOT(ISNUMBER($AS12)),"Sin fecha límite",IF($AS12&lt;FechaRef,"Vencida hace "&amp;(FechaRef-$AS12)&amp;IF(FechaRef-$AS12=1," día"," días"),IF($AS12=FechaRef,"Vence hoy",IF($AS12-FechaRef&lt;=DiasAlerta,"Vence en "&amp;($AS12-FechaRef)&amp;IF($AS12-FechaRef=1," día"," días"),"En plazo")))))))</f>
        <v/>
      </c>
      <c r="P12" s="62" t="n"/>
      <c r="Q12" s="58" t="n"/>
      <c r="R12" s="63">
        <f>IF(NOT((COUNTA($B12:$D12)+COUNTA($G12:$H12)+COUNTA($Q12))&gt;0),"",IF((IF($C12="","Falta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 OK","⚠ "&amp;LEFT(IF($C12="","Falta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",""),LEN(IF($C12="","Falta el nombre de la actividad"&amp;" · ","")&amp;IF(AND($V12="Sub",N($U12)=0),"Subactividad sin macroactividad arriba"&amp;" · ","")&amp;IF(AND($V12="Macro",$AR12=""),"Sin fecha de inicio"&amp;" · ","")&amp;IF(AND($V12="Macro",$AS12=""),"Sin fecha límite"&amp;" · ","")&amp;IF(AND(LEFT($C12,11)="[Jefatura] ",N($AQ12)=0),"No se encuentra en la hoja de la jefatura (elíjala de nuevo en la lista)"&amp;" · ","")&amp;IF(OR(AND($E12&lt;&gt;"",NOT(ISNUMBER($E12))),AND($F12&lt;&gt;"",NOT(ISNUMBER($F12))),AND($G12&lt;&gt;"",NOT(ISNUMBER($G12)))),"Fecha no válida"&amp;" · ","")&amp;IF(AND(ISNUMBER($AR12),ISNUMBER($AS12),$AR12&gt;$AS12),"Inicio posterior a fecha límite"&amp;" · ","")&amp;IF(AND($V12="Macro",$H12&lt;&gt;"",OR(NOT(ISNUMBER($H12)),$H12&lt;0,$H12&gt;1)),"Peso fuera de rango"&amp;" · ","")&amp;IF(AND($V12="Sub",$H12&lt;&gt;"",OR(NOT(ISNUMBER($H12)),$H12&lt;0,$H12&gt;1)),"% de la subactividad fuera de rango 0-100%"&amp;" · ","")&amp;IF(AND(N($W12)&gt;0,SUMIFS($H$5:$H$1000,$U$5:$U$1000,ROW(),$V$5:$V$1000,"Sub")&gt;1.0001),"Las subactividades suman más de 100%"&amp;" · ","")&amp;IF(AND(N($W12)&gt;0,OR(IF(ISNUMBER($I12),ROUND($I12,6)&lt;&gt;ROUND(MIN(1,SUMIFS($AD$5:$AD$1000,$U$5:$U$1000,ROW(),$V$5:$V$1000,"Sub")),6),FALSE),IF(ISNUMBER($J12),ROUND($J12,6)&lt;&gt;ROUND(MIN(1,SUMIFS($AE$5:$AE$1000,$U$5:$U$1000,ROW(),$V$5:$V$1000,"Sub")),6),FALSE),IF(ISNUMBER($K12),ROUND($K12,6)&lt;&gt;ROUND(MIN(1,SUMIFS($AF$5:$AF$1000,$U$5:$U$1000,ROW(),$V$5:$V$1000,"Sub")),6),FALSE),IF(ISNUMBER($L12),ROUND($L12,6)&lt;&gt;ROUND(MIN(1,SUMIFS($AG$5:$AG$1000,$U$5:$U$1000,ROW(),$V$5:$V$1000,"Sub")),6),FALSE))),"Con subactividades: no escriba en las semanas (se llenan solas)"&amp;" · ","")&amp;IF((COUNTIF($I12:$L12,"&gt;1")+COUNTIF($I12:$L12,"&lt;0")+SUMPRODUCT((LEN($I12:$L12)&gt;0)*NOT(ISNUMBER($I12:$L12))))&gt;0,"Avance fuera de rango 0-100%"&amp;" · ","")&amp;IF(OR(AND(ISNUMBER($J12),$J12&lt;N($I12)),AND(ISNUMBER($K12),$K12&lt;MAX($I12:$J12)),AND(ISNUMBER($L12),$L12&lt;MAX($I12:$K12))),"Avance semanal decreciente"&amp;" · ","")&amp;IF(AND(ISNUMBER($AS12),$AS12&lt;FechaRef,IF($V12="Sub",1,N($M12))&lt;1),"Vencida"&amp;" · ","")&amp;IF(AND(ObsObligatoria="Sí",ISNUMBER($AS12),$AS12&lt;FechaRef,IF($V12="Sub",1,N($M12))&lt;1,$Q12=""),"Vencida sin observación"&amp;" · ",""))-3)))</f>
        <v/>
      </c>
      <c r="S12" s="64">
        <f>IF(NOT((COUNTA($B12:$D12)+COUNTA($G12:$H12)+COUNTA($Q12))&gt;0),"",IF(AND($V12="Sub",N($U12)&gt;0),IF(ISNUMBER(INDEX($AR$5:$AR$1000,$U12-4)),DATE(YEAR(INDEX($AR$5:$AR$1000,$U12-4)),MONTH(INDEX($AR$5:$AR$1000,$U12-4)),1),IF(ISNUMBER(INDEX($AS$5:$AS$1000,$U12-4)),DATE(YEAR(INDEX($AS$5:$AS$1000,$U12-4)),MONTH(INDEX($AS$5:$AS$1000,$U12-4)),1),MesCiclo)),IF(ISNUMBER($AR12),DATE(YEAR($AR12),MONTH($AR12),1),IF(ISNUMBER($AS12),DATE(YEAR($AS12),MONTH($AS12),1),MesCiclo))))</f>
        <v/>
      </c>
      <c r="T12" s="62">
        <f>IF(OR($S12="",$S12&lt;&gt;MesCiclo,$V12&lt;&gt;"Macro"),"",COUNTIFS($S$5:$S12,MesCiclo,$V$5:$V12,"Macro"))</f>
        <v/>
      </c>
      <c r="U12" s="62">
        <f>IF($V12="","",IF($V12="Macro",ROW(),IFERROR(LOOKUP(2,1/($V$5:$V12="Macro"),ROW($V$5:$V12)),0)))</f>
        <v/>
      </c>
      <c r="V12" s="62">
        <f>IF(NOT((COUNTA($B12:$D12)+COUNTA($G12:$H12)+COUNTA($Q12))&gt;0),"",IF($B12="Subactividad","Sub","Macro"))</f>
        <v/>
      </c>
      <c r="W12" s="62">
        <f>IF($V12="Macro",COUNTIFS($U$5:$U$1000,ROW(),$V$5:$V$1000,"Sub"),"")</f>
        <v/>
      </c>
      <c r="X12" s="62">
        <f>IF($V12&lt;&gt;"Sub","",IF(AND(ISNUMBER($H12),N($H12)&gt;0),$H12,IFERROR(MAX(0,1-SUMIFS($H$5:$H$1000,$U$5:$U$1000,$U12,$V$5:$V$1000,"Sub"))/(COUNTIFS($U$5:$U$1000,$U12,$V$5:$V$1000,"Sub")-COUNTIFS($U$5:$U$1000,$U12,$V$5:$V$1000,"Sub",$H$5:$H$1000,"&gt;0")),0)))</f>
        <v/>
      </c>
      <c r="Y12" s="62">
        <f>IF($V12="","",IF($V12="Sub",N($X12)*IF(ISNUMBER($G12),1,MIN(1,MAX(0,IFERROR(LOOKUP(2,1/ISNUMBER($I12:$L12),$I12:$L12),0)))),IF(ISNUMBER($G12),1,IFERROR(LOOKUP(2,1/($I12:$L12&lt;&gt;""),$I12:$L12),0))))</f>
        <v/>
      </c>
      <c r="Z12" s="62">
        <f>IF($V12="","",IF(AND(ISNUMBER($G12),$G12&lt;=IF($S12=MesCiclo,InicioCiclo,$S12+MOD(2-WEEKDAY($S12),7))+6),1,IF(ISNUMBER($I12),$I12,0)))</f>
        <v/>
      </c>
      <c r="AA12" s="62">
        <f>IF($V12="","",IF(AND(ISNUMBER($G12),$G12&lt;=IF($S12=MesCiclo,InicioCiclo,$S12+MOD(2-WEEKDAY($S12),7))+13),1,IF(ISNUMBER($J12),$J12,$Z12)))</f>
        <v/>
      </c>
      <c r="AB12" s="62">
        <f>IF($V12="","",IF(AND(ISNUMBER($G12),$G12&lt;=IF($S12=MesCiclo,InicioCiclo,$S12+MOD(2-WEEKDAY($S12),7))+20),1,IF(ISNUMBER($K12),$K12,$AA12)))</f>
        <v/>
      </c>
      <c r="AC12" s="62">
        <f>IF($V12="","",IF(AND(ISNUMBER($G12),$G12&lt;=IF($S12=MesCiclo,InicioCiclo,$S12+MOD(2-WEEKDAY($S12),7))+27),1,IF(ISNUMBER($L12),$L12,$AB12)))</f>
        <v/>
      </c>
      <c r="AD12" s="62">
        <f>IF($V12&lt;&gt;"Sub","",N($X12)*IF(AND(ISNUMBER($G12),$G12&lt;=IF($S12=MesCiclo,InicioCiclo,$S12+MOD(2-WEEKDAY($S12),7))+6),1,MIN(1,MAX(0,IF(ISNUMBER(OFFSET($A$1,ROW()-1,8)),OFFSET($A$1,ROW()-1,8),0)))))</f>
        <v/>
      </c>
      <c r="AE12" s="62">
        <f>IF($V12&lt;&gt;"Sub","",N($X12)*IF(AND(ISNUMBER($G12),$G12&lt;=IF($S12=MesCiclo,InicioCiclo,$S12+MOD(2-WEEKDAY($S12),7))+13),1,MIN(1,MAX(0,IF(ISNUMBER(OFFSET($A$1,ROW()-1,9)),OFFSET($A$1,ROW()-1,9),IF(ISNUMBER(OFFSET($A$1,ROW()-1,8)),OFFSET($A$1,ROW()-1,8),0))))))</f>
        <v/>
      </c>
      <c r="AF12" s="62">
        <f>IF($V12&lt;&gt;"Sub","",N($X12)*IF(AND(ISNUMBER($G12),$G12&lt;=IF($S12=MesCiclo,InicioCiclo,$S12+MOD(2-WEEKDAY($S12),7))+20),1,MIN(1,MAX(0,IF(ISNUMBER(OFFSET($A$1,ROW()-1,10)),OFFSET($A$1,ROW()-1,10),IF(ISNUMBER(OFFSET($A$1,ROW()-1,9)),OFFSET($A$1,ROW()-1,9),IF(ISNUMBER(OFFSET($A$1,ROW()-1,8)),OFFSET($A$1,ROW()-1,8),0)))))))</f>
        <v/>
      </c>
      <c r="AG12" s="62">
        <f>IF($V12&lt;&gt;"Sub","",N($X12)*IF(AND(ISNUMBER($G12),$G12&lt;=IF($S12=MesCiclo,InicioCiclo,$S12+MOD(2-WEEKDAY($S12),7))+27),1,MIN(1,MAX(0,IF(ISNUMBER(OFFSET($A$1,ROW()-1,11)),OFFSET($A$1,ROW()-1,11),IF(ISNUMBER(OFFSET($A$1,ROW()-1,10)),OFFSET($A$1,ROW()-1,10),IF(ISNUMBER(OFFSET($A$1,ROW()-1,9)),OFFSET($A$1,ROW()-1,9),IF(ISNUMBER(OFFSET($A$1,ROW()-1,8)),OFFSET($A$1,ROW()-1,8),0))))))))</f>
        <v/>
      </c>
      <c r="AH12" s="62">
        <f>IF($V12="","",IF(AND(ISNUMBER($G12),$G12&lt;=IF($S12=MesCiclo,InicioCiclo,$S12+MOD(2-WEEKDAY($S12),7))+6),1,IF(N($W12)&gt;0,MIN(1,SUMIFS($AD$5:$AD$1000,$U$5:$U$1000,ROW(),$V$5:$V$1000,"Sub")),$Z12)))</f>
        <v/>
      </c>
      <c r="AI12" s="62">
        <f>IF($V12="","",IF(AND(ISNUMBER($G12),$G12&lt;=IF($S12=MesCiclo,InicioCiclo,$S12+MOD(2-WEEKDAY($S12),7))+13),1,IF(N($W12)&gt;0,MIN(1,SUMIFS($AE$5:$AE$1000,$U$5:$U$1000,ROW(),$V$5:$V$1000,"Sub")),$AA12)))</f>
        <v/>
      </c>
      <c r="AJ12" s="62">
        <f>IF($V12="","",IF(AND(ISNUMBER($G12),$G12&lt;=IF($S12=MesCiclo,InicioCiclo,$S12+MOD(2-WEEKDAY($S12),7))+20),1,IF(N($W12)&gt;0,MIN(1,SUMIFS($AF$5:$AF$1000,$U$5:$U$1000,ROW(),$V$5:$V$1000,"Sub")),$AB12)))</f>
        <v/>
      </c>
      <c r="AK12" s="62">
        <f>IF($V12="","",IF(AND(ISNUMBER($G12),$G12&lt;=IF($S12=MesCiclo,InicioCiclo,$S12+MOD(2-WEEKDAY($S12),7))+27),1,IF(N($W12)&gt;0,MIN(1,SUMIFS($AG$5:$AG$1000,$U$5:$U$1000,ROW(),$V$5:$V$1000,"Sub")),$AC12)))</f>
        <v/>
      </c>
      <c r="AL12" s="62">
        <f>IF($V12&lt;&gt;"Macro","",IF(COUNTIFS($S$5:$S$1000,$S12,$V$5:$V$1000,"Macro",$H$5:$H$1000,"&gt;0")=0,1/COUNTIFS($S$5:$S$1000,$S12,$V$5:$V$1000,"Macro"),IF(AND(ISNUMBER($H12),N($H12)&gt;0),$H12,SUMIFS($H$5:$H$1000,$S$5:$S$1000,$S12,$V$5:$V$1000,"Macro")/COUNTIFS($S$5:$S$1000,$S12,$V$5:$V$1000,"Macro",$H$5:$H$1000,"&gt;0"))/(COUNTIFS($S$5:$S$1000,$S12,$V$5:$V$1000,"Macro")*SUMIFS($H$5:$H$1000,$S$5:$S$1000,$S12,$V$5:$V$1000,"Macro")/COUNTIFS($S$5:$S$1000,$S12,$V$5:$V$1000,"Macro",$H$5:$H$1000,"&gt;0"))))</f>
        <v/>
      </c>
      <c r="AM12" s="62" t="n"/>
      <c r="AN12" s="62" t="n"/>
      <c r="AO12" s="62" t="n"/>
      <c r="AP12" s="62" t="n"/>
      <c r="AQ12" s="62">
        <f>IF(LEFT($C12,11)="[Jefatura] ",IFERROR(MATCH("Asistente Técnico de Riesgo|"&amp;MID($C12,12,500),rDname_ADM,0),0),"")</f>
        <v/>
      </c>
      <c r="AR12" s="62">
        <f>IF(N($AQ12)&gt;0,INDEX(rIni_ADM,$AQ12),IF(ISNUMBER($E12),$E12,""))</f>
        <v/>
      </c>
      <c r="AS12" s="62">
        <f>IF(N($AQ12)&gt;0,INDEX(rLim_ADM,$AQ12),IF(ISNUMBER($F12),$F12,""))</f>
        <v/>
      </c>
    </row>
    <row r="13">
      <c r="A13" s="56">
        <f>IF(NOT((COUNTA($B13:$D13)+COUNTA($G13:$H13)+COUNTA($Q13))&gt;0),"",IF($V13="Macro",COUNTIFS($V$5:$V13,"Macro",$S$5:$S13,$S13),IF(N($U13)=0,"?",COUNTIFS(INDEX($V$5:$V$1000,1):INDEX($V$5:$V$1000,$U13-4),"Macro",INDEX($S$5:$S$1000,1):INDEX($S$5:$S$1000,$U13-4),INDEX($S$5:$S$1000,$U13-4))&amp;"."&amp;COUNTIFS($U$5:$U13,$U13,$V$5:$V13,"Sub"))))</f>
        <v/>
      </c>
      <c r="B13" s="57" t="n"/>
      <c r="C13" s="58" t="n"/>
      <c r="D13" s="58" t="n"/>
      <c r="E13" s="59">
        <f>IF(N($AQ13)&gt;0,INDEX(rIni_ADM,$AQ13),"")</f>
        <v/>
      </c>
      <c r="F13" s="59">
        <f>IF(N($AQ13)&gt;0,INDEX(rLim_ADM,$AQ13),"")</f>
        <v/>
      </c>
      <c r="G13" s="59" t="n"/>
      <c r="H13" s="60" t="n"/>
      <c r="I13" s="60">
        <f>IF(N($W13)=0,"",IF(AND($S13=MesCiclo,1&gt;SemanaActual),"",MIN(1,SUMIFS(OFFSET($A$1,ROW(),29,1000-ROW(),1),OFFSET($A$1,ROW(),20,1000-ROW(),1),ROW(),OFFSET($A$1,ROW(),21,1000-ROW(),1),"Sub"))))</f>
        <v/>
      </c>
      <c r="J13" s="60">
        <f>IF(N($W13)=0,"",IF(AND($S13=MesCiclo,2&gt;SemanaActual),"",MIN(1,SUMIFS(OFFSET($A$1,ROW(),30,1000-ROW(),1),OFFSET($A$1,ROW(),20,1000-ROW(),1),ROW(),OFFSET($A$1,ROW(),21,1000-ROW(),1),"Sub"))))</f>
        <v/>
      </c>
      <c r="K13" s="60">
        <f>IF(N($W13)=0,"",IF(AND($S13=MesCiclo,3&gt;SemanaActual),"",MIN(1,SUMIFS(OFFSET($A$1,ROW(),31,1000-ROW(),1),OFFSET($A$1,ROW(),20,1000-ROW(),1),ROW(),OFFSET($A$1,ROW(),21,1000-ROW(),1),"Sub"))))</f>
        <v/>
      </c>
      <c r="L13" s="60">
        <f>IF(N($W13)=0,"",IF(AND($S13=MesCiclo,4&gt;SemanaActual),"",MIN(1,SUMIFS(OFFSET($A$1,ROW(),32,1000-ROW(),1),OFFSET($A$1,ROW(),20,1000-ROW(),1),ROW(),OFFSET($A$1,ROW(),21,1000-ROW(),1),"Sub"))))</f>
        <v/>
      </c>
      <c r="M13" s="61">
        <f>IF(OR(NOT((COUNTA($B13:$D13)+COUNTA($G13:$H13)+COUNTA($Q13))&gt;0),$V13="Sub"),"",IF(ISNUMBER($G13),1,IF(N($W13)&gt;0,MIN(1,SUMIFS($Y$5:$Y$1000,$U$5:$U$1000,ROW(),$V$5:$V$1000,"Sub")),$Y13)))</f>
        <v/>
      </c>
      <c r="N13" s="56">
        <f>IF(OR($M13="",$V13="Sub"),"",IF($M13&gt;=1,"Completado",IF($M13&gt;0,"En curso","Pendiente")))</f>
        <v/>
      </c>
      <c r="O13" s="56">
        <f>IF(OR(NOT((COUNTA($B13:$D13)+COUNTA($G13:$H13)+COUNTA($Q13))&gt;0),$V13="Sub"),"",IF(ISNUMBER($G13),IF(AND(ISNUMBER($AS13),$G13&gt;$AS13),"Cumplida con "&amp;($G13-$AS13)&amp;IF($G13-$AS13=1," día"," días")&amp;" de retraso","Cumplida"),IF(N($M13)&gt;=1,"Cumplida",IF(NOT(ISNUMBER($AS13)),"Sin fecha límite",IF($AS13&lt;FechaRef,"Vencida hace "&amp;(FechaRef-$AS13)&amp;IF(FechaRef-$AS13=1," día"," días"),IF($AS13=FechaRef,"Vence hoy",IF($AS13-FechaRef&lt;=DiasAlerta,"Vence en "&amp;($AS13-FechaRef)&amp;IF($AS13-FechaRef=1," día"," días"),"En plazo")))))))</f>
        <v/>
      </c>
      <c r="P13" s="62" t="n"/>
      <c r="Q13" s="58" t="n"/>
      <c r="R13" s="63">
        <f>IF(NOT((COUNTA($B13:$D13)+COUNTA($G13:$H13)+COUNTA($Q13))&gt;0),"",IF((IF($C13="","Falta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 OK","⚠ "&amp;LEFT(IF($C13="","Falta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",""),LEN(IF($C13="","Falta el nombre de la actividad"&amp;" · ","")&amp;IF(AND($V13="Sub",N($U13)=0),"Subactividad sin macroactividad arriba"&amp;" · ","")&amp;IF(AND($V13="Macro",$AR13=""),"Sin fecha de inicio"&amp;" · ","")&amp;IF(AND($V13="Macro",$AS13=""),"Sin fecha límite"&amp;" · ","")&amp;IF(AND(LEFT($C13,11)="[Jefatura] ",N($AQ13)=0),"No se encuentra en la hoja de la jefatura (elíjala de nuevo en la lista)"&amp;" · ","")&amp;IF(OR(AND($E13&lt;&gt;"",NOT(ISNUMBER($E13))),AND($F13&lt;&gt;"",NOT(ISNUMBER($F13))),AND($G13&lt;&gt;"",NOT(ISNUMBER($G13)))),"Fecha no válida"&amp;" · ","")&amp;IF(AND(ISNUMBER($AR13),ISNUMBER($AS13),$AR13&gt;$AS13),"Inicio posterior a fecha límite"&amp;" · ","")&amp;IF(AND($V13="Macro",$H13&lt;&gt;"",OR(NOT(ISNUMBER($H13)),$H13&lt;0,$H13&gt;1)),"Peso fuera de rango"&amp;" · ","")&amp;IF(AND($V13="Sub",$H13&lt;&gt;"",OR(NOT(ISNUMBER($H13)),$H13&lt;0,$H13&gt;1)),"% de la subactividad fuera de rango 0-100%"&amp;" · ","")&amp;IF(AND(N($W13)&gt;0,SUMIFS($H$5:$H$1000,$U$5:$U$1000,ROW(),$V$5:$V$1000,"Sub")&gt;1.0001),"Las subactividades suman más de 100%"&amp;" · ","")&amp;IF(AND(N($W13)&gt;0,OR(IF(ISNUMBER($I13),ROUND($I13,6)&lt;&gt;ROUND(MIN(1,SUMIFS($AD$5:$AD$1000,$U$5:$U$1000,ROW(),$V$5:$V$1000,"Sub")),6),FALSE),IF(ISNUMBER($J13),ROUND($J13,6)&lt;&gt;ROUND(MIN(1,SUMIFS($AE$5:$AE$1000,$U$5:$U$1000,ROW(),$V$5:$V$1000,"Sub")),6),FALSE),IF(ISNUMBER($K13),ROUND($K13,6)&lt;&gt;ROUND(MIN(1,SUMIFS($AF$5:$AF$1000,$U$5:$U$1000,ROW(),$V$5:$V$1000,"Sub")),6),FALSE),IF(ISNUMBER($L13),ROUND($L13,6)&lt;&gt;ROUND(MIN(1,SUMIFS($AG$5:$AG$1000,$U$5:$U$1000,ROW(),$V$5:$V$1000,"Sub")),6),FALSE))),"Con subactividades: no escriba en las semanas (se llenan solas)"&amp;" · ","")&amp;IF((COUNTIF($I13:$L13,"&gt;1")+COUNTIF($I13:$L13,"&lt;0")+SUMPRODUCT((LEN($I13:$L13)&gt;0)*NOT(ISNUMBER($I13:$L13))))&gt;0,"Avance fuera de rango 0-100%"&amp;" · ","")&amp;IF(OR(AND(ISNUMBER($J13),$J13&lt;N($I13)),AND(ISNUMBER($K13),$K13&lt;MAX($I13:$J13)),AND(ISNUMBER($L13),$L13&lt;MAX($I13:$K13))),"Avance semanal decreciente"&amp;" · ","")&amp;IF(AND(ISNUMBER($AS13),$AS13&lt;FechaRef,IF($V13="Sub",1,N($M13))&lt;1),"Vencida"&amp;" · ","")&amp;IF(AND(ObsObligatoria="Sí",ISNUMBER($AS13),$AS13&lt;FechaRef,IF($V13="Sub",1,N($M13))&lt;1,$Q13=""),"Vencida sin observación"&amp;" · ",""))-3)))</f>
        <v/>
      </c>
      <c r="S13" s="64">
        <f>IF(NOT((COUNTA($B13:$D13)+COUNTA($G13:$H13)+COUNTA($Q13))&gt;0),"",IF(AND($V13="Sub",N($U13)&gt;0),IF(ISNUMBER(INDEX($AR$5:$AR$1000,$U13-4)),DATE(YEAR(INDEX($AR$5:$AR$1000,$U13-4)),MONTH(INDEX($AR$5:$AR$1000,$U13-4)),1),IF(ISNUMBER(INDEX($AS$5:$AS$1000,$U13-4)),DATE(YEAR(INDEX($AS$5:$AS$1000,$U13-4)),MONTH(INDEX($AS$5:$AS$1000,$U13-4)),1),MesCiclo)),IF(ISNUMBER($AR13),DATE(YEAR($AR13),MONTH($AR13),1),IF(ISNUMBER($AS13),DATE(YEAR($AS13),MONTH($AS13),1),MesCiclo))))</f>
        <v/>
      </c>
      <c r="T13" s="62">
        <f>IF(OR($S13="",$S13&lt;&gt;MesCiclo,$V13&lt;&gt;"Macro"),"",COUNTIFS($S$5:$S13,MesCiclo,$V$5:$V13,"Macro"))</f>
        <v/>
      </c>
      <c r="U13" s="62">
        <f>IF($V13="","",IF($V13="Macro",ROW(),IFERROR(LOOKUP(2,1/($V$5:$V13="Macro"),ROW($V$5:$V13)),0)))</f>
        <v/>
      </c>
      <c r="V13" s="62">
        <f>IF(NOT((COUNTA($B13:$D13)+COUNTA($G13:$H13)+COUNTA($Q13))&gt;0),"",IF($B13="Subactividad","Sub","Macro"))</f>
        <v/>
      </c>
      <c r="W13" s="62">
        <f>IF($V13="Macro",COUNTIFS($U$5:$U$1000,ROW(),$V$5:$V$1000,"Sub"),"")</f>
        <v/>
      </c>
      <c r="X13" s="62">
        <f>IF($V13&lt;&gt;"Sub","",IF(AND(ISNUMBER($H13),N($H13)&gt;0),$H13,IFERROR(MAX(0,1-SUMIFS($H$5:$H$1000,$U$5:$U$1000,$U13,$V$5:$V$1000,"Sub"))/(COUNTIFS($U$5:$U$1000,$U13,$V$5:$V$1000,"Sub")-COUNTIFS($U$5:$U$1000,$U13,$V$5:$V$1000,"Sub",$H$5:$H$1000,"&gt;0")),0)))</f>
        <v/>
      </c>
      <c r="Y13" s="62">
        <f>IF($V13="","",IF($V13="Sub",N($X13)*IF(ISNUMBER($G13),1,MIN(1,MAX(0,IFERROR(LOOKUP(2,1/ISNUMBER($I13:$L13),$I13:$L13),0)))),IF(ISNUMBER($G13),1,IFERROR(LOOKUP(2,1/($I13:$L13&lt;&gt;""),$I13:$L13),0))))</f>
        <v/>
      </c>
      <c r="Z13" s="62">
        <f>IF($V13="","",IF(AND(ISNUMBER($G13),$G13&lt;=IF($S13=MesCiclo,InicioCiclo,$S13+MOD(2-WEEKDAY($S13),7))+6),1,IF(ISNUMBER($I13),$I13,0)))</f>
        <v/>
      </c>
      <c r="AA13" s="62">
        <f>IF($V13="","",IF(AND(ISNUMBER($G13),$G13&lt;=IF($S13=MesCiclo,InicioCiclo,$S13+MOD(2-WEEKDAY($S13),7))+13),1,IF(ISNUMBER($J13),$J13,$Z13)))</f>
        <v/>
      </c>
      <c r="AB13" s="62">
        <f>IF($V13="","",IF(AND(ISNUMBER($G13),$G13&lt;=IF($S13=MesCiclo,InicioCiclo,$S13+MOD(2-WEEKDAY($S13),7))+20),1,IF(ISNUMBER($K13),$K13,$AA13)))</f>
        <v/>
      </c>
      <c r="AC13" s="62">
        <f>IF($V13="","",IF(AND(ISNUMBER($G13),$G13&lt;=IF($S13=MesCiclo,InicioCiclo,$S13+MOD(2-WEEKDAY($S13),7))+27),1,IF(ISNUMBER($L13),$L13,$AB13)))</f>
        <v/>
      </c>
      <c r="AD13" s="62">
        <f>IF($V13&lt;&gt;"Sub","",N($X13)*IF(AND(ISNUMBER($G13),$G13&lt;=IF($S13=MesCiclo,InicioCiclo,$S13+MOD(2-WEEKDAY($S13),7))+6),1,MIN(1,MAX(0,IF(ISNUMBER(OFFSET($A$1,ROW()-1,8)),OFFSET($A$1,ROW()-1,8),0)))))</f>
        <v/>
      </c>
      <c r="AE13" s="62">
        <f>IF($V13&lt;&gt;"Sub","",N($X13)*IF(AND(ISNUMBER($G13),$G13&lt;=IF($S13=MesCiclo,InicioCiclo,$S13+MOD(2-WEEKDAY($S13),7))+13),1,MIN(1,MAX(0,IF(ISNUMBER(OFFSET($A$1,ROW()-1,9)),OFFSET($A$1,ROW()-1,9),IF(ISNUMBER(OFFSET($A$1,ROW()-1,8)),OFFSET($A$1,ROW()-1,8),0))))))</f>
        <v/>
      </c>
      <c r="AF13" s="62">
        <f>IF($V13&lt;&gt;"Sub","",N($X13)*IF(AND(ISNUMBER($G13),$G13&lt;=IF($S13=MesCiclo,InicioCiclo,$S13+MOD(2-WEEKDAY($S13),7))+20),1,MIN(1,MAX(0,IF(ISNUMBER(OFFSET($A$1,ROW()-1,10)),OFFSET($A$1,ROW()-1,10),IF(ISNUMBER(OFFSET($A$1,ROW()-1,9)),OFFSET($A$1,ROW()-1,9),IF(ISNUMBER(OFFSET($A$1,ROW()-1,8)),OFFSET($A$1,ROW()-1,8),0)))))))</f>
        <v/>
      </c>
      <c r="AG13" s="62">
        <f>IF($V13&lt;&gt;"Sub","",N($X13)*IF(AND(ISNUMBER($G13),$G13&lt;=IF($S13=MesCiclo,InicioCiclo,$S13+MOD(2-WEEKDAY($S13),7))+27),1,MIN(1,MAX(0,IF(ISNUMBER(OFFSET($A$1,ROW()-1,11)),OFFSET($A$1,ROW()-1,11),IF(ISNUMBER(OFFSET($A$1,ROW()-1,10)),OFFSET($A$1,ROW()-1,10),IF(ISNUMBER(OFFSET($A$1,ROW()-1,9)),OFFSET($A$1,ROW()-1,9),IF(ISNUMBER(OFFSET($A$1,ROW()-1,8)),OFFSET($A$1,ROW()-1,8),0))))))))</f>
        <v/>
      </c>
      <c r="AH13" s="62">
        <f>IF($V13="","",IF(AND(ISNUMBER($G13),$G13&lt;=IF($S13=MesCiclo,InicioCiclo,$S13+MOD(2-WEEKDAY($S13),7))+6),1,IF(N($W13)&gt;0,MIN(1,SUMIFS($AD$5:$AD$1000,$U$5:$U$1000,ROW(),$V$5:$V$1000,"Sub")),$Z13)))</f>
        <v/>
      </c>
      <c r="AI13" s="62">
        <f>IF($V13="","",IF(AND(ISNUMBER($G13),$G13&lt;=IF($S13=MesCiclo,InicioCiclo,$S13+MOD(2-WEEKDAY($S13),7))+13),1,IF(N($W13)&gt;0,MIN(1,SUMIFS($AE$5:$AE$1000,$U$5:$U$1000,ROW(),$V$5:$V$1000,"Sub")),$AA13)))</f>
        <v/>
      </c>
      <c r="AJ13" s="62">
        <f>IF($V13="","",IF(AND(ISNUMBER($G13),$G13&lt;=IF($S13=MesCiclo,InicioCiclo,$S13+MOD(2-WEEKDAY($S13),7))+20),1,IF(N($W13)&gt;0,MIN(1,SUMIFS($AF$5:$AF$1000,$U$5:$U$1000,ROW(),$V$5:$V$1000,"Sub")),$AB13)))</f>
        <v/>
      </c>
      <c r="AK13" s="62">
        <f>IF($V13="","",IF(AND(ISNUMBER($G13),$G13&lt;=IF($S13=MesCiclo,InicioCiclo,$S13+MOD(2-WEEKDAY($S13),7))+27),1,IF(N($W13)&gt;0,MIN(1,SUMIFS($AG$5:$AG$1000,$U$5:$U$1000,ROW(),$V$5:$V$1000,"Sub")),$AC13)))</f>
        <v/>
      </c>
      <c r="AL13" s="62">
        <f>IF($V13&lt;&gt;"Macro","",IF(COUNTIFS($S$5:$S$1000,$S13,$V$5:$V$1000,"Macro",$H$5:$H$1000,"&gt;0")=0,1/COUNTIFS($S$5:$S$1000,$S13,$V$5:$V$1000,"Macro"),IF(AND(ISNUMBER($H13),N($H13)&gt;0),$H13,SUMIFS($H$5:$H$1000,$S$5:$S$1000,$S13,$V$5:$V$1000,"Macro")/COUNTIFS($S$5:$S$1000,$S13,$V$5:$V$1000,"Macro",$H$5:$H$1000,"&gt;0"))/(COUNTIFS($S$5:$S$1000,$S13,$V$5:$V$1000,"Macro")*SUMIFS($H$5:$H$1000,$S$5:$S$1000,$S13,$V$5:$V$1000,"Macro")/COUNTIFS($S$5:$S$1000,$S13,$V$5:$V$1000,"Macro",$H$5:$H$1000,"&gt;0"))))</f>
        <v/>
      </c>
      <c r="AM13" s="62" t="n"/>
      <c r="AN13" s="62" t="n"/>
      <c r="AO13" s="62" t="n"/>
      <c r="AP13" s="62" t="n"/>
      <c r="AQ13" s="62">
        <f>IF(LEFT($C13,11)="[Jefatura] ",IFERROR(MATCH("Asistente Técnico de Riesgo|"&amp;MID($C13,12,500),rDname_ADM,0),0),"")</f>
        <v/>
      </c>
      <c r="AR13" s="62">
        <f>IF(N($AQ13)&gt;0,INDEX(rIni_ADM,$AQ13),IF(ISNUMBER($E13),$E13,""))</f>
        <v/>
      </c>
      <c r="AS13" s="62">
        <f>IF(N($AQ13)&gt;0,INDEX(rLim_ADM,$AQ13),IF(ISNUMBER($F13),$F13,""))</f>
        <v/>
      </c>
    </row>
    <row r="14">
      <c r="A14" s="56">
        <f>IF(NOT((COUNTA($B14:$D14)+COUNTA($G14:$H14)+COUNTA($Q14))&gt;0),"",IF($V14="Macro",COUNTIFS($V$5:$V14,"Macro",$S$5:$S14,$S14),IF(N($U14)=0,"?",COUNTIFS(INDEX($V$5:$V$1000,1):INDEX($V$5:$V$1000,$U14-4),"Macro",INDEX($S$5:$S$1000,1):INDEX($S$5:$S$1000,$U14-4),INDEX($S$5:$S$1000,$U14-4))&amp;"."&amp;COUNTIFS($U$5:$U14,$U14,$V$5:$V14,"Sub"))))</f>
        <v/>
      </c>
      <c r="B14" s="57" t="n"/>
      <c r="C14" s="58" t="n"/>
      <c r="D14" s="58" t="n"/>
      <c r="E14" s="59">
        <f>IF(N($AQ14)&gt;0,INDEX(rIni_ADM,$AQ14),"")</f>
        <v/>
      </c>
      <c r="F14" s="59">
        <f>IF(N($AQ14)&gt;0,INDEX(rLim_ADM,$AQ14),"")</f>
        <v/>
      </c>
      <c r="G14" s="59" t="n"/>
      <c r="H14" s="60" t="n"/>
      <c r="I14" s="60">
        <f>IF(N($W14)=0,"",IF(AND($S14=MesCiclo,1&gt;SemanaActual),"",MIN(1,SUMIFS(OFFSET($A$1,ROW(),29,1000-ROW(),1),OFFSET($A$1,ROW(),20,1000-ROW(),1),ROW(),OFFSET($A$1,ROW(),21,1000-ROW(),1),"Sub"))))</f>
        <v/>
      </c>
      <c r="J14" s="60">
        <f>IF(N($W14)=0,"",IF(AND($S14=MesCiclo,2&gt;SemanaActual),"",MIN(1,SUMIFS(OFFSET($A$1,ROW(),30,1000-ROW(),1),OFFSET($A$1,ROW(),20,1000-ROW(),1),ROW(),OFFSET($A$1,ROW(),21,1000-ROW(),1),"Sub"))))</f>
        <v/>
      </c>
      <c r="K14" s="60">
        <f>IF(N($W14)=0,"",IF(AND($S14=MesCiclo,3&gt;SemanaActual),"",MIN(1,SUMIFS(OFFSET($A$1,ROW(),31,1000-ROW(),1),OFFSET($A$1,ROW(),20,1000-ROW(),1),ROW(),OFFSET($A$1,ROW(),21,1000-ROW(),1),"Sub"))))</f>
        <v/>
      </c>
      <c r="L14" s="60">
        <f>IF(N($W14)=0,"",IF(AND($S14=MesCiclo,4&gt;SemanaActual),"",MIN(1,SUMIFS(OFFSET($A$1,ROW(),32,1000-ROW(),1),OFFSET($A$1,ROW(),20,1000-ROW(),1),ROW(),OFFSET($A$1,ROW(),21,1000-ROW(),1),"Sub"))))</f>
        <v/>
      </c>
      <c r="M14" s="61">
        <f>IF(OR(NOT((COUNTA($B14:$D14)+COUNTA($G14:$H14)+COUNTA($Q14))&gt;0),$V14="Sub"),"",IF(ISNUMBER($G14),1,IF(N($W14)&gt;0,MIN(1,SUMIFS($Y$5:$Y$1000,$U$5:$U$1000,ROW(),$V$5:$V$1000,"Sub")),$Y14)))</f>
        <v/>
      </c>
      <c r="N14" s="56">
        <f>IF(OR($M14="",$V14="Sub"),"",IF($M14&gt;=1,"Completado",IF($M14&gt;0,"En curso","Pendiente")))</f>
        <v/>
      </c>
      <c r="O14" s="56">
        <f>IF(OR(NOT((COUNTA($B14:$D14)+COUNTA($G14:$H14)+COUNTA($Q14))&gt;0),$V14="Sub"),"",IF(ISNUMBER($G14),IF(AND(ISNUMBER($AS14),$G14&gt;$AS14),"Cumplida con "&amp;($G14-$AS14)&amp;IF($G14-$AS14=1," día"," días")&amp;" de retraso","Cumplida"),IF(N($M14)&gt;=1,"Cumplida",IF(NOT(ISNUMBER($AS14)),"Sin fecha límite",IF($AS14&lt;FechaRef,"Vencida hace "&amp;(FechaRef-$AS14)&amp;IF(FechaRef-$AS14=1," día"," días"),IF($AS14=FechaRef,"Vence hoy",IF($AS14-FechaRef&lt;=DiasAlerta,"Vence en "&amp;($AS14-FechaRef)&amp;IF($AS14-FechaRef=1," día"," días"),"En plazo")))))))</f>
        <v/>
      </c>
      <c r="P14" s="62" t="n"/>
      <c r="Q14" s="58" t="n"/>
      <c r="R14" s="63">
        <f>IF(NOT((COUNTA($B14:$D14)+COUNTA($G14:$H14)+COUNTA($Q14))&gt;0),"",IF((IF($C14="","Falta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 OK","⚠ "&amp;LEFT(IF($C14="","Falta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",""),LEN(IF($C14="","Falta el nombre de la actividad"&amp;" · ","")&amp;IF(AND($V14="Sub",N($U14)=0),"Subactividad sin macroactividad arriba"&amp;" · ","")&amp;IF(AND($V14="Macro",$AR14=""),"Sin fecha de inicio"&amp;" · ","")&amp;IF(AND($V14="Macro",$AS14=""),"Sin fecha límite"&amp;" · ","")&amp;IF(AND(LEFT($C14,11)="[Jefatura] ",N($AQ14)=0),"No se encuentra en la hoja de la jefatura (elíjala de nuevo en la lista)"&amp;" · ","")&amp;IF(OR(AND($E14&lt;&gt;"",NOT(ISNUMBER($E14))),AND($F14&lt;&gt;"",NOT(ISNUMBER($F14))),AND($G14&lt;&gt;"",NOT(ISNUMBER($G14)))),"Fecha no válida"&amp;" · ","")&amp;IF(AND(ISNUMBER($AR14),ISNUMBER($AS14),$AR14&gt;$AS14),"Inicio posterior a fecha límite"&amp;" · ","")&amp;IF(AND($V14="Macro",$H14&lt;&gt;"",OR(NOT(ISNUMBER($H14)),$H14&lt;0,$H14&gt;1)),"Peso fuera de rango"&amp;" · ","")&amp;IF(AND($V14="Sub",$H14&lt;&gt;"",OR(NOT(ISNUMBER($H14)),$H14&lt;0,$H14&gt;1)),"% de la subactividad fuera de rango 0-100%"&amp;" · ","")&amp;IF(AND(N($W14)&gt;0,SUMIFS($H$5:$H$1000,$U$5:$U$1000,ROW(),$V$5:$V$1000,"Sub")&gt;1.0001),"Las subactividades suman más de 100%"&amp;" · ","")&amp;IF(AND(N($W14)&gt;0,OR(IF(ISNUMBER($I14),ROUND($I14,6)&lt;&gt;ROUND(MIN(1,SUMIFS($AD$5:$AD$1000,$U$5:$U$1000,ROW(),$V$5:$V$1000,"Sub")),6),FALSE),IF(ISNUMBER($J14),ROUND($J14,6)&lt;&gt;ROUND(MIN(1,SUMIFS($AE$5:$AE$1000,$U$5:$U$1000,ROW(),$V$5:$V$1000,"Sub")),6),FALSE),IF(ISNUMBER($K14),ROUND($K14,6)&lt;&gt;ROUND(MIN(1,SUMIFS($AF$5:$AF$1000,$U$5:$U$1000,ROW(),$V$5:$V$1000,"Sub")),6),FALSE),IF(ISNUMBER($L14),ROUND($L14,6)&lt;&gt;ROUND(MIN(1,SUMIFS($AG$5:$AG$1000,$U$5:$U$1000,ROW(),$V$5:$V$1000,"Sub")),6),FALSE))),"Con subactividades: no escriba en las semanas (se llenan solas)"&amp;" · ","")&amp;IF((COUNTIF($I14:$L14,"&gt;1")+COUNTIF($I14:$L14,"&lt;0")+SUMPRODUCT((LEN($I14:$L14)&gt;0)*NOT(ISNUMBER($I14:$L14))))&gt;0,"Avance fuera de rango 0-100%"&amp;" · ","")&amp;IF(OR(AND(ISNUMBER($J14),$J14&lt;N($I14)),AND(ISNUMBER($K14),$K14&lt;MAX($I14:$J14)),AND(ISNUMBER($L14),$L14&lt;MAX($I14:$K14))),"Avance semanal decreciente"&amp;" · ","")&amp;IF(AND(ISNUMBER($AS14),$AS14&lt;FechaRef,IF($V14="Sub",1,N($M14))&lt;1),"Vencida"&amp;" · ","")&amp;IF(AND(ObsObligatoria="Sí",ISNUMBER($AS14),$AS14&lt;FechaRef,IF($V14="Sub",1,N($M14))&lt;1,$Q14=""),"Vencida sin observación"&amp;" · ",""))-3)))</f>
        <v/>
      </c>
      <c r="S14" s="64">
        <f>IF(NOT((COUNTA($B14:$D14)+COUNTA($G14:$H14)+COUNTA($Q14))&gt;0),"",IF(AND($V14="Sub",N($U14)&gt;0),IF(ISNUMBER(INDEX($AR$5:$AR$1000,$U14-4)),DATE(YEAR(INDEX($AR$5:$AR$1000,$U14-4)),MONTH(INDEX($AR$5:$AR$1000,$U14-4)),1),IF(ISNUMBER(INDEX($AS$5:$AS$1000,$U14-4)),DATE(YEAR(INDEX($AS$5:$AS$1000,$U14-4)),MONTH(INDEX($AS$5:$AS$1000,$U14-4)),1),MesCiclo)),IF(ISNUMBER($AR14),DATE(YEAR($AR14),MONTH($AR14),1),IF(ISNUMBER($AS14),DATE(YEAR($AS14),MONTH($AS14),1),MesCiclo))))</f>
        <v/>
      </c>
      <c r="T14" s="62">
        <f>IF(OR($S14="",$S14&lt;&gt;MesCiclo,$V14&lt;&gt;"Macro"),"",COUNTIFS($S$5:$S14,MesCiclo,$V$5:$V14,"Macro"))</f>
        <v/>
      </c>
      <c r="U14" s="62">
        <f>IF($V14="","",IF($V14="Macro",ROW(),IFERROR(LOOKUP(2,1/($V$5:$V14="Macro"),ROW($V$5:$V14)),0)))</f>
        <v/>
      </c>
      <c r="V14" s="62">
        <f>IF(NOT((COUNTA($B14:$D14)+COUNTA($G14:$H14)+COUNTA($Q14))&gt;0),"",IF($B14="Subactividad","Sub","Macro"))</f>
        <v/>
      </c>
      <c r="W14" s="62">
        <f>IF($V14="Macro",COUNTIFS($U$5:$U$1000,ROW(),$V$5:$V$1000,"Sub"),"")</f>
        <v/>
      </c>
      <c r="X14" s="62">
        <f>IF($V14&lt;&gt;"Sub","",IF(AND(ISNUMBER($H14),N($H14)&gt;0),$H14,IFERROR(MAX(0,1-SUMIFS($H$5:$H$1000,$U$5:$U$1000,$U14,$V$5:$V$1000,"Sub"))/(COUNTIFS($U$5:$U$1000,$U14,$V$5:$V$1000,"Sub")-COUNTIFS($U$5:$U$1000,$U14,$V$5:$V$1000,"Sub",$H$5:$H$1000,"&gt;0")),0)))</f>
        <v/>
      </c>
      <c r="Y14" s="62">
        <f>IF($V14="","",IF($V14="Sub",N($X14)*IF(ISNUMBER($G14),1,MIN(1,MAX(0,IFERROR(LOOKUP(2,1/ISNUMBER($I14:$L14),$I14:$L14),0)))),IF(ISNUMBER($G14),1,IFERROR(LOOKUP(2,1/($I14:$L14&lt;&gt;""),$I14:$L14),0))))</f>
        <v/>
      </c>
      <c r="Z14" s="62">
        <f>IF($V14="","",IF(AND(ISNUMBER($G14),$G14&lt;=IF($S14=MesCiclo,InicioCiclo,$S14+MOD(2-WEEKDAY($S14),7))+6),1,IF(ISNUMBER($I14),$I14,0)))</f>
        <v/>
      </c>
      <c r="AA14" s="62">
        <f>IF($V14="","",IF(AND(ISNUMBER($G14),$G14&lt;=IF($S14=MesCiclo,InicioCiclo,$S14+MOD(2-WEEKDAY($S14),7))+13),1,IF(ISNUMBER($J14),$J14,$Z14)))</f>
        <v/>
      </c>
      <c r="AB14" s="62">
        <f>IF($V14="","",IF(AND(ISNUMBER($G14),$G14&lt;=IF($S14=MesCiclo,InicioCiclo,$S14+MOD(2-WEEKDAY($S14),7))+20),1,IF(ISNUMBER($K14),$K14,$AA14)))</f>
        <v/>
      </c>
      <c r="AC14" s="62">
        <f>IF($V14="","",IF(AND(ISNUMBER($G14),$G14&lt;=IF($S14=MesCiclo,InicioCiclo,$S14+MOD(2-WEEKDAY($S14),7))+27),1,IF(ISNUMBER($L14),$L14,$AB14)))</f>
        <v/>
      </c>
      <c r="AD14" s="62">
        <f>IF($V14&lt;&gt;"Sub","",N($X14)*IF(AND(ISNUMBER($G14),$G14&lt;=IF($S14=MesCiclo,InicioCiclo,$S14+MOD(2-WEEKDAY($S14),7))+6),1,MIN(1,MAX(0,IF(ISNUMBER(OFFSET($A$1,ROW()-1,8)),OFFSET($A$1,ROW()-1,8),0)))))</f>
        <v/>
      </c>
      <c r="AE14" s="62">
        <f>IF($V14&lt;&gt;"Sub","",N($X14)*IF(AND(ISNUMBER($G14),$G14&lt;=IF($S14=MesCiclo,InicioCiclo,$S14+MOD(2-WEEKDAY($S14),7))+13),1,MIN(1,MAX(0,IF(ISNUMBER(OFFSET($A$1,ROW()-1,9)),OFFSET($A$1,ROW()-1,9),IF(ISNUMBER(OFFSET($A$1,ROW()-1,8)),OFFSET($A$1,ROW()-1,8),0))))))</f>
        <v/>
      </c>
      <c r="AF14" s="62">
        <f>IF($V14&lt;&gt;"Sub","",N($X14)*IF(AND(ISNUMBER($G14),$G14&lt;=IF($S14=MesCiclo,InicioCiclo,$S14+MOD(2-WEEKDAY($S14),7))+20),1,MIN(1,MAX(0,IF(ISNUMBER(OFFSET($A$1,ROW()-1,10)),OFFSET($A$1,ROW()-1,10),IF(ISNUMBER(OFFSET($A$1,ROW()-1,9)),OFFSET($A$1,ROW()-1,9),IF(ISNUMBER(OFFSET($A$1,ROW()-1,8)),OFFSET($A$1,ROW()-1,8),0)))))))</f>
        <v/>
      </c>
      <c r="AG14" s="62">
        <f>IF($V14&lt;&gt;"Sub","",N($X14)*IF(AND(ISNUMBER($G14),$G14&lt;=IF($S14=MesCiclo,InicioCiclo,$S14+MOD(2-WEEKDAY($S14),7))+27),1,MIN(1,MAX(0,IF(ISNUMBER(OFFSET($A$1,ROW()-1,11)),OFFSET($A$1,ROW()-1,11),IF(ISNUMBER(OFFSET($A$1,ROW()-1,10)),OFFSET($A$1,ROW()-1,10),IF(ISNUMBER(OFFSET($A$1,ROW()-1,9)),OFFSET($A$1,ROW()-1,9),IF(ISNUMBER(OFFSET($A$1,ROW()-1,8)),OFFSET($A$1,ROW()-1,8),0))))))))</f>
        <v/>
      </c>
      <c r="AH14" s="62">
        <f>IF($V14="","",IF(AND(ISNUMBER($G14),$G14&lt;=IF($S14=MesCiclo,InicioCiclo,$S14+MOD(2-WEEKDAY($S14),7))+6),1,IF(N($W14)&gt;0,MIN(1,SUMIFS($AD$5:$AD$1000,$U$5:$U$1000,ROW(),$V$5:$V$1000,"Sub")),$Z14)))</f>
        <v/>
      </c>
      <c r="AI14" s="62">
        <f>IF($V14="","",IF(AND(ISNUMBER($G14),$G14&lt;=IF($S14=MesCiclo,InicioCiclo,$S14+MOD(2-WEEKDAY($S14),7))+13),1,IF(N($W14)&gt;0,MIN(1,SUMIFS($AE$5:$AE$1000,$U$5:$U$1000,ROW(),$V$5:$V$1000,"Sub")),$AA14)))</f>
        <v/>
      </c>
      <c r="AJ14" s="62">
        <f>IF($V14="","",IF(AND(ISNUMBER($G14),$G14&lt;=IF($S14=MesCiclo,InicioCiclo,$S14+MOD(2-WEEKDAY($S14),7))+20),1,IF(N($W14)&gt;0,MIN(1,SUMIFS($AF$5:$AF$1000,$U$5:$U$1000,ROW(),$V$5:$V$1000,"Sub")),$AB14)))</f>
        <v/>
      </c>
      <c r="AK14" s="62">
        <f>IF($V14="","",IF(AND(ISNUMBER($G14),$G14&lt;=IF($S14=MesCiclo,InicioCiclo,$S14+MOD(2-WEEKDAY($S14),7))+27),1,IF(N($W14)&gt;0,MIN(1,SUMIFS($AG$5:$AG$1000,$U$5:$U$1000,ROW(),$V$5:$V$1000,"Sub")),$AC14)))</f>
        <v/>
      </c>
      <c r="AL14" s="62">
        <f>IF($V14&lt;&gt;"Macro","",IF(COUNTIFS($S$5:$S$1000,$S14,$V$5:$V$1000,"Macro",$H$5:$H$1000,"&gt;0")=0,1/COUNTIFS($S$5:$S$1000,$S14,$V$5:$V$1000,"Macro"),IF(AND(ISNUMBER($H14),N($H14)&gt;0),$H14,SUMIFS($H$5:$H$1000,$S$5:$S$1000,$S14,$V$5:$V$1000,"Macro")/COUNTIFS($S$5:$S$1000,$S14,$V$5:$V$1000,"Macro",$H$5:$H$1000,"&gt;0"))/(COUNTIFS($S$5:$S$1000,$S14,$V$5:$V$1000,"Macro")*SUMIFS($H$5:$H$1000,$S$5:$S$1000,$S14,$V$5:$V$1000,"Macro")/COUNTIFS($S$5:$S$1000,$S14,$V$5:$V$1000,"Macro",$H$5:$H$1000,"&gt;0"))))</f>
        <v/>
      </c>
      <c r="AM14" s="62" t="n"/>
      <c r="AN14" s="62" t="n"/>
      <c r="AO14" s="62" t="n"/>
      <c r="AP14" s="62" t="n"/>
      <c r="AQ14" s="62">
        <f>IF(LEFT($C14,11)="[Jefatura] ",IFERROR(MATCH("Asistente Técnico de Riesgo|"&amp;MID($C14,12,500),rDname_ADM,0),0),"")</f>
        <v/>
      </c>
      <c r="AR14" s="62">
        <f>IF(N($AQ14)&gt;0,INDEX(rIni_ADM,$AQ14),IF(ISNUMBER($E14),$E14,""))</f>
        <v/>
      </c>
      <c r="AS14" s="62">
        <f>IF(N($AQ14)&gt;0,INDEX(rLim_ADM,$AQ14),IF(ISNUMBER($F14),$F14,""))</f>
        <v/>
      </c>
    </row>
    <row r="15">
      <c r="A15" s="56">
        <f>IF(NOT((COUNTA($B15:$D15)+COUNTA($G15:$H15)+COUNTA($Q15))&gt;0),"",IF($V15="Macro",COUNTIFS($V$5:$V15,"Macro",$S$5:$S15,$S15),IF(N($U15)=0,"?",COUNTIFS(INDEX($V$5:$V$1000,1):INDEX($V$5:$V$1000,$U15-4),"Macro",INDEX($S$5:$S$1000,1):INDEX($S$5:$S$1000,$U15-4),INDEX($S$5:$S$1000,$U15-4))&amp;"."&amp;COUNTIFS($U$5:$U15,$U15,$V$5:$V15,"Sub"))))</f>
        <v/>
      </c>
      <c r="B15" s="57" t="n"/>
      <c r="C15" s="58" t="n"/>
      <c r="D15" s="58" t="n"/>
      <c r="E15" s="59">
        <f>IF(N($AQ15)&gt;0,INDEX(rIni_ADM,$AQ15),"")</f>
        <v/>
      </c>
      <c r="F15" s="59">
        <f>IF(N($AQ15)&gt;0,INDEX(rLim_ADM,$AQ15),"")</f>
        <v/>
      </c>
      <c r="G15" s="59" t="n"/>
      <c r="H15" s="60" t="n"/>
      <c r="I15" s="60">
        <f>IF(N($W15)=0,"",IF(AND($S15=MesCiclo,1&gt;SemanaActual),"",MIN(1,SUMIFS(OFFSET($A$1,ROW(),29,1000-ROW(),1),OFFSET($A$1,ROW(),20,1000-ROW(),1),ROW(),OFFSET($A$1,ROW(),21,1000-ROW(),1),"Sub"))))</f>
        <v/>
      </c>
      <c r="J15" s="60">
        <f>IF(N($W15)=0,"",IF(AND($S15=MesCiclo,2&gt;SemanaActual),"",MIN(1,SUMIFS(OFFSET($A$1,ROW(),30,1000-ROW(),1),OFFSET($A$1,ROW(),20,1000-ROW(),1),ROW(),OFFSET($A$1,ROW(),21,1000-ROW(),1),"Sub"))))</f>
        <v/>
      </c>
      <c r="K15" s="60">
        <f>IF(N($W15)=0,"",IF(AND($S15=MesCiclo,3&gt;SemanaActual),"",MIN(1,SUMIFS(OFFSET($A$1,ROW(),31,1000-ROW(),1),OFFSET($A$1,ROW(),20,1000-ROW(),1),ROW(),OFFSET($A$1,ROW(),21,1000-ROW(),1),"Sub"))))</f>
        <v/>
      </c>
      <c r="L15" s="60">
        <f>IF(N($W15)=0,"",IF(AND($S15=MesCiclo,4&gt;SemanaActual),"",MIN(1,SUMIFS(OFFSET($A$1,ROW(),32,1000-ROW(),1),OFFSET($A$1,ROW(),20,1000-ROW(),1),ROW(),OFFSET($A$1,ROW(),21,1000-ROW(),1),"Sub"))))</f>
        <v/>
      </c>
      <c r="M15" s="61">
        <f>IF(OR(NOT((COUNTA($B15:$D15)+COUNTA($G15:$H15)+COUNTA($Q15))&gt;0),$V15="Sub"),"",IF(ISNUMBER($G15),1,IF(N($W15)&gt;0,MIN(1,SUMIFS($Y$5:$Y$1000,$U$5:$U$1000,ROW(),$V$5:$V$1000,"Sub")),$Y15)))</f>
        <v/>
      </c>
      <c r="N15" s="56">
        <f>IF(OR($M15="",$V15="Sub"),"",IF($M15&gt;=1,"Completado",IF($M15&gt;0,"En curso","Pendiente")))</f>
        <v/>
      </c>
      <c r="O15" s="56">
        <f>IF(OR(NOT((COUNTA($B15:$D15)+COUNTA($G15:$H15)+COUNTA($Q15))&gt;0),$V15="Sub"),"",IF(ISNUMBER($G15),IF(AND(ISNUMBER($AS15),$G15&gt;$AS15),"Cumplida con "&amp;($G15-$AS15)&amp;IF($G15-$AS15=1," día"," días")&amp;" de retraso","Cumplida"),IF(N($M15)&gt;=1,"Cumplida",IF(NOT(ISNUMBER($AS15)),"Sin fecha límite",IF($AS15&lt;FechaRef,"Vencida hace "&amp;(FechaRef-$AS15)&amp;IF(FechaRef-$AS15=1," día"," días"),IF($AS15=FechaRef,"Vence hoy",IF($AS15-FechaRef&lt;=DiasAlerta,"Vence en "&amp;($AS15-FechaRef)&amp;IF($AS15-FechaRef=1," día"," días"),"En plazo")))))))</f>
        <v/>
      </c>
      <c r="P15" s="62" t="n"/>
      <c r="Q15" s="58" t="n"/>
      <c r="R15" s="63">
        <f>IF(NOT((COUNTA($B15:$D15)+COUNTA($G15:$H15)+COUNTA($Q15))&gt;0),"",IF((IF($C15="","Falta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 OK","⚠ "&amp;LEFT(IF($C15="","Falta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",""),LEN(IF($C15="","Falta el nombre de la actividad"&amp;" · ","")&amp;IF(AND($V15="Sub",N($U15)=0),"Subactividad sin macroactividad arriba"&amp;" · ","")&amp;IF(AND($V15="Macro",$AR15=""),"Sin fecha de inicio"&amp;" · ","")&amp;IF(AND($V15="Macro",$AS15=""),"Sin fecha límite"&amp;" · ","")&amp;IF(AND(LEFT($C15,11)="[Jefatura] ",N($AQ15)=0),"No se encuentra en la hoja de la jefatura (elíjala de nuevo en la lista)"&amp;" · ","")&amp;IF(OR(AND($E15&lt;&gt;"",NOT(ISNUMBER($E15))),AND($F15&lt;&gt;"",NOT(ISNUMBER($F15))),AND($G15&lt;&gt;"",NOT(ISNUMBER($G15)))),"Fecha no válida"&amp;" · ","")&amp;IF(AND(ISNUMBER($AR15),ISNUMBER($AS15),$AR15&gt;$AS15),"Inicio posterior a fecha límite"&amp;" · ","")&amp;IF(AND($V15="Macro",$H15&lt;&gt;"",OR(NOT(ISNUMBER($H15)),$H15&lt;0,$H15&gt;1)),"Peso fuera de rango"&amp;" · ","")&amp;IF(AND($V15="Sub",$H15&lt;&gt;"",OR(NOT(ISNUMBER($H15)),$H15&lt;0,$H15&gt;1)),"% de la subactividad fuera de rango 0-100%"&amp;" · ","")&amp;IF(AND(N($W15)&gt;0,SUMIFS($H$5:$H$1000,$U$5:$U$1000,ROW(),$V$5:$V$1000,"Sub")&gt;1.0001),"Las subactividades suman más de 100%"&amp;" · ","")&amp;IF(AND(N($W15)&gt;0,OR(IF(ISNUMBER($I15),ROUND($I15,6)&lt;&gt;ROUND(MIN(1,SUMIFS($AD$5:$AD$1000,$U$5:$U$1000,ROW(),$V$5:$V$1000,"Sub")),6),FALSE),IF(ISNUMBER($J15),ROUND($J15,6)&lt;&gt;ROUND(MIN(1,SUMIFS($AE$5:$AE$1000,$U$5:$U$1000,ROW(),$V$5:$V$1000,"Sub")),6),FALSE),IF(ISNUMBER($K15),ROUND($K15,6)&lt;&gt;ROUND(MIN(1,SUMIFS($AF$5:$AF$1000,$U$5:$U$1000,ROW(),$V$5:$V$1000,"Sub")),6),FALSE),IF(ISNUMBER($L15),ROUND($L15,6)&lt;&gt;ROUND(MIN(1,SUMIFS($AG$5:$AG$1000,$U$5:$U$1000,ROW(),$V$5:$V$1000,"Sub")),6),FALSE))),"Con subactividades: no escriba en las semanas (se llenan solas)"&amp;" · ","")&amp;IF((COUNTIF($I15:$L15,"&gt;1")+COUNTIF($I15:$L15,"&lt;0")+SUMPRODUCT((LEN($I15:$L15)&gt;0)*NOT(ISNUMBER($I15:$L15))))&gt;0,"Avance fuera de rango 0-100%"&amp;" · ","")&amp;IF(OR(AND(ISNUMBER($J15),$J15&lt;N($I15)),AND(ISNUMBER($K15),$K15&lt;MAX($I15:$J15)),AND(ISNUMBER($L15),$L15&lt;MAX($I15:$K15))),"Avance semanal decreciente"&amp;" · ","")&amp;IF(AND(ISNUMBER($AS15),$AS15&lt;FechaRef,IF($V15="Sub",1,N($M15))&lt;1),"Vencida"&amp;" · ","")&amp;IF(AND(ObsObligatoria="Sí",ISNUMBER($AS15),$AS15&lt;FechaRef,IF($V15="Sub",1,N($M15))&lt;1,$Q15=""),"Vencida sin observación"&amp;" · ",""))-3)))</f>
        <v/>
      </c>
      <c r="S15" s="64">
        <f>IF(NOT((COUNTA($B15:$D15)+COUNTA($G15:$H15)+COUNTA($Q15))&gt;0),"",IF(AND($V15="Sub",N($U15)&gt;0),IF(ISNUMBER(INDEX($AR$5:$AR$1000,$U15-4)),DATE(YEAR(INDEX($AR$5:$AR$1000,$U15-4)),MONTH(INDEX($AR$5:$AR$1000,$U15-4)),1),IF(ISNUMBER(INDEX($AS$5:$AS$1000,$U15-4)),DATE(YEAR(INDEX($AS$5:$AS$1000,$U15-4)),MONTH(INDEX($AS$5:$AS$1000,$U15-4)),1),MesCiclo)),IF(ISNUMBER($AR15),DATE(YEAR($AR15),MONTH($AR15),1),IF(ISNUMBER($AS15),DATE(YEAR($AS15),MONTH($AS15),1),MesCiclo))))</f>
        <v/>
      </c>
      <c r="T15" s="62">
        <f>IF(OR($S15="",$S15&lt;&gt;MesCiclo,$V15&lt;&gt;"Macro"),"",COUNTIFS($S$5:$S15,MesCiclo,$V$5:$V15,"Macro"))</f>
        <v/>
      </c>
      <c r="U15" s="62">
        <f>IF($V15="","",IF($V15="Macro",ROW(),IFERROR(LOOKUP(2,1/($V$5:$V15="Macro"),ROW($V$5:$V15)),0)))</f>
        <v/>
      </c>
      <c r="V15" s="62">
        <f>IF(NOT((COUNTA($B15:$D15)+COUNTA($G15:$H15)+COUNTA($Q15))&gt;0),"",IF($B15="Subactividad","Sub","Macro"))</f>
        <v/>
      </c>
      <c r="W15" s="62">
        <f>IF($V15="Macro",COUNTIFS($U$5:$U$1000,ROW(),$V$5:$V$1000,"Sub"),"")</f>
        <v/>
      </c>
      <c r="X15" s="62">
        <f>IF($V15&lt;&gt;"Sub","",IF(AND(ISNUMBER($H15),N($H15)&gt;0),$H15,IFERROR(MAX(0,1-SUMIFS($H$5:$H$1000,$U$5:$U$1000,$U15,$V$5:$V$1000,"Sub"))/(COUNTIFS($U$5:$U$1000,$U15,$V$5:$V$1000,"Sub")-COUNTIFS($U$5:$U$1000,$U15,$V$5:$V$1000,"Sub",$H$5:$H$1000,"&gt;0")),0)))</f>
        <v/>
      </c>
      <c r="Y15" s="62">
        <f>IF($V15="","",IF($V15="Sub",N($X15)*IF(ISNUMBER($G15),1,MIN(1,MAX(0,IFERROR(LOOKUP(2,1/ISNUMBER($I15:$L15),$I15:$L15),0)))),IF(ISNUMBER($G15),1,IFERROR(LOOKUP(2,1/($I15:$L15&lt;&gt;""),$I15:$L15),0))))</f>
        <v/>
      </c>
      <c r="Z15" s="62">
        <f>IF($V15="","",IF(AND(ISNUMBER($G15),$G15&lt;=IF($S15=MesCiclo,InicioCiclo,$S15+MOD(2-WEEKDAY($S15),7))+6),1,IF(ISNUMBER($I15),$I15,0)))</f>
        <v/>
      </c>
      <c r="AA15" s="62">
        <f>IF($V15="","",IF(AND(ISNUMBER($G15),$G15&lt;=IF($S15=MesCiclo,InicioCiclo,$S15+MOD(2-WEEKDAY($S15),7))+13),1,IF(ISNUMBER($J15),$J15,$Z15)))</f>
        <v/>
      </c>
      <c r="AB15" s="62">
        <f>IF($V15="","",IF(AND(ISNUMBER($G15),$G15&lt;=IF($S15=MesCiclo,InicioCiclo,$S15+MOD(2-WEEKDAY($S15),7))+20),1,IF(ISNUMBER($K15),$K15,$AA15)))</f>
        <v/>
      </c>
      <c r="AC15" s="62">
        <f>IF($V15="","",IF(AND(ISNUMBER($G15),$G15&lt;=IF($S15=MesCiclo,InicioCiclo,$S15+MOD(2-WEEKDAY($S15),7))+27),1,IF(ISNUMBER($L15),$L15,$AB15)))</f>
        <v/>
      </c>
      <c r="AD15" s="62">
        <f>IF($V15&lt;&gt;"Sub","",N($X15)*IF(AND(ISNUMBER($G15),$G15&lt;=IF($S15=MesCiclo,InicioCiclo,$S15+MOD(2-WEEKDAY($S15),7))+6),1,MIN(1,MAX(0,IF(ISNUMBER(OFFSET($A$1,ROW()-1,8)),OFFSET($A$1,ROW()-1,8),0)))))</f>
        <v/>
      </c>
      <c r="AE15" s="62">
        <f>IF($V15&lt;&gt;"Sub","",N($X15)*IF(AND(ISNUMBER($G15),$G15&lt;=IF($S15=MesCiclo,InicioCiclo,$S15+MOD(2-WEEKDAY($S15),7))+13),1,MIN(1,MAX(0,IF(ISNUMBER(OFFSET($A$1,ROW()-1,9)),OFFSET($A$1,ROW()-1,9),IF(ISNUMBER(OFFSET($A$1,ROW()-1,8)),OFFSET($A$1,ROW()-1,8),0))))))</f>
        <v/>
      </c>
      <c r="AF15" s="62">
        <f>IF($V15&lt;&gt;"Sub","",N($X15)*IF(AND(ISNUMBER($G15),$G15&lt;=IF($S15=MesCiclo,InicioCiclo,$S15+MOD(2-WEEKDAY($S15),7))+20),1,MIN(1,MAX(0,IF(ISNUMBER(OFFSET($A$1,ROW()-1,10)),OFFSET($A$1,ROW()-1,10),IF(ISNUMBER(OFFSET($A$1,ROW()-1,9)),OFFSET($A$1,ROW()-1,9),IF(ISNUMBER(OFFSET($A$1,ROW()-1,8)),OFFSET($A$1,ROW()-1,8),0)))))))</f>
        <v/>
      </c>
      <c r="AG15" s="62">
        <f>IF($V15&lt;&gt;"Sub","",N($X15)*IF(AND(ISNUMBER($G15),$G15&lt;=IF($S15=MesCiclo,InicioCiclo,$S15+MOD(2-WEEKDAY($S15),7))+27),1,MIN(1,MAX(0,IF(ISNUMBER(OFFSET($A$1,ROW()-1,11)),OFFSET($A$1,ROW()-1,11),IF(ISNUMBER(OFFSET($A$1,ROW()-1,10)),OFFSET($A$1,ROW()-1,10),IF(ISNUMBER(OFFSET($A$1,ROW()-1,9)),OFFSET($A$1,ROW()-1,9),IF(ISNUMBER(OFFSET($A$1,ROW()-1,8)),OFFSET($A$1,ROW()-1,8),0))))))))</f>
        <v/>
      </c>
      <c r="AH15" s="62">
        <f>IF($V15="","",IF(AND(ISNUMBER($G15),$G15&lt;=IF($S15=MesCiclo,InicioCiclo,$S15+MOD(2-WEEKDAY($S15),7))+6),1,IF(N($W15)&gt;0,MIN(1,SUMIFS($AD$5:$AD$1000,$U$5:$U$1000,ROW(),$V$5:$V$1000,"Sub")),$Z15)))</f>
        <v/>
      </c>
      <c r="AI15" s="62">
        <f>IF($V15="","",IF(AND(ISNUMBER($G15),$G15&lt;=IF($S15=MesCiclo,InicioCiclo,$S15+MOD(2-WEEKDAY($S15),7))+13),1,IF(N($W15)&gt;0,MIN(1,SUMIFS($AE$5:$AE$1000,$U$5:$U$1000,ROW(),$V$5:$V$1000,"Sub")),$AA15)))</f>
        <v/>
      </c>
      <c r="AJ15" s="62">
        <f>IF($V15="","",IF(AND(ISNUMBER($G15),$G15&lt;=IF($S15=MesCiclo,InicioCiclo,$S15+MOD(2-WEEKDAY($S15),7))+20),1,IF(N($W15)&gt;0,MIN(1,SUMIFS($AF$5:$AF$1000,$U$5:$U$1000,ROW(),$V$5:$V$1000,"Sub")),$AB15)))</f>
        <v/>
      </c>
      <c r="AK15" s="62">
        <f>IF($V15="","",IF(AND(ISNUMBER($G15),$G15&lt;=IF($S15=MesCiclo,InicioCiclo,$S15+MOD(2-WEEKDAY($S15),7))+27),1,IF(N($W15)&gt;0,MIN(1,SUMIFS($AG$5:$AG$1000,$U$5:$U$1000,ROW(),$V$5:$V$1000,"Sub")),$AC15)))</f>
        <v/>
      </c>
      <c r="AL15" s="62">
        <f>IF($V15&lt;&gt;"Macro","",IF(COUNTIFS($S$5:$S$1000,$S15,$V$5:$V$1000,"Macro",$H$5:$H$1000,"&gt;0")=0,1/COUNTIFS($S$5:$S$1000,$S15,$V$5:$V$1000,"Macro"),IF(AND(ISNUMBER($H15),N($H15)&gt;0),$H15,SUMIFS($H$5:$H$1000,$S$5:$S$1000,$S15,$V$5:$V$1000,"Macro")/COUNTIFS($S$5:$S$1000,$S15,$V$5:$V$1000,"Macro",$H$5:$H$1000,"&gt;0"))/(COUNTIFS($S$5:$S$1000,$S15,$V$5:$V$1000,"Macro")*SUMIFS($H$5:$H$1000,$S$5:$S$1000,$S15,$V$5:$V$1000,"Macro")/COUNTIFS($S$5:$S$1000,$S15,$V$5:$V$1000,"Macro",$H$5:$H$1000,"&gt;0"))))</f>
        <v/>
      </c>
      <c r="AM15" s="62" t="n"/>
      <c r="AN15" s="62" t="n"/>
      <c r="AO15" s="62" t="n"/>
      <c r="AP15" s="62" t="n"/>
      <c r="AQ15" s="62">
        <f>IF(LEFT($C15,11)="[Jefatura] ",IFERROR(MATCH("Asistente Técnico de Riesgo|"&amp;MID($C15,12,500),rDname_ADM,0),0),"")</f>
        <v/>
      </c>
      <c r="AR15" s="62">
        <f>IF(N($AQ15)&gt;0,INDEX(rIni_ADM,$AQ15),IF(ISNUMBER($E15),$E15,""))</f>
        <v/>
      </c>
      <c r="AS15" s="62">
        <f>IF(N($AQ15)&gt;0,INDEX(rLim_ADM,$AQ15),IF(ISNUMBER($F15),$F15,""))</f>
        <v/>
      </c>
    </row>
    <row r="16">
      <c r="A16" s="56">
        <f>IF(NOT((COUNTA($B16:$D16)+COUNTA($G16:$H16)+COUNTA($Q16))&gt;0),"",IF($V16="Macro",COUNTIFS($V$5:$V16,"Macro",$S$5:$S16,$S16),IF(N($U16)=0,"?",COUNTIFS(INDEX($V$5:$V$1000,1):INDEX($V$5:$V$1000,$U16-4),"Macro",INDEX($S$5:$S$1000,1):INDEX($S$5:$S$1000,$U16-4),INDEX($S$5:$S$1000,$U16-4))&amp;"."&amp;COUNTIFS($U$5:$U16,$U16,$V$5:$V16,"Sub"))))</f>
        <v/>
      </c>
      <c r="B16" s="57" t="n"/>
      <c r="C16" s="58" t="n"/>
      <c r="D16" s="58" t="n"/>
      <c r="E16" s="59">
        <f>IF(N($AQ16)&gt;0,INDEX(rIni_ADM,$AQ16),"")</f>
        <v/>
      </c>
      <c r="F16" s="59">
        <f>IF(N($AQ16)&gt;0,INDEX(rLim_ADM,$AQ16),"")</f>
        <v/>
      </c>
      <c r="G16" s="59" t="n"/>
      <c r="H16" s="60" t="n"/>
      <c r="I16" s="60">
        <f>IF(N($W16)=0,"",IF(AND($S16=MesCiclo,1&gt;SemanaActual),"",MIN(1,SUMIFS(OFFSET($A$1,ROW(),29,1000-ROW(),1),OFFSET($A$1,ROW(),20,1000-ROW(),1),ROW(),OFFSET($A$1,ROW(),21,1000-ROW(),1),"Sub"))))</f>
        <v/>
      </c>
      <c r="J16" s="60">
        <f>IF(N($W16)=0,"",IF(AND($S16=MesCiclo,2&gt;SemanaActual),"",MIN(1,SUMIFS(OFFSET($A$1,ROW(),30,1000-ROW(),1),OFFSET($A$1,ROW(),20,1000-ROW(),1),ROW(),OFFSET($A$1,ROW(),21,1000-ROW(),1),"Sub"))))</f>
        <v/>
      </c>
      <c r="K16" s="60">
        <f>IF(N($W16)=0,"",IF(AND($S16=MesCiclo,3&gt;SemanaActual),"",MIN(1,SUMIFS(OFFSET($A$1,ROW(),31,1000-ROW(),1),OFFSET($A$1,ROW(),20,1000-ROW(),1),ROW(),OFFSET($A$1,ROW(),21,1000-ROW(),1),"Sub"))))</f>
        <v/>
      </c>
      <c r="L16" s="60">
        <f>IF(N($W16)=0,"",IF(AND($S16=MesCiclo,4&gt;SemanaActual),"",MIN(1,SUMIFS(OFFSET($A$1,ROW(),32,1000-ROW(),1),OFFSET($A$1,ROW(),20,1000-ROW(),1),ROW(),OFFSET($A$1,ROW(),21,1000-ROW(),1),"Sub"))))</f>
        <v/>
      </c>
      <c r="M16" s="61">
        <f>IF(OR(NOT((COUNTA($B16:$D16)+COUNTA($G16:$H16)+COUNTA($Q16))&gt;0),$V16="Sub"),"",IF(ISNUMBER($G16),1,IF(N($W16)&gt;0,MIN(1,SUMIFS($Y$5:$Y$1000,$U$5:$U$1000,ROW(),$V$5:$V$1000,"Sub")),$Y16)))</f>
        <v/>
      </c>
      <c r="N16" s="56">
        <f>IF(OR($M16="",$V16="Sub"),"",IF($M16&gt;=1,"Completado",IF($M16&gt;0,"En curso","Pendiente")))</f>
        <v/>
      </c>
      <c r="O16" s="56">
        <f>IF(OR(NOT((COUNTA($B16:$D16)+COUNTA($G16:$H16)+COUNTA($Q16))&gt;0),$V16="Sub"),"",IF(ISNUMBER($G16),IF(AND(ISNUMBER($AS16),$G16&gt;$AS16),"Cumplida con "&amp;($G16-$AS16)&amp;IF($G16-$AS16=1," día"," días")&amp;" de retraso","Cumplida"),IF(N($M16)&gt;=1,"Cumplida",IF(NOT(ISNUMBER($AS16)),"Sin fecha límite",IF($AS16&lt;FechaRef,"Vencida hace "&amp;(FechaRef-$AS16)&amp;IF(FechaRef-$AS16=1," día"," días"),IF($AS16=FechaRef,"Vence hoy",IF($AS16-FechaRef&lt;=DiasAlerta,"Vence en "&amp;($AS16-FechaRef)&amp;IF($AS16-FechaRef=1," día"," días"),"En plazo")))))))</f>
        <v/>
      </c>
      <c r="P16" s="62" t="n"/>
      <c r="Q16" s="58" t="n"/>
      <c r="R16" s="63">
        <f>IF(NOT((COUNTA($B16:$D16)+COUNTA($G16:$H16)+COUNTA($Q16))&gt;0),"",IF((IF($C16="","Falta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 OK","⚠ "&amp;LEFT(IF($C16="","Falta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",""),LEN(IF($C16="","Falta el nombre de la actividad"&amp;" · ","")&amp;IF(AND($V16="Sub",N($U16)=0),"Subactividad sin macroactividad arriba"&amp;" · ","")&amp;IF(AND($V16="Macro",$AR16=""),"Sin fecha de inicio"&amp;" · ","")&amp;IF(AND($V16="Macro",$AS16=""),"Sin fecha límite"&amp;" · ","")&amp;IF(AND(LEFT($C16,11)="[Jefatura] ",N($AQ16)=0),"No se encuentra en la hoja de la jefatura (elíjala de nuevo en la lista)"&amp;" · ","")&amp;IF(OR(AND($E16&lt;&gt;"",NOT(ISNUMBER($E16))),AND($F16&lt;&gt;"",NOT(ISNUMBER($F16))),AND($G16&lt;&gt;"",NOT(ISNUMBER($G16)))),"Fecha no válida"&amp;" · ","")&amp;IF(AND(ISNUMBER($AR16),ISNUMBER($AS16),$AR16&gt;$AS16),"Inicio posterior a fecha límite"&amp;" · ","")&amp;IF(AND($V16="Macro",$H16&lt;&gt;"",OR(NOT(ISNUMBER($H16)),$H16&lt;0,$H16&gt;1)),"Peso fuera de rango"&amp;" · ","")&amp;IF(AND($V16="Sub",$H16&lt;&gt;"",OR(NOT(ISNUMBER($H16)),$H16&lt;0,$H16&gt;1)),"% de la subactividad fuera de rango 0-100%"&amp;" · ","")&amp;IF(AND(N($W16)&gt;0,SUMIFS($H$5:$H$1000,$U$5:$U$1000,ROW(),$V$5:$V$1000,"Sub")&gt;1.0001),"Las subactividades suman más de 100%"&amp;" · ","")&amp;IF(AND(N($W16)&gt;0,OR(IF(ISNUMBER($I16),ROUND($I16,6)&lt;&gt;ROUND(MIN(1,SUMIFS($AD$5:$AD$1000,$U$5:$U$1000,ROW(),$V$5:$V$1000,"Sub")),6),FALSE),IF(ISNUMBER($J16),ROUND($J16,6)&lt;&gt;ROUND(MIN(1,SUMIFS($AE$5:$AE$1000,$U$5:$U$1000,ROW(),$V$5:$V$1000,"Sub")),6),FALSE),IF(ISNUMBER($K16),ROUND($K16,6)&lt;&gt;ROUND(MIN(1,SUMIFS($AF$5:$AF$1000,$U$5:$U$1000,ROW(),$V$5:$V$1000,"Sub")),6),FALSE),IF(ISNUMBER($L16),ROUND($L16,6)&lt;&gt;ROUND(MIN(1,SUMIFS($AG$5:$AG$1000,$U$5:$U$1000,ROW(),$V$5:$V$1000,"Sub")),6),FALSE))),"Con subactividades: no escriba en las semanas (se llenan solas)"&amp;" · ","")&amp;IF((COUNTIF($I16:$L16,"&gt;1")+COUNTIF($I16:$L16,"&lt;0")+SUMPRODUCT((LEN($I16:$L16)&gt;0)*NOT(ISNUMBER($I16:$L16))))&gt;0,"Avance fuera de rango 0-100%"&amp;" · ","")&amp;IF(OR(AND(ISNUMBER($J16),$J16&lt;N($I16)),AND(ISNUMBER($K16),$K16&lt;MAX($I16:$J16)),AND(ISNUMBER($L16),$L16&lt;MAX($I16:$K16))),"Avance semanal decreciente"&amp;" · ","")&amp;IF(AND(ISNUMBER($AS16),$AS16&lt;FechaRef,IF($V16="Sub",1,N($M16))&lt;1),"Vencida"&amp;" · ","")&amp;IF(AND(ObsObligatoria="Sí",ISNUMBER($AS16),$AS16&lt;FechaRef,IF($V16="Sub",1,N($M16))&lt;1,$Q16=""),"Vencida sin observación"&amp;" · ",""))-3)))</f>
        <v/>
      </c>
      <c r="S16" s="64">
        <f>IF(NOT((COUNTA($B16:$D16)+COUNTA($G16:$H16)+COUNTA($Q16))&gt;0),"",IF(AND($V16="Sub",N($U16)&gt;0),IF(ISNUMBER(INDEX($AR$5:$AR$1000,$U16-4)),DATE(YEAR(INDEX($AR$5:$AR$1000,$U16-4)),MONTH(INDEX($AR$5:$AR$1000,$U16-4)),1),IF(ISNUMBER(INDEX($AS$5:$AS$1000,$U16-4)),DATE(YEAR(INDEX($AS$5:$AS$1000,$U16-4)),MONTH(INDEX($AS$5:$AS$1000,$U16-4)),1),MesCiclo)),IF(ISNUMBER($AR16),DATE(YEAR($AR16),MONTH($AR16),1),IF(ISNUMBER($AS16),DATE(YEAR($AS16),MONTH($AS16),1),MesCiclo))))</f>
        <v/>
      </c>
      <c r="T16" s="62">
        <f>IF(OR($S16="",$S16&lt;&gt;MesCiclo,$V16&lt;&gt;"Macro"),"",COUNTIFS($S$5:$S16,MesCiclo,$V$5:$V16,"Macro"))</f>
        <v/>
      </c>
      <c r="U16" s="62">
        <f>IF($V16="","",IF($V16="Macro",ROW(),IFERROR(LOOKUP(2,1/($V$5:$V16="Macro"),ROW($V$5:$V16)),0)))</f>
        <v/>
      </c>
      <c r="V16" s="62">
        <f>IF(NOT((COUNTA($B16:$D16)+COUNTA($G16:$H16)+COUNTA($Q16))&gt;0),"",IF($B16="Subactividad","Sub","Macro"))</f>
        <v/>
      </c>
      <c r="W16" s="62">
        <f>IF($V16="Macro",COUNTIFS($U$5:$U$1000,ROW(),$V$5:$V$1000,"Sub"),"")</f>
        <v/>
      </c>
      <c r="X16" s="62">
        <f>IF($V16&lt;&gt;"Sub","",IF(AND(ISNUMBER($H16),N($H16)&gt;0),$H16,IFERROR(MAX(0,1-SUMIFS($H$5:$H$1000,$U$5:$U$1000,$U16,$V$5:$V$1000,"Sub"))/(COUNTIFS($U$5:$U$1000,$U16,$V$5:$V$1000,"Sub")-COUNTIFS($U$5:$U$1000,$U16,$V$5:$V$1000,"Sub",$H$5:$H$1000,"&gt;0")),0)))</f>
        <v/>
      </c>
      <c r="Y16" s="62">
        <f>IF($V16="","",IF($V16="Sub",N($X16)*IF(ISNUMBER($G16),1,MIN(1,MAX(0,IFERROR(LOOKUP(2,1/ISNUMBER($I16:$L16),$I16:$L16),0)))),IF(ISNUMBER($G16),1,IFERROR(LOOKUP(2,1/($I16:$L16&lt;&gt;""),$I16:$L16),0))))</f>
        <v/>
      </c>
      <c r="Z16" s="62">
        <f>IF($V16="","",IF(AND(ISNUMBER($G16),$G16&lt;=IF($S16=MesCiclo,InicioCiclo,$S16+MOD(2-WEEKDAY($S16),7))+6),1,IF(ISNUMBER($I16),$I16,0)))</f>
        <v/>
      </c>
      <c r="AA16" s="62">
        <f>IF($V16="","",IF(AND(ISNUMBER($G16),$G16&lt;=IF($S16=MesCiclo,InicioCiclo,$S16+MOD(2-WEEKDAY($S16),7))+13),1,IF(ISNUMBER($J16),$J16,$Z16)))</f>
        <v/>
      </c>
      <c r="AB16" s="62">
        <f>IF($V16="","",IF(AND(ISNUMBER($G16),$G16&lt;=IF($S16=MesCiclo,InicioCiclo,$S16+MOD(2-WEEKDAY($S16),7))+20),1,IF(ISNUMBER($K16),$K16,$AA16)))</f>
        <v/>
      </c>
      <c r="AC16" s="62">
        <f>IF($V16="","",IF(AND(ISNUMBER($G16),$G16&lt;=IF($S16=MesCiclo,InicioCiclo,$S16+MOD(2-WEEKDAY($S16),7))+27),1,IF(ISNUMBER($L16),$L16,$AB16)))</f>
        <v/>
      </c>
      <c r="AD16" s="62">
        <f>IF($V16&lt;&gt;"Sub","",N($X16)*IF(AND(ISNUMBER($G16),$G16&lt;=IF($S16=MesCiclo,InicioCiclo,$S16+MOD(2-WEEKDAY($S16),7))+6),1,MIN(1,MAX(0,IF(ISNUMBER(OFFSET($A$1,ROW()-1,8)),OFFSET($A$1,ROW()-1,8),0)))))</f>
        <v/>
      </c>
      <c r="AE16" s="62">
        <f>IF($V16&lt;&gt;"Sub","",N($X16)*IF(AND(ISNUMBER($G16),$G16&lt;=IF($S16=MesCiclo,InicioCiclo,$S16+MOD(2-WEEKDAY($S16),7))+13),1,MIN(1,MAX(0,IF(ISNUMBER(OFFSET($A$1,ROW()-1,9)),OFFSET($A$1,ROW()-1,9),IF(ISNUMBER(OFFSET($A$1,ROW()-1,8)),OFFSET($A$1,ROW()-1,8),0))))))</f>
        <v/>
      </c>
      <c r="AF16" s="62">
        <f>IF($V16&lt;&gt;"Sub","",N($X16)*IF(AND(ISNUMBER($G16),$G16&lt;=IF($S16=MesCiclo,InicioCiclo,$S16+MOD(2-WEEKDAY($S16),7))+20),1,MIN(1,MAX(0,IF(ISNUMBER(OFFSET($A$1,ROW()-1,10)),OFFSET($A$1,ROW()-1,10),IF(ISNUMBER(OFFSET($A$1,ROW()-1,9)),OFFSET($A$1,ROW()-1,9),IF(ISNUMBER(OFFSET($A$1,ROW()-1,8)),OFFSET($A$1,ROW()-1,8),0)))))))</f>
        <v/>
      </c>
      <c r="AG16" s="62">
        <f>IF($V16&lt;&gt;"Sub","",N($X16)*IF(AND(ISNUMBER($G16),$G16&lt;=IF($S16=MesCiclo,InicioCiclo,$S16+MOD(2-WEEKDAY($S16),7))+27),1,MIN(1,MAX(0,IF(ISNUMBER(OFFSET($A$1,ROW()-1,11)),OFFSET($A$1,ROW()-1,11),IF(ISNUMBER(OFFSET($A$1,ROW()-1,10)),OFFSET($A$1,ROW()-1,10),IF(ISNUMBER(OFFSET($A$1,ROW()-1,9)),OFFSET($A$1,ROW()-1,9),IF(ISNUMBER(OFFSET($A$1,ROW()-1,8)),OFFSET($A$1,ROW()-1,8),0))))))))</f>
        <v/>
      </c>
      <c r="AH16" s="62">
        <f>IF($V16="","",IF(AND(ISNUMBER($G16),$G16&lt;=IF($S16=MesCiclo,InicioCiclo,$S16+MOD(2-WEEKDAY($S16),7))+6),1,IF(N($W16)&gt;0,MIN(1,SUMIFS($AD$5:$AD$1000,$U$5:$U$1000,ROW(),$V$5:$V$1000,"Sub")),$Z16)))</f>
        <v/>
      </c>
      <c r="AI16" s="62">
        <f>IF($V16="","",IF(AND(ISNUMBER($G16),$G16&lt;=IF($S16=MesCiclo,InicioCiclo,$S16+MOD(2-WEEKDAY($S16),7))+13),1,IF(N($W16)&gt;0,MIN(1,SUMIFS($AE$5:$AE$1000,$U$5:$U$1000,ROW(),$V$5:$V$1000,"Sub")),$AA16)))</f>
        <v/>
      </c>
      <c r="AJ16" s="62">
        <f>IF($V16="","",IF(AND(ISNUMBER($G16),$G16&lt;=IF($S16=MesCiclo,InicioCiclo,$S16+MOD(2-WEEKDAY($S16),7))+20),1,IF(N($W16)&gt;0,MIN(1,SUMIFS($AF$5:$AF$1000,$U$5:$U$1000,ROW(),$V$5:$V$1000,"Sub")),$AB16)))</f>
        <v/>
      </c>
      <c r="AK16" s="62">
        <f>IF($V16="","",IF(AND(ISNUMBER($G16),$G16&lt;=IF($S16=MesCiclo,InicioCiclo,$S16+MOD(2-WEEKDAY($S16),7))+27),1,IF(N($W16)&gt;0,MIN(1,SUMIFS($AG$5:$AG$1000,$U$5:$U$1000,ROW(),$V$5:$V$1000,"Sub")),$AC16)))</f>
        <v/>
      </c>
      <c r="AL16" s="62">
        <f>IF($V16&lt;&gt;"Macro","",IF(COUNTIFS($S$5:$S$1000,$S16,$V$5:$V$1000,"Macro",$H$5:$H$1000,"&gt;0")=0,1/COUNTIFS($S$5:$S$1000,$S16,$V$5:$V$1000,"Macro"),IF(AND(ISNUMBER($H16),N($H16)&gt;0),$H16,SUMIFS($H$5:$H$1000,$S$5:$S$1000,$S16,$V$5:$V$1000,"Macro")/COUNTIFS($S$5:$S$1000,$S16,$V$5:$V$1000,"Macro",$H$5:$H$1000,"&gt;0"))/(COUNTIFS($S$5:$S$1000,$S16,$V$5:$V$1000,"Macro")*SUMIFS($H$5:$H$1000,$S$5:$S$1000,$S16,$V$5:$V$1000,"Macro")/COUNTIFS($S$5:$S$1000,$S16,$V$5:$V$1000,"Macro",$H$5:$H$1000,"&gt;0"))))</f>
        <v/>
      </c>
      <c r="AM16" s="62" t="n"/>
      <c r="AN16" s="62" t="n"/>
      <c r="AO16" s="62" t="n"/>
      <c r="AP16" s="62" t="n"/>
      <c r="AQ16" s="62">
        <f>IF(LEFT($C16,11)="[Jefatura] ",IFERROR(MATCH("Asistente Técnico de Riesgo|"&amp;MID($C16,12,500),rDname_ADM,0),0),"")</f>
        <v/>
      </c>
      <c r="AR16" s="62">
        <f>IF(N($AQ16)&gt;0,INDEX(rIni_ADM,$AQ16),IF(ISNUMBER($E16),$E16,""))</f>
        <v/>
      </c>
      <c r="AS16" s="62">
        <f>IF(N($AQ16)&gt;0,INDEX(rLim_ADM,$AQ16),IF(ISNUMBER($F16),$F16,""))</f>
        <v/>
      </c>
    </row>
    <row r="17">
      <c r="A17" s="56">
        <f>IF(NOT((COUNTA($B17:$D17)+COUNTA($G17:$H17)+COUNTA($Q17))&gt;0),"",IF($V17="Macro",COUNTIFS($V$5:$V17,"Macro",$S$5:$S17,$S17),IF(N($U17)=0,"?",COUNTIFS(INDEX($V$5:$V$1000,1):INDEX($V$5:$V$1000,$U17-4),"Macro",INDEX($S$5:$S$1000,1):INDEX($S$5:$S$1000,$U17-4),INDEX($S$5:$S$1000,$U17-4))&amp;"."&amp;COUNTIFS($U$5:$U17,$U17,$V$5:$V17,"Sub"))))</f>
        <v/>
      </c>
      <c r="B17" s="57" t="n"/>
      <c r="C17" s="58" t="n"/>
      <c r="D17" s="58" t="n"/>
      <c r="E17" s="59">
        <f>IF(N($AQ17)&gt;0,INDEX(rIni_ADM,$AQ17),"")</f>
        <v/>
      </c>
      <c r="F17" s="59">
        <f>IF(N($AQ17)&gt;0,INDEX(rLim_ADM,$AQ17),"")</f>
        <v/>
      </c>
      <c r="G17" s="59" t="n"/>
      <c r="H17" s="60" t="n"/>
      <c r="I17" s="60">
        <f>IF(N($W17)=0,"",IF(AND($S17=MesCiclo,1&gt;SemanaActual),"",MIN(1,SUMIFS(OFFSET($A$1,ROW(),29,1000-ROW(),1),OFFSET($A$1,ROW(),20,1000-ROW(),1),ROW(),OFFSET($A$1,ROW(),21,1000-ROW(),1),"Sub"))))</f>
        <v/>
      </c>
      <c r="J17" s="60">
        <f>IF(N($W17)=0,"",IF(AND($S17=MesCiclo,2&gt;SemanaActual),"",MIN(1,SUMIFS(OFFSET($A$1,ROW(),30,1000-ROW(),1),OFFSET($A$1,ROW(),20,1000-ROW(),1),ROW(),OFFSET($A$1,ROW(),21,1000-ROW(),1),"Sub"))))</f>
        <v/>
      </c>
      <c r="K17" s="60">
        <f>IF(N($W17)=0,"",IF(AND($S17=MesCiclo,3&gt;SemanaActual),"",MIN(1,SUMIFS(OFFSET($A$1,ROW(),31,1000-ROW(),1),OFFSET($A$1,ROW(),20,1000-ROW(),1),ROW(),OFFSET($A$1,ROW(),21,1000-ROW(),1),"Sub"))))</f>
        <v/>
      </c>
      <c r="L17" s="60">
        <f>IF(N($W17)=0,"",IF(AND($S17=MesCiclo,4&gt;SemanaActual),"",MIN(1,SUMIFS(OFFSET($A$1,ROW(),32,1000-ROW(),1),OFFSET($A$1,ROW(),20,1000-ROW(),1),ROW(),OFFSET($A$1,ROW(),21,1000-ROW(),1),"Sub"))))</f>
        <v/>
      </c>
      <c r="M17" s="61">
        <f>IF(OR(NOT((COUNTA($B17:$D17)+COUNTA($G17:$H17)+COUNTA($Q17))&gt;0),$V17="Sub"),"",IF(ISNUMBER($G17),1,IF(N($W17)&gt;0,MIN(1,SUMIFS($Y$5:$Y$1000,$U$5:$U$1000,ROW(),$V$5:$V$1000,"Sub")),$Y17)))</f>
        <v/>
      </c>
      <c r="N17" s="56">
        <f>IF(OR($M17="",$V17="Sub"),"",IF($M17&gt;=1,"Completado",IF($M17&gt;0,"En curso","Pendiente")))</f>
        <v/>
      </c>
      <c r="O17" s="56">
        <f>IF(OR(NOT((COUNTA($B17:$D17)+COUNTA($G17:$H17)+COUNTA($Q17))&gt;0),$V17="Sub"),"",IF(ISNUMBER($G17),IF(AND(ISNUMBER($AS17),$G17&gt;$AS17),"Cumplida con "&amp;($G17-$AS17)&amp;IF($G17-$AS17=1," día"," días")&amp;" de retraso","Cumplida"),IF(N($M17)&gt;=1,"Cumplida",IF(NOT(ISNUMBER($AS17)),"Sin fecha límite",IF($AS17&lt;FechaRef,"Vencida hace "&amp;(FechaRef-$AS17)&amp;IF(FechaRef-$AS17=1," día"," días"),IF($AS17=FechaRef,"Vence hoy",IF($AS17-FechaRef&lt;=DiasAlerta,"Vence en "&amp;($AS17-FechaRef)&amp;IF($AS17-FechaRef=1," día"," días"),"En plazo")))))))</f>
        <v/>
      </c>
      <c r="P17" s="62" t="n"/>
      <c r="Q17" s="58" t="n"/>
      <c r="R17" s="63">
        <f>IF(NOT((COUNTA($B17:$D17)+COUNTA($G17:$H17)+COUNTA($Q17))&gt;0),"",IF((IF($C17="","Falta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 OK","⚠ "&amp;LEFT(IF($C17="","Falta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",""),LEN(IF($C17="","Falta el nombre de la actividad"&amp;" · ","")&amp;IF(AND($V17="Sub",N($U17)=0),"Subactividad sin macroactividad arriba"&amp;" · ","")&amp;IF(AND($V17="Macro",$AR17=""),"Sin fecha de inicio"&amp;" · ","")&amp;IF(AND($V17="Macro",$AS17=""),"Sin fecha límite"&amp;" · ","")&amp;IF(AND(LEFT($C17,11)="[Jefatura] ",N($AQ17)=0),"No se encuentra en la hoja de la jefatura (elíjala de nuevo en la lista)"&amp;" · ","")&amp;IF(OR(AND($E17&lt;&gt;"",NOT(ISNUMBER($E17))),AND($F17&lt;&gt;"",NOT(ISNUMBER($F17))),AND($G17&lt;&gt;"",NOT(ISNUMBER($G17)))),"Fecha no válida"&amp;" · ","")&amp;IF(AND(ISNUMBER($AR17),ISNUMBER($AS17),$AR17&gt;$AS17),"Inicio posterior a fecha límite"&amp;" · ","")&amp;IF(AND($V17="Macro",$H17&lt;&gt;"",OR(NOT(ISNUMBER($H17)),$H17&lt;0,$H17&gt;1)),"Peso fuera de rango"&amp;" · ","")&amp;IF(AND($V17="Sub",$H17&lt;&gt;"",OR(NOT(ISNUMBER($H17)),$H17&lt;0,$H17&gt;1)),"% de la subactividad fuera de rango 0-100%"&amp;" · ","")&amp;IF(AND(N($W17)&gt;0,SUMIFS($H$5:$H$1000,$U$5:$U$1000,ROW(),$V$5:$V$1000,"Sub")&gt;1.0001),"Las subactividades suman más de 100%"&amp;" · ","")&amp;IF(AND(N($W17)&gt;0,OR(IF(ISNUMBER($I17),ROUND($I17,6)&lt;&gt;ROUND(MIN(1,SUMIFS($AD$5:$AD$1000,$U$5:$U$1000,ROW(),$V$5:$V$1000,"Sub")),6),FALSE),IF(ISNUMBER($J17),ROUND($J17,6)&lt;&gt;ROUND(MIN(1,SUMIFS($AE$5:$AE$1000,$U$5:$U$1000,ROW(),$V$5:$V$1000,"Sub")),6),FALSE),IF(ISNUMBER($K17),ROUND($K17,6)&lt;&gt;ROUND(MIN(1,SUMIFS($AF$5:$AF$1000,$U$5:$U$1000,ROW(),$V$5:$V$1000,"Sub")),6),FALSE),IF(ISNUMBER($L17),ROUND($L17,6)&lt;&gt;ROUND(MIN(1,SUMIFS($AG$5:$AG$1000,$U$5:$U$1000,ROW(),$V$5:$V$1000,"Sub")),6),FALSE))),"Con subactividades: no escriba en las semanas (se llenan solas)"&amp;" · ","")&amp;IF((COUNTIF($I17:$L17,"&gt;1")+COUNTIF($I17:$L17,"&lt;0")+SUMPRODUCT((LEN($I17:$L17)&gt;0)*NOT(ISNUMBER($I17:$L17))))&gt;0,"Avance fuera de rango 0-100%"&amp;" · ","")&amp;IF(OR(AND(ISNUMBER($J17),$J17&lt;N($I17)),AND(ISNUMBER($K17),$K17&lt;MAX($I17:$J17)),AND(ISNUMBER($L17),$L17&lt;MAX($I17:$K17))),"Avance semanal decreciente"&amp;" · ","")&amp;IF(AND(ISNUMBER($AS17),$AS17&lt;FechaRef,IF($V17="Sub",1,N($M17))&lt;1),"Vencida"&amp;" · ","")&amp;IF(AND(ObsObligatoria="Sí",ISNUMBER($AS17),$AS17&lt;FechaRef,IF($V17="Sub",1,N($M17))&lt;1,$Q17=""),"Vencida sin observación"&amp;" · ",""))-3)))</f>
        <v/>
      </c>
      <c r="S17" s="64">
        <f>IF(NOT((COUNTA($B17:$D17)+COUNTA($G17:$H17)+COUNTA($Q17))&gt;0),"",IF(AND($V17="Sub",N($U17)&gt;0),IF(ISNUMBER(INDEX($AR$5:$AR$1000,$U17-4)),DATE(YEAR(INDEX($AR$5:$AR$1000,$U17-4)),MONTH(INDEX($AR$5:$AR$1000,$U17-4)),1),IF(ISNUMBER(INDEX($AS$5:$AS$1000,$U17-4)),DATE(YEAR(INDEX($AS$5:$AS$1000,$U17-4)),MONTH(INDEX($AS$5:$AS$1000,$U17-4)),1),MesCiclo)),IF(ISNUMBER($AR17),DATE(YEAR($AR17),MONTH($AR17),1),IF(ISNUMBER($AS17),DATE(YEAR($AS17),MONTH($AS17),1),MesCiclo))))</f>
        <v/>
      </c>
      <c r="T17" s="62">
        <f>IF(OR($S17="",$S17&lt;&gt;MesCiclo,$V17&lt;&gt;"Macro"),"",COUNTIFS($S$5:$S17,MesCiclo,$V$5:$V17,"Macro"))</f>
        <v/>
      </c>
      <c r="U17" s="62">
        <f>IF($V17="","",IF($V17="Macro",ROW(),IFERROR(LOOKUP(2,1/($V$5:$V17="Macro"),ROW($V$5:$V17)),0)))</f>
        <v/>
      </c>
      <c r="V17" s="62">
        <f>IF(NOT((COUNTA($B17:$D17)+COUNTA($G17:$H17)+COUNTA($Q17))&gt;0),"",IF($B17="Subactividad","Sub","Macro"))</f>
        <v/>
      </c>
      <c r="W17" s="62">
        <f>IF($V17="Macro",COUNTIFS($U$5:$U$1000,ROW(),$V$5:$V$1000,"Sub"),"")</f>
        <v/>
      </c>
      <c r="X17" s="62">
        <f>IF($V17&lt;&gt;"Sub","",IF(AND(ISNUMBER($H17),N($H17)&gt;0),$H17,IFERROR(MAX(0,1-SUMIFS($H$5:$H$1000,$U$5:$U$1000,$U17,$V$5:$V$1000,"Sub"))/(COUNTIFS($U$5:$U$1000,$U17,$V$5:$V$1000,"Sub")-COUNTIFS($U$5:$U$1000,$U17,$V$5:$V$1000,"Sub",$H$5:$H$1000,"&gt;0")),0)))</f>
        <v/>
      </c>
      <c r="Y17" s="62">
        <f>IF($V17="","",IF($V17="Sub",N($X17)*IF(ISNUMBER($G17),1,MIN(1,MAX(0,IFERROR(LOOKUP(2,1/ISNUMBER($I17:$L17),$I17:$L17),0)))),IF(ISNUMBER($G17),1,IFERROR(LOOKUP(2,1/($I17:$L17&lt;&gt;""),$I17:$L17),0))))</f>
        <v/>
      </c>
      <c r="Z17" s="62">
        <f>IF($V17="","",IF(AND(ISNUMBER($G17),$G17&lt;=IF($S17=MesCiclo,InicioCiclo,$S17+MOD(2-WEEKDAY($S17),7))+6),1,IF(ISNUMBER($I17),$I17,0)))</f>
        <v/>
      </c>
      <c r="AA17" s="62">
        <f>IF($V17="","",IF(AND(ISNUMBER($G17),$G17&lt;=IF($S17=MesCiclo,InicioCiclo,$S17+MOD(2-WEEKDAY($S17),7))+13),1,IF(ISNUMBER($J17),$J17,$Z17)))</f>
        <v/>
      </c>
      <c r="AB17" s="62">
        <f>IF($V17="","",IF(AND(ISNUMBER($G17),$G17&lt;=IF($S17=MesCiclo,InicioCiclo,$S17+MOD(2-WEEKDAY($S17),7))+20),1,IF(ISNUMBER($K17),$K17,$AA17)))</f>
        <v/>
      </c>
      <c r="AC17" s="62">
        <f>IF($V17="","",IF(AND(ISNUMBER($G17),$G17&lt;=IF($S17=MesCiclo,InicioCiclo,$S17+MOD(2-WEEKDAY($S17),7))+27),1,IF(ISNUMBER($L17),$L17,$AB17)))</f>
        <v/>
      </c>
      <c r="AD17" s="62">
        <f>IF($V17&lt;&gt;"Sub","",N($X17)*IF(AND(ISNUMBER($G17),$G17&lt;=IF($S17=MesCiclo,InicioCiclo,$S17+MOD(2-WEEKDAY($S17),7))+6),1,MIN(1,MAX(0,IF(ISNUMBER(OFFSET($A$1,ROW()-1,8)),OFFSET($A$1,ROW()-1,8),0)))))</f>
        <v/>
      </c>
      <c r="AE17" s="62">
        <f>IF($V17&lt;&gt;"Sub","",N($X17)*IF(AND(ISNUMBER($G17),$G17&lt;=IF($S17=MesCiclo,InicioCiclo,$S17+MOD(2-WEEKDAY($S17),7))+13),1,MIN(1,MAX(0,IF(ISNUMBER(OFFSET($A$1,ROW()-1,9)),OFFSET($A$1,ROW()-1,9),IF(ISNUMBER(OFFSET($A$1,ROW()-1,8)),OFFSET($A$1,ROW()-1,8),0))))))</f>
        <v/>
      </c>
      <c r="AF17" s="62">
        <f>IF($V17&lt;&gt;"Sub","",N($X17)*IF(AND(ISNUMBER($G17),$G17&lt;=IF($S17=MesCiclo,InicioCiclo,$S17+MOD(2-WEEKDAY($S17),7))+20),1,MIN(1,MAX(0,IF(ISNUMBER(OFFSET($A$1,ROW()-1,10)),OFFSET($A$1,ROW()-1,10),IF(ISNUMBER(OFFSET($A$1,ROW()-1,9)),OFFSET($A$1,ROW()-1,9),IF(ISNUMBER(OFFSET($A$1,ROW()-1,8)),OFFSET($A$1,ROW()-1,8),0)))))))</f>
        <v/>
      </c>
      <c r="AG17" s="62">
        <f>IF($V17&lt;&gt;"Sub","",N($X17)*IF(AND(ISNUMBER($G17),$G17&lt;=IF($S17=MesCiclo,InicioCiclo,$S17+MOD(2-WEEKDAY($S17),7))+27),1,MIN(1,MAX(0,IF(ISNUMBER(OFFSET($A$1,ROW()-1,11)),OFFSET($A$1,ROW()-1,11),IF(ISNUMBER(OFFSET($A$1,ROW()-1,10)),OFFSET($A$1,ROW()-1,10),IF(ISNUMBER(OFFSET($A$1,ROW()-1,9)),OFFSET($A$1,ROW()-1,9),IF(ISNUMBER(OFFSET($A$1,ROW()-1,8)),OFFSET($A$1,ROW()-1,8),0))))))))</f>
        <v/>
      </c>
      <c r="AH17" s="62">
        <f>IF($V17="","",IF(AND(ISNUMBER($G17),$G17&lt;=IF($S17=MesCiclo,InicioCiclo,$S17+MOD(2-WEEKDAY($S17),7))+6),1,IF(N($W17)&gt;0,MIN(1,SUMIFS($AD$5:$AD$1000,$U$5:$U$1000,ROW(),$V$5:$V$1000,"Sub")),$Z17)))</f>
        <v/>
      </c>
      <c r="AI17" s="62">
        <f>IF($V17="","",IF(AND(ISNUMBER($G17),$G17&lt;=IF($S17=MesCiclo,InicioCiclo,$S17+MOD(2-WEEKDAY($S17),7))+13),1,IF(N($W17)&gt;0,MIN(1,SUMIFS($AE$5:$AE$1000,$U$5:$U$1000,ROW(),$V$5:$V$1000,"Sub")),$AA17)))</f>
        <v/>
      </c>
      <c r="AJ17" s="62">
        <f>IF($V17="","",IF(AND(ISNUMBER($G17),$G17&lt;=IF($S17=MesCiclo,InicioCiclo,$S17+MOD(2-WEEKDAY($S17),7))+20),1,IF(N($W17)&gt;0,MIN(1,SUMIFS($AF$5:$AF$1000,$U$5:$U$1000,ROW(),$V$5:$V$1000,"Sub")),$AB17)))</f>
        <v/>
      </c>
      <c r="AK17" s="62">
        <f>IF($V17="","",IF(AND(ISNUMBER($G17),$G17&lt;=IF($S17=MesCiclo,InicioCiclo,$S17+MOD(2-WEEKDAY($S17),7))+27),1,IF(N($W17)&gt;0,MIN(1,SUMIFS($AG$5:$AG$1000,$U$5:$U$1000,ROW(),$V$5:$V$1000,"Sub")),$AC17)))</f>
        <v/>
      </c>
      <c r="AL17" s="62">
        <f>IF($V17&lt;&gt;"Macro","",IF(COUNTIFS($S$5:$S$1000,$S17,$V$5:$V$1000,"Macro",$H$5:$H$1000,"&gt;0")=0,1/COUNTIFS($S$5:$S$1000,$S17,$V$5:$V$1000,"Macro"),IF(AND(ISNUMBER($H17),N($H17)&gt;0),$H17,SUMIFS($H$5:$H$1000,$S$5:$S$1000,$S17,$V$5:$V$1000,"Macro")/COUNTIFS($S$5:$S$1000,$S17,$V$5:$V$1000,"Macro",$H$5:$H$1000,"&gt;0"))/(COUNTIFS($S$5:$S$1000,$S17,$V$5:$V$1000,"Macro")*SUMIFS($H$5:$H$1000,$S$5:$S$1000,$S17,$V$5:$V$1000,"Macro")/COUNTIFS($S$5:$S$1000,$S17,$V$5:$V$1000,"Macro",$H$5:$H$1000,"&gt;0"))))</f>
        <v/>
      </c>
      <c r="AM17" s="62" t="n"/>
      <c r="AN17" s="62" t="n"/>
      <c r="AO17" s="62" t="n"/>
      <c r="AP17" s="62" t="n"/>
      <c r="AQ17" s="62">
        <f>IF(LEFT($C17,11)="[Jefatura] ",IFERROR(MATCH("Asistente Técnico de Riesgo|"&amp;MID($C17,12,500),rDname_ADM,0),0),"")</f>
        <v/>
      </c>
      <c r="AR17" s="62">
        <f>IF(N($AQ17)&gt;0,INDEX(rIni_ADM,$AQ17),IF(ISNUMBER($E17),$E17,""))</f>
        <v/>
      </c>
      <c r="AS17" s="62">
        <f>IF(N($AQ17)&gt;0,INDEX(rLim_ADM,$AQ17),IF(ISNUMBER($F17),$F17,""))</f>
        <v/>
      </c>
    </row>
    <row r="18">
      <c r="A18" s="56">
        <f>IF(NOT((COUNTA($B18:$D18)+COUNTA($G18:$H18)+COUNTA($Q18))&gt;0),"",IF($V18="Macro",COUNTIFS($V$5:$V18,"Macro",$S$5:$S18,$S18),IF(N($U18)=0,"?",COUNTIFS(INDEX($V$5:$V$1000,1):INDEX($V$5:$V$1000,$U18-4),"Macro",INDEX($S$5:$S$1000,1):INDEX($S$5:$S$1000,$U18-4),INDEX($S$5:$S$1000,$U18-4))&amp;"."&amp;COUNTIFS($U$5:$U18,$U18,$V$5:$V18,"Sub"))))</f>
        <v/>
      </c>
      <c r="B18" s="57" t="n"/>
      <c r="C18" s="58" t="n"/>
      <c r="D18" s="58" t="n"/>
      <c r="E18" s="59">
        <f>IF(N($AQ18)&gt;0,INDEX(rIni_ADM,$AQ18),"")</f>
        <v/>
      </c>
      <c r="F18" s="59">
        <f>IF(N($AQ18)&gt;0,INDEX(rLim_ADM,$AQ18),"")</f>
        <v/>
      </c>
      <c r="G18" s="59" t="n"/>
      <c r="H18" s="60" t="n"/>
      <c r="I18" s="60">
        <f>IF(N($W18)=0,"",IF(AND($S18=MesCiclo,1&gt;SemanaActual),"",MIN(1,SUMIFS(OFFSET($A$1,ROW(),29,1000-ROW(),1),OFFSET($A$1,ROW(),20,1000-ROW(),1),ROW(),OFFSET($A$1,ROW(),21,1000-ROW(),1),"Sub"))))</f>
        <v/>
      </c>
      <c r="J18" s="60">
        <f>IF(N($W18)=0,"",IF(AND($S18=MesCiclo,2&gt;SemanaActual),"",MIN(1,SUMIFS(OFFSET($A$1,ROW(),30,1000-ROW(),1),OFFSET($A$1,ROW(),20,1000-ROW(),1),ROW(),OFFSET($A$1,ROW(),21,1000-ROW(),1),"Sub"))))</f>
        <v/>
      </c>
      <c r="K18" s="60">
        <f>IF(N($W18)=0,"",IF(AND($S18=MesCiclo,3&gt;SemanaActual),"",MIN(1,SUMIFS(OFFSET($A$1,ROW(),31,1000-ROW(),1),OFFSET($A$1,ROW(),20,1000-ROW(),1),ROW(),OFFSET($A$1,ROW(),21,1000-ROW(),1),"Sub"))))</f>
        <v/>
      </c>
      <c r="L18" s="60">
        <f>IF(N($W18)=0,"",IF(AND($S18=MesCiclo,4&gt;SemanaActual),"",MIN(1,SUMIFS(OFFSET($A$1,ROW(),32,1000-ROW(),1),OFFSET($A$1,ROW(),20,1000-ROW(),1),ROW(),OFFSET($A$1,ROW(),21,1000-ROW(),1),"Sub"))))</f>
        <v/>
      </c>
      <c r="M18" s="61">
        <f>IF(OR(NOT((COUNTA($B18:$D18)+COUNTA($G18:$H18)+COUNTA($Q18))&gt;0),$V18="Sub"),"",IF(ISNUMBER($G18),1,IF(N($W18)&gt;0,MIN(1,SUMIFS($Y$5:$Y$1000,$U$5:$U$1000,ROW(),$V$5:$V$1000,"Sub")),$Y18)))</f>
        <v/>
      </c>
      <c r="N18" s="56">
        <f>IF(OR($M18="",$V18="Sub"),"",IF($M18&gt;=1,"Completado",IF($M18&gt;0,"En curso","Pendiente")))</f>
        <v/>
      </c>
      <c r="O18" s="56">
        <f>IF(OR(NOT((COUNTA($B18:$D18)+COUNTA($G18:$H18)+COUNTA($Q18))&gt;0),$V18="Sub"),"",IF(ISNUMBER($G18),IF(AND(ISNUMBER($AS18),$G18&gt;$AS18),"Cumplida con "&amp;($G18-$AS18)&amp;IF($G18-$AS18=1," día"," días")&amp;" de retraso","Cumplida"),IF(N($M18)&gt;=1,"Cumplida",IF(NOT(ISNUMBER($AS18)),"Sin fecha límite",IF($AS18&lt;FechaRef,"Vencida hace "&amp;(FechaRef-$AS18)&amp;IF(FechaRef-$AS18=1," día"," días"),IF($AS18=FechaRef,"Vence hoy",IF($AS18-FechaRef&lt;=DiasAlerta,"Vence en "&amp;($AS18-FechaRef)&amp;IF($AS18-FechaRef=1," día"," días"),"En plazo")))))))</f>
        <v/>
      </c>
      <c r="P18" s="62" t="n"/>
      <c r="Q18" s="58" t="n"/>
      <c r="R18" s="63">
        <f>IF(NOT((COUNTA($B18:$D18)+COUNTA($G18:$H18)+COUNTA($Q18))&gt;0),"",IF((IF($C18="","Falta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 OK","⚠ "&amp;LEFT(IF($C18="","Falta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",""),LEN(IF($C18="","Falta el nombre de la actividad"&amp;" · ","")&amp;IF(AND($V18="Sub",N($U18)=0),"Subactividad sin macroactividad arriba"&amp;" · ","")&amp;IF(AND($V18="Macro",$AR18=""),"Sin fecha de inicio"&amp;" · ","")&amp;IF(AND($V18="Macro",$AS18=""),"Sin fecha límite"&amp;" · ","")&amp;IF(AND(LEFT($C18,11)="[Jefatura] ",N($AQ18)=0),"No se encuentra en la hoja de la jefatura (elíjala de nuevo en la lista)"&amp;" · ","")&amp;IF(OR(AND($E18&lt;&gt;"",NOT(ISNUMBER($E18))),AND($F18&lt;&gt;"",NOT(ISNUMBER($F18))),AND($G18&lt;&gt;"",NOT(ISNUMBER($G18)))),"Fecha no válida"&amp;" · ","")&amp;IF(AND(ISNUMBER($AR18),ISNUMBER($AS18),$AR18&gt;$AS18),"Inicio posterior a fecha límite"&amp;" · ","")&amp;IF(AND($V18="Macro",$H18&lt;&gt;"",OR(NOT(ISNUMBER($H18)),$H18&lt;0,$H18&gt;1)),"Peso fuera de rango"&amp;" · ","")&amp;IF(AND($V18="Sub",$H18&lt;&gt;"",OR(NOT(ISNUMBER($H18)),$H18&lt;0,$H18&gt;1)),"% de la subactividad fuera de rango 0-100%"&amp;" · ","")&amp;IF(AND(N($W18)&gt;0,SUMIFS($H$5:$H$1000,$U$5:$U$1000,ROW(),$V$5:$V$1000,"Sub")&gt;1.0001),"Las subactividades suman más de 100%"&amp;" · ","")&amp;IF(AND(N($W18)&gt;0,OR(IF(ISNUMBER($I18),ROUND($I18,6)&lt;&gt;ROUND(MIN(1,SUMIFS($AD$5:$AD$1000,$U$5:$U$1000,ROW(),$V$5:$V$1000,"Sub")),6),FALSE),IF(ISNUMBER($J18),ROUND($J18,6)&lt;&gt;ROUND(MIN(1,SUMIFS($AE$5:$AE$1000,$U$5:$U$1000,ROW(),$V$5:$V$1000,"Sub")),6),FALSE),IF(ISNUMBER($K18),ROUND($K18,6)&lt;&gt;ROUND(MIN(1,SUMIFS($AF$5:$AF$1000,$U$5:$U$1000,ROW(),$V$5:$V$1000,"Sub")),6),FALSE),IF(ISNUMBER($L18),ROUND($L18,6)&lt;&gt;ROUND(MIN(1,SUMIFS($AG$5:$AG$1000,$U$5:$U$1000,ROW(),$V$5:$V$1000,"Sub")),6),FALSE))),"Con subactividades: no escriba en las semanas (se llenan solas)"&amp;" · ","")&amp;IF((COUNTIF($I18:$L18,"&gt;1")+COUNTIF($I18:$L18,"&lt;0")+SUMPRODUCT((LEN($I18:$L18)&gt;0)*NOT(ISNUMBER($I18:$L18))))&gt;0,"Avance fuera de rango 0-100%"&amp;" · ","")&amp;IF(OR(AND(ISNUMBER($J18),$J18&lt;N($I18)),AND(ISNUMBER($K18),$K18&lt;MAX($I18:$J18)),AND(ISNUMBER($L18),$L18&lt;MAX($I18:$K18))),"Avance semanal decreciente"&amp;" · ","")&amp;IF(AND(ISNUMBER($AS18),$AS18&lt;FechaRef,IF($V18="Sub",1,N($M18))&lt;1),"Vencida"&amp;" · ","")&amp;IF(AND(ObsObligatoria="Sí",ISNUMBER($AS18),$AS18&lt;FechaRef,IF($V18="Sub",1,N($M18))&lt;1,$Q18=""),"Vencida sin observación"&amp;" · ",""))-3)))</f>
        <v/>
      </c>
      <c r="S18" s="64">
        <f>IF(NOT((COUNTA($B18:$D18)+COUNTA($G18:$H18)+COUNTA($Q18))&gt;0),"",IF(AND($V18="Sub",N($U18)&gt;0),IF(ISNUMBER(INDEX($AR$5:$AR$1000,$U18-4)),DATE(YEAR(INDEX($AR$5:$AR$1000,$U18-4)),MONTH(INDEX($AR$5:$AR$1000,$U18-4)),1),IF(ISNUMBER(INDEX($AS$5:$AS$1000,$U18-4)),DATE(YEAR(INDEX($AS$5:$AS$1000,$U18-4)),MONTH(INDEX($AS$5:$AS$1000,$U18-4)),1),MesCiclo)),IF(ISNUMBER($AR18),DATE(YEAR($AR18),MONTH($AR18),1),IF(ISNUMBER($AS18),DATE(YEAR($AS18),MONTH($AS18),1),MesCiclo))))</f>
        <v/>
      </c>
      <c r="T18" s="62">
        <f>IF(OR($S18="",$S18&lt;&gt;MesCiclo,$V18&lt;&gt;"Macro"),"",COUNTIFS($S$5:$S18,MesCiclo,$V$5:$V18,"Macro"))</f>
        <v/>
      </c>
      <c r="U18" s="62">
        <f>IF($V18="","",IF($V18="Macro",ROW(),IFERROR(LOOKUP(2,1/($V$5:$V18="Macro"),ROW($V$5:$V18)),0)))</f>
        <v/>
      </c>
      <c r="V18" s="62">
        <f>IF(NOT((COUNTA($B18:$D18)+COUNTA($G18:$H18)+COUNTA($Q18))&gt;0),"",IF($B18="Subactividad","Sub","Macro"))</f>
        <v/>
      </c>
      <c r="W18" s="62">
        <f>IF($V18="Macro",COUNTIFS($U$5:$U$1000,ROW(),$V$5:$V$1000,"Sub"),"")</f>
        <v/>
      </c>
      <c r="X18" s="62">
        <f>IF($V18&lt;&gt;"Sub","",IF(AND(ISNUMBER($H18),N($H18)&gt;0),$H18,IFERROR(MAX(0,1-SUMIFS($H$5:$H$1000,$U$5:$U$1000,$U18,$V$5:$V$1000,"Sub"))/(COUNTIFS($U$5:$U$1000,$U18,$V$5:$V$1000,"Sub")-COUNTIFS($U$5:$U$1000,$U18,$V$5:$V$1000,"Sub",$H$5:$H$1000,"&gt;0")),0)))</f>
        <v/>
      </c>
      <c r="Y18" s="62">
        <f>IF($V18="","",IF($V18="Sub",N($X18)*IF(ISNUMBER($G18),1,MIN(1,MAX(0,IFERROR(LOOKUP(2,1/ISNUMBER($I18:$L18),$I18:$L18),0)))),IF(ISNUMBER($G18),1,IFERROR(LOOKUP(2,1/($I18:$L18&lt;&gt;""),$I18:$L18),0))))</f>
        <v/>
      </c>
      <c r="Z18" s="62">
        <f>IF($V18="","",IF(AND(ISNUMBER($G18),$G18&lt;=IF($S18=MesCiclo,InicioCiclo,$S18+MOD(2-WEEKDAY($S18),7))+6),1,IF(ISNUMBER($I18),$I18,0)))</f>
        <v/>
      </c>
      <c r="AA18" s="62">
        <f>IF($V18="","",IF(AND(ISNUMBER($G18),$G18&lt;=IF($S18=MesCiclo,InicioCiclo,$S18+MOD(2-WEEKDAY($S18),7))+13),1,IF(ISNUMBER($J18),$J18,$Z18)))</f>
        <v/>
      </c>
      <c r="AB18" s="62">
        <f>IF($V18="","",IF(AND(ISNUMBER($G18),$G18&lt;=IF($S18=MesCiclo,InicioCiclo,$S18+MOD(2-WEEKDAY($S18),7))+20),1,IF(ISNUMBER($K18),$K18,$AA18)))</f>
        <v/>
      </c>
      <c r="AC18" s="62">
        <f>IF($V18="","",IF(AND(ISNUMBER($G18),$G18&lt;=IF($S18=MesCiclo,InicioCiclo,$S18+MOD(2-WEEKDAY($S18),7))+27),1,IF(ISNUMBER($L18),$L18,$AB18)))</f>
        <v/>
      </c>
      <c r="AD18" s="62">
        <f>IF($V18&lt;&gt;"Sub","",N($X18)*IF(AND(ISNUMBER($G18),$G18&lt;=IF($S18=MesCiclo,InicioCiclo,$S18+MOD(2-WEEKDAY($S18),7))+6),1,MIN(1,MAX(0,IF(ISNUMBER(OFFSET($A$1,ROW()-1,8)),OFFSET($A$1,ROW()-1,8),0)))))</f>
        <v/>
      </c>
      <c r="AE18" s="62">
        <f>IF($V18&lt;&gt;"Sub","",N($X18)*IF(AND(ISNUMBER($G18),$G18&lt;=IF($S18=MesCiclo,InicioCiclo,$S18+MOD(2-WEEKDAY($S18),7))+13),1,MIN(1,MAX(0,IF(ISNUMBER(OFFSET($A$1,ROW()-1,9)),OFFSET($A$1,ROW()-1,9),IF(ISNUMBER(OFFSET($A$1,ROW()-1,8)),OFFSET($A$1,ROW()-1,8),0))))))</f>
        <v/>
      </c>
      <c r="AF18" s="62">
        <f>IF($V18&lt;&gt;"Sub","",N($X18)*IF(AND(ISNUMBER($G18),$G18&lt;=IF($S18=MesCiclo,InicioCiclo,$S18+MOD(2-WEEKDAY($S18),7))+20),1,MIN(1,MAX(0,IF(ISNUMBER(OFFSET($A$1,ROW()-1,10)),OFFSET($A$1,ROW()-1,10),IF(ISNUMBER(OFFSET($A$1,ROW()-1,9)),OFFSET($A$1,ROW()-1,9),IF(ISNUMBER(OFFSET($A$1,ROW()-1,8)),OFFSET($A$1,ROW()-1,8),0)))))))</f>
        <v/>
      </c>
      <c r="AG18" s="62">
        <f>IF($V18&lt;&gt;"Sub","",N($X18)*IF(AND(ISNUMBER($G18),$G18&lt;=IF($S18=MesCiclo,InicioCiclo,$S18+MOD(2-WEEKDAY($S18),7))+27),1,MIN(1,MAX(0,IF(ISNUMBER(OFFSET($A$1,ROW()-1,11)),OFFSET($A$1,ROW()-1,11),IF(ISNUMBER(OFFSET($A$1,ROW()-1,10)),OFFSET($A$1,ROW()-1,10),IF(ISNUMBER(OFFSET($A$1,ROW()-1,9)),OFFSET($A$1,ROW()-1,9),IF(ISNUMBER(OFFSET($A$1,ROW()-1,8)),OFFSET($A$1,ROW()-1,8),0))))))))</f>
        <v/>
      </c>
      <c r="AH18" s="62">
        <f>IF($V18="","",IF(AND(ISNUMBER($G18),$G18&lt;=IF($S18=MesCiclo,InicioCiclo,$S18+MOD(2-WEEKDAY($S18),7))+6),1,IF(N($W18)&gt;0,MIN(1,SUMIFS($AD$5:$AD$1000,$U$5:$U$1000,ROW(),$V$5:$V$1000,"Sub")),$Z18)))</f>
        <v/>
      </c>
      <c r="AI18" s="62">
        <f>IF($V18="","",IF(AND(ISNUMBER($G18),$G18&lt;=IF($S18=MesCiclo,InicioCiclo,$S18+MOD(2-WEEKDAY($S18),7))+13),1,IF(N($W18)&gt;0,MIN(1,SUMIFS($AE$5:$AE$1000,$U$5:$U$1000,ROW(),$V$5:$V$1000,"Sub")),$AA18)))</f>
        <v/>
      </c>
      <c r="AJ18" s="62">
        <f>IF($V18="","",IF(AND(ISNUMBER($G18),$G18&lt;=IF($S18=MesCiclo,InicioCiclo,$S18+MOD(2-WEEKDAY($S18),7))+20),1,IF(N($W18)&gt;0,MIN(1,SUMIFS($AF$5:$AF$1000,$U$5:$U$1000,ROW(),$V$5:$V$1000,"Sub")),$AB18)))</f>
        <v/>
      </c>
      <c r="AK18" s="62">
        <f>IF($V18="","",IF(AND(ISNUMBER($G18),$G18&lt;=IF($S18=MesCiclo,InicioCiclo,$S18+MOD(2-WEEKDAY($S18),7))+27),1,IF(N($W18)&gt;0,MIN(1,SUMIFS($AG$5:$AG$1000,$U$5:$U$1000,ROW(),$V$5:$V$1000,"Sub")),$AC18)))</f>
        <v/>
      </c>
      <c r="AL18" s="62">
        <f>IF($V18&lt;&gt;"Macro","",IF(COUNTIFS($S$5:$S$1000,$S18,$V$5:$V$1000,"Macro",$H$5:$H$1000,"&gt;0")=0,1/COUNTIFS($S$5:$S$1000,$S18,$V$5:$V$1000,"Macro"),IF(AND(ISNUMBER($H18),N($H18)&gt;0),$H18,SUMIFS($H$5:$H$1000,$S$5:$S$1000,$S18,$V$5:$V$1000,"Macro")/COUNTIFS($S$5:$S$1000,$S18,$V$5:$V$1000,"Macro",$H$5:$H$1000,"&gt;0"))/(COUNTIFS($S$5:$S$1000,$S18,$V$5:$V$1000,"Macro")*SUMIFS($H$5:$H$1000,$S$5:$S$1000,$S18,$V$5:$V$1000,"Macro")/COUNTIFS($S$5:$S$1000,$S18,$V$5:$V$1000,"Macro",$H$5:$H$1000,"&gt;0"))))</f>
        <v/>
      </c>
      <c r="AM18" s="62" t="n"/>
      <c r="AN18" s="62" t="n"/>
      <c r="AO18" s="62" t="n"/>
      <c r="AP18" s="62" t="n"/>
      <c r="AQ18" s="62">
        <f>IF(LEFT($C18,11)="[Jefatura] ",IFERROR(MATCH("Asistente Técnico de Riesgo|"&amp;MID($C18,12,500),rDname_ADM,0),0),"")</f>
        <v/>
      </c>
      <c r="AR18" s="62">
        <f>IF(N($AQ18)&gt;0,INDEX(rIni_ADM,$AQ18),IF(ISNUMBER($E18),$E18,""))</f>
        <v/>
      </c>
      <c r="AS18" s="62">
        <f>IF(N($AQ18)&gt;0,INDEX(rLim_ADM,$AQ18),IF(ISNUMBER($F18),$F18,""))</f>
        <v/>
      </c>
    </row>
    <row r="19">
      <c r="A19" s="56">
        <f>IF(NOT((COUNTA($B19:$D19)+COUNTA($G19:$H19)+COUNTA($Q19))&gt;0),"",IF($V19="Macro",COUNTIFS($V$5:$V19,"Macro",$S$5:$S19,$S19),IF(N($U19)=0,"?",COUNTIFS(INDEX($V$5:$V$1000,1):INDEX($V$5:$V$1000,$U19-4),"Macro",INDEX($S$5:$S$1000,1):INDEX($S$5:$S$1000,$U19-4),INDEX($S$5:$S$1000,$U19-4))&amp;"."&amp;COUNTIFS($U$5:$U19,$U19,$V$5:$V19,"Sub"))))</f>
        <v/>
      </c>
      <c r="B19" s="57" t="n"/>
      <c r="C19" s="58" t="n"/>
      <c r="D19" s="58" t="n"/>
      <c r="E19" s="59">
        <f>IF(N($AQ19)&gt;0,INDEX(rIni_ADM,$AQ19),"")</f>
        <v/>
      </c>
      <c r="F19" s="59">
        <f>IF(N($AQ19)&gt;0,INDEX(rLim_ADM,$AQ19),"")</f>
        <v/>
      </c>
      <c r="G19" s="59" t="n"/>
      <c r="H19" s="60" t="n"/>
      <c r="I19" s="60">
        <f>IF(N($W19)=0,"",IF(AND($S19=MesCiclo,1&gt;SemanaActual),"",MIN(1,SUMIFS(OFFSET($A$1,ROW(),29,1000-ROW(),1),OFFSET($A$1,ROW(),20,1000-ROW(),1),ROW(),OFFSET($A$1,ROW(),21,1000-ROW(),1),"Sub"))))</f>
        <v/>
      </c>
      <c r="J19" s="60">
        <f>IF(N($W19)=0,"",IF(AND($S19=MesCiclo,2&gt;SemanaActual),"",MIN(1,SUMIFS(OFFSET($A$1,ROW(),30,1000-ROW(),1),OFFSET($A$1,ROW(),20,1000-ROW(),1),ROW(),OFFSET($A$1,ROW(),21,1000-ROW(),1),"Sub"))))</f>
        <v/>
      </c>
      <c r="K19" s="60">
        <f>IF(N($W19)=0,"",IF(AND($S19=MesCiclo,3&gt;SemanaActual),"",MIN(1,SUMIFS(OFFSET($A$1,ROW(),31,1000-ROW(),1),OFFSET($A$1,ROW(),20,1000-ROW(),1),ROW(),OFFSET($A$1,ROW(),21,1000-ROW(),1),"Sub"))))</f>
        <v/>
      </c>
      <c r="L19" s="60">
        <f>IF(N($W19)=0,"",IF(AND($S19=MesCiclo,4&gt;SemanaActual),"",MIN(1,SUMIFS(OFFSET($A$1,ROW(),32,1000-ROW(),1),OFFSET($A$1,ROW(),20,1000-ROW(),1),ROW(),OFFSET($A$1,ROW(),21,1000-ROW(),1),"Sub"))))</f>
        <v/>
      </c>
      <c r="M19" s="61">
        <f>IF(OR(NOT((COUNTA($B19:$D19)+COUNTA($G19:$H19)+COUNTA($Q19))&gt;0),$V19="Sub"),"",IF(ISNUMBER($G19),1,IF(N($W19)&gt;0,MIN(1,SUMIFS($Y$5:$Y$1000,$U$5:$U$1000,ROW(),$V$5:$V$1000,"Sub")),$Y19)))</f>
        <v/>
      </c>
      <c r="N19" s="56">
        <f>IF(OR($M19="",$V19="Sub"),"",IF($M19&gt;=1,"Completado",IF($M19&gt;0,"En curso","Pendiente")))</f>
        <v/>
      </c>
      <c r="O19" s="56">
        <f>IF(OR(NOT((COUNTA($B19:$D19)+COUNTA($G19:$H19)+COUNTA($Q19))&gt;0),$V19="Sub"),"",IF(ISNUMBER($G19),IF(AND(ISNUMBER($AS19),$G19&gt;$AS19),"Cumplida con "&amp;($G19-$AS19)&amp;IF($G19-$AS19=1," día"," días")&amp;" de retraso","Cumplida"),IF(N($M19)&gt;=1,"Cumplida",IF(NOT(ISNUMBER($AS19)),"Sin fecha límite",IF($AS19&lt;FechaRef,"Vencida hace "&amp;(FechaRef-$AS19)&amp;IF(FechaRef-$AS19=1," día"," días"),IF($AS19=FechaRef,"Vence hoy",IF($AS19-FechaRef&lt;=DiasAlerta,"Vence en "&amp;($AS19-FechaRef)&amp;IF($AS19-FechaRef=1," día"," días"),"En plazo")))))))</f>
        <v/>
      </c>
      <c r="P19" s="62" t="n"/>
      <c r="Q19" s="58" t="n"/>
      <c r="R19" s="63">
        <f>IF(NOT((COUNTA($B19:$D19)+COUNTA($G19:$H19)+COUNTA($Q19))&gt;0),"",IF((IF($C19="","Falta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 OK","⚠ "&amp;LEFT(IF($C19="","Falta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",""),LEN(IF($C19="","Falta el nombre de la actividad"&amp;" · ","")&amp;IF(AND($V19="Sub",N($U19)=0),"Subactividad sin macroactividad arriba"&amp;" · ","")&amp;IF(AND($V19="Macro",$AR19=""),"Sin fecha de inicio"&amp;" · ","")&amp;IF(AND($V19="Macro",$AS19=""),"Sin fecha límite"&amp;" · ","")&amp;IF(AND(LEFT($C19,11)="[Jefatura] ",N($AQ19)=0),"No se encuentra en la hoja de la jefatura (elíjala de nuevo en la lista)"&amp;" · ","")&amp;IF(OR(AND($E19&lt;&gt;"",NOT(ISNUMBER($E19))),AND($F19&lt;&gt;"",NOT(ISNUMBER($F19))),AND($G19&lt;&gt;"",NOT(ISNUMBER($G19)))),"Fecha no válida"&amp;" · ","")&amp;IF(AND(ISNUMBER($AR19),ISNUMBER($AS19),$AR19&gt;$AS19),"Inicio posterior a fecha límite"&amp;" · ","")&amp;IF(AND($V19="Macro",$H19&lt;&gt;"",OR(NOT(ISNUMBER($H19)),$H19&lt;0,$H19&gt;1)),"Peso fuera de rango"&amp;" · ","")&amp;IF(AND($V19="Sub",$H19&lt;&gt;"",OR(NOT(ISNUMBER($H19)),$H19&lt;0,$H19&gt;1)),"% de la subactividad fuera de rango 0-100%"&amp;" · ","")&amp;IF(AND(N($W19)&gt;0,SUMIFS($H$5:$H$1000,$U$5:$U$1000,ROW(),$V$5:$V$1000,"Sub")&gt;1.0001),"Las subactividades suman más de 100%"&amp;" · ","")&amp;IF(AND(N($W19)&gt;0,OR(IF(ISNUMBER($I19),ROUND($I19,6)&lt;&gt;ROUND(MIN(1,SUMIFS($AD$5:$AD$1000,$U$5:$U$1000,ROW(),$V$5:$V$1000,"Sub")),6),FALSE),IF(ISNUMBER($J19),ROUND($J19,6)&lt;&gt;ROUND(MIN(1,SUMIFS($AE$5:$AE$1000,$U$5:$U$1000,ROW(),$V$5:$V$1000,"Sub")),6),FALSE),IF(ISNUMBER($K19),ROUND($K19,6)&lt;&gt;ROUND(MIN(1,SUMIFS($AF$5:$AF$1000,$U$5:$U$1000,ROW(),$V$5:$V$1000,"Sub")),6),FALSE),IF(ISNUMBER($L19),ROUND($L19,6)&lt;&gt;ROUND(MIN(1,SUMIFS($AG$5:$AG$1000,$U$5:$U$1000,ROW(),$V$5:$V$1000,"Sub")),6),FALSE))),"Con subactividades: no escriba en las semanas (se llenan solas)"&amp;" · ","")&amp;IF((COUNTIF($I19:$L19,"&gt;1")+COUNTIF($I19:$L19,"&lt;0")+SUMPRODUCT((LEN($I19:$L19)&gt;0)*NOT(ISNUMBER($I19:$L19))))&gt;0,"Avance fuera de rango 0-100%"&amp;" · ","")&amp;IF(OR(AND(ISNUMBER($J19),$J19&lt;N($I19)),AND(ISNUMBER($K19),$K19&lt;MAX($I19:$J19)),AND(ISNUMBER($L19),$L19&lt;MAX($I19:$K19))),"Avance semanal decreciente"&amp;" · ","")&amp;IF(AND(ISNUMBER($AS19),$AS19&lt;FechaRef,IF($V19="Sub",1,N($M19))&lt;1),"Vencida"&amp;" · ","")&amp;IF(AND(ObsObligatoria="Sí",ISNUMBER($AS19),$AS19&lt;FechaRef,IF($V19="Sub",1,N($M19))&lt;1,$Q19=""),"Vencida sin observación"&amp;" · ",""))-3)))</f>
        <v/>
      </c>
      <c r="S19" s="64">
        <f>IF(NOT((COUNTA($B19:$D19)+COUNTA($G19:$H19)+COUNTA($Q19))&gt;0),"",IF(AND($V19="Sub",N($U19)&gt;0),IF(ISNUMBER(INDEX($AR$5:$AR$1000,$U19-4)),DATE(YEAR(INDEX($AR$5:$AR$1000,$U19-4)),MONTH(INDEX($AR$5:$AR$1000,$U19-4)),1),IF(ISNUMBER(INDEX($AS$5:$AS$1000,$U19-4)),DATE(YEAR(INDEX($AS$5:$AS$1000,$U19-4)),MONTH(INDEX($AS$5:$AS$1000,$U19-4)),1),MesCiclo)),IF(ISNUMBER($AR19),DATE(YEAR($AR19),MONTH($AR19),1),IF(ISNUMBER($AS19),DATE(YEAR($AS19),MONTH($AS19),1),MesCiclo))))</f>
        <v/>
      </c>
      <c r="T19" s="62">
        <f>IF(OR($S19="",$S19&lt;&gt;MesCiclo,$V19&lt;&gt;"Macro"),"",COUNTIFS($S$5:$S19,MesCiclo,$V$5:$V19,"Macro"))</f>
        <v/>
      </c>
      <c r="U19" s="62">
        <f>IF($V19="","",IF($V19="Macro",ROW(),IFERROR(LOOKUP(2,1/($V$5:$V19="Macro"),ROW($V$5:$V19)),0)))</f>
        <v/>
      </c>
      <c r="V19" s="62">
        <f>IF(NOT((COUNTA($B19:$D19)+COUNTA($G19:$H19)+COUNTA($Q19))&gt;0),"",IF($B19="Subactividad","Sub","Macro"))</f>
        <v/>
      </c>
      <c r="W19" s="62">
        <f>IF($V19="Macro",COUNTIFS($U$5:$U$1000,ROW(),$V$5:$V$1000,"Sub"),"")</f>
        <v/>
      </c>
      <c r="X19" s="62">
        <f>IF($V19&lt;&gt;"Sub","",IF(AND(ISNUMBER($H19),N($H19)&gt;0),$H19,IFERROR(MAX(0,1-SUMIFS($H$5:$H$1000,$U$5:$U$1000,$U19,$V$5:$V$1000,"Sub"))/(COUNTIFS($U$5:$U$1000,$U19,$V$5:$V$1000,"Sub")-COUNTIFS($U$5:$U$1000,$U19,$V$5:$V$1000,"Sub",$H$5:$H$1000,"&gt;0")),0)))</f>
        <v/>
      </c>
      <c r="Y19" s="62">
        <f>IF($V19="","",IF($V19="Sub",N($X19)*IF(ISNUMBER($G19),1,MIN(1,MAX(0,IFERROR(LOOKUP(2,1/ISNUMBER($I19:$L19),$I19:$L19),0)))),IF(ISNUMBER($G19),1,IFERROR(LOOKUP(2,1/($I19:$L19&lt;&gt;""),$I19:$L19),0))))</f>
        <v/>
      </c>
      <c r="Z19" s="62">
        <f>IF($V19="","",IF(AND(ISNUMBER($G19),$G19&lt;=IF($S19=MesCiclo,InicioCiclo,$S19+MOD(2-WEEKDAY($S19),7))+6),1,IF(ISNUMBER($I19),$I19,0)))</f>
        <v/>
      </c>
      <c r="AA19" s="62">
        <f>IF($V19="","",IF(AND(ISNUMBER($G19),$G19&lt;=IF($S19=MesCiclo,InicioCiclo,$S19+MOD(2-WEEKDAY($S19),7))+13),1,IF(ISNUMBER($J19),$J19,$Z19)))</f>
        <v/>
      </c>
      <c r="AB19" s="62">
        <f>IF($V19="","",IF(AND(ISNUMBER($G19),$G19&lt;=IF($S19=MesCiclo,InicioCiclo,$S19+MOD(2-WEEKDAY($S19),7))+20),1,IF(ISNUMBER($K19),$K19,$AA19)))</f>
        <v/>
      </c>
      <c r="AC19" s="62">
        <f>IF($V19="","",IF(AND(ISNUMBER($G19),$G19&lt;=IF($S19=MesCiclo,InicioCiclo,$S19+MOD(2-WEEKDAY($S19),7))+27),1,IF(ISNUMBER($L19),$L19,$AB19)))</f>
        <v/>
      </c>
      <c r="AD19" s="62">
        <f>IF($V19&lt;&gt;"Sub","",N($X19)*IF(AND(ISNUMBER($G19),$G19&lt;=IF($S19=MesCiclo,InicioCiclo,$S19+MOD(2-WEEKDAY($S19),7))+6),1,MIN(1,MAX(0,IF(ISNUMBER(OFFSET($A$1,ROW()-1,8)),OFFSET($A$1,ROW()-1,8),0)))))</f>
        <v/>
      </c>
      <c r="AE19" s="62">
        <f>IF($V19&lt;&gt;"Sub","",N($X19)*IF(AND(ISNUMBER($G19),$G19&lt;=IF($S19=MesCiclo,InicioCiclo,$S19+MOD(2-WEEKDAY($S19),7))+13),1,MIN(1,MAX(0,IF(ISNUMBER(OFFSET($A$1,ROW()-1,9)),OFFSET($A$1,ROW()-1,9),IF(ISNUMBER(OFFSET($A$1,ROW()-1,8)),OFFSET($A$1,ROW()-1,8),0))))))</f>
        <v/>
      </c>
      <c r="AF19" s="62">
        <f>IF($V19&lt;&gt;"Sub","",N($X19)*IF(AND(ISNUMBER($G19),$G19&lt;=IF($S19=MesCiclo,InicioCiclo,$S19+MOD(2-WEEKDAY($S19),7))+20),1,MIN(1,MAX(0,IF(ISNUMBER(OFFSET($A$1,ROW()-1,10)),OFFSET($A$1,ROW()-1,10),IF(ISNUMBER(OFFSET($A$1,ROW()-1,9)),OFFSET($A$1,ROW()-1,9),IF(ISNUMBER(OFFSET($A$1,ROW()-1,8)),OFFSET($A$1,ROW()-1,8),0)))))))</f>
        <v/>
      </c>
      <c r="AG19" s="62">
        <f>IF($V19&lt;&gt;"Sub","",N($X19)*IF(AND(ISNUMBER($G19),$G19&lt;=IF($S19=MesCiclo,InicioCiclo,$S19+MOD(2-WEEKDAY($S19),7))+27),1,MIN(1,MAX(0,IF(ISNUMBER(OFFSET($A$1,ROW()-1,11)),OFFSET($A$1,ROW()-1,11),IF(ISNUMBER(OFFSET($A$1,ROW()-1,10)),OFFSET($A$1,ROW()-1,10),IF(ISNUMBER(OFFSET($A$1,ROW()-1,9)),OFFSET($A$1,ROW()-1,9),IF(ISNUMBER(OFFSET($A$1,ROW()-1,8)),OFFSET($A$1,ROW()-1,8),0))))))))</f>
        <v/>
      </c>
      <c r="AH19" s="62">
        <f>IF($V19="","",IF(AND(ISNUMBER($G19),$G19&lt;=IF($S19=MesCiclo,InicioCiclo,$S19+MOD(2-WEEKDAY($S19),7))+6),1,IF(N($W19)&gt;0,MIN(1,SUMIFS($AD$5:$AD$1000,$U$5:$U$1000,ROW(),$V$5:$V$1000,"Sub")),$Z19)))</f>
        <v/>
      </c>
      <c r="AI19" s="62">
        <f>IF($V19="","",IF(AND(ISNUMBER($G19),$G19&lt;=IF($S19=MesCiclo,InicioCiclo,$S19+MOD(2-WEEKDAY($S19),7))+13),1,IF(N($W19)&gt;0,MIN(1,SUMIFS($AE$5:$AE$1000,$U$5:$U$1000,ROW(),$V$5:$V$1000,"Sub")),$AA19)))</f>
        <v/>
      </c>
      <c r="AJ19" s="62">
        <f>IF($V19="","",IF(AND(ISNUMBER($G19),$G19&lt;=IF($S19=MesCiclo,InicioCiclo,$S19+MOD(2-WEEKDAY($S19),7))+20),1,IF(N($W19)&gt;0,MIN(1,SUMIFS($AF$5:$AF$1000,$U$5:$U$1000,ROW(),$V$5:$V$1000,"Sub")),$AB19)))</f>
        <v/>
      </c>
      <c r="AK19" s="62">
        <f>IF($V19="","",IF(AND(ISNUMBER($G19),$G19&lt;=IF($S19=MesCiclo,InicioCiclo,$S19+MOD(2-WEEKDAY($S19),7))+27),1,IF(N($W19)&gt;0,MIN(1,SUMIFS($AG$5:$AG$1000,$U$5:$U$1000,ROW(),$V$5:$V$1000,"Sub")),$AC19)))</f>
        <v/>
      </c>
      <c r="AL19" s="62">
        <f>IF($V19&lt;&gt;"Macro","",IF(COUNTIFS($S$5:$S$1000,$S19,$V$5:$V$1000,"Macro",$H$5:$H$1000,"&gt;0")=0,1/COUNTIFS($S$5:$S$1000,$S19,$V$5:$V$1000,"Macro"),IF(AND(ISNUMBER($H19),N($H19)&gt;0),$H19,SUMIFS($H$5:$H$1000,$S$5:$S$1000,$S19,$V$5:$V$1000,"Macro")/COUNTIFS($S$5:$S$1000,$S19,$V$5:$V$1000,"Macro",$H$5:$H$1000,"&gt;0"))/(COUNTIFS($S$5:$S$1000,$S19,$V$5:$V$1000,"Macro")*SUMIFS($H$5:$H$1000,$S$5:$S$1000,$S19,$V$5:$V$1000,"Macro")/COUNTIFS($S$5:$S$1000,$S19,$V$5:$V$1000,"Macro",$H$5:$H$1000,"&gt;0"))))</f>
        <v/>
      </c>
      <c r="AM19" s="62" t="n"/>
      <c r="AN19" s="62" t="n"/>
      <c r="AO19" s="62" t="n"/>
      <c r="AP19" s="62" t="n"/>
      <c r="AQ19" s="62">
        <f>IF(LEFT($C19,11)="[Jefatura] ",IFERROR(MATCH("Asistente Técnico de Riesgo|"&amp;MID($C19,12,500),rDname_ADM,0),0),"")</f>
        <v/>
      </c>
      <c r="AR19" s="62">
        <f>IF(N($AQ19)&gt;0,INDEX(rIni_ADM,$AQ19),IF(ISNUMBER($E19),$E19,""))</f>
        <v/>
      </c>
      <c r="AS19" s="62">
        <f>IF(N($AQ19)&gt;0,INDEX(rLim_ADM,$AQ19),IF(ISNUMBER($F19),$F19,""))</f>
        <v/>
      </c>
    </row>
    <row r="20">
      <c r="A20" s="56">
        <f>IF(NOT((COUNTA($B20:$D20)+COUNTA($G20:$H20)+COUNTA($Q20))&gt;0),"",IF($V20="Macro",COUNTIFS($V$5:$V20,"Macro",$S$5:$S20,$S20),IF(N($U20)=0,"?",COUNTIFS(INDEX($V$5:$V$1000,1):INDEX($V$5:$V$1000,$U20-4),"Macro",INDEX($S$5:$S$1000,1):INDEX($S$5:$S$1000,$U20-4),INDEX($S$5:$S$1000,$U20-4))&amp;"."&amp;COUNTIFS($U$5:$U20,$U20,$V$5:$V20,"Sub"))))</f>
        <v/>
      </c>
      <c r="B20" s="57" t="n"/>
      <c r="C20" s="58" t="n"/>
      <c r="D20" s="58" t="n"/>
      <c r="E20" s="59">
        <f>IF(N($AQ20)&gt;0,INDEX(rIni_ADM,$AQ20),"")</f>
        <v/>
      </c>
      <c r="F20" s="59">
        <f>IF(N($AQ20)&gt;0,INDEX(rLim_ADM,$AQ20),"")</f>
        <v/>
      </c>
      <c r="G20" s="59" t="n"/>
      <c r="H20" s="60" t="n"/>
      <c r="I20" s="60">
        <f>IF(N($W20)=0,"",IF(AND($S20=MesCiclo,1&gt;SemanaActual),"",MIN(1,SUMIFS(OFFSET($A$1,ROW(),29,1000-ROW(),1),OFFSET($A$1,ROW(),20,1000-ROW(),1),ROW(),OFFSET($A$1,ROW(),21,1000-ROW(),1),"Sub"))))</f>
        <v/>
      </c>
      <c r="J20" s="60">
        <f>IF(N($W20)=0,"",IF(AND($S20=MesCiclo,2&gt;SemanaActual),"",MIN(1,SUMIFS(OFFSET($A$1,ROW(),30,1000-ROW(),1),OFFSET($A$1,ROW(),20,1000-ROW(),1),ROW(),OFFSET($A$1,ROW(),21,1000-ROW(),1),"Sub"))))</f>
        <v/>
      </c>
      <c r="K20" s="60">
        <f>IF(N($W20)=0,"",IF(AND($S20=MesCiclo,3&gt;SemanaActual),"",MIN(1,SUMIFS(OFFSET($A$1,ROW(),31,1000-ROW(),1),OFFSET($A$1,ROW(),20,1000-ROW(),1),ROW(),OFFSET($A$1,ROW(),21,1000-ROW(),1),"Sub"))))</f>
        <v/>
      </c>
      <c r="L20" s="60">
        <f>IF(N($W20)=0,"",IF(AND($S20=MesCiclo,4&gt;SemanaActual),"",MIN(1,SUMIFS(OFFSET($A$1,ROW(),32,1000-ROW(),1),OFFSET($A$1,ROW(),20,1000-ROW(),1),ROW(),OFFSET($A$1,ROW(),21,1000-ROW(),1),"Sub"))))</f>
        <v/>
      </c>
      <c r="M20" s="61">
        <f>IF(OR(NOT((COUNTA($B20:$D20)+COUNTA($G20:$H20)+COUNTA($Q20))&gt;0),$V20="Sub"),"",IF(ISNUMBER($G20),1,IF(N($W20)&gt;0,MIN(1,SUMIFS($Y$5:$Y$1000,$U$5:$U$1000,ROW(),$V$5:$V$1000,"Sub")),$Y20)))</f>
        <v/>
      </c>
      <c r="N20" s="56">
        <f>IF(OR($M20="",$V20="Sub"),"",IF($M20&gt;=1,"Completado",IF($M20&gt;0,"En curso","Pendiente")))</f>
        <v/>
      </c>
      <c r="O20" s="56">
        <f>IF(OR(NOT((COUNTA($B20:$D20)+COUNTA($G20:$H20)+COUNTA($Q20))&gt;0),$V20="Sub"),"",IF(ISNUMBER($G20),IF(AND(ISNUMBER($AS20),$G20&gt;$AS20),"Cumplida con "&amp;($G20-$AS20)&amp;IF($G20-$AS20=1," día"," días")&amp;" de retraso","Cumplida"),IF(N($M20)&gt;=1,"Cumplida",IF(NOT(ISNUMBER($AS20)),"Sin fecha límite",IF($AS20&lt;FechaRef,"Vencida hace "&amp;(FechaRef-$AS20)&amp;IF(FechaRef-$AS20=1," día"," días"),IF($AS20=FechaRef,"Vence hoy",IF($AS20-FechaRef&lt;=DiasAlerta,"Vence en "&amp;($AS20-FechaRef)&amp;IF($AS20-FechaRef=1," día"," días"),"En plazo")))))))</f>
        <v/>
      </c>
      <c r="P20" s="62" t="n"/>
      <c r="Q20" s="58" t="n"/>
      <c r="R20" s="63">
        <f>IF(NOT((COUNTA($B20:$D20)+COUNTA($G20:$H20)+COUNTA($Q20))&gt;0),"",IF((IF($C20="","Falta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 OK","⚠ "&amp;LEFT(IF($C20="","Falta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",""),LEN(IF($C20="","Falta el nombre de la actividad"&amp;" · ","")&amp;IF(AND($V20="Sub",N($U20)=0),"Subactividad sin macroactividad arriba"&amp;" · ","")&amp;IF(AND($V20="Macro",$AR20=""),"Sin fecha de inicio"&amp;" · ","")&amp;IF(AND($V20="Macro",$AS20=""),"Sin fecha límite"&amp;" · ","")&amp;IF(AND(LEFT($C20,11)="[Jefatura] ",N($AQ20)=0),"No se encuentra en la hoja de la jefatura (elíjala de nuevo en la lista)"&amp;" · ","")&amp;IF(OR(AND($E20&lt;&gt;"",NOT(ISNUMBER($E20))),AND($F20&lt;&gt;"",NOT(ISNUMBER($F20))),AND($G20&lt;&gt;"",NOT(ISNUMBER($G20)))),"Fecha no válida"&amp;" · ","")&amp;IF(AND(ISNUMBER($AR20),ISNUMBER($AS20),$AR20&gt;$AS20),"Inicio posterior a fecha límite"&amp;" · ","")&amp;IF(AND($V20="Macro",$H20&lt;&gt;"",OR(NOT(ISNUMBER($H20)),$H20&lt;0,$H20&gt;1)),"Peso fuera de rango"&amp;" · ","")&amp;IF(AND($V20="Sub",$H20&lt;&gt;"",OR(NOT(ISNUMBER($H20)),$H20&lt;0,$H20&gt;1)),"% de la subactividad fuera de rango 0-100%"&amp;" · ","")&amp;IF(AND(N($W20)&gt;0,SUMIFS($H$5:$H$1000,$U$5:$U$1000,ROW(),$V$5:$V$1000,"Sub")&gt;1.0001),"Las subactividades suman más de 100%"&amp;" · ","")&amp;IF(AND(N($W20)&gt;0,OR(IF(ISNUMBER($I20),ROUND($I20,6)&lt;&gt;ROUND(MIN(1,SUMIFS($AD$5:$AD$1000,$U$5:$U$1000,ROW(),$V$5:$V$1000,"Sub")),6),FALSE),IF(ISNUMBER($J20),ROUND($J20,6)&lt;&gt;ROUND(MIN(1,SUMIFS($AE$5:$AE$1000,$U$5:$U$1000,ROW(),$V$5:$V$1000,"Sub")),6),FALSE),IF(ISNUMBER($K20),ROUND($K20,6)&lt;&gt;ROUND(MIN(1,SUMIFS($AF$5:$AF$1000,$U$5:$U$1000,ROW(),$V$5:$V$1000,"Sub")),6),FALSE),IF(ISNUMBER($L20),ROUND($L20,6)&lt;&gt;ROUND(MIN(1,SUMIFS($AG$5:$AG$1000,$U$5:$U$1000,ROW(),$V$5:$V$1000,"Sub")),6),FALSE))),"Con subactividades: no escriba en las semanas (se llenan solas)"&amp;" · ","")&amp;IF((COUNTIF($I20:$L20,"&gt;1")+COUNTIF($I20:$L20,"&lt;0")+SUMPRODUCT((LEN($I20:$L20)&gt;0)*NOT(ISNUMBER($I20:$L20))))&gt;0,"Avance fuera de rango 0-100%"&amp;" · ","")&amp;IF(OR(AND(ISNUMBER($J20),$J20&lt;N($I20)),AND(ISNUMBER($K20),$K20&lt;MAX($I20:$J20)),AND(ISNUMBER($L20),$L20&lt;MAX($I20:$K20))),"Avance semanal decreciente"&amp;" · ","")&amp;IF(AND(ISNUMBER($AS20),$AS20&lt;FechaRef,IF($V20="Sub",1,N($M20))&lt;1),"Vencida"&amp;" · ","")&amp;IF(AND(ObsObligatoria="Sí",ISNUMBER($AS20),$AS20&lt;FechaRef,IF($V20="Sub",1,N($M20))&lt;1,$Q20=""),"Vencida sin observación"&amp;" · ",""))-3)))</f>
        <v/>
      </c>
      <c r="S20" s="64">
        <f>IF(NOT((COUNTA($B20:$D20)+COUNTA($G20:$H20)+COUNTA($Q20))&gt;0),"",IF(AND($V20="Sub",N($U20)&gt;0),IF(ISNUMBER(INDEX($AR$5:$AR$1000,$U20-4)),DATE(YEAR(INDEX($AR$5:$AR$1000,$U20-4)),MONTH(INDEX($AR$5:$AR$1000,$U20-4)),1),IF(ISNUMBER(INDEX($AS$5:$AS$1000,$U20-4)),DATE(YEAR(INDEX($AS$5:$AS$1000,$U20-4)),MONTH(INDEX($AS$5:$AS$1000,$U20-4)),1),MesCiclo)),IF(ISNUMBER($AR20),DATE(YEAR($AR20),MONTH($AR20),1),IF(ISNUMBER($AS20),DATE(YEAR($AS20),MONTH($AS20),1),MesCiclo))))</f>
        <v/>
      </c>
      <c r="T20" s="62">
        <f>IF(OR($S20="",$S20&lt;&gt;MesCiclo,$V20&lt;&gt;"Macro"),"",COUNTIFS($S$5:$S20,MesCiclo,$V$5:$V20,"Macro"))</f>
        <v/>
      </c>
      <c r="U20" s="62">
        <f>IF($V20="","",IF($V20="Macro",ROW(),IFERROR(LOOKUP(2,1/($V$5:$V20="Macro"),ROW($V$5:$V20)),0)))</f>
        <v/>
      </c>
      <c r="V20" s="62">
        <f>IF(NOT((COUNTA($B20:$D20)+COUNTA($G20:$H20)+COUNTA($Q20))&gt;0),"",IF($B20="Subactividad","Sub","Macro"))</f>
        <v/>
      </c>
      <c r="W20" s="62">
        <f>IF($V20="Macro",COUNTIFS($U$5:$U$1000,ROW(),$V$5:$V$1000,"Sub"),"")</f>
        <v/>
      </c>
      <c r="X20" s="62">
        <f>IF($V20&lt;&gt;"Sub","",IF(AND(ISNUMBER($H20),N($H20)&gt;0),$H20,IFERROR(MAX(0,1-SUMIFS($H$5:$H$1000,$U$5:$U$1000,$U20,$V$5:$V$1000,"Sub"))/(COUNTIFS($U$5:$U$1000,$U20,$V$5:$V$1000,"Sub")-COUNTIFS($U$5:$U$1000,$U20,$V$5:$V$1000,"Sub",$H$5:$H$1000,"&gt;0")),0)))</f>
        <v/>
      </c>
      <c r="Y20" s="62">
        <f>IF($V20="","",IF($V20="Sub",N($X20)*IF(ISNUMBER($G20),1,MIN(1,MAX(0,IFERROR(LOOKUP(2,1/ISNUMBER($I20:$L20),$I20:$L20),0)))),IF(ISNUMBER($G20),1,IFERROR(LOOKUP(2,1/($I20:$L20&lt;&gt;""),$I20:$L20),0))))</f>
        <v/>
      </c>
      <c r="Z20" s="62">
        <f>IF($V20="","",IF(AND(ISNUMBER($G20),$G20&lt;=IF($S20=MesCiclo,InicioCiclo,$S20+MOD(2-WEEKDAY($S20),7))+6),1,IF(ISNUMBER($I20),$I20,0)))</f>
        <v/>
      </c>
      <c r="AA20" s="62">
        <f>IF($V20="","",IF(AND(ISNUMBER($G20),$G20&lt;=IF($S20=MesCiclo,InicioCiclo,$S20+MOD(2-WEEKDAY($S20),7))+13),1,IF(ISNUMBER($J20),$J20,$Z20)))</f>
        <v/>
      </c>
      <c r="AB20" s="62">
        <f>IF($V20="","",IF(AND(ISNUMBER($G20),$G20&lt;=IF($S20=MesCiclo,InicioCiclo,$S20+MOD(2-WEEKDAY($S20),7))+20),1,IF(ISNUMBER($K20),$K20,$AA20)))</f>
        <v/>
      </c>
      <c r="AC20" s="62">
        <f>IF($V20="","",IF(AND(ISNUMBER($G20),$G20&lt;=IF($S20=MesCiclo,InicioCiclo,$S20+MOD(2-WEEKDAY($S20),7))+27),1,IF(ISNUMBER($L20),$L20,$AB20)))</f>
        <v/>
      </c>
      <c r="AD20" s="62">
        <f>IF($V20&lt;&gt;"Sub","",N($X20)*IF(AND(ISNUMBER($G20),$G20&lt;=IF($S20=MesCiclo,InicioCiclo,$S20+MOD(2-WEEKDAY($S20),7))+6),1,MIN(1,MAX(0,IF(ISNUMBER(OFFSET($A$1,ROW()-1,8)),OFFSET($A$1,ROW()-1,8),0)))))</f>
        <v/>
      </c>
      <c r="AE20" s="62">
        <f>IF($V20&lt;&gt;"Sub","",N($X20)*IF(AND(ISNUMBER($G20),$G20&lt;=IF($S20=MesCiclo,InicioCiclo,$S20+MOD(2-WEEKDAY($S20),7))+13),1,MIN(1,MAX(0,IF(ISNUMBER(OFFSET($A$1,ROW()-1,9)),OFFSET($A$1,ROW()-1,9),IF(ISNUMBER(OFFSET($A$1,ROW()-1,8)),OFFSET($A$1,ROW()-1,8),0))))))</f>
        <v/>
      </c>
      <c r="AF20" s="62">
        <f>IF($V20&lt;&gt;"Sub","",N($X20)*IF(AND(ISNUMBER($G20),$G20&lt;=IF($S20=MesCiclo,InicioCiclo,$S20+MOD(2-WEEKDAY($S20),7))+20),1,MIN(1,MAX(0,IF(ISNUMBER(OFFSET($A$1,ROW()-1,10)),OFFSET($A$1,ROW()-1,10),IF(ISNUMBER(OFFSET($A$1,ROW()-1,9)),OFFSET($A$1,ROW()-1,9),IF(ISNUMBER(OFFSET($A$1,ROW()-1,8)),OFFSET($A$1,ROW()-1,8),0)))))))</f>
        <v/>
      </c>
      <c r="AG20" s="62">
        <f>IF($V20&lt;&gt;"Sub","",N($X20)*IF(AND(ISNUMBER($G20),$G20&lt;=IF($S20=MesCiclo,InicioCiclo,$S20+MOD(2-WEEKDAY($S20),7))+27),1,MIN(1,MAX(0,IF(ISNUMBER(OFFSET($A$1,ROW()-1,11)),OFFSET($A$1,ROW()-1,11),IF(ISNUMBER(OFFSET($A$1,ROW()-1,10)),OFFSET($A$1,ROW()-1,10),IF(ISNUMBER(OFFSET($A$1,ROW()-1,9)),OFFSET($A$1,ROW()-1,9),IF(ISNUMBER(OFFSET($A$1,ROW()-1,8)),OFFSET($A$1,ROW()-1,8),0))))))))</f>
        <v/>
      </c>
      <c r="AH20" s="62">
        <f>IF($V20="","",IF(AND(ISNUMBER($G20),$G20&lt;=IF($S20=MesCiclo,InicioCiclo,$S20+MOD(2-WEEKDAY($S20),7))+6),1,IF(N($W20)&gt;0,MIN(1,SUMIFS($AD$5:$AD$1000,$U$5:$U$1000,ROW(),$V$5:$V$1000,"Sub")),$Z20)))</f>
        <v/>
      </c>
      <c r="AI20" s="62">
        <f>IF($V20="","",IF(AND(ISNUMBER($G20),$G20&lt;=IF($S20=MesCiclo,InicioCiclo,$S20+MOD(2-WEEKDAY($S20),7))+13),1,IF(N($W20)&gt;0,MIN(1,SUMIFS($AE$5:$AE$1000,$U$5:$U$1000,ROW(),$V$5:$V$1000,"Sub")),$AA20)))</f>
        <v/>
      </c>
      <c r="AJ20" s="62">
        <f>IF($V20="","",IF(AND(ISNUMBER($G20),$G20&lt;=IF($S20=MesCiclo,InicioCiclo,$S20+MOD(2-WEEKDAY($S20),7))+20),1,IF(N($W20)&gt;0,MIN(1,SUMIFS($AF$5:$AF$1000,$U$5:$U$1000,ROW(),$V$5:$V$1000,"Sub")),$AB20)))</f>
        <v/>
      </c>
      <c r="AK20" s="62">
        <f>IF($V20="","",IF(AND(ISNUMBER($G20),$G20&lt;=IF($S20=MesCiclo,InicioCiclo,$S20+MOD(2-WEEKDAY($S20),7))+27),1,IF(N($W20)&gt;0,MIN(1,SUMIFS($AG$5:$AG$1000,$U$5:$U$1000,ROW(),$V$5:$V$1000,"Sub")),$AC20)))</f>
        <v/>
      </c>
      <c r="AL20" s="62">
        <f>IF($V20&lt;&gt;"Macro","",IF(COUNTIFS($S$5:$S$1000,$S20,$V$5:$V$1000,"Macro",$H$5:$H$1000,"&gt;0")=0,1/COUNTIFS($S$5:$S$1000,$S20,$V$5:$V$1000,"Macro"),IF(AND(ISNUMBER($H20),N($H20)&gt;0),$H20,SUMIFS($H$5:$H$1000,$S$5:$S$1000,$S20,$V$5:$V$1000,"Macro")/COUNTIFS($S$5:$S$1000,$S20,$V$5:$V$1000,"Macro",$H$5:$H$1000,"&gt;0"))/(COUNTIFS($S$5:$S$1000,$S20,$V$5:$V$1000,"Macro")*SUMIFS($H$5:$H$1000,$S$5:$S$1000,$S20,$V$5:$V$1000,"Macro")/COUNTIFS($S$5:$S$1000,$S20,$V$5:$V$1000,"Macro",$H$5:$H$1000,"&gt;0"))))</f>
        <v/>
      </c>
      <c r="AM20" s="62" t="n"/>
      <c r="AN20" s="62" t="n"/>
      <c r="AO20" s="62" t="n"/>
      <c r="AP20" s="62" t="n"/>
      <c r="AQ20" s="62">
        <f>IF(LEFT($C20,11)="[Jefatura] ",IFERROR(MATCH("Asistente Técnico de Riesgo|"&amp;MID($C20,12,500),rDname_ADM,0),0),"")</f>
        <v/>
      </c>
      <c r="AR20" s="62">
        <f>IF(N($AQ20)&gt;0,INDEX(rIni_ADM,$AQ20),IF(ISNUMBER($E20),$E20,""))</f>
        <v/>
      </c>
      <c r="AS20" s="62">
        <f>IF(N($AQ20)&gt;0,INDEX(rLim_ADM,$AQ20),IF(ISNUMBER($F20),$F20,""))</f>
        <v/>
      </c>
    </row>
    <row r="21">
      <c r="A21" s="56">
        <f>IF(NOT((COUNTA($B21:$D21)+COUNTA($G21:$H21)+COUNTA($Q21))&gt;0),"",IF($V21="Macro",COUNTIFS($V$5:$V21,"Macro",$S$5:$S21,$S21),IF(N($U21)=0,"?",COUNTIFS(INDEX($V$5:$V$1000,1):INDEX($V$5:$V$1000,$U21-4),"Macro",INDEX($S$5:$S$1000,1):INDEX($S$5:$S$1000,$U21-4),INDEX($S$5:$S$1000,$U21-4))&amp;"."&amp;COUNTIFS($U$5:$U21,$U21,$V$5:$V21,"Sub"))))</f>
        <v/>
      </c>
      <c r="B21" s="57" t="n"/>
      <c r="C21" s="58" t="n"/>
      <c r="D21" s="58" t="n"/>
      <c r="E21" s="59">
        <f>IF(N($AQ21)&gt;0,INDEX(rIni_ADM,$AQ21),"")</f>
        <v/>
      </c>
      <c r="F21" s="59">
        <f>IF(N($AQ21)&gt;0,INDEX(rLim_ADM,$AQ21),"")</f>
        <v/>
      </c>
      <c r="G21" s="59" t="n"/>
      <c r="H21" s="60" t="n"/>
      <c r="I21" s="60">
        <f>IF(N($W21)=0,"",IF(AND($S21=MesCiclo,1&gt;SemanaActual),"",MIN(1,SUMIFS(OFFSET($A$1,ROW(),29,1000-ROW(),1),OFFSET($A$1,ROW(),20,1000-ROW(),1),ROW(),OFFSET($A$1,ROW(),21,1000-ROW(),1),"Sub"))))</f>
        <v/>
      </c>
      <c r="J21" s="60">
        <f>IF(N($W21)=0,"",IF(AND($S21=MesCiclo,2&gt;SemanaActual),"",MIN(1,SUMIFS(OFFSET($A$1,ROW(),30,1000-ROW(),1),OFFSET($A$1,ROW(),20,1000-ROW(),1),ROW(),OFFSET($A$1,ROW(),21,1000-ROW(),1),"Sub"))))</f>
        <v/>
      </c>
      <c r="K21" s="60">
        <f>IF(N($W21)=0,"",IF(AND($S21=MesCiclo,3&gt;SemanaActual),"",MIN(1,SUMIFS(OFFSET($A$1,ROW(),31,1000-ROW(),1),OFFSET($A$1,ROW(),20,1000-ROW(),1),ROW(),OFFSET($A$1,ROW(),21,1000-ROW(),1),"Sub"))))</f>
        <v/>
      </c>
      <c r="L21" s="60">
        <f>IF(N($W21)=0,"",IF(AND($S21=MesCiclo,4&gt;SemanaActual),"",MIN(1,SUMIFS(OFFSET($A$1,ROW(),32,1000-ROW(),1),OFFSET($A$1,ROW(),20,1000-ROW(),1),ROW(),OFFSET($A$1,ROW(),21,1000-ROW(),1),"Sub"))))</f>
        <v/>
      </c>
      <c r="M21" s="61">
        <f>IF(OR(NOT((COUNTA($B21:$D21)+COUNTA($G21:$H21)+COUNTA($Q21))&gt;0),$V21="Sub"),"",IF(ISNUMBER($G21),1,IF(N($W21)&gt;0,MIN(1,SUMIFS($Y$5:$Y$1000,$U$5:$U$1000,ROW(),$V$5:$V$1000,"Sub")),$Y21)))</f>
        <v/>
      </c>
      <c r="N21" s="56">
        <f>IF(OR($M21="",$V21="Sub"),"",IF($M21&gt;=1,"Completado",IF($M21&gt;0,"En curso","Pendiente")))</f>
        <v/>
      </c>
      <c r="O21" s="56">
        <f>IF(OR(NOT((COUNTA($B21:$D21)+COUNTA($G21:$H21)+COUNTA($Q21))&gt;0),$V21="Sub"),"",IF(ISNUMBER($G21),IF(AND(ISNUMBER($AS21),$G21&gt;$AS21),"Cumplida con "&amp;($G21-$AS21)&amp;IF($G21-$AS21=1," día"," días")&amp;" de retraso","Cumplida"),IF(N($M21)&gt;=1,"Cumplida",IF(NOT(ISNUMBER($AS21)),"Sin fecha límite",IF($AS21&lt;FechaRef,"Vencida hace "&amp;(FechaRef-$AS21)&amp;IF(FechaRef-$AS21=1," día"," días"),IF($AS21=FechaRef,"Vence hoy",IF($AS21-FechaRef&lt;=DiasAlerta,"Vence en "&amp;($AS21-FechaRef)&amp;IF($AS21-FechaRef=1," día"," días"),"En plazo")))))))</f>
        <v/>
      </c>
      <c r="P21" s="62" t="n"/>
      <c r="Q21" s="58" t="n"/>
      <c r="R21" s="63">
        <f>IF(NOT((COUNTA($B21:$D21)+COUNTA($G21:$H21)+COUNTA($Q21))&gt;0),"",IF((IF($C21="","Falta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 OK","⚠ "&amp;LEFT(IF($C21="","Falta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",""),LEN(IF($C21="","Falta el nombre de la actividad"&amp;" · ","")&amp;IF(AND($V21="Sub",N($U21)=0),"Subactividad sin macroactividad arriba"&amp;" · ","")&amp;IF(AND($V21="Macro",$AR21=""),"Sin fecha de inicio"&amp;" · ","")&amp;IF(AND($V21="Macro",$AS21=""),"Sin fecha límite"&amp;" · ","")&amp;IF(AND(LEFT($C21,11)="[Jefatura] ",N($AQ21)=0),"No se encuentra en la hoja de la jefatura (elíjala de nuevo en la lista)"&amp;" · ","")&amp;IF(OR(AND($E21&lt;&gt;"",NOT(ISNUMBER($E21))),AND($F21&lt;&gt;"",NOT(ISNUMBER($F21))),AND($G21&lt;&gt;"",NOT(ISNUMBER($G21)))),"Fecha no válida"&amp;" · ","")&amp;IF(AND(ISNUMBER($AR21),ISNUMBER($AS21),$AR21&gt;$AS21),"Inicio posterior a fecha límite"&amp;" · ","")&amp;IF(AND($V21="Macro",$H21&lt;&gt;"",OR(NOT(ISNUMBER($H21)),$H21&lt;0,$H21&gt;1)),"Peso fuera de rango"&amp;" · ","")&amp;IF(AND($V21="Sub",$H21&lt;&gt;"",OR(NOT(ISNUMBER($H21)),$H21&lt;0,$H21&gt;1)),"% de la subactividad fuera de rango 0-100%"&amp;" · ","")&amp;IF(AND(N($W21)&gt;0,SUMIFS($H$5:$H$1000,$U$5:$U$1000,ROW(),$V$5:$V$1000,"Sub")&gt;1.0001),"Las subactividades suman más de 100%"&amp;" · ","")&amp;IF(AND(N($W21)&gt;0,OR(IF(ISNUMBER($I21),ROUND($I21,6)&lt;&gt;ROUND(MIN(1,SUMIFS($AD$5:$AD$1000,$U$5:$U$1000,ROW(),$V$5:$V$1000,"Sub")),6),FALSE),IF(ISNUMBER($J21),ROUND($J21,6)&lt;&gt;ROUND(MIN(1,SUMIFS($AE$5:$AE$1000,$U$5:$U$1000,ROW(),$V$5:$V$1000,"Sub")),6),FALSE),IF(ISNUMBER($K21),ROUND($K21,6)&lt;&gt;ROUND(MIN(1,SUMIFS($AF$5:$AF$1000,$U$5:$U$1000,ROW(),$V$5:$V$1000,"Sub")),6),FALSE),IF(ISNUMBER($L21),ROUND($L21,6)&lt;&gt;ROUND(MIN(1,SUMIFS($AG$5:$AG$1000,$U$5:$U$1000,ROW(),$V$5:$V$1000,"Sub")),6),FALSE))),"Con subactividades: no escriba en las semanas (se llenan solas)"&amp;" · ","")&amp;IF((COUNTIF($I21:$L21,"&gt;1")+COUNTIF($I21:$L21,"&lt;0")+SUMPRODUCT((LEN($I21:$L21)&gt;0)*NOT(ISNUMBER($I21:$L21))))&gt;0,"Avance fuera de rango 0-100%"&amp;" · ","")&amp;IF(OR(AND(ISNUMBER($J21),$J21&lt;N($I21)),AND(ISNUMBER($K21),$K21&lt;MAX($I21:$J21)),AND(ISNUMBER($L21),$L21&lt;MAX($I21:$K21))),"Avance semanal decreciente"&amp;" · ","")&amp;IF(AND(ISNUMBER($AS21),$AS21&lt;FechaRef,IF($V21="Sub",1,N($M21))&lt;1),"Vencida"&amp;" · ","")&amp;IF(AND(ObsObligatoria="Sí",ISNUMBER($AS21),$AS21&lt;FechaRef,IF($V21="Sub",1,N($M21))&lt;1,$Q21=""),"Vencida sin observación"&amp;" · ",""))-3)))</f>
        <v/>
      </c>
      <c r="S21" s="64">
        <f>IF(NOT((COUNTA($B21:$D21)+COUNTA($G21:$H21)+COUNTA($Q21))&gt;0),"",IF(AND($V21="Sub",N($U21)&gt;0),IF(ISNUMBER(INDEX($AR$5:$AR$1000,$U21-4)),DATE(YEAR(INDEX($AR$5:$AR$1000,$U21-4)),MONTH(INDEX($AR$5:$AR$1000,$U21-4)),1),IF(ISNUMBER(INDEX($AS$5:$AS$1000,$U21-4)),DATE(YEAR(INDEX($AS$5:$AS$1000,$U21-4)),MONTH(INDEX($AS$5:$AS$1000,$U21-4)),1),MesCiclo)),IF(ISNUMBER($AR21),DATE(YEAR($AR21),MONTH($AR21),1),IF(ISNUMBER($AS21),DATE(YEAR($AS21),MONTH($AS21),1),MesCiclo))))</f>
        <v/>
      </c>
      <c r="T21" s="62">
        <f>IF(OR($S21="",$S21&lt;&gt;MesCiclo,$V21&lt;&gt;"Macro"),"",COUNTIFS($S$5:$S21,MesCiclo,$V$5:$V21,"Macro"))</f>
        <v/>
      </c>
      <c r="U21" s="62">
        <f>IF($V21="","",IF($V21="Macro",ROW(),IFERROR(LOOKUP(2,1/($V$5:$V21="Macro"),ROW($V$5:$V21)),0)))</f>
        <v/>
      </c>
      <c r="V21" s="62">
        <f>IF(NOT((COUNTA($B21:$D21)+COUNTA($G21:$H21)+COUNTA($Q21))&gt;0),"",IF($B21="Subactividad","Sub","Macro"))</f>
        <v/>
      </c>
      <c r="W21" s="62">
        <f>IF($V21="Macro",COUNTIFS($U$5:$U$1000,ROW(),$V$5:$V$1000,"Sub"),"")</f>
        <v/>
      </c>
      <c r="X21" s="62">
        <f>IF($V21&lt;&gt;"Sub","",IF(AND(ISNUMBER($H21),N($H21)&gt;0),$H21,IFERROR(MAX(0,1-SUMIFS($H$5:$H$1000,$U$5:$U$1000,$U21,$V$5:$V$1000,"Sub"))/(COUNTIFS($U$5:$U$1000,$U21,$V$5:$V$1000,"Sub")-COUNTIFS($U$5:$U$1000,$U21,$V$5:$V$1000,"Sub",$H$5:$H$1000,"&gt;0")),0)))</f>
        <v/>
      </c>
      <c r="Y21" s="62">
        <f>IF($V21="","",IF($V21="Sub",N($X21)*IF(ISNUMBER($G21),1,MIN(1,MAX(0,IFERROR(LOOKUP(2,1/ISNUMBER($I21:$L21),$I21:$L21),0)))),IF(ISNUMBER($G21),1,IFERROR(LOOKUP(2,1/($I21:$L21&lt;&gt;""),$I21:$L21),0))))</f>
        <v/>
      </c>
      <c r="Z21" s="62">
        <f>IF($V21="","",IF(AND(ISNUMBER($G21),$G21&lt;=IF($S21=MesCiclo,InicioCiclo,$S21+MOD(2-WEEKDAY($S21),7))+6),1,IF(ISNUMBER($I21),$I21,0)))</f>
        <v/>
      </c>
      <c r="AA21" s="62">
        <f>IF($V21="","",IF(AND(ISNUMBER($G21),$G21&lt;=IF($S21=MesCiclo,InicioCiclo,$S21+MOD(2-WEEKDAY($S21),7))+13),1,IF(ISNUMBER($J21),$J21,$Z21)))</f>
        <v/>
      </c>
      <c r="AB21" s="62">
        <f>IF($V21="","",IF(AND(ISNUMBER($G21),$G21&lt;=IF($S21=MesCiclo,InicioCiclo,$S21+MOD(2-WEEKDAY($S21),7))+20),1,IF(ISNUMBER($K21),$K21,$AA21)))</f>
        <v/>
      </c>
      <c r="AC21" s="62">
        <f>IF($V21="","",IF(AND(ISNUMBER($G21),$G21&lt;=IF($S21=MesCiclo,InicioCiclo,$S21+MOD(2-WEEKDAY($S21),7))+27),1,IF(ISNUMBER($L21),$L21,$AB21)))</f>
        <v/>
      </c>
      <c r="AD21" s="62">
        <f>IF($V21&lt;&gt;"Sub","",N($X21)*IF(AND(ISNUMBER($G21),$G21&lt;=IF($S21=MesCiclo,InicioCiclo,$S21+MOD(2-WEEKDAY($S21),7))+6),1,MIN(1,MAX(0,IF(ISNUMBER(OFFSET($A$1,ROW()-1,8)),OFFSET($A$1,ROW()-1,8),0)))))</f>
        <v/>
      </c>
      <c r="AE21" s="62">
        <f>IF($V21&lt;&gt;"Sub","",N($X21)*IF(AND(ISNUMBER($G21),$G21&lt;=IF($S21=MesCiclo,InicioCiclo,$S21+MOD(2-WEEKDAY($S21),7))+13),1,MIN(1,MAX(0,IF(ISNUMBER(OFFSET($A$1,ROW()-1,9)),OFFSET($A$1,ROW()-1,9),IF(ISNUMBER(OFFSET($A$1,ROW()-1,8)),OFFSET($A$1,ROW()-1,8),0))))))</f>
        <v/>
      </c>
      <c r="AF21" s="62">
        <f>IF($V21&lt;&gt;"Sub","",N($X21)*IF(AND(ISNUMBER($G21),$G21&lt;=IF($S21=MesCiclo,InicioCiclo,$S21+MOD(2-WEEKDAY($S21),7))+20),1,MIN(1,MAX(0,IF(ISNUMBER(OFFSET($A$1,ROW()-1,10)),OFFSET($A$1,ROW()-1,10),IF(ISNUMBER(OFFSET($A$1,ROW()-1,9)),OFFSET($A$1,ROW()-1,9),IF(ISNUMBER(OFFSET($A$1,ROW()-1,8)),OFFSET($A$1,ROW()-1,8),0)))))))</f>
        <v/>
      </c>
      <c r="AG21" s="62">
        <f>IF($V21&lt;&gt;"Sub","",N($X21)*IF(AND(ISNUMBER($G21),$G21&lt;=IF($S21=MesCiclo,InicioCiclo,$S21+MOD(2-WEEKDAY($S21),7))+27),1,MIN(1,MAX(0,IF(ISNUMBER(OFFSET($A$1,ROW()-1,11)),OFFSET($A$1,ROW()-1,11),IF(ISNUMBER(OFFSET($A$1,ROW()-1,10)),OFFSET($A$1,ROW()-1,10),IF(ISNUMBER(OFFSET($A$1,ROW()-1,9)),OFFSET($A$1,ROW()-1,9),IF(ISNUMBER(OFFSET($A$1,ROW()-1,8)),OFFSET($A$1,ROW()-1,8),0))))))))</f>
        <v/>
      </c>
      <c r="AH21" s="62">
        <f>IF($V21="","",IF(AND(ISNUMBER($G21),$G21&lt;=IF($S21=MesCiclo,InicioCiclo,$S21+MOD(2-WEEKDAY($S21),7))+6),1,IF(N($W21)&gt;0,MIN(1,SUMIFS($AD$5:$AD$1000,$U$5:$U$1000,ROW(),$V$5:$V$1000,"Sub")),$Z21)))</f>
        <v/>
      </c>
      <c r="AI21" s="62">
        <f>IF($V21="","",IF(AND(ISNUMBER($G21),$G21&lt;=IF($S21=MesCiclo,InicioCiclo,$S21+MOD(2-WEEKDAY($S21),7))+13),1,IF(N($W21)&gt;0,MIN(1,SUMIFS($AE$5:$AE$1000,$U$5:$U$1000,ROW(),$V$5:$V$1000,"Sub")),$AA21)))</f>
        <v/>
      </c>
      <c r="AJ21" s="62">
        <f>IF($V21="","",IF(AND(ISNUMBER($G21),$G21&lt;=IF($S21=MesCiclo,InicioCiclo,$S21+MOD(2-WEEKDAY($S21),7))+20),1,IF(N($W21)&gt;0,MIN(1,SUMIFS($AF$5:$AF$1000,$U$5:$U$1000,ROW(),$V$5:$V$1000,"Sub")),$AB21)))</f>
        <v/>
      </c>
      <c r="AK21" s="62">
        <f>IF($V21="","",IF(AND(ISNUMBER($G21),$G21&lt;=IF($S21=MesCiclo,InicioCiclo,$S21+MOD(2-WEEKDAY($S21),7))+27),1,IF(N($W21)&gt;0,MIN(1,SUMIFS($AG$5:$AG$1000,$U$5:$U$1000,ROW(),$V$5:$V$1000,"Sub")),$AC21)))</f>
        <v/>
      </c>
      <c r="AL21" s="62">
        <f>IF($V21&lt;&gt;"Macro","",IF(COUNTIFS($S$5:$S$1000,$S21,$V$5:$V$1000,"Macro",$H$5:$H$1000,"&gt;0")=0,1/COUNTIFS($S$5:$S$1000,$S21,$V$5:$V$1000,"Macro"),IF(AND(ISNUMBER($H21),N($H21)&gt;0),$H21,SUMIFS($H$5:$H$1000,$S$5:$S$1000,$S21,$V$5:$V$1000,"Macro")/COUNTIFS($S$5:$S$1000,$S21,$V$5:$V$1000,"Macro",$H$5:$H$1000,"&gt;0"))/(COUNTIFS($S$5:$S$1000,$S21,$V$5:$V$1000,"Macro")*SUMIFS($H$5:$H$1000,$S$5:$S$1000,$S21,$V$5:$V$1000,"Macro")/COUNTIFS($S$5:$S$1000,$S21,$V$5:$V$1000,"Macro",$H$5:$H$1000,"&gt;0"))))</f>
        <v/>
      </c>
      <c r="AM21" s="62" t="n"/>
      <c r="AN21" s="62" t="n"/>
      <c r="AO21" s="62" t="n"/>
      <c r="AP21" s="62" t="n"/>
      <c r="AQ21" s="62">
        <f>IF(LEFT($C21,11)="[Jefatura] ",IFERROR(MATCH("Asistente Técnico de Riesgo|"&amp;MID($C21,12,500),rDname_ADM,0),0),"")</f>
        <v/>
      </c>
      <c r="AR21" s="62">
        <f>IF(N($AQ21)&gt;0,INDEX(rIni_ADM,$AQ21),IF(ISNUMBER($E21),$E21,""))</f>
        <v/>
      </c>
      <c r="AS21" s="62">
        <f>IF(N($AQ21)&gt;0,INDEX(rLim_ADM,$AQ21),IF(ISNUMBER($F21),$F21,""))</f>
        <v/>
      </c>
    </row>
    <row r="22">
      <c r="A22" s="56">
        <f>IF(NOT((COUNTA($B22:$D22)+COUNTA($G22:$H22)+COUNTA($Q22))&gt;0),"",IF($V22="Macro",COUNTIFS($V$5:$V22,"Macro",$S$5:$S22,$S22),IF(N($U22)=0,"?",COUNTIFS(INDEX($V$5:$V$1000,1):INDEX($V$5:$V$1000,$U22-4),"Macro",INDEX($S$5:$S$1000,1):INDEX($S$5:$S$1000,$U22-4),INDEX($S$5:$S$1000,$U22-4))&amp;"."&amp;COUNTIFS($U$5:$U22,$U22,$V$5:$V22,"Sub"))))</f>
        <v/>
      </c>
      <c r="B22" s="57" t="n"/>
      <c r="C22" s="58" t="n"/>
      <c r="D22" s="58" t="n"/>
      <c r="E22" s="59">
        <f>IF(N($AQ22)&gt;0,INDEX(rIni_ADM,$AQ22),"")</f>
        <v/>
      </c>
      <c r="F22" s="59">
        <f>IF(N($AQ22)&gt;0,INDEX(rLim_ADM,$AQ22),"")</f>
        <v/>
      </c>
      <c r="G22" s="59" t="n"/>
      <c r="H22" s="60" t="n"/>
      <c r="I22" s="60">
        <f>IF(N($W22)=0,"",IF(AND($S22=MesCiclo,1&gt;SemanaActual),"",MIN(1,SUMIFS(OFFSET($A$1,ROW(),29,1000-ROW(),1),OFFSET($A$1,ROW(),20,1000-ROW(),1),ROW(),OFFSET($A$1,ROW(),21,1000-ROW(),1),"Sub"))))</f>
        <v/>
      </c>
      <c r="J22" s="60">
        <f>IF(N($W22)=0,"",IF(AND($S22=MesCiclo,2&gt;SemanaActual),"",MIN(1,SUMIFS(OFFSET($A$1,ROW(),30,1000-ROW(),1),OFFSET($A$1,ROW(),20,1000-ROW(),1),ROW(),OFFSET($A$1,ROW(),21,1000-ROW(),1),"Sub"))))</f>
        <v/>
      </c>
      <c r="K22" s="60">
        <f>IF(N($W22)=0,"",IF(AND($S22=MesCiclo,3&gt;SemanaActual),"",MIN(1,SUMIFS(OFFSET($A$1,ROW(),31,1000-ROW(),1),OFFSET($A$1,ROW(),20,1000-ROW(),1),ROW(),OFFSET($A$1,ROW(),21,1000-ROW(),1),"Sub"))))</f>
        <v/>
      </c>
      <c r="L22" s="60">
        <f>IF(N($W22)=0,"",IF(AND($S22=MesCiclo,4&gt;SemanaActual),"",MIN(1,SUMIFS(OFFSET($A$1,ROW(),32,1000-ROW(),1),OFFSET($A$1,ROW(),20,1000-ROW(),1),ROW(),OFFSET($A$1,ROW(),21,1000-ROW(),1),"Sub"))))</f>
        <v/>
      </c>
      <c r="M22" s="61">
        <f>IF(OR(NOT((COUNTA($B22:$D22)+COUNTA($G22:$H22)+COUNTA($Q22))&gt;0),$V22="Sub"),"",IF(ISNUMBER($G22),1,IF(N($W22)&gt;0,MIN(1,SUMIFS($Y$5:$Y$1000,$U$5:$U$1000,ROW(),$V$5:$V$1000,"Sub")),$Y22)))</f>
        <v/>
      </c>
      <c r="N22" s="56">
        <f>IF(OR($M22="",$V22="Sub"),"",IF($M22&gt;=1,"Completado",IF($M22&gt;0,"En curso","Pendiente")))</f>
        <v/>
      </c>
      <c r="O22" s="56">
        <f>IF(OR(NOT((COUNTA($B22:$D22)+COUNTA($G22:$H22)+COUNTA($Q22))&gt;0),$V22="Sub"),"",IF(ISNUMBER($G22),IF(AND(ISNUMBER($AS22),$G22&gt;$AS22),"Cumplida con "&amp;($G22-$AS22)&amp;IF($G22-$AS22=1," día"," días")&amp;" de retraso","Cumplida"),IF(N($M22)&gt;=1,"Cumplida",IF(NOT(ISNUMBER($AS22)),"Sin fecha límite",IF($AS22&lt;FechaRef,"Vencida hace "&amp;(FechaRef-$AS22)&amp;IF(FechaRef-$AS22=1," día"," días"),IF($AS22=FechaRef,"Vence hoy",IF($AS22-FechaRef&lt;=DiasAlerta,"Vence en "&amp;($AS22-FechaRef)&amp;IF($AS22-FechaRef=1," día"," días"),"En plazo")))))))</f>
        <v/>
      </c>
      <c r="P22" s="62" t="n"/>
      <c r="Q22" s="58" t="n"/>
      <c r="R22" s="63">
        <f>IF(NOT((COUNTA($B22:$D22)+COUNTA($G22:$H22)+COUNTA($Q22))&gt;0),"",IF((IF($C22="","Falta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 OK","⚠ "&amp;LEFT(IF($C22="","Falta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",""),LEN(IF($C22="","Falta el nombre de la actividad"&amp;" · ","")&amp;IF(AND($V22="Sub",N($U22)=0),"Subactividad sin macroactividad arriba"&amp;" · ","")&amp;IF(AND($V22="Macro",$AR22=""),"Sin fecha de inicio"&amp;" · ","")&amp;IF(AND($V22="Macro",$AS22=""),"Sin fecha límite"&amp;" · ","")&amp;IF(AND(LEFT($C22,11)="[Jefatura] ",N($AQ22)=0),"No se encuentra en la hoja de la jefatura (elíjala de nuevo en la lista)"&amp;" · ","")&amp;IF(OR(AND($E22&lt;&gt;"",NOT(ISNUMBER($E22))),AND($F22&lt;&gt;"",NOT(ISNUMBER($F22))),AND($G22&lt;&gt;"",NOT(ISNUMBER($G22)))),"Fecha no válida"&amp;" · ","")&amp;IF(AND(ISNUMBER($AR22),ISNUMBER($AS22),$AR22&gt;$AS22),"Inicio posterior a fecha límite"&amp;" · ","")&amp;IF(AND($V22="Macro",$H22&lt;&gt;"",OR(NOT(ISNUMBER($H22)),$H22&lt;0,$H22&gt;1)),"Peso fuera de rango"&amp;" · ","")&amp;IF(AND($V22="Sub",$H22&lt;&gt;"",OR(NOT(ISNUMBER($H22)),$H22&lt;0,$H22&gt;1)),"% de la subactividad fuera de rango 0-100%"&amp;" · ","")&amp;IF(AND(N($W22)&gt;0,SUMIFS($H$5:$H$1000,$U$5:$U$1000,ROW(),$V$5:$V$1000,"Sub")&gt;1.0001),"Las subactividades suman más de 100%"&amp;" · ","")&amp;IF(AND(N($W22)&gt;0,OR(IF(ISNUMBER($I22),ROUND($I22,6)&lt;&gt;ROUND(MIN(1,SUMIFS($AD$5:$AD$1000,$U$5:$U$1000,ROW(),$V$5:$V$1000,"Sub")),6),FALSE),IF(ISNUMBER($J22),ROUND($J22,6)&lt;&gt;ROUND(MIN(1,SUMIFS($AE$5:$AE$1000,$U$5:$U$1000,ROW(),$V$5:$V$1000,"Sub")),6),FALSE),IF(ISNUMBER($K22),ROUND($K22,6)&lt;&gt;ROUND(MIN(1,SUMIFS($AF$5:$AF$1000,$U$5:$U$1000,ROW(),$V$5:$V$1000,"Sub")),6),FALSE),IF(ISNUMBER($L22),ROUND($L22,6)&lt;&gt;ROUND(MIN(1,SUMIFS($AG$5:$AG$1000,$U$5:$U$1000,ROW(),$V$5:$V$1000,"Sub")),6),FALSE))),"Con subactividades: no escriba en las semanas (se llenan solas)"&amp;" · ","")&amp;IF((COUNTIF($I22:$L22,"&gt;1")+COUNTIF($I22:$L22,"&lt;0")+SUMPRODUCT((LEN($I22:$L22)&gt;0)*NOT(ISNUMBER($I22:$L22))))&gt;0,"Avance fuera de rango 0-100%"&amp;" · ","")&amp;IF(OR(AND(ISNUMBER($J22),$J22&lt;N($I22)),AND(ISNUMBER($K22),$K22&lt;MAX($I22:$J22)),AND(ISNUMBER($L22),$L22&lt;MAX($I22:$K22))),"Avance semanal decreciente"&amp;" · ","")&amp;IF(AND(ISNUMBER($AS22),$AS22&lt;FechaRef,IF($V22="Sub",1,N($M22))&lt;1),"Vencida"&amp;" · ","")&amp;IF(AND(ObsObligatoria="Sí",ISNUMBER($AS22),$AS22&lt;FechaRef,IF($V22="Sub",1,N($M22))&lt;1,$Q22=""),"Vencida sin observación"&amp;" · ",""))-3)))</f>
        <v/>
      </c>
      <c r="S22" s="64">
        <f>IF(NOT((COUNTA($B22:$D22)+COUNTA($G22:$H22)+COUNTA($Q22))&gt;0),"",IF(AND($V22="Sub",N($U22)&gt;0),IF(ISNUMBER(INDEX($AR$5:$AR$1000,$U22-4)),DATE(YEAR(INDEX($AR$5:$AR$1000,$U22-4)),MONTH(INDEX($AR$5:$AR$1000,$U22-4)),1),IF(ISNUMBER(INDEX($AS$5:$AS$1000,$U22-4)),DATE(YEAR(INDEX($AS$5:$AS$1000,$U22-4)),MONTH(INDEX($AS$5:$AS$1000,$U22-4)),1),MesCiclo)),IF(ISNUMBER($AR22),DATE(YEAR($AR22),MONTH($AR22),1),IF(ISNUMBER($AS22),DATE(YEAR($AS22),MONTH($AS22),1),MesCiclo))))</f>
        <v/>
      </c>
      <c r="T22" s="62">
        <f>IF(OR($S22="",$S22&lt;&gt;MesCiclo,$V22&lt;&gt;"Macro"),"",COUNTIFS($S$5:$S22,MesCiclo,$V$5:$V22,"Macro"))</f>
        <v/>
      </c>
      <c r="U22" s="62">
        <f>IF($V22="","",IF($V22="Macro",ROW(),IFERROR(LOOKUP(2,1/($V$5:$V22="Macro"),ROW($V$5:$V22)),0)))</f>
        <v/>
      </c>
      <c r="V22" s="62">
        <f>IF(NOT((COUNTA($B22:$D22)+COUNTA($G22:$H22)+COUNTA($Q22))&gt;0),"",IF($B22="Subactividad","Sub","Macro"))</f>
        <v/>
      </c>
      <c r="W22" s="62">
        <f>IF($V22="Macro",COUNTIFS($U$5:$U$1000,ROW(),$V$5:$V$1000,"Sub"),"")</f>
        <v/>
      </c>
      <c r="X22" s="62">
        <f>IF($V22&lt;&gt;"Sub","",IF(AND(ISNUMBER($H22),N($H22)&gt;0),$H22,IFERROR(MAX(0,1-SUMIFS($H$5:$H$1000,$U$5:$U$1000,$U22,$V$5:$V$1000,"Sub"))/(COUNTIFS($U$5:$U$1000,$U22,$V$5:$V$1000,"Sub")-COUNTIFS($U$5:$U$1000,$U22,$V$5:$V$1000,"Sub",$H$5:$H$1000,"&gt;0")),0)))</f>
        <v/>
      </c>
      <c r="Y22" s="62">
        <f>IF($V22="","",IF($V22="Sub",N($X22)*IF(ISNUMBER($G22),1,MIN(1,MAX(0,IFERROR(LOOKUP(2,1/ISNUMBER($I22:$L22),$I22:$L22),0)))),IF(ISNUMBER($G22),1,IFERROR(LOOKUP(2,1/($I22:$L22&lt;&gt;""),$I22:$L22),0))))</f>
        <v/>
      </c>
      <c r="Z22" s="62">
        <f>IF($V22="","",IF(AND(ISNUMBER($G22),$G22&lt;=IF($S22=MesCiclo,InicioCiclo,$S22+MOD(2-WEEKDAY($S22),7))+6),1,IF(ISNUMBER($I22),$I22,0)))</f>
        <v/>
      </c>
      <c r="AA22" s="62">
        <f>IF($V22="","",IF(AND(ISNUMBER($G22),$G22&lt;=IF($S22=MesCiclo,InicioCiclo,$S22+MOD(2-WEEKDAY($S22),7))+13),1,IF(ISNUMBER($J22),$J22,$Z22)))</f>
        <v/>
      </c>
      <c r="AB22" s="62">
        <f>IF($V22="","",IF(AND(ISNUMBER($G22),$G22&lt;=IF($S22=MesCiclo,InicioCiclo,$S22+MOD(2-WEEKDAY($S22),7))+20),1,IF(ISNUMBER($K22),$K22,$AA22)))</f>
        <v/>
      </c>
      <c r="AC22" s="62">
        <f>IF($V22="","",IF(AND(ISNUMBER($G22),$G22&lt;=IF($S22=MesCiclo,InicioCiclo,$S22+MOD(2-WEEKDAY($S22),7))+27),1,IF(ISNUMBER($L22),$L22,$AB22)))</f>
        <v/>
      </c>
      <c r="AD22" s="62">
        <f>IF($V22&lt;&gt;"Sub","",N($X22)*IF(AND(ISNUMBER($G22),$G22&lt;=IF($S22=MesCiclo,InicioCiclo,$S22+MOD(2-WEEKDAY($S22),7))+6),1,MIN(1,MAX(0,IF(ISNUMBER(OFFSET($A$1,ROW()-1,8)),OFFSET($A$1,ROW()-1,8),0)))))</f>
        <v/>
      </c>
      <c r="AE22" s="62">
        <f>IF($V22&lt;&gt;"Sub","",N($X22)*IF(AND(ISNUMBER($G22),$G22&lt;=IF($S22=MesCiclo,InicioCiclo,$S22+MOD(2-WEEKDAY($S22),7))+13),1,MIN(1,MAX(0,IF(ISNUMBER(OFFSET($A$1,ROW()-1,9)),OFFSET($A$1,ROW()-1,9),IF(ISNUMBER(OFFSET($A$1,ROW()-1,8)),OFFSET($A$1,ROW()-1,8),0))))))</f>
        <v/>
      </c>
      <c r="AF22" s="62">
        <f>IF($V22&lt;&gt;"Sub","",N($X22)*IF(AND(ISNUMBER($G22),$G22&lt;=IF($S22=MesCiclo,InicioCiclo,$S22+MOD(2-WEEKDAY($S22),7))+20),1,MIN(1,MAX(0,IF(ISNUMBER(OFFSET($A$1,ROW()-1,10)),OFFSET($A$1,ROW()-1,10),IF(ISNUMBER(OFFSET($A$1,ROW()-1,9)),OFFSET($A$1,ROW()-1,9),IF(ISNUMBER(OFFSET($A$1,ROW()-1,8)),OFFSET($A$1,ROW()-1,8),0)))))))</f>
        <v/>
      </c>
      <c r="AG22" s="62">
        <f>IF($V22&lt;&gt;"Sub","",N($X22)*IF(AND(ISNUMBER($G22),$G22&lt;=IF($S22=MesCiclo,InicioCiclo,$S22+MOD(2-WEEKDAY($S22),7))+27),1,MIN(1,MAX(0,IF(ISNUMBER(OFFSET($A$1,ROW()-1,11)),OFFSET($A$1,ROW()-1,11),IF(ISNUMBER(OFFSET($A$1,ROW()-1,10)),OFFSET($A$1,ROW()-1,10),IF(ISNUMBER(OFFSET($A$1,ROW()-1,9)),OFFSET($A$1,ROW()-1,9),IF(ISNUMBER(OFFSET($A$1,ROW()-1,8)),OFFSET($A$1,ROW()-1,8),0))))))))</f>
        <v/>
      </c>
      <c r="AH22" s="62">
        <f>IF($V22="","",IF(AND(ISNUMBER($G22),$G22&lt;=IF($S22=MesCiclo,InicioCiclo,$S22+MOD(2-WEEKDAY($S22),7))+6),1,IF(N($W22)&gt;0,MIN(1,SUMIFS($AD$5:$AD$1000,$U$5:$U$1000,ROW(),$V$5:$V$1000,"Sub")),$Z22)))</f>
        <v/>
      </c>
      <c r="AI22" s="62">
        <f>IF($V22="","",IF(AND(ISNUMBER($G22),$G22&lt;=IF($S22=MesCiclo,InicioCiclo,$S22+MOD(2-WEEKDAY($S22),7))+13),1,IF(N($W22)&gt;0,MIN(1,SUMIFS($AE$5:$AE$1000,$U$5:$U$1000,ROW(),$V$5:$V$1000,"Sub")),$AA22)))</f>
        <v/>
      </c>
      <c r="AJ22" s="62">
        <f>IF($V22="","",IF(AND(ISNUMBER($G22),$G22&lt;=IF($S22=MesCiclo,InicioCiclo,$S22+MOD(2-WEEKDAY($S22),7))+20),1,IF(N($W22)&gt;0,MIN(1,SUMIFS($AF$5:$AF$1000,$U$5:$U$1000,ROW(),$V$5:$V$1000,"Sub")),$AB22)))</f>
        <v/>
      </c>
      <c r="AK22" s="62">
        <f>IF($V22="","",IF(AND(ISNUMBER($G22),$G22&lt;=IF($S22=MesCiclo,InicioCiclo,$S22+MOD(2-WEEKDAY($S22),7))+27),1,IF(N($W22)&gt;0,MIN(1,SUMIFS($AG$5:$AG$1000,$U$5:$U$1000,ROW(),$V$5:$V$1000,"Sub")),$AC22)))</f>
        <v/>
      </c>
      <c r="AL22" s="62">
        <f>IF($V22&lt;&gt;"Macro","",IF(COUNTIFS($S$5:$S$1000,$S22,$V$5:$V$1000,"Macro",$H$5:$H$1000,"&gt;0")=0,1/COUNTIFS($S$5:$S$1000,$S22,$V$5:$V$1000,"Macro"),IF(AND(ISNUMBER($H22),N($H22)&gt;0),$H22,SUMIFS($H$5:$H$1000,$S$5:$S$1000,$S22,$V$5:$V$1000,"Macro")/COUNTIFS($S$5:$S$1000,$S22,$V$5:$V$1000,"Macro",$H$5:$H$1000,"&gt;0"))/(COUNTIFS($S$5:$S$1000,$S22,$V$5:$V$1000,"Macro")*SUMIFS($H$5:$H$1000,$S$5:$S$1000,$S22,$V$5:$V$1000,"Macro")/COUNTIFS($S$5:$S$1000,$S22,$V$5:$V$1000,"Macro",$H$5:$H$1000,"&gt;0"))))</f>
        <v/>
      </c>
      <c r="AM22" s="62" t="n"/>
      <c r="AN22" s="62" t="n"/>
      <c r="AO22" s="62" t="n"/>
      <c r="AP22" s="62" t="n"/>
      <c r="AQ22" s="62">
        <f>IF(LEFT($C22,11)="[Jefatura] ",IFERROR(MATCH("Asistente Técnico de Riesgo|"&amp;MID($C22,12,500),rDname_ADM,0),0),"")</f>
        <v/>
      </c>
      <c r="AR22" s="62">
        <f>IF(N($AQ22)&gt;0,INDEX(rIni_ADM,$AQ22),IF(ISNUMBER($E22),$E22,""))</f>
        <v/>
      </c>
      <c r="AS22" s="62">
        <f>IF(N($AQ22)&gt;0,INDEX(rLim_ADM,$AQ22),IF(ISNUMBER($F22),$F22,""))</f>
        <v/>
      </c>
    </row>
    <row r="23">
      <c r="A23" s="56">
        <f>IF(NOT((COUNTA($B23:$D23)+COUNTA($G23:$H23)+COUNTA($Q23))&gt;0),"",IF($V23="Macro",COUNTIFS($V$5:$V23,"Macro",$S$5:$S23,$S23),IF(N($U23)=0,"?",COUNTIFS(INDEX($V$5:$V$1000,1):INDEX($V$5:$V$1000,$U23-4),"Macro",INDEX($S$5:$S$1000,1):INDEX($S$5:$S$1000,$U23-4),INDEX($S$5:$S$1000,$U23-4))&amp;"."&amp;COUNTIFS($U$5:$U23,$U23,$V$5:$V23,"Sub"))))</f>
        <v/>
      </c>
      <c r="B23" s="57" t="n"/>
      <c r="C23" s="58" t="n"/>
      <c r="D23" s="58" t="n"/>
      <c r="E23" s="59">
        <f>IF(N($AQ23)&gt;0,INDEX(rIni_ADM,$AQ23),"")</f>
        <v/>
      </c>
      <c r="F23" s="59">
        <f>IF(N($AQ23)&gt;0,INDEX(rLim_ADM,$AQ23),"")</f>
        <v/>
      </c>
      <c r="G23" s="59" t="n"/>
      <c r="H23" s="60" t="n"/>
      <c r="I23" s="60">
        <f>IF(N($W23)=0,"",IF(AND($S23=MesCiclo,1&gt;SemanaActual),"",MIN(1,SUMIFS(OFFSET($A$1,ROW(),29,1000-ROW(),1),OFFSET($A$1,ROW(),20,1000-ROW(),1),ROW(),OFFSET($A$1,ROW(),21,1000-ROW(),1),"Sub"))))</f>
        <v/>
      </c>
      <c r="J23" s="60">
        <f>IF(N($W23)=0,"",IF(AND($S23=MesCiclo,2&gt;SemanaActual),"",MIN(1,SUMIFS(OFFSET($A$1,ROW(),30,1000-ROW(),1),OFFSET($A$1,ROW(),20,1000-ROW(),1),ROW(),OFFSET($A$1,ROW(),21,1000-ROW(),1),"Sub"))))</f>
        <v/>
      </c>
      <c r="K23" s="60">
        <f>IF(N($W23)=0,"",IF(AND($S23=MesCiclo,3&gt;SemanaActual),"",MIN(1,SUMIFS(OFFSET($A$1,ROW(),31,1000-ROW(),1),OFFSET($A$1,ROW(),20,1000-ROW(),1),ROW(),OFFSET($A$1,ROW(),21,1000-ROW(),1),"Sub"))))</f>
        <v/>
      </c>
      <c r="L23" s="60">
        <f>IF(N($W23)=0,"",IF(AND($S23=MesCiclo,4&gt;SemanaActual),"",MIN(1,SUMIFS(OFFSET($A$1,ROW(),32,1000-ROW(),1),OFFSET($A$1,ROW(),20,1000-ROW(),1),ROW(),OFFSET($A$1,ROW(),21,1000-ROW(),1),"Sub"))))</f>
        <v/>
      </c>
      <c r="M23" s="61">
        <f>IF(OR(NOT((COUNTA($B23:$D23)+COUNTA($G23:$H23)+COUNTA($Q23))&gt;0),$V23="Sub"),"",IF(ISNUMBER($G23),1,IF(N($W23)&gt;0,MIN(1,SUMIFS($Y$5:$Y$1000,$U$5:$U$1000,ROW(),$V$5:$V$1000,"Sub")),$Y23)))</f>
        <v/>
      </c>
      <c r="N23" s="56">
        <f>IF(OR($M23="",$V23="Sub"),"",IF($M23&gt;=1,"Completado",IF($M23&gt;0,"En curso","Pendiente")))</f>
        <v/>
      </c>
      <c r="O23" s="56">
        <f>IF(OR(NOT((COUNTA($B23:$D23)+COUNTA($G23:$H23)+COUNTA($Q23))&gt;0),$V23="Sub"),"",IF(ISNUMBER($G23),IF(AND(ISNUMBER($AS23),$G23&gt;$AS23),"Cumplida con "&amp;($G23-$AS23)&amp;IF($G23-$AS23=1," día"," días")&amp;" de retraso","Cumplida"),IF(N($M23)&gt;=1,"Cumplida",IF(NOT(ISNUMBER($AS23)),"Sin fecha límite",IF($AS23&lt;FechaRef,"Vencida hace "&amp;(FechaRef-$AS23)&amp;IF(FechaRef-$AS23=1," día"," días"),IF($AS23=FechaRef,"Vence hoy",IF($AS23-FechaRef&lt;=DiasAlerta,"Vence en "&amp;($AS23-FechaRef)&amp;IF($AS23-FechaRef=1," día"," días"),"En plazo")))))))</f>
        <v/>
      </c>
      <c r="P23" s="62" t="n"/>
      <c r="Q23" s="58" t="n"/>
      <c r="R23" s="63">
        <f>IF(NOT((COUNTA($B23:$D23)+COUNTA($G23:$H23)+COUNTA($Q23))&gt;0),"",IF((IF($C23="","Falta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 OK","⚠ "&amp;LEFT(IF($C23="","Falta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",""),LEN(IF($C23="","Falta el nombre de la actividad"&amp;" · ","")&amp;IF(AND($V23="Sub",N($U23)=0),"Subactividad sin macroactividad arriba"&amp;" · ","")&amp;IF(AND($V23="Macro",$AR23=""),"Sin fecha de inicio"&amp;" · ","")&amp;IF(AND($V23="Macro",$AS23=""),"Sin fecha límite"&amp;" · ","")&amp;IF(AND(LEFT($C23,11)="[Jefatura] ",N($AQ23)=0),"No se encuentra en la hoja de la jefatura (elíjala de nuevo en la lista)"&amp;" · ","")&amp;IF(OR(AND($E23&lt;&gt;"",NOT(ISNUMBER($E23))),AND($F23&lt;&gt;"",NOT(ISNUMBER($F23))),AND($G23&lt;&gt;"",NOT(ISNUMBER($G23)))),"Fecha no válida"&amp;" · ","")&amp;IF(AND(ISNUMBER($AR23),ISNUMBER($AS23),$AR23&gt;$AS23),"Inicio posterior a fecha límite"&amp;" · ","")&amp;IF(AND($V23="Macro",$H23&lt;&gt;"",OR(NOT(ISNUMBER($H23)),$H23&lt;0,$H23&gt;1)),"Peso fuera de rango"&amp;" · ","")&amp;IF(AND($V23="Sub",$H23&lt;&gt;"",OR(NOT(ISNUMBER($H23)),$H23&lt;0,$H23&gt;1)),"% de la subactividad fuera de rango 0-100%"&amp;" · ","")&amp;IF(AND(N($W23)&gt;0,SUMIFS($H$5:$H$1000,$U$5:$U$1000,ROW(),$V$5:$V$1000,"Sub")&gt;1.0001),"Las subactividades suman más de 100%"&amp;" · ","")&amp;IF(AND(N($W23)&gt;0,OR(IF(ISNUMBER($I23),ROUND($I23,6)&lt;&gt;ROUND(MIN(1,SUMIFS($AD$5:$AD$1000,$U$5:$U$1000,ROW(),$V$5:$V$1000,"Sub")),6),FALSE),IF(ISNUMBER($J23),ROUND($J23,6)&lt;&gt;ROUND(MIN(1,SUMIFS($AE$5:$AE$1000,$U$5:$U$1000,ROW(),$V$5:$V$1000,"Sub")),6),FALSE),IF(ISNUMBER($K23),ROUND($K23,6)&lt;&gt;ROUND(MIN(1,SUMIFS($AF$5:$AF$1000,$U$5:$U$1000,ROW(),$V$5:$V$1000,"Sub")),6),FALSE),IF(ISNUMBER($L23),ROUND($L23,6)&lt;&gt;ROUND(MIN(1,SUMIFS($AG$5:$AG$1000,$U$5:$U$1000,ROW(),$V$5:$V$1000,"Sub")),6),FALSE))),"Con subactividades: no escriba en las semanas (se llenan solas)"&amp;" · ","")&amp;IF((COUNTIF($I23:$L23,"&gt;1")+COUNTIF($I23:$L23,"&lt;0")+SUMPRODUCT((LEN($I23:$L23)&gt;0)*NOT(ISNUMBER($I23:$L23))))&gt;0,"Avance fuera de rango 0-100%"&amp;" · ","")&amp;IF(OR(AND(ISNUMBER($J23),$J23&lt;N($I23)),AND(ISNUMBER($K23),$K23&lt;MAX($I23:$J23)),AND(ISNUMBER($L23),$L23&lt;MAX($I23:$K23))),"Avance semanal decreciente"&amp;" · ","")&amp;IF(AND(ISNUMBER($AS23),$AS23&lt;FechaRef,IF($V23="Sub",1,N($M23))&lt;1),"Vencida"&amp;" · ","")&amp;IF(AND(ObsObligatoria="Sí",ISNUMBER($AS23),$AS23&lt;FechaRef,IF($V23="Sub",1,N($M23))&lt;1,$Q23=""),"Vencida sin observación"&amp;" · ",""))-3)))</f>
        <v/>
      </c>
      <c r="S23" s="64">
        <f>IF(NOT((COUNTA($B23:$D23)+COUNTA($G23:$H23)+COUNTA($Q23))&gt;0),"",IF(AND($V23="Sub",N($U23)&gt;0),IF(ISNUMBER(INDEX($AR$5:$AR$1000,$U23-4)),DATE(YEAR(INDEX($AR$5:$AR$1000,$U23-4)),MONTH(INDEX($AR$5:$AR$1000,$U23-4)),1),IF(ISNUMBER(INDEX($AS$5:$AS$1000,$U23-4)),DATE(YEAR(INDEX($AS$5:$AS$1000,$U23-4)),MONTH(INDEX($AS$5:$AS$1000,$U23-4)),1),MesCiclo)),IF(ISNUMBER($AR23),DATE(YEAR($AR23),MONTH($AR23),1),IF(ISNUMBER($AS23),DATE(YEAR($AS23),MONTH($AS23),1),MesCiclo))))</f>
        <v/>
      </c>
      <c r="T23" s="62">
        <f>IF(OR($S23="",$S23&lt;&gt;MesCiclo,$V23&lt;&gt;"Macro"),"",COUNTIFS($S$5:$S23,MesCiclo,$V$5:$V23,"Macro"))</f>
        <v/>
      </c>
      <c r="U23" s="62">
        <f>IF($V23="","",IF($V23="Macro",ROW(),IFERROR(LOOKUP(2,1/($V$5:$V23="Macro"),ROW($V$5:$V23)),0)))</f>
        <v/>
      </c>
      <c r="V23" s="62">
        <f>IF(NOT((COUNTA($B23:$D23)+COUNTA($G23:$H23)+COUNTA($Q23))&gt;0),"",IF($B23="Subactividad","Sub","Macro"))</f>
        <v/>
      </c>
      <c r="W23" s="62">
        <f>IF($V23="Macro",COUNTIFS($U$5:$U$1000,ROW(),$V$5:$V$1000,"Sub"),"")</f>
        <v/>
      </c>
      <c r="X23" s="62">
        <f>IF($V23&lt;&gt;"Sub","",IF(AND(ISNUMBER($H23),N($H23)&gt;0),$H23,IFERROR(MAX(0,1-SUMIFS($H$5:$H$1000,$U$5:$U$1000,$U23,$V$5:$V$1000,"Sub"))/(COUNTIFS($U$5:$U$1000,$U23,$V$5:$V$1000,"Sub")-COUNTIFS($U$5:$U$1000,$U23,$V$5:$V$1000,"Sub",$H$5:$H$1000,"&gt;0")),0)))</f>
        <v/>
      </c>
      <c r="Y23" s="62">
        <f>IF($V23="","",IF($V23="Sub",N($X23)*IF(ISNUMBER($G23),1,MIN(1,MAX(0,IFERROR(LOOKUP(2,1/ISNUMBER($I23:$L23),$I23:$L23),0)))),IF(ISNUMBER($G23),1,IFERROR(LOOKUP(2,1/($I23:$L23&lt;&gt;""),$I23:$L23),0))))</f>
        <v/>
      </c>
      <c r="Z23" s="62">
        <f>IF($V23="","",IF(AND(ISNUMBER($G23),$G23&lt;=IF($S23=MesCiclo,InicioCiclo,$S23+MOD(2-WEEKDAY($S23),7))+6),1,IF(ISNUMBER($I23),$I23,0)))</f>
        <v/>
      </c>
      <c r="AA23" s="62">
        <f>IF($V23="","",IF(AND(ISNUMBER($G23),$G23&lt;=IF($S23=MesCiclo,InicioCiclo,$S23+MOD(2-WEEKDAY($S23),7))+13),1,IF(ISNUMBER($J23),$J23,$Z23)))</f>
        <v/>
      </c>
      <c r="AB23" s="62">
        <f>IF($V23="","",IF(AND(ISNUMBER($G23),$G23&lt;=IF($S23=MesCiclo,InicioCiclo,$S23+MOD(2-WEEKDAY($S23),7))+20),1,IF(ISNUMBER($K23),$K23,$AA23)))</f>
        <v/>
      </c>
      <c r="AC23" s="62">
        <f>IF($V23="","",IF(AND(ISNUMBER($G23),$G23&lt;=IF($S23=MesCiclo,InicioCiclo,$S23+MOD(2-WEEKDAY($S23),7))+27),1,IF(ISNUMBER($L23),$L23,$AB23)))</f>
        <v/>
      </c>
      <c r="AD23" s="62">
        <f>IF($V23&lt;&gt;"Sub","",N($X23)*IF(AND(ISNUMBER($G23),$G23&lt;=IF($S23=MesCiclo,InicioCiclo,$S23+MOD(2-WEEKDAY($S23),7))+6),1,MIN(1,MAX(0,IF(ISNUMBER(OFFSET($A$1,ROW()-1,8)),OFFSET($A$1,ROW()-1,8),0)))))</f>
        <v/>
      </c>
      <c r="AE23" s="62">
        <f>IF($V23&lt;&gt;"Sub","",N($X23)*IF(AND(ISNUMBER($G23),$G23&lt;=IF($S23=MesCiclo,InicioCiclo,$S23+MOD(2-WEEKDAY($S23),7))+13),1,MIN(1,MAX(0,IF(ISNUMBER(OFFSET($A$1,ROW()-1,9)),OFFSET($A$1,ROW()-1,9),IF(ISNUMBER(OFFSET($A$1,ROW()-1,8)),OFFSET($A$1,ROW()-1,8),0))))))</f>
        <v/>
      </c>
      <c r="AF23" s="62">
        <f>IF($V23&lt;&gt;"Sub","",N($X23)*IF(AND(ISNUMBER($G23),$G23&lt;=IF($S23=MesCiclo,InicioCiclo,$S23+MOD(2-WEEKDAY($S23),7))+20),1,MIN(1,MAX(0,IF(ISNUMBER(OFFSET($A$1,ROW()-1,10)),OFFSET($A$1,ROW()-1,10),IF(ISNUMBER(OFFSET($A$1,ROW()-1,9)),OFFSET($A$1,ROW()-1,9),IF(ISNUMBER(OFFSET($A$1,ROW()-1,8)),OFFSET($A$1,ROW()-1,8),0)))))))</f>
        <v/>
      </c>
      <c r="AG23" s="62">
        <f>IF($V23&lt;&gt;"Sub","",N($X23)*IF(AND(ISNUMBER($G23),$G23&lt;=IF($S23=MesCiclo,InicioCiclo,$S23+MOD(2-WEEKDAY($S23),7))+27),1,MIN(1,MAX(0,IF(ISNUMBER(OFFSET($A$1,ROW()-1,11)),OFFSET($A$1,ROW()-1,11),IF(ISNUMBER(OFFSET($A$1,ROW()-1,10)),OFFSET($A$1,ROW()-1,10),IF(ISNUMBER(OFFSET($A$1,ROW()-1,9)),OFFSET($A$1,ROW()-1,9),IF(ISNUMBER(OFFSET($A$1,ROW()-1,8)),OFFSET($A$1,ROW()-1,8),0))))))))</f>
        <v/>
      </c>
      <c r="AH23" s="62">
        <f>IF($V23="","",IF(AND(ISNUMBER($G23),$G23&lt;=IF($S23=MesCiclo,InicioCiclo,$S23+MOD(2-WEEKDAY($S23),7))+6),1,IF(N($W23)&gt;0,MIN(1,SUMIFS($AD$5:$AD$1000,$U$5:$U$1000,ROW(),$V$5:$V$1000,"Sub")),$Z23)))</f>
        <v/>
      </c>
      <c r="AI23" s="62">
        <f>IF($V23="","",IF(AND(ISNUMBER($G23),$G23&lt;=IF($S23=MesCiclo,InicioCiclo,$S23+MOD(2-WEEKDAY($S23),7))+13),1,IF(N($W23)&gt;0,MIN(1,SUMIFS($AE$5:$AE$1000,$U$5:$U$1000,ROW(),$V$5:$V$1000,"Sub")),$AA23)))</f>
        <v/>
      </c>
      <c r="AJ23" s="62">
        <f>IF($V23="","",IF(AND(ISNUMBER($G23),$G23&lt;=IF($S23=MesCiclo,InicioCiclo,$S23+MOD(2-WEEKDAY($S23),7))+20),1,IF(N($W23)&gt;0,MIN(1,SUMIFS($AF$5:$AF$1000,$U$5:$U$1000,ROW(),$V$5:$V$1000,"Sub")),$AB23)))</f>
        <v/>
      </c>
      <c r="AK23" s="62">
        <f>IF($V23="","",IF(AND(ISNUMBER($G23),$G23&lt;=IF($S23=MesCiclo,InicioCiclo,$S23+MOD(2-WEEKDAY($S23),7))+27),1,IF(N($W23)&gt;0,MIN(1,SUMIFS($AG$5:$AG$1000,$U$5:$U$1000,ROW(),$V$5:$V$1000,"Sub")),$AC23)))</f>
        <v/>
      </c>
      <c r="AL23" s="62">
        <f>IF($V23&lt;&gt;"Macro","",IF(COUNTIFS($S$5:$S$1000,$S23,$V$5:$V$1000,"Macro",$H$5:$H$1000,"&gt;0")=0,1/COUNTIFS($S$5:$S$1000,$S23,$V$5:$V$1000,"Macro"),IF(AND(ISNUMBER($H23),N($H23)&gt;0),$H23,SUMIFS($H$5:$H$1000,$S$5:$S$1000,$S23,$V$5:$V$1000,"Macro")/COUNTIFS($S$5:$S$1000,$S23,$V$5:$V$1000,"Macro",$H$5:$H$1000,"&gt;0"))/(COUNTIFS($S$5:$S$1000,$S23,$V$5:$V$1000,"Macro")*SUMIFS($H$5:$H$1000,$S$5:$S$1000,$S23,$V$5:$V$1000,"Macro")/COUNTIFS($S$5:$S$1000,$S23,$V$5:$V$1000,"Macro",$H$5:$H$1000,"&gt;0"))))</f>
        <v/>
      </c>
      <c r="AM23" s="62" t="n"/>
      <c r="AN23" s="62" t="n"/>
      <c r="AO23" s="62" t="n"/>
      <c r="AP23" s="62" t="n"/>
      <c r="AQ23" s="62">
        <f>IF(LEFT($C23,11)="[Jefatura] ",IFERROR(MATCH("Asistente Técnico de Riesgo|"&amp;MID($C23,12,500),rDname_ADM,0),0),"")</f>
        <v/>
      </c>
      <c r="AR23" s="62">
        <f>IF(N($AQ23)&gt;0,INDEX(rIni_ADM,$AQ23),IF(ISNUMBER($E23),$E23,""))</f>
        <v/>
      </c>
      <c r="AS23" s="62">
        <f>IF(N($AQ23)&gt;0,INDEX(rLim_ADM,$AQ23),IF(ISNUMBER($F23),$F23,""))</f>
        <v/>
      </c>
    </row>
    <row r="24">
      <c r="A24" s="56">
        <f>IF(NOT((COUNTA($B24:$D24)+COUNTA($G24:$H24)+COUNTA($Q24))&gt;0),"",IF($V24="Macro",COUNTIFS($V$5:$V24,"Macro",$S$5:$S24,$S24),IF(N($U24)=0,"?",COUNTIFS(INDEX($V$5:$V$1000,1):INDEX($V$5:$V$1000,$U24-4),"Macro",INDEX($S$5:$S$1000,1):INDEX($S$5:$S$1000,$U24-4),INDEX($S$5:$S$1000,$U24-4))&amp;"."&amp;COUNTIFS($U$5:$U24,$U24,$V$5:$V24,"Sub"))))</f>
        <v/>
      </c>
      <c r="B24" s="57" t="n"/>
      <c r="C24" s="58" t="n"/>
      <c r="D24" s="58" t="n"/>
      <c r="E24" s="59">
        <f>IF(N($AQ24)&gt;0,INDEX(rIni_ADM,$AQ24),"")</f>
        <v/>
      </c>
      <c r="F24" s="59">
        <f>IF(N($AQ24)&gt;0,INDEX(rLim_ADM,$AQ24),"")</f>
        <v/>
      </c>
      <c r="G24" s="59" t="n"/>
      <c r="H24" s="60" t="n"/>
      <c r="I24" s="60">
        <f>IF(N($W24)=0,"",IF(AND($S24=MesCiclo,1&gt;SemanaActual),"",MIN(1,SUMIFS(OFFSET($A$1,ROW(),29,1000-ROW(),1),OFFSET($A$1,ROW(),20,1000-ROW(),1),ROW(),OFFSET($A$1,ROW(),21,1000-ROW(),1),"Sub"))))</f>
        <v/>
      </c>
      <c r="J24" s="60">
        <f>IF(N($W24)=0,"",IF(AND($S24=MesCiclo,2&gt;SemanaActual),"",MIN(1,SUMIFS(OFFSET($A$1,ROW(),30,1000-ROW(),1),OFFSET($A$1,ROW(),20,1000-ROW(),1),ROW(),OFFSET($A$1,ROW(),21,1000-ROW(),1),"Sub"))))</f>
        <v/>
      </c>
      <c r="K24" s="60">
        <f>IF(N($W24)=0,"",IF(AND($S24=MesCiclo,3&gt;SemanaActual),"",MIN(1,SUMIFS(OFFSET($A$1,ROW(),31,1000-ROW(),1),OFFSET($A$1,ROW(),20,1000-ROW(),1),ROW(),OFFSET($A$1,ROW(),21,1000-ROW(),1),"Sub"))))</f>
        <v/>
      </c>
      <c r="L24" s="60">
        <f>IF(N($W24)=0,"",IF(AND($S24=MesCiclo,4&gt;SemanaActual),"",MIN(1,SUMIFS(OFFSET($A$1,ROW(),32,1000-ROW(),1),OFFSET($A$1,ROW(),20,1000-ROW(),1),ROW(),OFFSET($A$1,ROW(),21,1000-ROW(),1),"Sub"))))</f>
        <v/>
      </c>
      <c r="M24" s="61">
        <f>IF(OR(NOT((COUNTA($B24:$D24)+COUNTA($G24:$H24)+COUNTA($Q24))&gt;0),$V24="Sub"),"",IF(ISNUMBER($G24),1,IF(N($W24)&gt;0,MIN(1,SUMIFS($Y$5:$Y$1000,$U$5:$U$1000,ROW(),$V$5:$V$1000,"Sub")),$Y24)))</f>
        <v/>
      </c>
      <c r="N24" s="56">
        <f>IF(OR($M24="",$V24="Sub"),"",IF($M24&gt;=1,"Completado",IF($M24&gt;0,"En curso","Pendiente")))</f>
        <v/>
      </c>
      <c r="O24" s="56">
        <f>IF(OR(NOT((COUNTA($B24:$D24)+COUNTA($G24:$H24)+COUNTA($Q24))&gt;0),$V24="Sub"),"",IF(ISNUMBER($G24),IF(AND(ISNUMBER($AS24),$G24&gt;$AS24),"Cumplida con "&amp;($G24-$AS24)&amp;IF($G24-$AS24=1," día"," días")&amp;" de retraso","Cumplida"),IF(N($M24)&gt;=1,"Cumplida",IF(NOT(ISNUMBER($AS24)),"Sin fecha límite",IF($AS24&lt;FechaRef,"Vencida hace "&amp;(FechaRef-$AS24)&amp;IF(FechaRef-$AS24=1," día"," días"),IF($AS24=FechaRef,"Vence hoy",IF($AS24-FechaRef&lt;=DiasAlerta,"Vence en "&amp;($AS24-FechaRef)&amp;IF($AS24-FechaRef=1," día"," días"),"En plazo")))))))</f>
        <v/>
      </c>
      <c r="P24" s="62" t="n"/>
      <c r="Q24" s="58" t="n"/>
      <c r="R24" s="63">
        <f>IF(NOT((COUNTA($B24:$D24)+COUNTA($G24:$H24)+COUNTA($Q24))&gt;0),"",IF((IF($C24="","Falta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 OK","⚠ "&amp;LEFT(IF($C24="","Falta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",""),LEN(IF($C24="","Falta el nombre de la actividad"&amp;" · ","")&amp;IF(AND($V24="Sub",N($U24)=0),"Subactividad sin macroactividad arriba"&amp;" · ","")&amp;IF(AND($V24="Macro",$AR24=""),"Sin fecha de inicio"&amp;" · ","")&amp;IF(AND($V24="Macro",$AS24=""),"Sin fecha límite"&amp;" · ","")&amp;IF(AND(LEFT($C24,11)="[Jefatura] ",N($AQ24)=0),"No se encuentra en la hoja de la jefatura (elíjala de nuevo en la lista)"&amp;" · ","")&amp;IF(OR(AND($E24&lt;&gt;"",NOT(ISNUMBER($E24))),AND($F24&lt;&gt;"",NOT(ISNUMBER($F24))),AND($G24&lt;&gt;"",NOT(ISNUMBER($G24)))),"Fecha no válida"&amp;" · ","")&amp;IF(AND(ISNUMBER($AR24),ISNUMBER($AS24),$AR24&gt;$AS24),"Inicio posterior a fecha límite"&amp;" · ","")&amp;IF(AND($V24="Macro",$H24&lt;&gt;"",OR(NOT(ISNUMBER($H24)),$H24&lt;0,$H24&gt;1)),"Peso fuera de rango"&amp;" · ","")&amp;IF(AND($V24="Sub",$H24&lt;&gt;"",OR(NOT(ISNUMBER($H24)),$H24&lt;0,$H24&gt;1)),"% de la subactividad fuera de rango 0-100%"&amp;" · ","")&amp;IF(AND(N($W24)&gt;0,SUMIFS($H$5:$H$1000,$U$5:$U$1000,ROW(),$V$5:$V$1000,"Sub")&gt;1.0001),"Las subactividades suman más de 100%"&amp;" · ","")&amp;IF(AND(N($W24)&gt;0,OR(IF(ISNUMBER($I24),ROUND($I24,6)&lt;&gt;ROUND(MIN(1,SUMIFS($AD$5:$AD$1000,$U$5:$U$1000,ROW(),$V$5:$V$1000,"Sub")),6),FALSE),IF(ISNUMBER($J24),ROUND($J24,6)&lt;&gt;ROUND(MIN(1,SUMIFS($AE$5:$AE$1000,$U$5:$U$1000,ROW(),$V$5:$V$1000,"Sub")),6),FALSE),IF(ISNUMBER($K24),ROUND($K24,6)&lt;&gt;ROUND(MIN(1,SUMIFS($AF$5:$AF$1000,$U$5:$U$1000,ROW(),$V$5:$V$1000,"Sub")),6),FALSE),IF(ISNUMBER($L24),ROUND($L24,6)&lt;&gt;ROUND(MIN(1,SUMIFS($AG$5:$AG$1000,$U$5:$U$1000,ROW(),$V$5:$V$1000,"Sub")),6),FALSE))),"Con subactividades: no escriba en las semanas (se llenan solas)"&amp;" · ","")&amp;IF((COUNTIF($I24:$L24,"&gt;1")+COUNTIF($I24:$L24,"&lt;0")+SUMPRODUCT((LEN($I24:$L24)&gt;0)*NOT(ISNUMBER($I24:$L24))))&gt;0,"Avance fuera de rango 0-100%"&amp;" · ","")&amp;IF(OR(AND(ISNUMBER($J24),$J24&lt;N($I24)),AND(ISNUMBER($K24),$K24&lt;MAX($I24:$J24)),AND(ISNUMBER($L24),$L24&lt;MAX($I24:$K24))),"Avance semanal decreciente"&amp;" · ","")&amp;IF(AND(ISNUMBER($AS24),$AS24&lt;FechaRef,IF($V24="Sub",1,N($M24))&lt;1),"Vencida"&amp;" · ","")&amp;IF(AND(ObsObligatoria="Sí",ISNUMBER($AS24),$AS24&lt;FechaRef,IF($V24="Sub",1,N($M24))&lt;1,$Q24=""),"Vencida sin observación"&amp;" · ",""))-3)))</f>
        <v/>
      </c>
      <c r="S24" s="64">
        <f>IF(NOT((COUNTA($B24:$D24)+COUNTA($G24:$H24)+COUNTA($Q24))&gt;0),"",IF(AND($V24="Sub",N($U24)&gt;0),IF(ISNUMBER(INDEX($AR$5:$AR$1000,$U24-4)),DATE(YEAR(INDEX($AR$5:$AR$1000,$U24-4)),MONTH(INDEX($AR$5:$AR$1000,$U24-4)),1),IF(ISNUMBER(INDEX($AS$5:$AS$1000,$U24-4)),DATE(YEAR(INDEX($AS$5:$AS$1000,$U24-4)),MONTH(INDEX($AS$5:$AS$1000,$U24-4)),1),MesCiclo)),IF(ISNUMBER($AR24),DATE(YEAR($AR24),MONTH($AR24),1),IF(ISNUMBER($AS24),DATE(YEAR($AS24),MONTH($AS24),1),MesCiclo))))</f>
        <v/>
      </c>
      <c r="T24" s="62">
        <f>IF(OR($S24="",$S24&lt;&gt;MesCiclo,$V24&lt;&gt;"Macro"),"",COUNTIFS($S$5:$S24,MesCiclo,$V$5:$V24,"Macro"))</f>
        <v/>
      </c>
      <c r="U24" s="62">
        <f>IF($V24="","",IF($V24="Macro",ROW(),IFERROR(LOOKUP(2,1/($V$5:$V24="Macro"),ROW($V$5:$V24)),0)))</f>
        <v/>
      </c>
      <c r="V24" s="62">
        <f>IF(NOT((COUNTA($B24:$D24)+COUNTA($G24:$H24)+COUNTA($Q24))&gt;0),"",IF($B24="Subactividad","Sub","Macro"))</f>
        <v/>
      </c>
      <c r="W24" s="62">
        <f>IF($V24="Macro",COUNTIFS($U$5:$U$1000,ROW(),$V$5:$V$1000,"Sub"),"")</f>
        <v/>
      </c>
      <c r="X24" s="62">
        <f>IF($V24&lt;&gt;"Sub","",IF(AND(ISNUMBER($H24),N($H24)&gt;0),$H24,IFERROR(MAX(0,1-SUMIFS($H$5:$H$1000,$U$5:$U$1000,$U24,$V$5:$V$1000,"Sub"))/(COUNTIFS($U$5:$U$1000,$U24,$V$5:$V$1000,"Sub")-COUNTIFS($U$5:$U$1000,$U24,$V$5:$V$1000,"Sub",$H$5:$H$1000,"&gt;0")),0)))</f>
        <v/>
      </c>
      <c r="Y24" s="62">
        <f>IF($V24="","",IF($V24="Sub",N($X24)*IF(ISNUMBER($G24),1,MIN(1,MAX(0,IFERROR(LOOKUP(2,1/ISNUMBER($I24:$L24),$I24:$L24),0)))),IF(ISNUMBER($G24),1,IFERROR(LOOKUP(2,1/($I24:$L24&lt;&gt;""),$I24:$L24),0))))</f>
        <v/>
      </c>
      <c r="Z24" s="62">
        <f>IF($V24="","",IF(AND(ISNUMBER($G24),$G24&lt;=IF($S24=MesCiclo,InicioCiclo,$S24+MOD(2-WEEKDAY($S24),7))+6),1,IF(ISNUMBER($I24),$I24,0)))</f>
        <v/>
      </c>
      <c r="AA24" s="62">
        <f>IF($V24="","",IF(AND(ISNUMBER($G24),$G24&lt;=IF($S24=MesCiclo,InicioCiclo,$S24+MOD(2-WEEKDAY($S24),7))+13),1,IF(ISNUMBER($J24),$J24,$Z24)))</f>
        <v/>
      </c>
      <c r="AB24" s="62">
        <f>IF($V24="","",IF(AND(ISNUMBER($G24),$G24&lt;=IF($S24=MesCiclo,InicioCiclo,$S24+MOD(2-WEEKDAY($S24),7))+20),1,IF(ISNUMBER($K24),$K24,$AA24)))</f>
        <v/>
      </c>
      <c r="AC24" s="62">
        <f>IF($V24="","",IF(AND(ISNUMBER($G24),$G24&lt;=IF($S24=MesCiclo,InicioCiclo,$S24+MOD(2-WEEKDAY($S24),7))+27),1,IF(ISNUMBER($L24),$L24,$AB24)))</f>
        <v/>
      </c>
      <c r="AD24" s="62">
        <f>IF($V24&lt;&gt;"Sub","",N($X24)*IF(AND(ISNUMBER($G24),$G24&lt;=IF($S24=MesCiclo,InicioCiclo,$S24+MOD(2-WEEKDAY($S24),7))+6),1,MIN(1,MAX(0,IF(ISNUMBER(OFFSET($A$1,ROW()-1,8)),OFFSET($A$1,ROW()-1,8),0)))))</f>
        <v/>
      </c>
      <c r="AE24" s="62">
        <f>IF($V24&lt;&gt;"Sub","",N($X24)*IF(AND(ISNUMBER($G24),$G24&lt;=IF($S24=MesCiclo,InicioCiclo,$S24+MOD(2-WEEKDAY($S24),7))+13),1,MIN(1,MAX(0,IF(ISNUMBER(OFFSET($A$1,ROW()-1,9)),OFFSET($A$1,ROW()-1,9),IF(ISNUMBER(OFFSET($A$1,ROW()-1,8)),OFFSET($A$1,ROW()-1,8),0))))))</f>
        <v/>
      </c>
      <c r="AF24" s="62">
        <f>IF($V24&lt;&gt;"Sub","",N($X24)*IF(AND(ISNUMBER($G24),$G24&lt;=IF($S24=MesCiclo,InicioCiclo,$S24+MOD(2-WEEKDAY($S24),7))+20),1,MIN(1,MAX(0,IF(ISNUMBER(OFFSET($A$1,ROW()-1,10)),OFFSET($A$1,ROW()-1,10),IF(ISNUMBER(OFFSET($A$1,ROW()-1,9)),OFFSET($A$1,ROW()-1,9),IF(ISNUMBER(OFFSET($A$1,ROW()-1,8)),OFFSET($A$1,ROW()-1,8),0)))))))</f>
        <v/>
      </c>
      <c r="AG24" s="62">
        <f>IF($V24&lt;&gt;"Sub","",N($X24)*IF(AND(ISNUMBER($G24),$G24&lt;=IF($S24=MesCiclo,InicioCiclo,$S24+MOD(2-WEEKDAY($S24),7))+27),1,MIN(1,MAX(0,IF(ISNUMBER(OFFSET($A$1,ROW()-1,11)),OFFSET($A$1,ROW()-1,11),IF(ISNUMBER(OFFSET($A$1,ROW()-1,10)),OFFSET($A$1,ROW()-1,10),IF(ISNUMBER(OFFSET($A$1,ROW()-1,9)),OFFSET($A$1,ROW()-1,9),IF(ISNUMBER(OFFSET($A$1,ROW()-1,8)),OFFSET($A$1,ROW()-1,8),0))))))))</f>
        <v/>
      </c>
      <c r="AH24" s="62">
        <f>IF($V24="","",IF(AND(ISNUMBER($G24),$G24&lt;=IF($S24=MesCiclo,InicioCiclo,$S24+MOD(2-WEEKDAY($S24),7))+6),1,IF(N($W24)&gt;0,MIN(1,SUMIFS($AD$5:$AD$1000,$U$5:$U$1000,ROW(),$V$5:$V$1000,"Sub")),$Z24)))</f>
        <v/>
      </c>
      <c r="AI24" s="62">
        <f>IF($V24="","",IF(AND(ISNUMBER($G24),$G24&lt;=IF($S24=MesCiclo,InicioCiclo,$S24+MOD(2-WEEKDAY($S24),7))+13),1,IF(N($W24)&gt;0,MIN(1,SUMIFS($AE$5:$AE$1000,$U$5:$U$1000,ROW(),$V$5:$V$1000,"Sub")),$AA24)))</f>
        <v/>
      </c>
      <c r="AJ24" s="62">
        <f>IF($V24="","",IF(AND(ISNUMBER($G24),$G24&lt;=IF($S24=MesCiclo,InicioCiclo,$S24+MOD(2-WEEKDAY($S24),7))+20),1,IF(N($W24)&gt;0,MIN(1,SUMIFS($AF$5:$AF$1000,$U$5:$U$1000,ROW(),$V$5:$V$1000,"Sub")),$AB24)))</f>
        <v/>
      </c>
      <c r="AK24" s="62">
        <f>IF($V24="","",IF(AND(ISNUMBER($G24),$G24&lt;=IF($S24=MesCiclo,InicioCiclo,$S24+MOD(2-WEEKDAY($S24),7))+27),1,IF(N($W24)&gt;0,MIN(1,SUMIFS($AG$5:$AG$1000,$U$5:$U$1000,ROW(),$V$5:$V$1000,"Sub")),$AC24)))</f>
        <v/>
      </c>
      <c r="AL24" s="62">
        <f>IF($V24&lt;&gt;"Macro","",IF(COUNTIFS($S$5:$S$1000,$S24,$V$5:$V$1000,"Macro",$H$5:$H$1000,"&gt;0")=0,1/COUNTIFS($S$5:$S$1000,$S24,$V$5:$V$1000,"Macro"),IF(AND(ISNUMBER($H24),N($H24)&gt;0),$H24,SUMIFS($H$5:$H$1000,$S$5:$S$1000,$S24,$V$5:$V$1000,"Macro")/COUNTIFS($S$5:$S$1000,$S24,$V$5:$V$1000,"Macro",$H$5:$H$1000,"&gt;0"))/(COUNTIFS($S$5:$S$1000,$S24,$V$5:$V$1000,"Macro")*SUMIFS($H$5:$H$1000,$S$5:$S$1000,$S24,$V$5:$V$1000,"Macro")/COUNTIFS($S$5:$S$1000,$S24,$V$5:$V$1000,"Macro",$H$5:$H$1000,"&gt;0"))))</f>
        <v/>
      </c>
      <c r="AM24" s="62" t="n"/>
      <c r="AN24" s="62" t="n"/>
      <c r="AO24" s="62" t="n"/>
      <c r="AP24" s="62" t="n"/>
      <c r="AQ24" s="62">
        <f>IF(LEFT($C24,11)="[Jefatura] ",IFERROR(MATCH("Asistente Técnico de Riesgo|"&amp;MID($C24,12,500),rDname_ADM,0),0),"")</f>
        <v/>
      </c>
      <c r="AR24" s="62">
        <f>IF(N($AQ24)&gt;0,INDEX(rIni_ADM,$AQ24),IF(ISNUMBER($E24),$E24,""))</f>
        <v/>
      </c>
      <c r="AS24" s="62">
        <f>IF(N($AQ24)&gt;0,INDEX(rLim_ADM,$AQ24),IF(ISNUMBER($F24),$F24,""))</f>
        <v/>
      </c>
    </row>
    <row r="25">
      <c r="A25" s="56">
        <f>IF(NOT((COUNTA($B25:$D25)+COUNTA($G25:$H25)+COUNTA($Q25))&gt;0),"",IF($V25="Macro",COUNTIFS($V$5:$V25,"Macro",$S$5:$S25,$S25),IF(N($U25)=0,"?",COUNTIFS(INDEX($V$5:$V$1000,1):INDEX($V$5:$V$1000,$U25-4),"Macro",INDEX($S$5:$S$1000,1):INDEX($S$5:$S$1000,$U25-4),INDEX($S$5:$S$1000,$U25-4))&amp;"."&amp;COUNTIFS($U$5:$U25,$U25,$V$5:$V25,"Sub"))))</f>
        <v/>
      </c>
      <c r="B25" s="57" t="n"/>
      <c r="C25" s="58" t="n"/>
      <c r="D25" s="58" t="n"/>
      <c r="E25" s="59">
        <f>IF(N($AQ25)&gt;0,INDEX(rIni_ADM,$AQ25),"")</f>
        <v/>
      </c>
      <c r="F25" s="59">
        <f>IF(N($AQ25)&gt;0,INDEX(rLim_ADM,$AQ25),"")</f>
        <v/>
      </c>
      <c r="G25" s="59" t="n"/>
      <c r="H25" s="60" t="n"/>
      <c r="I25" s="60">
        <f>IF(N($W25)=0,"",IF(AND($S25=MesCiclo,1&gt;SemanaActual),"",MIN(1,SUMIFS(OFFSET($A$1,ROW(),29,1000-ROW(),1),OFFSET($A$1,ROW(),20,1000-ROW(),1),ROW(),OFFSET($A$1,ROW(),21,1000-ROW(),1),"Sub"))))</f>
        <v/>
      </c>
      <c r="J25" s="60">
        <f>IF(N($W25)=0,"",IF(AND($S25=MesCiclo,2&gt;SemanaActual),"",MIN(1,SUMIFS(OFFSET($A$1,ROW(),30,1000-ROW(),1),OFFSET($A$1,ROW(),20,1000-ROW(),1),ROW(),OFFSET($A$1,ROW(),21,1000-ROW(),1),"Sub"))))</f>
        <v/>
      </c>
      <c r="K25" s="60">
        <f>IF(N($W25)=0,"",IF(AND($S25=MesCiclo,3&gt;SemanaActual),"",MIN(1,SUMIFS(OFFSET($A$1,ROW(),31,1000-ROW(),1),OFFSET($A$1,ROW(),20,1000-ROW(),1),ROW(),OFFSET($A$1,ROW(),21,1000-ROW(),1),"Sub"))))</f>
        <v/>
      </c>
      <c r="L25" s="60">
        <f>IF(N($W25)=0,"",IF(AND($S25=MesCiclo,4&gt;SemanaActual),"",MIN(1,SUMIFS(OFFSET($A$1,ROW(),32,1000-ROW(),1),OFFSET($A$1,ROW(),20,1000-ROW(),1),ROW(),OFFSET($A$1,ROW(),21,1000-ROW(),1),"Sub"))))</f>
        <v/>
      </c>
      <c r="M25" s="61">
        <f>IF(OR(NOT((COUNTA($B25:$D25)+COUNTA($G25:$H25)+COUNTA($Q25))&gt;0),$V25="Sub"),"",IF(ISNUMBER($G25),1,IF(N($W25)&gt;0,MIN(1,SUMIFS($Y$5:$Y$1000,$U$5:$U$1000,ROW(),$V$5:$V$1000,"Sub")),$Y25)))</f>
        <v/>
      </c>
      <c r="N25" s="56">
        <f>IF(OR($M25="",$V25="Sub"),"",IF($M25&gt;=1,"Completado",IF($M25&gt;0,"En curso","Pendiente")))</f>
        <v/>
      </c>
      <c r="O25" s="56">
        <f>IF(OR(NOT((COUNTA($B25:$D25)+COUNTA($G25:$H25)+COUNTA($Q25))&gt;0),$V25="Sub"),"",IF(ISNUMBER($G25),IF(AND(ISNUMBER($AS25),$G25&gt;$AS25),"Cumplida con "&amp;($G25-$AS25)&amp;IF($G25-$AS25=1," día"," días")&amp;" de retraso","Cumplida"),IF(N($M25)&gt;=1,"Cumplida",IF(NOT(ISNUMBER($AS25)),"Sin fecha límite",IF($AS25&lt;FechaRef,"Vencida hace "&amp;(FechaRef-$AS25)&amp;IF(FechaRef-$AS25=1," día"," días"),IF($AS25=FechaRef,"Vence hoy",IF($AS25-FechaRef&lt;=DiasAlerta,"Vence en "&amp;($AS25-FechaRef)&amp;IF($AS25-FechaRef=1," día"," días"),"En plazo")))))))</f>
        <v/>
      </c>
      <c r="P25" s="62" t="n"/>
      <c r="Q25" s="58" t="n"/>
      <c r="R25" s="63">
        <f>IF(NOT((COUNTA($B25:$D25)+COUNTA($G25:$H25)+COUNTA($Q25))&gt;0),"",IF((IF($C25="","Falta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 OK","⚠ "&amp;LEFT(IF($C25="","Falta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",""),LEN(IF($C25="","Falta el nombre de la actividad"&amp;" · ","")&amp;IF(AND($V25="Sub",N($U25)=0),"Subactividad sin macroactividad arriba"&amp;" · ","")&amp;IF(AND($V25="Macro",$AR25=""),"Sin fecha de inicio"&amp;" · ","")&amp;IF(AND($V25="Macro",$AS25=""),"Sin fecha límite"&amp;" · ","")&amp;IF(AND(LEFT($C25,11)="[Jefatura] ",N($AQ25)=0),"No se encuentra en la hoja de la jefatura (elíjala de nuevo en la lista)"&amp;" · ","")&amp;IF(OR(AND($E25&lt;&gt;"",NOT(ISNUMBER($E25))),AND($F25&lt;&gt;"",NOT(ISNUMBER($F25))),AND($G25&lt;&gt;"",NOT(ISNUMBER($G25)))),"Fecha no válida"&amp;" · ","")&amp;IF(AND(ISNUMBER($AR25),ISNUMBER($AS25),$AR25&gt;$AS25),"Inicio posterior a fecha límite"&amp;" · ","")&amp;IF(AND($V25="Macro",$H25&lt;&gt;"",OR(NOT(ISNUMBER($H25)),$H25&lt;0,$H25&gt;1)),"Peso fuera de rango"&amp;" · ","")&amp;IF(AND($V25="Sub",$H25&lt;&gt;"",OR(NOT(ISNUMBER($H25)),$H25&lt;0,$H25&gt;1)),"% de la subactividad fuera de rango 0-100%"&amp;" · ","")&amp;IF(AND(N($W25)&gt;0,SUMIFS($H$5:$H$1000,$U$5:$U$1000,ROW(),$V$5:$V$1000,"Sub")&gt;1.0001),"Las subactividades suman más de 100%"&amp;" · ","")&amp;IF(AND(N($W25)&gt;0,OR(IF(ISNUMBER($I25),ROUND($I25,6)&lt;&gt;ROUND(MIN(1,SUMIFS($AD$5:$AD$1000,$U$5:$U$1000,ROW(),$V$5:$V$1000,"Sub")),6),FALSE),IF(ISNUMBER($J25),ROUND($J25,6)&lt;&gt;ROUND(MIN(1,SUMIFS($AE$5:$AE$1000,$U$5:$U$1000,ROW(),$V$5:$V$1000,"Sub")),6),FALSE),IF(ISNUMBER($K25),ROUND($K25,6)&lt;&gt;ROUND(MIN(1,SUMIFS($AF$5:$AF$1000,$U$5:$U$1000,ROW(),$V$5:$V$1000,"Sub")),6),FALSE),IF(ISNUMBER($L25),ROUND($L25,6)&lt;&gt;ROUND(MIN(1,SUMIFS($AG$5:$AG$1000,$U$5:$U$1000,ROW(),$V$5:$V$1000,"Sub")),6),FALSE))),"Con subactividades: no escriba en las semanas (se llenan solas)"&amp;" · ","")&amp;IF((COUNTIF($I25:$L25,"&gt;1")+COUNTIF($I25:$L25,"&lt;0")+SUMPRODUCT((LEN($I25:$L25)&gt;0)*NOT(ISNUMBER($I25:$L25))))&gt;0,"Avance fuera de rango 0-100%"&amp;" · ","")&amp;IF(OR(AND(ISNUMBER($J25),$J25&lt;N($I25)),AND(ISNUMBER($K25),$K25&lt;MAX($I25:$J25)),AND(ISNUMBER($L25),$L25&lt;MAX($I25:$K25))),"Avance semanal decreciente"&amp;" · ","")&amp;IF(AND(ISNUMBER($AS25),$AS25&lt;FechaRef,IF($V25="Sub",1,N($M25))&lt;1),"Vencida"&amp;" · ","")&amp;IF(AND(ObsObligatoria="Sí",ISNUMBER($AS25),$AS25&lt;FechaRef,IF($V25="Sub",1,N($M25))&lt;1,$Q25=""),"Vencida sin observación"&amp;" · ",""))-3)))</f>
        <v/>
      </c>
      <c r="S25" s="64">
        <f>IF(NOT((COUNTA($B25:$D25)+COUNTA($G25:$H25)+COUNTA($Q25))&gt;0),"",IF(AND($V25="Sub",N($U25)&gt;0),IF(ISNUMBER(INDEX($AR$5:$AR$1000,$U25-4)),DATE(YEAR(INDEX($AR$5:$AR$1000,$U25-4)),MONTH(INDEX($AR$5:$AR$1000,$U25-4)),1),IF(ISNUMBER(INDEX($AS$5:$AS$1000,$U25-4)),DATE(YEAR(INDEX($AS$5:$AS$1000,$U25-4)),MONTH(INDEX($AS$5:$AS$1000,$U25-4)),1),MesCiclo)),IF(ISNUMBER($AR25),DATE(YEAR($AR25),MONTH($AR25),1),IF(ISNUMBER($AS25),DATE(YEAR($AS25),MONTH($AS25),1),MesCiclo))))</f>
        <v/>
      </c>
      <c r="T25" s="62">
        <f>IF(OR($S25="",$S25&lt;&gt;MesCiclo,$V25&lt;&gt;"Macro"),"",COUNTIFS($S$5:$S25,MesCiclo,$V$5:$V25,"Macro"))</f>
        <v/>
      </c>
      <c r="U25" s="62">
        <f>IF($V25="","",IF($V25="Macro",ROW(),IFERROR(LOOKUP(2,1/($V$5:$V25="Macro"),ROW($V$5:$V25)),0)))</f>
        <v/>
      </c>
      <c r="V25" s="62">
        <f>IF(NOT((COUNTA($B25:$D25)+COUNTA($G25:$H25)+COUNTA($Q25))&gt;0),"",IF($B25="Subactividad","Sub","Macro"))</f>
        <v/>
      </c>
      <c r="W25" s="62">
        <f>IF($V25="Macro",COUNTIFS($U$5:$U$1000,ROW(),$V$5:$V$1000,"Sub"),"")</f>
        <v/>
      </c>
      <c r="X25" s="62">
        <f>IF($V25&lt;&gt;"Sub","",IF(AND(ISNUMBER($H25),N($H25)&gt;0),$H25,IFERROR(MAX(0,1-SUMIFS($H$5:$H$1000,$U$5:$U$1000,$U25,$V$5:$V$1000,"Sub"))/(COUNTIFS($U$5:$U$1000,$U25,$V$5:$V$1000,"Sub")-COUNTIFS($U$5:$U$1000,$U25,$V$5:$V$1000,"Sub",$H$5:$H$1000,"&gt;0")),0)))</f>
        <v/>
      </c>
      <c r="Y25" s="62">
        <f>IF($V25="","",IF($V25="Sub",N($X25)*IF(ISNUMBER($G25),1,MIN(1,MAX(0,IFERROR(LOOKUP(2,1/ISNUMBER($I25:$L25),$I25:$L25),0)))),IF(ISNUMBER($G25),1,IFERROR(LOOKUP(2,1/($I25:$L25&lt;&gt;""),$I25:$L25),0))))</f>
        <v/>
      </c>
      <c r="Z25" s="62">
        <f>IF($V25="","",IF(AND(ISNUMBER($G25),$G25&lt;=IF($S25=MesCiclo,InicioCiclo,$S25+MOD(2-WEEKDAY($S25),7))+6),1,IF(ISNUMBER($I25),$I25,0)))</f>
        <v/>
      </c>
      <c r="AA25" s="62">
        <f>IF($V25="","",IF(AND(ISNUMBER($G25),$G25&lt;=IF($S25=MesCiclo,InicioCiclo,$S25+MOD(2-WEEKDAY($S25),7))+13),1,IF(ISNUMBER($J25),$J25,$Z25)))</f>
        <v/>
      </c>
      <c r="AB25" s="62">
        <f>IF($V25="","",IF(AND(ISNUMBER($G25),$G25&lt;=IF($S25=MesCiclo,InicioCiclo,$S25+MOD(2-WEEKDAY($S25),7))+20),1,IF(ISNUMBER($K25),$K25,$AA25)))</f>
        <v/>
      </c>
      <c r="AC25" s="62">
        <f>IF($V25="","",IF(AND(ISNUMBER($G25),$G25&lt;=IF($S25=MesCiclo,InicioCiclo,$S25+MOD(2-WEEKDAY($S25),7))+27),1,IF(ISNUMBER($L25),$L25,$AB25)))</f>
        <v/>
      </c>
      <c r="AD25" s="62">
        <f>IF($V25&lt;&gt;"Sub","",N($X25)*IF(AND(ISNUMBER($G25),$G25&lt;=IF($S25=MesCiclo,InicioCiclo,$S25+MOD(2-WEEKDAY($S25),7))+6),1,MIN(1,MAX(0,IF(ISNUMBER(OFFSET($A$1,ROW()-1,8)),OFFSET($A$1,ROW()-1,8),0)))))</f>
        <v/>
      </c>
      <c r="AE25" s="62">
        <f>IF($V25&lt;&gt;"Sub","",N($X25)*IF(AND(ISNUMBER($G25),$G25&lt;=IF($S25=MesCiclo,InicioCiclo,$S25+MOD(2-WEEKDAY($S25),7))+13),1,MIN(1,MAX(0,IF(ISNUMBER(OFFSET($A$1,ROW()-1,9)),OFFSET($A$1,ROW()-1,9),IF(ISNUMBER(OFFSET($A$1,ROW()-1,8)),OFFSET($A$1,ROW()-1,8),0))))))</f>
        <v/>
      </c>
      <c r="AF25" s="62">
        <f>IF($V25&lt;&gt;"Sub","",N($X25)*IF(AND(ISNUMBER($G25),$G25&lt;=IF($S25=MesCiclo,InicioCiclo,$S25+MOD(2-WEEKDAY($S25),7))+20),1,MIN(1,MAX(0,IF(ISNUMBER(OFFSET($A$1,ROW()-1,10)),OFFSET($A$1,ROW()-1,10),IF(ISNUMBER(OFFSET($A$1,ROW()-1,9)),OFFSET($A$1,ROW()-1,9),IF(ISNUMBER(OFFSET($A$1,ROW()-1,8)),OFFSET($A$1,ROW()-1,8),0)))))))</f>
        <v/>
      </c>
      <c r="AG25" s="62">
        <f>IF($V25&lt;&gt;"Sub","",N($X25)*IF(AND(ISNUMBER($G25),$G25&lt;=IF($S25=MesCiclo,InicioCiclo,$S25+MOD(2-WEEKDAY($S25),7))+27),1,MIN(1,MAX(0,IF(ISNUMBER(OFFSET($A$1,ROW()-1,11)),OFFSET($A$1,ROW()-1,11),IF(ISNUMBER(OFFSET($A$1,ROW()-1,10)),OFFSET($A$1,ROW()-1,10),IF(ISNUMBER(OFFSET($A$1,ROW()-1,9)),OFFSET($A$1,ROW()-1,9),IF(ISNUMBER(OFFSET($A$1,ROW()-1,8)),OFFSET($A$1,ROW()-1,8),0))))))))</f>
        <v/>
      </c>
      <c r="AH25" s="62">
        <f>IF($V25="","",IF(AND(ISNUMBER($G25),$G25&lt;=IF($S25=MesCiclo,InicioCiclo,$S25+MOD(2-WEEKDAY($S25),7))+6),1,IF(N($W25)&gt;0,MIN(1,SUMIFS($AD$5:$AD$1000,$U$5:$U$1000,ROW(),$V$5:$V$1000,"Sub")),$Z25)))</f>
        <v/>
      </c>
      <c r="AI25" s="62">
        <f>IF($V25="","",IF(AND(ISNUMBER($G25),$G25&lt;=IF($S25=MesCiclo,InicioCiclo,$S25+MOD(2-WEEKDAY($S25),7))+13),1,IF(N($W25)&gt;0,MIN(1,SUMIFS($AE$5:$AE$1000,$U$5:$U$1000,ROW(),$V$5:$V$1000,"Sub")),$AA25)))</f>
        <v/>
      </c>
      <c r="AJ25" s="62">
        <f>IF($V25="","",IF(AND(ISNUMBER($G25),$G25&lt;=IF($S25=MesCiclo,InicioCiclo,$S25+MOD(2-WEEKDAY($S25),7))+20),1,IF(N($W25)&gt;0,MIN(1,SUMIFS($AF$5:$AF$1000,$U$5:$U$1000,ROW(),$V$5:$V$1000,"Sub")),$AB25)))</f>
        <v/>
      </c>
      <c r="AK25" s="62">
        <f>IF($V25="","",IF(AND(ISNUMBER($G25),$G25&lt;=IF($S25=MesCiclo,InicioCiclo,$S25+MOD(2-WEEKDAY($S25),7))+27),1,IF(N($W25)&gt;0,MIN(1,SUMIFS($AG$5:$AG$1000,$U$5:$U$1000,ROW(),$V$5:$V$1000,"Sub")),$AC25)))</f>
        <v/>
      </c>
      <c r="AL25" s="62">
        <f>IF($V25&lt;&gt;"Macro","",IF(COUNTIFS($S$5:$S$1000,$S25,$V$5:$V$1000,"Macro",$H$5:$H$1000,"&gt;0")=0,1/COUNTIFS($S$5:$S$1000,$S25,$V$5:$V$1000,"Macro"),IF(AND(ISNUMBER($H25),N($H25)&gt;0),$H25,SUMIFS($H$5:$H$1000,$S$5:$S$1000,$S25,$V$5:$V$1000,"Macro")/COUNTIFS($S$5:$S$1000,$S25,$V$5:$V$1000,"Macro",$H$5:$H$1000,"&gt;0"))/(COUNTIFS($S$5:$S$1000,$S25,$V$5:$V$1000,"Macro")*SUMIFS($H$5:$H$1000,$S$5:$S$1000,$S25,$V$5:$V$1000,"Macro")/COUNTIFS($S$5:$S$1000,$S25,$V$5:$V$1000,"Macro",$H$5:$H$1000,"&gt;0"))))</f>
        <v/>
      </c>
      <c r="AM25" s="62" t="n"/>
      <c r="AN25" s="62" t="n"/>
      <c r="AO25" s="62" t="n"/>
      <c r="AP25" s="62" t="n"/>
      <c r="AQ25" s="62">
        <f>IF(LEFT($C25,11)="[Jefatura] ",IFERROR(MATCH("Asistente Técnico de Riesgo|"&amp;MID($C25,12,500),rDname_ADM,0),0),"")</f>
        <v/>
      </c>
      <c r="AR25" s="62">
        <f>IF(N($AQ25)&gt;0,INDEX(rIni_ADM,$AQ25),IF(ISNUMBER($E25),$E25,""))</f>
        <v/>
      </c>
      <c r="AS25" s="62">
        <f>IF(N($AQ25)&gt;0,INDEX(rLim_ADM,$AQ25),IF(ISNUMBER($F25),$F25,""))</f>
        <v/>
      </c>
    </row>
    <row r="26">
      <c r="A26" s="56">
        <f>IF(NOT((COUNTA($B26:$D26)+COUNTA($G26:$H26)+COUNTA($Q26))&gt;0),"",IF($V26="Macro",COUNTIFS($V$5:$V26,"Macro",$S$5:$S26,$S26),IF(N($U26)=0,"?",COUNTIFS(INDEX($V$5:$V$1000,1):INDEX($V$5:$V$1000,$U26-4),"Macro",INDEX($S$5:$S$1000,1):INDEX($S$5:$S$1000,$U26-4),INDEX($S$5:$S$1000,$U26-4))&amp;"."&amp;COUNTIFS($U$5:$U26,$U26,$V$5:$V26,"Sub"))))</f>
        <v/>
      </c>
      <c r="B26" s="57" t="n"/>
      <c r="C26" s="58" t="n"/>
      <c r="D26" s="58" t="n"/>
      <c r="E26" s="59">
        <f>IF(N($AQ26)&gt;0,INDEX(rIni_ADM,$AQ26),"")</f>
        <v/>
      </c>
      <c r="F26" s="59">
        <f>IF(N($AQ26)&gt;0,INDEX(rLim_ADM,$AQ26),"")</f>
        <v/>
      </c>
      <c r="G26" s="59" t="n"/>
      <c r="H26" s="60" t="n"/>
      <c r="I26" s="60">
        <f>IF(N($W26)=0,"",IF(AND($S26=MesCiclo,1&gt;SemanaActual),"",MIN(1,SUMIFS(OFFSET($A$1,ROW(),29,1000-ROW(),1),OFFSET($A$1,ROW(),20,1000-ROW(),1),ROW(),OFFSET($A$1,ROW(),21,1000-ROW(),1),"Sub"))))</f>
        <v/>
      </c>
      <c r="J26" s="60">
        <f>IF(N($W26)=0,"",IF(AND($S26=MesCiclo,2&gt;SemanaActual),"",MIN(1,SUMIFS(OFFSET($A$1,ROW(),30,1000-ROW(),1),OFFSET($A$1,ROW(),20,1000-ROW(),1),ROW(),OFFSET($A$1,ROW(),21,1000-ROW(),1),"Sub"))))</f>
        <v/>
      </c>
      <c r="K26" s="60">
        <f>IF(N($W26)=0,"",IF(AND($S26=MesCiclo,3&gt;SemanaActual),"",MIN(1,SUMIFS(OFFSET($A$1,ROW(),31,1000-ROW(),1),OFFSET($A$1,ROW(),20,1000-ROW(),1),ROW(),OFFSET($A$1,ROW(),21,1000-ROW(),1),"Sub"))))</f>
        <v/>
      </c>
      <c r="L26" s="60">
        <f>IF(N($W26)=0,"",IF(AND($S26=MesCiclo,4&gt;SemanaActual),"",MIN(1,SUMIFS(OFFSET($A$1,ROW(),32,1000-ROW(),1),OFFSET($A$1,ROW(),20,1000-ROW(),1),ROW(),OFFSET($A$1,ROW(),21,1000-ROW(),1),"Sub"))))</f>
        <v/>
      </c>
      <c r="M26" s="61">
        <f>IF(OR(NOT((COUNTA($B26:$D26)+COUNTA($G26:$H26)+COUNTA($Q26))&gt;0),$V26="Sub"),"",IF(ISNUMBER($G26),1,IF(N($W26)&gt;0,MIN(1,SUMIFS($Y$5:$Y$1000,$U$5:$U$1000,ROW(),$V$5:$V$1000,"Sub")),$Y26)))</f>
        <v/>
      </c>
      <c r="N26" s="56">
        <f>IF(OR($M26="",$V26="Sub"),"",IF($M26&gt;=1,"Completado",IF($M26&gt;0,"En curso","Pendiente")))</f>
        <v/>
      </c>
      <c r="O26" s="56">
        <f>IF(OR(NOT((COUNTA($B26:$D26)+COUNTA($G26:$H26)+COUNTA($Q26))&gt;0),$V26="Sub"),"",IF(ISNUMBER($G26),IF(AND(ISNUMBER($AS26),$G26&gt;$AS26),"Cumplida con "&amp;($G26-$AS26)&amp;IF($G26-$AS26=1," día"," días")&amp;" de retraso","Cumplida"),IF(N($M26)&gt;=1,"Cumplida",IF(NOT(ISNUMBER($AS26)),"Sin fecha límite",IF($AS26&lt;FechaRef,"Vencida hace "&amp;(FechaRef-$AS26)&amp;IF(FechaRef-$AS26=1," día"," días"),IF($AS26=FechaRef,"Vence hoy",IF($AS26-FechaRef&lt;=DiasAlerta,"Vence en "&amp;($AS26-FechaRef)&amp;IF($AS26-FechaRef=1," día"," días"),"En plazo")))))))</f>
        <v/>
      </c>
      <c r="P26" s="62" t="n"/>
      <c r="Q26" s="58" t="n"/>
      <c r="R26" s="63">
        <f>IF(NOT((COUNTA($B26:$D26)+COUNTA($G26:$H26)+COUNTA($Q26))&gt;0),"",IF((IF($C26="","Falta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 OK","⚠ "&amp;LEFT(IF($C26="","Falta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",""),LEN(IF($C26="","Falta el nombre de la actividad"&amp;" · ","")&amp;IF(AND($V26="Sub",N($U26)=0),"Subactividad sin macroactividad arriba"&amp;" · ","")&amp;IF(AND($V26="Macro",$AR26=""),"Sin fecha de inicio"&amp;" · ","")&amp;IF(AND($V26="Macro",$AS26=""),"Sin fecha límite"&amp;" · ","")&amp;IF(AND(LEFT($C26,11)="[Jefatura] ",N($AQ26)=0),"No se encuentra en la hoja de la jefatura (elíjala de nuevo en la lista)"&amp;" · ","")&amp;IF(OR(AND($E26&lt;&gt;"",NOT(ISNUMBER($E26))),AND($F26&lt;&gt;"",NOT(ISNUMBER($F26))),AND($G26&lt;&gt;"",NOT(ISNUMBER($G26)))),"Fecha no válida"&amp;" · ","")&amp;IF(AND(ISNUMBER($AR26),ISNUMBER($AS26),$AR26&gt;$AS26),"Inicio posterior a fecha límite"&amp;" · ","")&amp;IF(AND($V26="Macro",$H26&lt;&gt;"",OR(NOT(ISNUMBER($H26)),$H26&lt;0,$H26&gt;1)),"Peso fuera de rango"&amp;" · ","")&amp;IF(AND($V26="Sub",$H26&lt;&gt;"",OR(NOT(ISNUMBER($H26)),$H26&lt;0,$H26&gt;1)),"% de la subactividad fuera de rango 0-100%"&amp;" · ","")&amp;IF(AND(N($W26)&gt;0,SUMIFS($H$5:$H$1000,$U$5:$U$1000,ROW(),$V$5:$V$1000,"Sub")&gt;1.0001),"Las subactividades suman más de 100%"&amp;" · ","")&amp;IF(AND(N($W26)&gt;0,OR(IF(ISNUMBER($I26),ROUND($I26,6)&lt;&gt;ROUND(MIN(1,SUMIFS($AD$5:$AD$1000,$U$5:$U$1000,ROW(),$V$5:$V$1000,"Sub")),6),FALSE),IF(ISNUMBER($J26),ROUND($J26,6)&lt;&gt;ROUND(MIN(1,SUMIFS($AE$5:$AE$1000,$U$5:$U$1000,ROW(),$V$5:$V$1000,"Sub")),6),FALSE),IF(ISNUMBER($K26),ROUND($K26,6)&lt;&gt;ROUND(MIN(1,SUMIFS($AF$5:$AF$1000,$U$5:$U$1000,ROW(),$V$5:$V$1000,"Sub")),6),FALSE),IF(ISNUMBER($L26),ROUND($L26,6)&lt;&gt;ROUND(MIN(1,SUMIFS($AG$5:$AG$1000,$U$5:$U$1000,ROW(),$V$5:$V$1000,"Sub")),6),FALSE))),"Con subactividades: no escriba en las semanas (se llenan solas)"&amp;" · ","")&amp;IF((COUNTIF($I26:$L26,"&gt;1")+COUNTIF($I26:$L26,"&lt;0")+SUMPRODUCT((LEN($I26:$L26)&gt;0)*NOT(ISNUMBER($I26:$L26))))&gt;0,"Avance fuera de rango 0-100%"&amp;" · ","")&amp;IF(OR(AND(ISNUMBER($J26),$J26&lt;N($I26)),AND(ISNUMBER($K26),$K26&lt;MAX($I26:$J26)),AND(ISNUMBER($L26),$L26&lt;MAX($I26:$K26))),"Avance semanal decreciente"&amp;" · ","")&amp;IF(AND(ISNUMBER($AS26),$AS26&lt;FechaRef,IF($V26="Sub",1,N($M26))&lt;1),"Vencida"&amp;" · ","")&amp;IF(AND(ObsObligatoria="Sí",ISNUMBER($AS26),$AS26&lt;FechaRef,IF($V26="Sub",1,N($M26))&lt;1,$Q26=""),"Vencida sin observación"&amp;" · ",""))-3)))</f>
        <v/>
      </c>
      <c r="S26" s="64">
        <f>IF(NOT((COUNTA($B26:$D26)+COUNTA($G26:$H26)+COUNTA($Q26))&gt;0),"",IF(AND($V26="Sub",N($U26)&gt;0),IF(ISNUMBER(INDEX($AR$5:$AR$1000,$U26-4)),DATE(YEAR(INDEX($AR$5:$AR$1000,$U26-4)),MONTH(INDEX($AR$5:$AR$1000,$U26-4)),1),IF(ISNUMBER(INDEX($AS$5:$AS$1000,$U26-4)),DATE(YEAR(INDEX($AS$5:$AS$1000,$U26-4)),MONTH(INDEX($AS$5:$AS$1000,$U26-4)),1),MesCiclo)),IF(ISNUMBER($AR26),DATE(YEAR($AR26),MONTH($AR26),1),IF(ISNUMBER($AS26),DATE(YEAR($AS26),MONTH($AS26),1),MesCiclo))))</f>
        <v/>
      </c>
      <c r="T26" s="62">
        <f>IF(OR($S26="",$S26&lt;&gt;MesCiclo,$V26&lt;&gt;"Macro"),"",COUNTIFS($S$5:$S26,MesCiclo,$V$5:$V26,"Macro"))</f>
        <v/>
      </c>
      <c r="U26" s="62">
        <f>IF($V26="","",IF($V26="Macro",ROW(),IFERROR(LOOKUP(2,1/($V$5:$V26="Macro"),ROW($V$5:$V26)),0)))</f>
        <v/>
      </c>
      <c r="V26" s="62">
        <f>IF(NOT((COUNTA($B26:$D26)+COUNTA($G26:$H26)+COUNTA($Q26))&gt;0),"",IF($B26="Subactividad","Sub","Macro"))</f>
        <v/>
      </c>
      <c r="W26" s="62">
        <f>IF($V26="Macro",COUNTIFS($U$5:$U$1000,ROW(),$V$5:$V$1000,"Sub"),"")</f>
        <v/>
      </c>
      <c r="X26" s="62">
        <f>IF($V26&lt;&gt;"Sub","",IF(AND(ISNUMBER($H26),N($H26)&gt;0),$H26,IFERROR(MAX(0,1-SUMIFS($H$5:$H$1000,$U$5:$U$1000,$U26,$V$5:$V$1000,"Sub"))/(COUNTIFS($U$5:$U$1000,$U26,$V$5:$V$1000,"Sub")-COUNTIFS($U$5:$U$1000,$U26,$V$5:$V$1000,"Sub",$H$5:$H$1000,"&gt;0")),0)))</f>
        <v/>
      </c>
      <c r="Y26" s="62">
        <f>IF($V26="","",IF($V26="Sub",N($X26)*IF(ISNUMBER($G26),1,MIN(1,MAX(0,IFERROR(LOOKUP(2,1/ISNUMBER($I26:$L26),$I26:$L26),0)))),IF(ISNUMBER($G26),1,IFERROR(LOOKUP(2,1/($I26:$L26&lt;&gt;""),$I26:$L26),0))))</f>
        <v/>
      </c>
      <c r="Z26" s="62">
        <f>IF($V26="","",IF(AND(ISNUMBER($G26),$G26&lt;=IF($S26=MesCiclo,InicioCiclo,$S26+MOD(2-WEEKDAY($S26),7))+6),1,IF(ISNUMBER($I26),$I26,0)))</f>
        <v/>
      </c>
      <c r="AA26" s="62">
        <f>IF($V26="","",IF(AND(ISNUMBER($G26),$G26&lt;=IF($S26=MesCiclo,InicioCiclo,$S26+MOD(2-WEEKDAY($S26),7))+13),1,IF(ISNUMBER($J26),$J26,$Z26)))</f>
        <v/>
      </c>
      <c r="AB26" s="62">
        <f>IF($V26="","",IF(AND(ISNUMBER($G26),$G26&lt;=IF($S26=MesCiclo,InicioCiclo,$S26+MOD(2-WEEKDAY($S26),7))+20),1,IF(ISNUMBER($K26),$K26,$AA26)))</f>
        <v/>
      </c>
      <c r="AC26" s="62">
        <f>IF($V26="","",IF(AND(ISNUMBER($G26),$G26&lt;=IF($S26=MesCiclo,InicioCiclo,$S26+MOD(2-WEEKDAY($S26),7))+27),1,IF(ISNUMBER($L26),$L26,$AB26)))</f>
        <v/>
      </c>
      <c r="AD26" s="62">
        <f>IF($V26&lt;&gt;"Sub","",N($X26)*IF(AND(ISNUMBER($G26),$G26&lt;=IF($S26=MesCiclo,InicioCiclo,$S26+MOD(2-WEEKDAY($S26),7))+6),1,MIN(1,MAX(0,IF(ISNUMBER(OFFSET($A$1,ROW()-1,8)),OFFSET($A$1,ROW()-1,8),0)))))</f>
        <v/>
      </c>
      <c r="AE26" s="62">
        <f>IF($V26&lt;&gt;"Sub","",N($X26)*IF(AND(ISNUMBER($G26),$G26&lt;=IF($S26=MesCiclo,InicioCiclo,$S26+MOD(2-WEEKDAY($S26),7))+13),1,MIN(1,MAX(0,IF(ISNUMBER(OFFSET($A$1,ROW()-1,9)),OFFSET($A$1,ROW()-1,9),IF(ISNUMBER(OFFSET($A$1,ROW()-1,8)),OFFSET($A$1,ROW()-1,8),0))))))</f>
        <v/>
      </c>
      <c r="AF26" s="62">
        <f>IF($V26&lt;&gt;"Sub","",N($X26)*IF(AND(ISNUMBER($G26),$G26&lt;=IF($S26=MesCiclo,InicioCiclo,$S26+MOD(2-WEEKDAY($S26),7))+20),1,MIN(1,MAX(0,IF(ISNUMBER(OFFSET($A$1,ROW()-1,10)),OFFSET($A$1,ROW()-1,10),IF(ISNUMBER(OFFSET($A$1,ROW()-1,9)),OFFSET($A$1,ROW()-1,9),IF(ISNUMBER(OFFSET($A$1,ROW()-1,8)),OFFSET($A$1,ROW()-1,8),0)))))))</f>
        <v/>
      </c>
      <c r="AG26" s="62">
        <f>IF($V26&lt;&gt;"Sub","",N($X26)*IF(AND(ISNUMBER($G26),$G26&lt;=IF($S26=MesCiclo,InicioCiclo,$S26+MOD(2-WEEKDAY($S26),7))+27),1,MIN(1,MAX(0,IF(ISNUMBER(OFFSET($A$1,ROW()-1,11)),OFFSET($A$1,ROW()-1,11),IF(ISNUMBER(OFFSET($A$1,ROW()-1,10)),OFFSET($A$1,ROW()-1,10),IF(ISNUMBER(OFFSET($A$1,ROW()-1,9)),OFFSET($A$1,ROW()-1,9),IF(ISNUMBER(OFFSET($A$1,ROW()-1,8)),OFFSET($A$1,ROW()-1,8),0))))))))</f>
        <v/>
      </c>
      <c r="AH26" s="62">
        <f>IF($V26="","",IF(AND(ISNUMBER($G26),$G26&lt;=IF($S26=MesCiclo,InicioCiclo,$S26+MOD(2-WEEKDAY($S26),7))+6),1,IF(N($W26)&gt;0,MIN(1,SUMIFS($AD$5:$AD$1000,$U$5:$U$1000,ROW(),$V$5:$V$1000,"Sub")),$Z26)))</f>
        <v/>
      </c>
      <c r="AI26" s="62">
        <f>IF($V26="","",IF(AND(ISNUMBER($G26),$G26&lt;=IF($S26=MesCiclo,InicioCiclo,$S26+MOD(2-WEEKDAY($S26),7))+13),1,IF(N($W26)&gt;0,MIN(1,SUMIFS($AE$5:$AE$1000,$U$5:$U$1000,ROW(),$V$5:$V$1000,"Sub")),$AA26)))</f>
        <v/>
      </c>
      <c r="AJ26" s="62">
        <f>IF($V26="","",IF(AND(ISNUMBER($G26),$G26&lt;=IF($S26=MesCiclo,InicioCiclo,$S26+MOD(2-WEEKDAY($S26),7))+20),1,IF(N($W26)&gt;0,MIN(1,SUMIFS($AF$5:$AF$1000,$U$5:$U$1000,ROW(),$V$5:$V$1000,"Sub")),$AB26)))</f>
        <v/>
      </c>
      <c r="AK26" s="62">
        <f>IF($V26="","",IF(AND(ISNUMBER($G26),$G26&lt;=IF($S26=MesCiclo,InicioCiclo,$S26+MOD(2-WEEKDAY($S26),7))+27),1,IF(N($W26)&gt;0,MIN(1,SUMIFS($AG$5:$AG$1000,$U$5:$U$1000,ROW(),$V$5:$V$1000,"Sub")),$AC26)))</f>
        <v/>
      </c>
      <c r="AL26" s="62">
        <f>IF($V26&lt;&gt;"Macro","",IF(COUNTIFS($S$5:$S$1000,$S26,$V$5:$V$1000,"Macro",$H$5:$H$1000,"&gt;0")=0,1/COUNTIFS($S$5:$S$1000,$S26,$V$5:$V$1000,"Macro"),IF(AND(ISNUMBER($H26),N($H26)&gt;0),$H26,SUMIFS($H$5:$H$1000,$S$5:$S$1000,$S26,$V$5:$V$1000,"Macro")/COUNTIFS($S$5:$S$1000,$S26,$V$5:$V$1000,"Macro",$H$5:$H$1000,"&gt;0"))/(COUNTIFS($S$5:$S$1000,$S26,$V$5:$V$1000,"Macro")*SUMIFS($H$5:$H$1000,$S$5:$S$1000,$S26,$V$5:$V$1000,"Macro")/COUNTIFS($S$5:$S$1000,$S26,$V$5:$V$1000,"Macro",$H$5:$H$1000,"&gt;0"))))</f>
        <v/>
      </c>
      <c r="AM26" s="62" t="n"/>
      <c r="AN26" s="62" t="n"/>
      <c r="AO26" s="62" t="n"/>
      <c r="AP26" s="62" t="n"/>
      <c r="AQ26" s="62">
        <f>IF(LEFT($C26,11)="[Jefatura] ",IFERROR(MATCH("Asistente Técnico de Riesgo|"&amp;MID($C26,12,500),rDname_ADM,0),0),"")</f>
        <v/>
      </c>
      <c r="AR26" s="62">
        <f>IF(N($AQ26)&gt;0,INDEX(rIni_ADM,$AQ26),IF(ISNUMBER($E26),$E26,""))</f>
        <v/>
      </c>
      <c r="AS26" s="62">
        <f>IF(N($AQ26)&gt;0,INDEX(rLim_ADM,$AQ26),IF(ISNUMBER($F26),$F26,""))</f>
        <v/>
      </c>
    </row>
    <row r="27">
      <c r="A27" s="56">
        <f>IF(NOT((COUNTA($B27:$D27)+COUNTA($G27:$H27)+COUNTA($Q27))&gt;0),"",IF($V27="Macro",COUNTIFS($V$5:$V27,"Macro",$S$5:$S27,$S27),IF(N($U27)=0,"?",COUNTIFS(INDEX($V$5:$V$1000,1):INDEX($V$5:$V$1000,$U27-4),"Macro",INDEX($S$5:$S$1000,1):INDEX($S$5:$S$1000,$U27-4),INDEX($S$5:$S$1000,$U27-4))&amp;"."&amp;COUNTIFS($U$5:$U27,$U27,$V$5:$V27,"Sub"))))</f>
        <v/>
      </c>
      <c r="B27" s="57" t="n"/>
      <c r="C27" s="58" t="n"/>
      <c r="D27" s="58" t="n"/>
      <c r="E27" s="59">
        <f>IF(N($AQ27)&gt;0,INDEX(rIni_ADM,$AQ27),"")</f>
        <v/>
      </c>
      <c r="F27" s="59">
        <f>IF(N($AQ27)&gt;0,INDEX(rLim_ADM,$AQ27),"")</f>
        <v/>
      </c>
      <c r="G27" s="59" t="n"/>
      <c r="H27" s="60" t="n"/>
      <c r="I27" s="60">
        <f>IF(N($W27)=0,"",IF(AND($S27=MesCiclo,1&gt;SemanaActual),"",MIN(1,SUMIFS(OFFSET($A$1,ROW(),29,1000-ROW(),1),OFFSET($A$1,ROW(),20,1000-ROW(),1),ROW(),OFFSET($A$1,ROW(),21,1000-ROW(),1),"Sub"))))</f>
        <v/>
      </c>
      <c r="J27" s="60">
        <f>IF(N($W27)=0,"",IF(AND($S27=MesCiclo,2&gt;SemanaActual),"",MIN(1,SUMIFS(OFFSET($A$1,ROW(),30,1000-ROW(),1),OFFSET($A$1,ROW(),20,1000-ROW(),1),ROW(),OFFSET($A$1,ROW(),21,1000-ROW(),1),"Sub"))))</f>
        <v/>
      </c>
      <c r="K27" s="60">
        <f>IF(N($W27)=0,"",IF(AND($S27=MesCiclo,3&gt;SemanaActual),"",MIN(1,SUMIFS(OFFSET($A$1,ROW(),31,1000-ROW(),1),OFFSET($A$1,ROW(),20,1000-ROW(),1),ROW(),OFFSET($A$1,ROW(),21,1000-ROW(),1),"Sub"))))</f>
        <v/>
      </c>
      <c r="L27" s="60">
        <f>IF(N($W27)=0,"",IF(AND($S27=MesCiclo,4&gt;SemanaActual),"",MIN(1,SUMIFS(OFFSET($A$1,ROW(),32,1000-ROW(),1),OFFSET($A$1,ROW(),20,1000-ROW(),1),ROW(),OFFSET($A$1,ROW(),21,1000-ROW(),1),"Sub"))))</f>
        <v/>
      </c>
      <c r="M27" s="61">
        <f>IF(OR(NOT((COUNTA($B27:$D27)+COUNTA($G27:$H27)+COUNTA($Q27))&gt;0),$V27="Sub"),"",IF(ISNUMBER($G27),1,IF(N($W27)&gt;0,MIN(1,SUMIFS($Y$5:$Y$1000,$U$5:$U$1000,ROW(),$V$5:$V$1000,"Sub")),$Y27)))</f>
        <v/>
      </c>
      <c r="N27" s="56">
        <f>IF(OR($M27="",$V27="Sub"),"",IF($M27&gt;=1,"Completado",IF($M27&gt;0,"En curso","Pendiente")))</f>
        <v/>
      </c>
      <c r="O27" s="56">
        <f>IF(OR(NOT((COUNTA($B27:$D27)+COUNTA($G27:$H27)+COUNTA($Q27))&gt;0),$V27="Sub"),"",IF(ISNUMBER($G27),IF(AND(ISNUMBER($AS27),$G27&gt;$AS27),"Cumplida con "&amp;($G27-$AS27)&amp;IF($G27-$AS27=1," día"," días")&amp;" de retraso","Cumplida"),IF(N($M27)&gt;=1,"Cumplida",IF(NOT(ISNUMBER($AS27)),"Sin fecha límite",IF($AS27&lt;FechaRef,"Vencida hace "&amp;(FechaRef-$AS27)&amp;IF(FechaRef-$AS27=1," día"," días"),IF($AS27=FechaRef,"Vence hoy",IF($AS27-FechaRef&lt;=DiasAlerta,"Vence en "&amp;($AS27-FechaRef)&amp;IF($AS27-FechaRef=1," día"," días"),"En plazo")))))))</f>
        <v/>
      </c>
      <c r="P27" s="62" t="n"/>
      <c r="Q27" s="58" t="n"/>
      <c r="R27" s="63">
        <f>IF(NOT((COUNTA($B27:$D27)+COUNTA($G27:$H27)+COUNTA($Q27))&gt;0),"",IF((IF($C27="","Falta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 OK","⚠ "&amp;LEFT(IF($C27="","Falta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",""),LEN(IF($C27="","Falta el nombre de la actividad"&amp;" · ","")&amp;IF(AND($V27="Sub",N($U27)=0),"Subactividad sin macroactividad arriba"&amp;" · ","")&amp;IF(AND($V27="Macro",$AR27=""),"Sin fecha de inicio"&amp;" · ","")&amp;IF(AND($V27="Macro",$AS27=""),"Sin fecha límite"&amp;" · ","")&amp;IF(AND(LEFT($C27,11)="[Jefatura] ",N($AQ27)=0),"No se encuentra en la hoja de la jefatura (elíjala de nuevo en la lista)"&amp;" · ","")&amp;IF(OR(AND($E27&lt;&gt;"",NOT(ISNUMBER($E27))),AND($F27&lt;&gt;"",NOT(ISNUMBER($F27))),AND($G27&lt;&gt;"",NOT(ISNUMBER($G27)))),"Fecha no válida"&amp;" · ","")&amp;IF(AND(ISNUMBER($AR27),ISNUMBER($AS27),$AR27&gt;$AS27),"Inicio posterior a fecha límite"&amp;" · ","")&amp;IF(AND($V27="Macro",$H27&lt;&gt;"",OR(NOT(ISNUMBER($H27)),$H27&lt;0,$H27&gt;1)),"Peso fuera de rango"&amp;" · ","")&amp;IF(AND($V27="Sub",$H27&lt;&gt;"",OR(NOT(ISNUMBER($H27)),$H27&lt;0,$H27&gt;1)),"% de la subactividad fuera de rango 0-100%"&amp;" · ","")&amp;IF(AND(N($W27)&gt;0,SUMIFS($H$5:$H$1000,$U$5:$U$1000,ROW(),$V$5:$V$1000,"Sub")&gt;1.0001),"Las subactividades suman más de 100%"&amp;" · ","")&amp;IF(AND(N($W27)&gt;0,OR(IF(ISNUMBER($I27),ROUND($I27,6)&lt;&gt;ROUND(MIN(1,SUMIFS($AD$5:$AD$1000,$U$5:$U$1000,ROW(),$V$5:$V$1000,"Sub")),6),FALSE),IF(ISNUMBER($J27),ROUND($J27,6)&lt;&gt;ROUND(MIN(1,SUMIFS($AE$5:$AE$1000,$U$5:$U$1000,ROW(),$V$5:$V$1000,"Sub")),6),FALSE),IF(ISNUMBER($K27),ROUND($K27,6)&lt;&gt;ROUND(MIN(1,SUMIFS($AF$5:$AF$1000,$U$5:$U$1000,ROW(),$V$5:$V$1000,"Sub")),6),FALSE),IF(ISNUMBER($L27),ROUND($L27,6)&lt;&gt;ROUND(MIN(1,SUMIFS($AG$5:$AG$1000,$U$5:$U$1000,ROW(),$V$5:$V$1000,"Sub")),6),FALSE))),"Con subactividades: no escriba en las semanas (se llenan solas)"&amp;" · ","")&amp;IF((COUNTIF($I27:$L27,"&gt;1")+COUNTIF($I27:$L27,"&lt;0")+SUMPRODUCT((LEN($I27:$L27)&gt;0)*NOT(ISNUMBER($I27:$L27))))&gt;0,"Avance fuera de rango 0-100%"&amp;" · ","")&amp;IF(OR(AND(ISNUMBER($J27),$J27&lt;N($I27)),AND(ISNUMBER($K27),$K27&lt;MAX($I27:$J27)),AND(ISNUMBER($L27),$L27&lt;MAX($I27:$K27))),"Avance semanal decreciente"&amp;" · ","")&amp;IF(AND(ISNUMBER($AS27),$AS27&lt;FechaRef,IF($V27="Sub",1,N($M27))&lt;1),"Vencida"&amp;" · ","")&amp;IF(AND(ObsObligatoria="Sí",ISNUMBER($AS27),$AS27&lt;FechaRef,IF($V27="Sub",1,N($M27))&lt;1,$Q27=""),"Vencida sin observación"&amp;" · ",""))-3)))</f>
        <v/>
      </c>
      <c r="S27" s="64">
        <f>IF(NOT((COUNTA($B27:$D27)+COUNTA($G27:$H27)+COUNTA($Q27))&gt;0),"",IF(AND($V27="Sub",N($U27)&gt;0),IF(ISNUMBER(INDEX($AR$5:$AR$1000,$U27-4)),DATE(YEAR(INDEX($AR$5:$AR$1000,$U27-4)),MONTH(INDEX($AR$5:$AR$1000,$U27-4)),1),IF(ISNUMBER(INDEX($AS$5:$AS$1000,$U27-4)),DATE(YEAR(INDEX($AS$5:$AS$1000,$U27-4)),MONTH(INDEX($AS$5:$AS$1000,$U27-4)),1),MesCiclo)),IF(ISNUMBER($AR27),DATE(YEAR($AR27),MONTH($AR27),1),IF(ISNUMBER($AS27),DATE(YEAR($AS27),MONTH($AS27),1),MesCiclo))))</f>
        <v/>
      </c>
      <c r="T27" s="62">
        <f>IF(OR($S27="",$S27&lt;&gt;MesCiclo,$V27&lt;&gt;"Macro"),"",COUNTIFS($S$5:$S27,MesCiclo,$V$5:$V27,"Macro"))</f>
        <v/>
      </c>
      <c r="U27" s="62">
        <f>IF($V27="","",IF($V27="Macro",ROW(),IFERROR(LOOKUP(2,1/($V$5:$V27="Macro"),ROW($V$5:$V27)),0)))</f>
        <v/>
      </c>
      <c r="V27" s="62">
        <f>IF(NOT((COUNTA($B27:$D27)+COUNTA($G27:$H27)+COUNTA($Q27))&gt;0),"",IF($B27="Subactividad","Sub","Macro"))</f>
        <v/>
      </c>
      <c r="W27" s="62">
        <f>IF($V27="Macro",COUNTIFS($U$5:$U$1000,ROW(),$V$5:$V$1000,"Sub"),"")</f>
        <v/>
      </c>
      <c r="X27" s="62">
        <f>IF($V27&lt;&gt;"Sub","",IF(AND(ISNUMBER($H27),N($H27)&gt;0),$H27,IFERROR(MAX(0,1-SUMIFS($H$5:$H$1000,$U$5:$U$1000,$U27,$V$5:$V$1000,"Sub"))/(COUNTIFS($U$5:$U$1000,$U27,$V$5:$V$1000,"Sub")-COUNTIFS($U$5:$U$1000,$U27,$V$5:$V$1000,"Sub",$H$5:$H$1000,"&gt;0")),0)))</f>
        <v/>
      </c>
      <c r="Y27" s="62">
        <f>IF($V27="","",IF($V27="Sub",N($X27)*IF(ISNUMBER($G27),1,MIN(1,MAX(0,IFERROR(LOOKUP(2,1/ISNUMBER($I27:$L27),$I27:$L27),0)))),IF(ISNUMBER($G27),1,IFERROR(LOOKUP(2,1/($I27:$L27&lt;&gt;""),$I27:$L27),0))))</f>
        <v/>
      </c>
      <c r="Z27" s="62">
        <f>IF($V27="","",IF(AND(ISNUMBER($G27),$G27&lt;=IF($S27=MesCiclo,InicioCiclo,$S27+MOD(2-WEEKDAY($S27),7))+6),1,IF(ISNUMBER($I27),$I27,0)))</f>
        <v/>
      </c>
      <c r="AA27" s="62">
        <f>IF($V27="","",IF(AND(ISNUMBER($G27),$G27&lt;=IF($S27=MesCiclo,InicioCiclo,$S27+MOD(2-WEEKDAY($S27),7))+13),1,IF(ISNUMBER($J27),$J27,$Z27)))</f>
        <v/>
      </c>
      <c r="AB27" s="62">
        <f>IF($V27="","",IF(AND(ISNUMBER($G27),$G27&lt;=IF($S27=MesCiclo,InicioCiclo,$S27+MOD(2-WEEKDAY($S27),7))+20),1,IF(ISNUMBER($K27),$K27,$AA27)))</f>
        <v/>
      </c>
      <c r="AC27" s="62">
        <f>IF($V27="","",IF(AND(ISNUMBER($G27),$G27&lt;=IF($S27=MesCiclo,InicioCiclo,$S27+MOD(2-WEEKDAY($S27),7))+27),1,IF(ISNUMBER($L27),$L27,$AB27)))</f>
        <v/>
      </c>
      <c r="AD27" s="62">
        <f>IF($V27&lt;&gt;"Sub","",N($X27)*IF(AND(ISNUMBER($G27),$G27&lt;=IF($S27=MesCiclo,InicioCiclo,$S27+MOD(2-WEEKDAY($S27),7))+6),1,MIN(1,MAX(0,IF(ISNUMBER(OFFSET($A$1,ROW()-1,8)),OFFSET($A$1,ROW()-1,8),0)))))</f>
        <v/>
      </c>
      <c r="AE27" s="62">
        <f>IF($V27&lt;&gt;"Sub","",N($X27)*IF(AND(ISNUMBER($G27),$G27&lt;=IF($S27=MesCiclo,InicioCiclo,$S27+MOD(2-WEEKDAY($S27),7))+13),1,MIN(1,MAX(0,IF(ISNUMBER(OFFSET($A$1,ROW()-1,9)),OFFSET($A$1,ROW()-1,9),IF(ISNUMBER(OFFSET($A$1,ROW()-1,8)),OFFSET($A$1,ROW()-1,8),0))))))</f>
        <v/>
      </c>
      <c r="AF27" s="62">
        <f>IF($V27&lt;&gt;"Sub","",N($X27)*IF(AND(ISNUMBER($G27),$G27&lt;=IF($S27=MesCiclo,InicioCiclo,$S27+MOD(2-WEEKDAY($S27),7))+20),1,MIN(1,MAX(0,IF(ISNUMBER(OFFSET($A$1,ROW()-1,10)),OFFSET($A$1,ROW()-1,10),IF(ISNUMBER(OFFSET($A$1,ROW()-1,9)),OFFSET($A$1,ROW()-1,9),IF(ISNUMBER(OFFSET($A$1,ROW()-1,8)),OFFSET($A$1,ROW()-1,8),0)))))))</f>
        <v/>
      </c>
      <c r="AG27" s="62">
        <f>IF($V27&lt;&gt;"Sub","",N($X27)*IF(AND(ISNUMBER($G27),$G27&lt;=IF($S27=MesCiclo,InicioCiclo,$S27+MOD(2-WEEKDAY($S27),7))+27),1,MIN(1,MAX(0,IF(ISNUMBER(OFFSET($A$1,ROW()-1,11)),OFFSET($A$1,ROW()-1,11),IF(ISNUMBER(OFFSET($A$1,ROW()-1,10)),OFFSET($A$1,ROW()-1,10),IF(ISNUMBER(OFFSET($A$1,ROW()-1,9)),OFFSET($A$1,ROW()-1,9),IF(ISNUMBER(OFFSET($A$1,ROW()-1,8)),OFFSET($A$1,ROW()-1,8),0))))))))</f>
        <v/>
      </c>
      <c r="AH27" s="62">
        <f>IF($V27="","",IF(AND(ISNUMBER($G27),$G27&lt;=IF($S27=MesCiclo,InicioCiclo,$S27+MOD(2-WEEKDAY($S27),7))+6),1,IF(N($W27)&gt;0,MIN(1,SUMIFS($AD$5:$AD$1000,$U$5:$U$1000,ROW(),$V$5:$V$1000,"Sub")),$Z27)))</f>
        <v/>
      </c>
      <c r="AI27" s="62">
        <f>IF($V27="","",IF(AND(ISNUMBER($G27),$G27&lt;=IF($S27=MesCiclo,InicioCiclo,$S27+MOD(2-WEEKDAY($S27),7))+13),1,IF(N($W27)&gt;0,MIN(1,SUMIFS($AE$5:$AE$1000,$U$5:$U$1000,ROW(),$V$5:$V$1000,"Sub")),$AA27)))</f>
        <v/>
      </c>
      <c r="AJ27" s="62">
        <f>IF($V27="","",IF(AND(ISNUMBER($G27),$G27&lt;=IF($S27=MesCiclo,InicioCiclo,$S27+MOD(2-WEEKDAY($S27),7))+20),1,IF(N($W27)&gt;0,MIN(1,SUMIFS($AF$5:$AF$1000,$U$5:$U$1000,ROW(),$V$5:$V$1000,"Sub")),$AB27)))</f>
        <v/>
      </c>
      <c r="AK27" s="62">
        <f>IF($V27="","",IF(AND(ISNUMBER($G27),$G27&lt;=IF($S27=MesCiclo,InicioCiclo,$S27+MOD(2-WEEKDAY($S27),7))+27),1,IF(N($W27)&gt;0,MIN(1,SUMIFS($AG$5:$AG$1000,$U$5:$U$1000,ROW(),$V$5:$V$1000,"Sub")),$AC27)))</f>
        <v/>
      </c>
      <c r="AL27" s="62">
        <f>IF($V27&lt;&gt;"Macro","",IF(COUNTIFS($S$5:$S$1000,$S27,$V$5:$V$1000,"Macro",$H$5:$H$1000,"&gt;0")=0,1/COUNTIFS($S$5:$S$1000,$S27,$V$5:$V$1000,"Macro"),IF(AND(ISNUMBER($H27),N($H27)&gt;0),$H27,SUMIFS($H$5:$H$1000,$S$5:$S$1000,$S27,$V$5:$V$1000,"Macro")/COUNTIFS($S$5:$S$1000,$S27,$V$5:$V$1000,"Macro",$H$5:$H$1000,"&gt;0"))/(COUNTIFS($S$5:$S$1000,$S27,$V$5:$V$1000,"Macro")*SUMIFS($H$5:$H$1000,$S$5:$S$1000,$S27,$V$5:$V$1000,"Macro")/COUNTIFS($S$5:$S$1000,$S27,$V$5:$V$1000,"Macro",$H$5:$H$1000,"&gt;0"))))</f>
        <v/>
      </c>
      <c r="AM27" s="62" t="n"/>
      <c r="AN27" s="62" t="n"/>
      <c r="AO27" s="62" t="n"/>
      <c r="AP27" s="62" t="n"/>
      <c r="AQ27" s="62">
        <f>IF(LEFT($C27,11)="[Jefatura] ",IFERROR(MATCH("Asistente Técnico de Riesgo|"&amp;MID($C27,12,500),rDname_ADM,0),0),"")</f>
        <v/>
      </c>
      <c r="AR27" s="62">
        <f>IF(N($AQ27)&gt;0,INDEX(rIni_ADM,$AQ27),IF(ISNUMBER($E27),$E27,""))</f>
        <v/>
      </c>
      <c r="AS27" s="62">
        <f>IF(N($AQ27)&gt;0,INDEX(rLim_ADM,$AQ27),IF(ISNUMBER($F27),$F27,""))</f>
        <v/>
      </c>
    </row>
    <row r="28">
      <c r="A28" s="56">
        <f>IF(NOT((COUNTA($B28:$D28)+COUNTA($G28:$H28)+COUNTA($Q28))&gt;0),"",IF($V28="Macro",COUNTIFS($V$5:$V28,"Macro",$S$5:$S28,$S28),IF(N($U28)=0,"?",COUNTIFS(INDEX($V$5:$V$1000,1):INDEX($V$5:$V$1000,$U28-4),"Macro",INDEX($S$5:$S$1000,1):INDEX($S$5:$S$1000,$U28-4),INDEX($S$5:$S$1000,$U28-4))&amp;"."&amp;COUNTIFS($U$5:$U28,$U28,$V$5:$V28,"Sub"))))</f>
        <v/>
      </c>
      <c r="B28" s="57" t="n"/>
      <c r="C28" s="58" t="n"/>
      <c r="D28" s="58" t="n"/>
      <c r="E28" s="59">
        <f>IF(N($AQ28)&gt;0,INDEX(rIni_ADM,$AQ28),"")</f>
        <v/>
      </c>
      <c r="F28" s="59">
        <f>IF(N($AQ28)&gt;0,INDEX(rLim_ADM,$AQ28),"")</f>
        <v/>
      </c>
      <c r="G28" s="59" t="n"/>
      <c r="H28" s="60" t="n"/>
      <c r="I28" s="60">
        <f>IF(N($W28)=0,"",IF(AND($S28=MesCiclo,1&gt;SemanaActual),"",MIN(1,SUMIFS(OFFSET($A$1,ROW(),29,1000-ROW(),1),OFFSET($A$1,ROW(),20,1000-ROW(),1),ROW(),OFFSET($A$1,ROW(),21,1000-ROW(),1),"Sub"))))</f>
        <v/>
      </c>
      <c r="J28" s="60">
        <f>IF(N($W28)=0,"",IF(AND($S28=MesCiclo,2&gt;SemanaActual),"",MIN(1,SUMIFS(OFFSET($A$1,ROW(),30,1000-ROW(),1),OFFSET($A$1,ROW(),20,1000-ROW(),1),ROW(),OFFSET($A$1,ROW(),21,1000-ROW(),1),"Sub"))))</f>
        <v/>
      </c>
      <c r="K28" s="60">
        <f>IF(N($W28)=0,"",IF(AND($S28=MesCiclo,3&gt;SemanaActual),"",MIN(1,SUMIFS(OFFSET($A$1,ROW(),31,1000-ROW(),1),OFFSET($A$1,ROW(),20,1000-ROW(),1),ROW(),OFFSET($A$1,ROW(),21,1000-ROW(),1),"Sub"))))</f>
        <v/>
      </c>
      <c r="L28" s="60">
        <f>IF(N($W28)=0,"",IF(AND($S28=MesCiclo,4&gt;SemanaActual),"",MIN(1,SUMIFS(OFFSET($A$1,ROW(),32,1000-ROW(),1),OFFSET($A$1,ROW(),20,1000-ROW(),1),ROW(),OFFSET($A$1,ROW(),21,1000-ROW(),1),"Sub"))))</f>
        <v/>
      </c>
      <c r="M28" s="61">
        <f>IF(OR(NOT((COUNTA($B28:$D28)+COUNTA($G28:$H28)+COUNTA($Q28))&gt;0),$V28="Sub"),"",IF(ISNUMBER($G28),1,IF(N($W28)&gt;0,MIN(1,SUMIFS($Y$5:$Y$1000,$U$5:$U$1000,ROW(),$V$5:$V$1000,"Sub")),$Y28)))</f>
        <v/>
      </c>
      <c r="N28" s="56">
        <f>IF(OR($M28="",$V28="Sub"),"",IF($M28&gt;=1,"Completado",IF($M28&gt;0,"En curso","Pendiente")))</f>
        <v/>
      </c>
      <c r="O28" s="56">
        <f>IF(OR(NOT((COUNTA($B28:$D28)+COUNTA($G28:$H28)+COUNTA($Q28))&gt;0),$V28="Sub"),"",IF(ISNUMBER($G28),IF(AND(ISNUMBER($AS28),$G28&gt;$AS28),"Cumplida con "&amp;($G28-$AS28)&amp;IF($G28-$AS28=1," día"," días")&amp;" de retraso","Cumplida"),IF(N($M28)&gt;=1,"Cumplida",IF(NOT(ISNUMBER($AS28)),"Sin fecha límite",IF($AS28&lt;FechaRef,"Vencida hace "&amp;(FechaRef-$AS28)&amp;IF(FechaRef-$AS28=1," día"," días"),IF($AS28=FechaRef,"Vence hoy",IF($AS28-FechaRef&lt;=DiasAlerta,"Vence en "&amp;($AS28-FechaRef)&amp;IF($AS28-FechaRef=1," día"," días"),"En plazo")))))))</f>
        <v/>
      </c>
      <c r="P28" s="62" t="n"/>
      <c r="Q28" s="58" t="n"/>
      <c r="R28" s="63">
        <f>IF(NOT((COUNTA($B28:$D28)+COUNTA($G28:$H28)+COUNTA($Q28))&gt;0),"",IF((IF($C28="","Falta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 OK","⚠ "&amp;LEFT(IF($C28="","Falta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",""),LEN(IF($C28="","Falta el nombre de la actividad"&amp;" · ","")&amp;IF(AND($V28="Sub",N($U28)=0),"Subactividad sin macroactividad arriba"&amp;" · ","")&amp;IF(AND($V28="Macro",$AR28=""),"Sin fecha de inicio"&amp;" · ","")&amp;IF(AND($V28="Macro",$AS28=""),"Sin fecha límite"&amp;" · ","")&amp;IF(AND(LEFT($C28,11)="[Jefatura] ",N($AQ28)=0),"No se encuentra en la hoja de la jefatura (elíjala de nuevo en la lista)"&amp;" · ","")&amp;IF(OR(AND($E28&lt;&gt;"",NOT(ISNUMBER($E28))),AND($F28&lt;&gt;"",NOT(ISNUMBER($F28))),AND($G28&lt;&gt;"",NOT(ISNUMBER($G28)))),"Fecha no válida"&amp;" · ","")&amp;IF(AND(ISNUMBER($AR28),ISNUMBER($AS28),$AR28&gt;$AS28),"Inicio posterior a fecha límite"&amp;" · ","")&amp;IF(AND($V28="Macro",$H28&lt;&gt;"",OR(NOT(ISNUMBER($H28)),$H28&lt;0,$H28&gt;1)),"Peso fuera de rango"&amp;" · ","")&amp;IF(AND($V28="Sub",$H28&lt;&gt;"",OR(NOT(ISNUMBER($H28)),$H28&lt;0,$H28&gt;1)),"% de la subactividad fuera de rango 0-100%"&amp;" · ","")&amp;IF(AND(N($W28)&gt;0,SUMIFS($H$5:$H$1000,$U$5:$U$1000,ROW(),$V$5:$V$1000,"Sub")&gt;1.0001),"Las subactividades suman más de 100%"&amp;" · ","")&amp;IF(AND(N($W28)&gt;0,OR(IF(ISNUMBER($I28),ROUND($I28,6)&lt;&gt;ROUND(MIN(1,SUMIFS($AD$5:$AD$1000,$U$5:$U$1000,ROW(),$V$5:$V$1000,"Sub")),6),FALSE),IF(ISNUMBER($J28),ROUND($J28,6)&lt;&gt;ROUND(MIN(1,SUMIFS($AE$5:$AE$1000,$U$5:$U$1000,ROW(),$V$5:$V$1000,"Sub")),6),FALSE),IF(ISNUMBER($K28),ROUND($K28,6)&lt;&gt;ROUND(MIN(1,SUMIFS($AF$5:$AF$1000,$U$5:$U$1000,ROW(),$V$5:$V$1000,"Sub")),6),FALSE),IF(ISNUMBER($L28),ROUND($L28,6)&lt;&gt;ROUND(MIN(1,SUMIFS($AG$5:$AG$1000,$U$5:$U$1000,ROW(),$V$5:$V$1000,"Sub")),6),FALSE))),"Con subactividades: no escriba en las semanas (se llenan solas)"&amp;" · ","")&amp;IF((COUNTIF($I28:$L28,"&gt;1")+COUNTIF($I28:$L28,"&lt;0")+SUMPRODUCT((LEN($I28:$L28)&gt;0)*NOT(ISNUMBER($I28:$L28))))&gt;0,"Avance fuera de rango 0-100%"&amp;" · ","")&amp;IF(OR(AND(ISNUMBER($J28),$J28&lt;N($I28)),AND(ISNUMBER($K28),$K28&lt;MAX($I28:$J28)),AND(ISNUMBER($L28),$L28&lt;MAX($I28:$K28))),"Avance semanal decreciente"&amp;" · ","")&amp;IF(AND(ISNUMBER($AS28),$AS28&lt;FechaRef,IF($V28="Sub",1,N($M28))&lt;1),"Vencida"&amp;" · ","")&amp;IF(AND(ObsObligatoria="Sí",ISNUMBER($AS28),$AS28&lt;FechaRef,IF($V28="Sub",1,N($M28))&lt;1,$Q28=""),"Vencida sin observación"&amp;" · ",""))-3)))</f>
        <v/>
      </c>
      <c r="S28" s="64">
        <f>IF(NOT((COUNTA($B28:$D28)+COUNTA($G28:$H28)+COUNTA($Q28))&gt;0),"",IF(AND($V28="Sub",N($U28)&gt;0),IF(ISNUMBER(INDEX($AR$5:$AR$1000,$U28-4)),DATE(YEAR(INDEX($AR$5:$AR$1000,$U28-4)),MONTH(INDEX($AR$5:$AR$1000,$U28-4)),1),IF(ISNUMBER(INDEX($AS$5:$AS$1000,$U28-4)),DATE(YEAR(INDEX($AS$5:$AS$1000,$U28-4)),MONTH(INDEX($AS$5:$AS$1000,$U28-4)),1),MesCiclo)),IF(ISNUMBER($AR28),DATE(YEAR($AR28),MONTH($AR28),1),IF(ISNUMBER($AS28),DATE(YEAR($AS28),MONTH($AS28),1),MesCiclo))))</f>
        <v/>
      </c>
      <c r="T28" s="62">
        <f>IF(OR($S28="",$S28&lt;&gt;MesCiclo,$V28&lt;&gt;"Macro"),"",COUNTIFS($S$5:$S28,MesCiclo,$V$5:$V28,"Macro"))</f>
        <v/>
      </c>
      <c r="U28" s="62">
        <f>IF($V28="","",IF($V28="Macro",ROW(),IFERROR(LOOKUP(2,1/($V$5:$V28="Macro"),ROW($V$5:$V28)),0)))</f>
        <v/>
      </c>
      <c r="V28" s="62">
        <f>IF(NOT((COUNTA($B28:$D28)+COUNTA($G28:$H28)+COUNTA($Q28))&gt;0),"",IF($B28="Subactividad","Sub","Macro"))</f>
        <v/>
      </c>
      <c r="W28" s="62">
        <f>IF($V28="Macro",COUNTIFS($U$5:$U$1000,ROW(),$V$5:$V$1000,"Sub"),"")</f>
        <v/>
      </c>
      <c r="X28" s="62">
        <f>IF($V28&lt;&gt;"Sub","",IF(AND(ISNUMBER($H28),N($H28)&gt;0),$H28,IFERROR(MAX(0,1-SUMIFS($H$5:$H$1000,$U$5:$U$1000,$U28,$V$5:$V$1000,"Sub"))/(COUNTIFS($U$5:$U$1000,$U28,$V$5:$V$1000,"Sub")-COUNTIFS($U$5:$U$1000,$U28,$V$5:$V$1000,"Sub",$H$5:$H$1000,"&gt;0")),0)))</f>
        <v/>
      </c>
      <c r="Y28" s="62">
        <f>IF($V28="","",IF($V28="Sub",N($X28)*IF(ISNUMBER($G28),1,MIN(1,MAX(0,IFERROR(LOOKUP(2,1/ISNUMBER($I28:$L28),$I28:$L28),0)))),IF(ISNUMBER($G28),1,IFERROR(LOOKUP(2,1/($I28:$L28&lt;&gt;""),$I28:$L28),0))))</f>
        <v/>
      </c>
      <c r="Z28" s="62">
        <f>IF($V28="","",IF(AND(ISNUMBER($G28),$G28&lt;=IF($S28=MesCiclo,InicioCiclo,$S28+MOD(2-WEEKDAY($S28),7))+6),1,IF(ISNUMBER($I28),$I28,0)))</f>
        <v/>
      </c>
      <c r="AA28" s="62">
        <f>IF($V28="","",IF(AND(ISNUMBER($G28),$G28&lt;=IF($S28=MesCiclo,InicioCiclo,$S28+MOD(2-WEEKDAY($S28),7))+13),1,IF(ISNUMBER($J28),$J28,$Z28)))</f>
        <v/>
      </c>
      <c r="AB28" s="62">
        <f>IF($V28="","",IF(AND(ISNUMBER($G28),$G28&lt;=IF($S28=MesCiclo,InicioCiclo,$S28+MOD(2-WEEKDAY($S28),7))+20),1,IF(ISNUMBER($K28),$K28,$AA28)))</f>
        <v/>
      </c>
      <c r="AC28" s="62">
        <f>IF($V28="","",IF(AND(ISNUMBER($G28),$G28&lt;=IF($S28=MesCiclo,InicioCiclo,$S28+MOD(2-WEEKDAY($S28),7))+27),1,IF(ISNUMBER($L28),$L28,$AB28)))</f>
        <v/>
      </c>
      <c r="AD28" s="62">
        <f>IF($V28&lt;&gt;"Sub","",N($X28)*IF(AND(ISNUMBER($G28),$G28&lt;=IF($S28=MesCiclo,InicioCiclo,$S28+MOD(2-WEEKDAY($S28),7))+6),1,MIN(1,MAX(0,IF(ISNUMBER(OFFSET($A$1,ROW()-1,8)),OFFSET($A$1,ROW()-1,8),0)))))</f>
        <v/>
      </c>
      <c r="AE28" s="62">
        <f>IF($V28&lt;&gt;"Sub","",N($X28)*IF(AND(ISNUMBER($G28),$G28&lt;=IF($S28=MesCiclo,InicioCiclo,$S28+MOD(2-WEEKDAY($S28),7))+13),1,MIN(1,MAX(0,IF(ISNUMBER(OFFSET($A$1,ROW()-1,9)),OFFSET($A$1,ROW()-1,9),IF(ISNUMBER(OFFSET($A$1,ROW()-1,8)),OFFSET($A$1,ROW()-1,8),0))))))</f>
        <v/>
      </c>
      <c r="AF28" s="62">
        <f>IF($V28&lt;&gt;"Sub","",N($X28)*IF(AND(ISNUMBER($G28),$G28&lt;=IF($S28=MesCiclo,InicioCiclo,$S28+MOD(2-WEEKDAY($S28),7))+20),1,MIN(1,MAX(0,IF(ISNUMBER(OFFSET($A$1,ROW()-1,10)),OFFSET($A$1,ROW()-1,10),IF(ISNUMBER(OFFSET($A$1,ROW()-1,9)),OFFSET($A$1,ROW()-1,9),IF(ISNUMBER(OFFSET($A$1,ROW()-1,8)),OFFSET($A$1,ROW()-1,8),0)))))))</f>
        <v/>
      </c>
      <c r="AG28" s="62">
        <f>IF($V28&lt;&gt;"Sub","",N($X28)*IF(AND(ISNUMBER($G28),$G28&lt;=IF($S28=MesCiclo,InicioCiclo,$S28+MOD(2-WEEKDAY($S28),7))+27),1,MIN(1,MAX(0,IF(ISNUMBER(OFFSET($A$1,ROW()-1,11)),OFFSET($A$1,ROW()-1,11),IF(ISNUMBER(OFFSET($A$1,ROW()-1,10)),OFFSET($A$1,ROW()-1,10),IF(ISNUMBER(OFFSET($A$1,ROW()-1,9)),OFFSET($A$1,ROW()-1,9),IF(ISNUMBER(OFFSET($A$1,ROW()-1,8)),OFFSET($A$1,ROW()-1,8),0))))))))</f>
        <v/>
      </c>
      <c r="AH28" s="62">
        <f>IF($V28="","",IF(AND(ISNUMBER($G28),$G28&lt;=IF($S28=MesCiclo,InicioCiclo,$S28+MOD(2-WEEKDAY($S28),7))+6),1,IF(N($W28)&gt;0,MIN(1,SUMIFS($AD$5:$AD$1000,$U$5:$U$1000,ROW(),$V$5:$V$1000,"Sub")),$Z28)))</f>
        <v/>
      </c>
      <c r="AI28" s="62">
        <f>IF($V28="","",IF(AND(ISNUMBER($G28),$G28&lt;=IF($S28=MesCiclo,InicioCiclo,$S28+MOD(2-WEEKDAY($S28),7))+13),1,IF(N($W28)&gt;0,MIN(1,SUMIFS($AE$5:$AE$1000,$U$5:$U$1000,ROW(),$V$5:$V$1000,"Sub")),$AA28)))</f>
        <v/>
      </c>
      <c r="AJ28" s="62">
        <f>IF($V28="","",IF(AND(ISNUMBER($G28),$G28&lt;=IF($S28=MesCiclo,InicioCiclo,$S28+MOD(2-WEEKDAY($S28),7))+20),1,IF(N($W28)&gt;0,MIN(1,SUMIFS($AF$5:$AF$1000,$U$5:$U$1000,ROW(),$V$5:$V$1000,"Sub")),$AB28)))</f>
        <v/>
      </c>
      <c r="AK28" s="62">
        <f>IF($V28="","",IF(AND(ISNUMBER($G28),$G28&lt;=IF($S28=MesCiclo,InicioCiclo,$S28+MOD(2-WEEKDAY($S28),7))+27),1,IF(N($W28)&gt;0,MIN(1,SUMIFS($AG$5:$AG$1000,$U$5:$U$1000,ROW(),$V$5:$V$1000,"Sub")),$AC28)))</f>
        <v/>
      </c>
      <c r="AL28" s="62">
        <f>IF($V28&lt;&gt;"Macro","",IF(COUNTIFS($S$5:$S$1000,$S28,$V$5:$V$1000,"Macro",$H$5:$H$1000,"&gt;0")=0,1/COUNTIFS($S$5:$S$1000,$S28,$V$5:$V$1000,"Macro"),IF(AND(ISNUMBER($H28),N($H28)&gt;0),$H28,SUMIFS($H$5:$H$1000,$S$5:$S$1000,$S28,$V$5:$V$1000,"Macro")/COUNTIFS($S$5:$S$1000,$S28,$V$5:$V$1000,"Macro",$H$5:$H$1000,"&gt;0"))/(COUNTIFS($S$5:$S$1000,$S28,$V$5:$V$1000,"Macro")*SUMIFS($H$5:$H$1000,$S$5:$S$1000,$S28,$V$5:$V$1000,"Macro")/COUNTIFS($S$5:$S$1000,$S28,$V$5:$V$1000,"Macro",$H$5:$H$1000,"&gt;0"))))</f>
        <v/>
      </c>
      <c r="AM28" s="62" t="n"/>
      <c r="AN28" s="62" t="n"/>
      <c r="AO28" s="62" t="n"/>
      <c r="AP28" s="62" t="n"/>
      <c r="AQ28" s="62">
        <f>IF(LEFT($C28,11)="[Jefatura] ",IFERROR(MATCH("Asistente Técnico de Riesgo|"&amp;MID($C28,12,500),rDname_ADM,0),0),"")</f>
        <v/>
      </c>
      <c r="AR28" s="62">
        <f>IF(N($AQ28)&gt;0,INDEX(rIni_ADM,$AQ28),IF(ISNUMBER($E28),$E28,""))</f>
        <v/>
      </c>
      <c r="AS28" s="62">
        <f>IF(N($AQ28)&gt;0,INDEX(rLim_ADM,$AQ28),IF(ISNUMBER($F28),$F28,""))</f>
        <v/>
      </c>
    </row>
    <row r="29">
      <c r="A29" s="56">
        <f>IF(NOT((COUNTA($B29:$D29)+COUNTA($G29:$H29)+COUNTA($Q29))&gt;0),"",IF($V29="Macro",COUNTIFS($V$5:$V29,"Macro",$S$5:$S29,$S29),IF(N($U29)=0,"?",COUNTIFS(INDEX($V$5:$V$1000,1):INDEX($V$5:$V$1000,$U29-4),"Macro",INDEX($S$5:$S$1000,1):INDEX($S$5:$S$1000,$U29-4),INDEX($S$5:$S$1000,$U29-4))&amp;"."&amp;COUNTIFS($U$5:$U29,$U29,$V$5:$V29,"Sub"))))</f>
        <v/>
      </c>
      <c r="B29" s="57" t="n"/>
      <c r="C29" s="58" t="n"/>
      <c r="D29" s="58" t="n"/>
      <c r="E29" s="59">
        <f>IF(N($AQ29)&gt;0,INDEX(rIni_ADM,$AQ29),"")</f>
        <v/>
      </c>
      <c r="F29" s="59">
        <f>IF(N($AQ29)&gt;0,INDEX(rLim_ADM,$AQ29),"")</f>
        <v/>
      </c>
      <c r="G29" s="59" t="n"/>
      <c r="H29" s="60" t="n"/>
      <c r="I29" s="60">
        <f>IF(N($W29)=0,"",IF(AND($S29=MesCiclo,1&gt;SemanaActual),"",MIN(1,SUMIFS(OFFSET($A$1,ROW(),29,1000-ROW(),1),OFFSET($A$1,ROW(),20,1000-ROW(),1),ROW(),OFFSET($A$1,ROW(),21,1000-ROW(),1),"Sub"))))</f>
        <v/>
      </c>
      <c r="J29" s="60">
        <f>IF(N($W29)=0,"",IF(AND($S29=MesCiclo,2&gt;SemanaActual),"",MIN(1,SUMIFS(OFFSET($A$1,ROW(),30,1000-ROW(),1),OFFSET($A$1,ROW(),20,1000-ROW(),1),ROW(),OFFSET($A$1,ROW(),21,1000-ROW(),1),"Sub"))))</f>
        <v/>
      </c>
      <c r="K29" s="60">
        <f>IF(N($W29)=0,"",IF(AND($S29=MesCiclo,3&gt;SemanaActual),"",MIN(1,SUMIFS(OFFSET($A$1,ROW(),31,1000-ROW(),1),OFFSET($A$1,ROW(),20,1000-ROW(),1),ROW(),OFFSET($A$1,ROW(),21,1000-ROW(),1),"Sub"))))</f>
        <v/>
      </c>
      <c r="L29" s="60">
        <f>IF(N($W29)=0,"",IF(AND($S29=MesCiclo,4&gt;SemanaActual),"",MIN(1,SUMIFS(OFFSET($A$1,ROW(),32,1000-ROW(),1),OFFSET($A$1,ROW(),20,1000-ROW(),1),ROW(),OFFSET($A$1,ROW(),21,1000-ROW(),1),"Sub"))))</f>
        <v/>
      </c>
      <c r="M29" s="61">
        <f>IF(OR(NOT((COUNTA($B29:$D29)+COUNTA($G29:$H29)+COUNTA($Q29))&gt;0),$V29="Sub"),"",IF(ISNUMBER($G29),1,IF(N($W29)&gt;0,MIN(1,SUMIFS($Y$5:$Y$1000,$U$5:$U$1000,ROW(),$V$5:$V$1000,"Sub")),$Y29)))</f>
        <v/>
      </c>
      <c r="N29" s="56">
        <f>IF(OR($M29="",$V29="Sub"),"",IF($M29&gt;=1,"Completado",IF($M29&gt;0,"En curso","Pendiente")))</f>
        <v/>
      </c>
      <c r="O29" s="56">
        <f>IF(OR(NOT((COUNTA($B29:$D29)+COUNTA($G29:$H29)+COUNTA($Q29))&gt;0),$V29="Sub"),"",IF(ISNUMBER($G29),IF(AND(ISNUMBER($AS29),$G29&gt;$AS29),"Cumplida con "&amp;($G29-$AS29)&amp;IF($G29-$AS29=1," día"," días")&amp;" de retraso","Cumplida"),IF(N($M29)&gt;=1,"Cumplida",IF(NOT(ISNUMBER($AS29)),"Sin fecha límite",IF($AS29&lt;FechaRef,"Vencida hace "&amp;(FechaRef-$AS29)&amp;IF(FechaRef-$AS29=1," día"," días"),IF($AS29=FechaRef,"Vence hoy",IF($AS29-FechaRef&lt;=DiasAlerta,"Vence en "&amp;($AS29-FechaRef)&amp;IF($AS29-FechaRef=1," día"," días"),"En plazo")))))))</f>
        <v/>
      </c>
      <c r="P29" s="62" t="n"/>
      <c r="Q29" s="58" t="n"/>
      <c r="R29" s="63">
        <f>IF(NOT((COUNTA($B29:$D29)+COUNTA($G29:$H29)+COUNTA($Q29))&gt;0),"",IF((IF($C29="","Falta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 OK","⚠ "&amp;LEFT(IF($C29="","Falta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",""),LEN(IF($C29="","Falta el nombre de la actividad"&amp;" · ","")&amp;IF(AND($V29="Sub",N($U29)=0),"Subactividad sin macroactividad arriba"&amp;" · ","")&amp;IF(AND($V29="Macro",$AR29=""),"Sin fecha de inicio"&amp;" · ","")&amp;IF(AND($V29="Macro",$AS29=""),"Sin fecha límite"&amp;" · ","")&amp;IF(AND(LEFT($C29,11)="[Jefatura] ",N($AQ29)=0),"No se encuentra en la hoja de la jefatura (elíjala de nuevo en la lista)"&amp;" · ","")&amp;IF(OR(AND($E29&lt;&gt;"",NOT(ISNUMBER($E29))),AND($F29&lt;&gt;"",NOT(ISNUMBER($F29))),AND($G29&lt;&gt;"",NOT(ISNUMBER($G29)))),"Fecha no válida"&amp;" · ","")&amp;IF(AND(ISNUMBER($AR29),ISNUMBER($AS29),$AR29&gt;$AS29),"Inicio posterior a fecha límite"&amp;" · ","")&amp;IF(AND($V29="Macro",$H29&lt;&gt;"",OR(NOT(ISNUMBER($H29)),$H29&lt;0,$H29&gt;1)),"Peso fuera de rango"&amp;" · ","")&amp;IF(AND($V29="Sub",$H29&lt;&gt;"",OR(NOT(ISNUMBER($H29)),$H29&lt;0,$H29&gt;1)),"% de la subactividad fuera de rango 0-100%"&amp;" · ","")&amp;IF(AND(N($W29)&gt;0,SUMIFS($H$5:$H$1000,$U$5:$U$1000,ROW(),$V$5:$V$1000,"Sub")&gt;1.0001),"Las subactividades suman más de 100%"&amp;" · ","")&amp;IF(AND(N($W29)&gt;0,OR(IF(ISNUMBER($I29),ROUND($I29,6)&lt;&gt;ROUND(MIN(1,SUMIFS($AD$5:$AD$1000,$U$5:$U$1000,ROW(),$V$5:$V$1000,"Sub")),6),FALSE),IF(ISNUMBER($J29),ROUND($J29,6)&lt;&gt;ROUND(MIN(1,SUMIFS($AE$5:$AE$1000,$U$5:$U$1000,ROW(),$V$5:$V$1000,"Sub")),6),FALSE),IF(ISNUMBER($K29),ROUND($K29,6)&lt;&gt;ROUND(MIN(1,SUMIFS($AF$5:$AF$1000,$U$5:$U$1000,ROW(),$V$5:$V$1000,"Sub")),6),FALSE),IF(ISNUMBER($L29),ROUND($L29,6)&lt;&gt;ROUND(MIN(1,SUMIFS($AG$5:$AG$1000,$U$5:$U$1000,ROW(),$V$5:$V$1000,"Sub")),6),FALSE))),"Con subactividades: no escriba en las semanas (se llenan solas)"&amp;" · ","")&amp;IF((COUNTIF($I29:$L29,"&gt;1")+COUNTIF($I29:$L29,"&lt;0")+SUMPRODUCT((LEN($I29:$L29)&gt;0)*NOT(ISNUMBER($I29:$L29))))&gt;0,"Avance fuera de rango 0-100%"&amp;" · ","")&amp;IF(OR(AND(ISNUMBER($J29),$J29&lt;N($I29)),AND(ISNUMBER($K29),$K29&lt;MAX($I29:$J29)),AND(ISNUMBER($L29),$L29&lt;MAX($I29:$K29))),"Avance semanal decreciente"&amp;" · ","")&amp;IF(AND(ISNUMBER($AS29),$AS29&lt;FechaRef,IF($V29="Sub",1,N($M29))&lt;1),"Vencida"&amp;" · ","")&amp;IF(AND(ObsObligatoria="Sí",ISNUMBER($AS29),$AS29&lt;FechaRef,IF($V29="Sub",1,N($M29))&lt;1,$Q29=""),"Vencida sin observación"&amp;" · ",""))-3)))</f>
        <v/>
      </c>
      <c r="S29" s="64">
        <f>IF(NOT((COUNTA($B29:$D29)+COUNTA($G29:$H29)+COUNTA($Q29))&gt;0),"",IF(AND($V29="Sub",N($U29)&gt;0),IF(ISNUMBER(INDEX($AR$5:$AR$1000,$U29-4)),DATE(YEAR(INDEX($AR$5:$AR$1000,$U29-4)),MONTH(INDEX($AR$5:$AR$1000,$U29-4)),1),IF(ISNUMBER(INDEX($AS$5:$AS$1000,$U29-4)),DATE(YEAR(INDEX($AS$5:$AS$1000,$U29-4)),MONTH(INDEX($AS$5:$AS$1000,$U29-4)),1),MesCiclo)),IF(ISNUMBER($AR29),DATE(YEAR($AR29),MONTH($AR29),1),IF(ISNUMBER($AS29),DATE(YEAR($AS29),MONTH($AS29),1),MesCiclo))))</f>
        <v/>
      </c>
      <c r="T29" s="62">
        <f>IF(OR($S29="",$S29&lt;&gt;MesCiclo,$V29&lt;&gt;"Macro"),"",COUNTIFS($S$5:$S29,MesCiclo,$V$5:$V29,"Macro"))</f>
        <v/>
      </c>
      <c r="U29" s="62">
        <f>IF($V29="","",IF($V29="Macro",ROW(),IFERROR(LOOKUP(2,1/($V$5:$V29="Macro"),ROW($V$5:$V29)),0)))</f>
        <v/>
      </c>
      <c r="V29" s="62">
        <f>IF(NOT((COUNTA($B29:$D29)+COUNTA($G29:$H29)+COUNTA($Q29))&gt;0),"",IF($B29="Subactividad","Sub","Macro"))</f>
        <v/>
      </c>
      <c r="W29" s="62">
        <f>IF($V29="Macro",COUNTIFS($U$5:$U$1000,ROW(),$V$5:$V$1000,"Sub"),"")</f>
        <v/>
      </c>
      <c r="X29" s="62">
        <f>IF($V29&lt;&gt;"Sub","",IF(AND(ISNUMBER($H29),N($H29)&gt;0),$H29,IFERROR(MAX(0,1-SUMIFS($H$5:$H$1000,$U$5:$U$1000,$U29,$V$5:$V$1000,"Sub"))/(COUNTIFS($U$5:$U$1000,$U29,$V$5:$V$1000,"Sub")-COUNTIFS($U$5:$U$1000,$U29,$V$5:$V$1000,"Sub",$H$5:$H$1000,"&gt;0")),0)))</f>
        <v/>
      </c>
      <c r="Y29" s="62">
        <f>IF($V29="","",IF($V29="Sub",N($X29)*IF(ISNUMBER($G29),1,MIN(1,MAX(0,IFERROR(LOOKUP(2,1/ISNUMBER($I29:$L29),$I29:$L29),0)))),IF(ISNUMBER($G29),1,IFERROR(LOOKUP(2,1/($I29:$L29&lt;&gt;""),$I29:$L29),0))))</f>
        <v/>
      </c>
      <c r="Z29" s="62">
        <f>IF($V29="","",IF(AND(ISNUMBER($G29),$G29&lt;=IF($S29=MesCiclo,InicioCiclo,$S29+MOD(2-WEEKDAY($S29),7))+6),1,IF(ISNUMBER($I29),$I29,0)))</f>
        <v/>
      </c>
      <c r="AA29" s="62">
        <f>IF($V29="","",IF(AND(ISNUMBER($G29),$G29&lt;=IF($S29=MesCiclo,InicioCiclo,$S29+MOD(2-WEEKDAY($S29),7))+13),1,IF(ISNUMBER($J29),$J29,$Z29)))</f>
        <v/>
      </c>
      <c r="AB29" s="62">
        <f>IF($V29="","",IF(AND(ISNUMBER($G29),$G29&lt;=IF($S29=MesCiclo,InicioCiclo,$S29+MOD(2-WEEKDAY($S29),7))+20),1,IF(ISNUMBER($K29),$K29,$AA29)))</f>
        <v/>
      </c>
      <c r="AC29" s="62">
        <f>IF($V29="","",IF(AND(ISNUMBER($G29),$G29&lt;=IF($S29=MesCiclo,InicioCiclo,$S29+MOD(2-WEEKDAY($S29),7))+27),1,IF(ISNUMBER($L29),$L29,$AB29)))</f>
        <v/>
      </c>
      <c r="AD29" s="62">
        <f>IF($V29&lt;&gt;"Sub","",N($X29)*IF(AND(ISNUMBER($G29),$G29&lt;=IF($S29=MesCiclo,InicioCiclo,$S29+MOD(2-WEEKDAY($S29),7))+6),1,MIN(1,MAX(0,IF(ISNUMBER(OFFSET($A$1,ROW()-1,8)),OFFSET($A$1,ROW()-1,8),0)))))</f>
        <v/>
      </c>
      <c r="AE29" s="62">
        <f>IF($V29&lt;&gt;"Sub","",N($X29)*IF(AND(ISNUMBER($G29),$G29&lt;=IF($S29=MesCiclo,InicioCiclo,$S29+MOD(2-WEEKDAY($S29),7))+13),1,MIN(1,MAX(0,IF(ISNUMBER(OFFSET($A$1,ROW()-1,9)),OFFSET($A$1,ROW()-1,9),IF(ISNUMBER(OFFSET($A$1,ROW()-1,8)),OFFSET($A$1,ROW()-1,8),0))))))</f>
        <v/>
      </c>
      <c r="AF29" s="62">
        <f>IF($V29&lt;&gt;"Sub","",N($X29)*IF(AND(ISNUMBER($G29),$G29&lt;=IF($S29=MesCiclo,InicioCiclo,$S29+MOD(2-WEEKDAY($S29),7))+20),1,MIN(1,MAX(0,IF(ISNUMBER(OFFSET($A$1,ROW()-1,10)),OFFSET($A$1,ROW()-1,10),IF(ISNUMBER(OFFSET($A$1,ROW()-1,9)),OFFSET($A$1,ROW()-1,9),IF(ISNUMBER(OFFSET($A$1,ROW()-1,8)),OFFSET($A$1,ROW()-1,8),0)))))))</f>
        <v/>
      </c>
      <c r="AG29" s="62">
        <f>IF($V29&lt;&gt;"Sub","",N($X29)*IF(AND(ISNUMBER($G29),$G29&lt;=IF($S29=MesCiclo,InicioCiclo,$S29+MOD(2-WEEKDAY($S29),7))+27),1,MIN(1,MAX(0,IF(ISNUMBER(OFFSET($A$1,ROW()-1,11)),OFFSET($A$1,ROW()-1,11),IF(ISNUMBER(OFFSET($A$1,ROW()-1,10)),OFFSET($A$1,ROW()-1,10),IF(ISNUMBER(OFFSET($A$1,ROW()-1,9)),OFFSET($A$1,ROW()-1,9),IF(ISNUMBER(OFFSET($A$1,ROW()-1,8)),OFFSET($A$1,ROW()-1,8),0))))))))</f>
        <v/>
      </c>
      <c r="AH29" s="62">
        <f>IF($V29="","",IF(AND(ISNUMBER($G29),$G29&lt;=IF($S29=MesCiclo,InicioCiclo,$S29+MOD(2-WEEKDAY($S29),7))+6),1,IF(N($W29)&gt;0,MIN(1,SUMIFS($AD$5:$AD$1000,$U$5:$U$1000,ROW(),$V$5:$V$1000,"Sub")),$Z29)))</f>
        <v/>
      </c>
      <c r="AI29" s="62">
        <f>IF($V29="","",IF(AND(ISNUMBER($G29),$G29&lt;=IF($S29=MesCiclo,InicioCiclo,$S29+MOD(2-WEEKDAY($S29),7))+13),1,IF(N($W29)&gt;0,MIN(1,SUMIFS($AE$5:$AE$1000,$U$5:$U$1000,ROW(),$V$5:$V$1000,"Sub")),$AA29)))</f>
        <v/>
      </c>
      <c r="AJ29" s="62">
        <f>IF($V29="","",IF(AND(ISNUMBER($G29),$G29&lt;=IF($S29=MesCiclo,InicioCiclo,$S29+MOD(2-WEEKDAY($S29),7))+20),1,IF(N($W29)&gt;0,MIN(1,SUMIFS($AF$5:$AF$1000,$U$5:$U$1000,ROW(),$V$5:$V$1000,"Sub")),$AB29)))</f>
        <v/>
      </c>
      <c r="AK29" s="62">
        <f>IF($V29="","",IF(AND(ISNUMBER($G29),$G29&lt;=IF($S29=MesCiclo,InicioCiclo,$S29+MOD(2-WEEKDAY($S29),7))+27),1,IF(N($W29)&gt;0,MIN(1,SUMIFS($AG$5:$AG$1000,$U$5:$U$1000,ROW(),$V$5:$V$1000,"Sub")),$AC29)))</f>
        <v/>
      </c>
      <c r="AL29" s="62">
        <f>IF($V29&lt;&gt;"Macro","",IF(COUNTIFS($S$5:$S$1000,$S29,$V$5:$V$1000,"Macro",$H$5:$H$1000,"&gt;0")=0,1/COUNTIFS($S$5:$S$1000,$S29,$V$5:$V$1000,"Macro"),IF(AND(ISNUMBER($H29),N($H29)&gt;0),$H29,SUMIFS($H$5:$H$1000,$S$5:$S$1000,$S29,$V$5:$V$1000,"Macro")/COUNTIFS($S$5:$S$1000,$S29,$V$5:$V$1000,"Macro",$H$5:$H$1000,"&gt;0"))/(COUNTIFS($S$5:$S$1000,$S29,$V$5:$V$1000,"Macro")*SUMIFS($H$5:$H$1000,$S$5:$S$1000,$S29,$V$5:$V$1000,"Macro")/COUNTIFS($S$5:$S$1000,$S29,$V$5:$V$1000,"Macro",$H$5:$H$1000,"&gt;0"))))</f>
        <v/>
      </c>
      <c r="AM29" s="62" t="n"/>
      <c r="AN29" s="62" t="n"/>
      <c r="AO29" s="62" t="n"/>
      <c r="AP29" s="62" t="n"/>
      <c r="AQ29" s="62">
        <f>IF(LEFT($C29,11)="[Jefatura] ",IFERROR(MATCH("Asistente Técnico de Riesgo|"&amp;MID($C29,12,500),rDname_ADM,0),0),"")</f>
        <v/>
      </c>
      <c r="AR29" s="62">
        <f>IF(N($AQ29)&gt;0,INDEX(rIni_ADM,$AQ29),IF(ISNUMBER($E29),$E29,""))</f>
        <v/>
      </c>
      <c r="AS29" s="62">
        <f>IF(N($AQ29)&gt;0,INDEX(rLim_ADM,$AQ29),IF(ISNUMBER($F29),$F29,""))</f>
        <v/>
      </c>
    </row>
    <row r="30">
      <c r="A30" s="56">
        <f>IF(NOT((COUNTA($B30:$D30)+COUNTA($G30:$H30)+COUNTA($Q30))&gt;0),"",IF($V30="Macro",COUNTIFS($V$5:$V30,"Macro",$S$5:$S30,$S30),IF(N($U30)=0,"?",COUNTIFS(INDEX($V$5:$V$1000,1):INDEX($V$5:$V$1000,$U30-4),"Macro",INDEX($S$5:$S$1000,1):INDEX($S$5:$S$1000,$U30-4),INDEX($S$5:$S$1000,$U30-4))&amp;"."&amp;COUNTIFS($U$5:$U30,$U30,$V$5:$V30,"Sub"))))</f>
        <v/>
      </c>
      <c r="B30" s="57" t="n"/>
      <c r="C30" s="58" t="n"/>
      <c r="D30" s="58" t="n"/>
      <c r="E30" s="59">
        <f>IF(N($AQ30)&gt;0,INDEX(rIni_ADM,$AQ30),"")</f>
        <v/>
      </c>
      <c r="F30" s="59">
        <f>IF(N($AQ30)&gt;0,INDEX(rLim_ADM,$AQ30),"")</f>
        <v/>
      </c>
      <c r="G30" s="59" t="n"/>
      <c r="H30" s="60" t="n"/>
      <c r="I30" s="60">
        <f>IF(N($W30)=0,"",IF(AND($S30=MesCiclo,1&gt;SemanaActual),"",MIN(1,SUMIFS(OFFSET($A$1,ROW(),29,1000-ROW(),1),OFFSET($A$1,ROW(),20,1000-ROW(),1),ROW(),OFFSET($A$1,ROW(),21,1000-ROW(),1),"Sub"))))</f>
        <v/>
      </c>
      <c r="J30" s="60">
        <f>IF(N($W30)=0,"",IF(AND($S30=MesCiclo,2&gt;SemanaActual),"",MIN(1,SUMIFS(OFFSET($A$1,ROW(),30,1000-ROW(),1),OFFSET($A$1,ROW(),20,1000-ROW(),1),ROW(),OFFSET($A$1,ROW(),21,1000-ROW(),1),"Sub"))))</f>
        <v/>
      </c>
      <c r="K30" s="60">
        <f>IF(N($W30)=0,"",IF(AND($S30=MesCiclo,3&gt;SemanaActual),"",MIN(1,SUMIFS(OFFSET($A$1,ROW(),31,1000-ROW(),1),OFFSET($A$1,ROW(),20,1000-ROW(),1),ROW(),OFFSET($A$1,ROW(),21,1000-ROW(),1),"Sub"))))</f>
        <v/>
      </c>
      <c r="L30" s="60">
        <f>IF(N($W30)=0,"",IF(AND($S30=MesCiclo,4&gt;SemanaActual),"",MIN(1,SUMIFS(OFFSET($A$1,ROW(),32,1000-ROW(),1),OFFSET($A$1,ROW(),20,1000-ROW(),1),ROW(),OFFSET($A$1,ROW(),21,1000-ROW(),1),"Sub"))))</f>
        <v/>
      </c>
      <c r="M30" s="61">
        <f>IF(OR(NOT((COUNTA($B30:$D30)+COUNTA($G30:$H30)+COUNTA($Q30))&gt;0),$V30="Sub"),"",IF(ISNUMBER($G30),1,IF(N($W30)&gt;0,MIN(1,SUMIFS($Y$5:$Y$1000,$U$5:$U$1000,ROW(),$V$5:$V$1000,"Sub")),$Y30)))</f>
        <v/>
      </c>
      <c r="N30" s="56">
        <f>IF(OR($M30="",$V30="Sub"),"",IF($M30&gt;=1,"Completado",IF($M30&gt;0,"En curso","Pendiente")))</f>
        <v/>
      </c>
      <c r="O30" s="56">
        <f>IF(OR(NOT((COUNTA($B30:$D30)+COUNTA($G30:$H30)+COUNTA($Q30))&gt;0),$V30="Sub"),"",IF(ISNUMBER($G30),IF(AND(ISNUMBER($AS30),$G30&gt;$AS30),"Cumplida con "&amp;($G30-$AS30)&amp;IF($G30-$AS30=1," día"," días")&amp;" de retraso","Cumplida"),IF(N($M30)&gt;=1,"Cumplida",IF(NOT(ISNUMBER($AS30)),"Sin fecha límite",IF($AS30&lt;FechaRef,"Vencida hace "&amp;(FechaRef-$AS30)&amp;IF(FechaRef-$AS30=1," día"," días"),IF($AS30=FechaRef,"Vence hoy",IF($AS30-FechaRef&lt;=DiasAlerta,"Vence en "&amp;($AS30-FechaRef)&amp;IF($AS30-FechaRef=1," día"," días"),"En plazo")))))))</f>
        <v/>
      </c>
      <c r="P30" s="62" t="n"/>
      <c r="Q30" s="58" t="n"/>
      <c r="R30" s="63">
        <f>IF(NOT((COUNTA($B30:$D30)+COUNTA($G30:$H30)+COUNTA($Q30))&gt;0),"",IF((IF($C30="","Falta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 OK","⚠ "&amp;LEFT(IF($C30="","Falta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",""),LEN(IF($C30="","Falta el nombre de la actividad"&amp;" · ","")&amp;IF(AND($V30="Sub",N($U30)=0),"Subactividad sin macroactividad arriba"&amp;" · ","")&amp;IF(AND($V30="Macro",$AR30=""),"Sin fecha de inicio"&amp;" · ","")&amp;IF(AND($V30="Macro",$AS30=""),"Sin fecha límite"&amp;" · ","")&amp;IF(AND(LEFT($C30,11)="[Jefatura] ",N($AQ30)=0),"No se encuentra en la hoja de la jefatura (elíjala de nuevo en la lista)"&amp;" · ","")&amp;IF(OR(AND($E30&lt;&gt;"",NOT(ISNUMBER($E30))),AND($F30&lt;&gt;"",NOT(ISNUMBER($F30))),AND($G30&lt;&gt;"",NOT(ISNUMBER($G30)))),"Fecha no válida"&amp;" · ","")&amp;IF(AND(ISNUMBER($AR30),ISNUMBER($AS30),$AR30&gt;$AS30),"Inicio posterior a fecha límite"&amp;" · ","")&amp;IF(AND($V30="Macro",$H30&lt;&gt;"",OR(NOT(ISNUMBER($H30)),$H30&lt;0,$H30&gt;1)),"Peso fuera de rango"&amp;" · ","")&amp;IF(AND($V30="Sub",$H30&lt;&gt;"",OR(NOT(ISNUMBER($H30)),$H30&lt;0,$H30&gt;1)),"% de la subactividad fuera de rango 0-100%"&amp;" · ","")&amp;IF(AND(N($W30)&gt;0,SUMIFS($H$5:$H$1000,$U$5:$U$1000,ROW(),$V$5:$V$1000,"Sub")&gt;1.0001),"Las subactividades suman más de 100%"&amp;" · ","")&amp;IF(AND(N($W30)&gt;0,OR(IF(ISNUMBER($I30),ROUND($I30,6)&lt;&gt;ROUND(MIN(1,SUMIFS($AD$5:$AD$1000,$U$5:$U$1000,ROW(),$V$5:$V$1000,"Sub")),6),FALSE),IF(ISNUMBER($J30),ROUND($J30,6)&lt;&gt;ROUND(MIN(1,SUMIFS($AE$5:$AE$1000,$U$5:$U$1000,ROW(),$V$5:$V$1000,"Sub")),6),FALSE),IF(ISNUMBER($K30),ROUND($K30,6)&lt;&gt;ROUND(MIN(1,SUMIFS($AF$5:$AF$1000,$U$5:$U$1000,ROW(),$V$5:$V$1000,"Sub")),6),FALSE),IF(ISNUMBER($L30),ROUND($L30,6)&lt;&gt;ROUND(MIN(1,SUMIFS($AG$5:$AG$1000,$U$5:$U$1000,ROW(),$V$5:$V$1000,"Sub")),6),FALSE))),"Con subactividades: no escriba en las semanas (se llenan solas)"&amp;" · ","")&amp;IF((COUNTIF($I30:$L30,"&gt;1")+COUNTIF($I30:$L30,"&lt;0")+SUMPRODUCT((LEN($I30:$L30)&gt;0)*NOT(ISNUMBER($I30:$L30))))&gt;0,"Avance fuera de rango 0-100%"&amp;" · ","")&amp;IF(OR(AND(ISNUMBER($J30),$J30&lt;N($I30)),AND(ISNUMBER($K30),$K30&lt;MAX($I30:$J30)),AND(ISNUMBER($L30),$L30&lt;MAX($I30:$K30))),"Avance semanal decreciente"&amp;" · ","")&amp;IF(AND(ISNUMBER($AS30),$AS30&lt;FechaRef,IF($V30="Sub",1,N($M30))&lt;1),"Vencida"&amp;" · ","")&amp;IF(AND(ObsObligatoria="Sí",ISNUMBER($AS30),$AS30&lt;FechaRef,IF($V30="Sub",1,N($M30))&lt;1,$Q30=""),"Vencida sin observación"&amp;" · ",""))-3)))</f>
        <v/>
      </c>
      <c r="S30" s="64">
        <f>IF(NOT((COUNTA($B30:$D30)+COUNTA($G30:$H30)+COUNTA($Q30))&gt;0),"",IF(AND($V30="Sub",N($U30)&gt;0),IF(ISNUMBER(INDEX($AR$5:$AR$1000,$U30-4)),DATE(YEAR(INDEX($AR$5:$AR$1000,$U30-4)),MONTH(INDEX($AR$5:$AR$1000,$U30-4)),1),IF(ISNUMBER(INDEX($AS$5:$AS$1000,$U30-4)),DATE(YEAR(INDEX($AS$5:$AS$1000,$U30-4)),MONTH(INDEX($AS$5:$AS$1000,$U30-4)),1),MesCiclo)),IF(ISNUMBER($AR30),DATE(YEAR($AR30),MONTH($AR30),1),IF(ISNUMBER($AS30),DATE(YEAR($AS30),MONTH($AS30),1),MesCiclo))))</f>
        <v/>
      </c>
      <c r="T30" s="62">
        <f>IF(OR($S30="",$S30&lt;&gt;MesCiclo,$V30&lt;&gt;"Macro"),"",COUNTIFS($S$5:$S30,MesCiclo,$V$5:$V30,"Macro"))</f>
        <v/>
      </c>
      <c r="U30" s="62">
        <f>IF($V30="","",IF($V30="Macro",ROW(),IFERROR(LOOKUP(2,1/($V$5:$V30="Macro"),ROW($V$5:$V30)),0)))</f>
        <v/>
      </c>
      <c r="V30" s="62">
        <f>IF(NOT((COUNTA($B30:$D30)+COUNTA($G30:$H30)+COUNTA($Q30))&gt;0),"",IF($B30="Subactividad","Sub","Macro"))</f>
        <v/>
      </c>
      <c r="W30" s="62">
        <f>IF($V30="Macro",COUNTIFS($U$5:$U$1000,ROW(),$V$5:$V$1000,"Sub"),"")</f>
        <v/>
      </c>
      <c r="X30" s="62">
        <f>IF($V30&lt;&gt;"Sub","",IF(AND(ISNUMBER($H30),N($H30)&gt;0),$H30,IFERROR(MAX(0,1-SUMIFS($H$5:$H$1000,$U$5:$U$1000,$U30,$V$5:$V$1000,"Sub"))/(COUNTIFS($U$5:$U$1000,$U30,$V$5:$V$1000,"Sub")-COUNTIFS($U$5:$U$1000,$U30,$V$5:$V$1000,"Sub",$H$5:$H$1000,"&gt;0")),0)))</f>
        <v/>
      </c>
      <c r="Y30" s="62">
        <f>IF($V30="","",IF($V30="Sub",N($X30)*IF(ISNUMBER($G30),1,MIN(1,MAX(0,IFERROR(LOOKUP(2,1/ISNUMBER($I30:$L30),$I30:$L30),0)))),IF(ISNUMBER($G30),1,IFERROR(LOOKUP(2,1/($I30:$L30&lt;&gt;""),$I30:$L30),0))))</f>
        <v/>
      </c>
      <c r="Z30" s="62">
        <f>IF($V30="","",IF(AND(ISNUMBER($G30),$G30&lt;=IF($S30=MesCiclo,InicioCiclo,$S30+MOD(2-WEEKDAY($S30),7))+6),1,IF(ISNUMBER($I30),$I30,0)))</f>
        <v/>
      </c>
      <c r="AA30" s="62">
        <f>IF($V30="","",IF(AND(ISNUMBER($G30),$G30&lt;=IF($S30=MesCiclo,InicioCiclo,$S30+MOD(2-WEEKDAY($S30),7))+13),1,IF(ISNUMBER($J30),$J30,$Z30)))</f>
        <v/>
      </c>
      <c r="AB30" s="62">
        <f>IF($V30="","",IF(AND(ISNUMBER($G30),$G30&lt;=IF($S30=MesCiclo,InicioCiclo,$S30+MOD(2-WEEKDAY($S30),7))+20),1,IF(ISNUMBER($K30),$K30,$AA30)))</f>
        <v/>
      </c>
      <c r="AC30" s="62">
        <f>IF($V30="","",IF(AND(ISNUMBER($G30),$G30&lt;=IF($S30=MesCiclo,InicioCiclo,$S30+MOD(2-WEEKDAY($S30),7))+27),1,IF(ISNUMBER($L30),$L30,$AB30)))</f>
        <v/>
      </c>
      <c r="AD30" s="62">
        <f>IF($V30&lt;&gt;"Sub","",N($X30)*IF(AND(ISNUMBER($G30),$G30&lt;=IF($S30=MesCiclo,InicioCiclo,$S30+MOD(2-WEEKDAY($S30),7))+6),1,MIN(1,MAX(0,IF(ISNUMBER(OFFSET($A$1,ROW()-1,8)),OFFSET($A$1,ROW()-1,8),0)))))</f>
        <v/>
      </c>
      <c r="AE30" s="62">
        <f>IF($V30&lt;&gt;"Sub","",N($X30)*IF(AND(ISNUMBER($G30),$G30&lt;=IF($S30=MesCiclo,InicioCiclo,$S30+MOD(2-WEEKDAY($S30),7))+13),1,MIN(1,MAX(0,IF(ISNUMBER(OFFSET($A$1,ROW()-1,9)),OFFSET($A$1,ROW()-1,9),IF(ISNUMBER(OFFSET($A$1,ROW()-1,8)),OFFSET($A$1,ROW()-1,8),0))))))</f>
        <v/>
      </c>
      <c r="AF30" s="62">
        <f>IF($V30&lt;&gt;"Sub","",N($X30)*IF(AND(ISNUMBER($G30),$G30&lt;=IF($S30=MesCiclo,InicioCiclo,$S30+MOD(2-WEEKDAY($S30),7))+20),1,MIN(1,MAX(0,IF(ISNUMBER(OFFSET($A$1,ROW()-1,10)),OFFSET($A$1,ROW()-1,10),IF(ISNUMBER(OFFSET($A$1,ROW()-1,9)),OFFSET($A$1,ROW()-1,9),IF(ISNUMBER(OFFSET($A$1,ROW()-1,8)),OFFSET($A$1,ROW()-1,8),0)))))))</f>
        <v/>
      </c>
      <c r="AG30" s="62">
        <f>IF($V30&lt;&gt;"Sub","",N($X30)*IF(AND(ISNUMBER($G30),$G30&lt;=IF($S30=MesCiclo,InicioCiclo,$S30+MOD(2-WEEKDAY($S30),7))+27),1,MIN(1,MAX(0,IF(ISNUMBER(OFFSET($A$1,ROW()-1,11)),OFFSET($A$1,ROW()-1,11),IF(ISNUMBER(OFFSET($A$1,ROW()-1,10)),OFFSET($A$1,ROW()-1,10),IF(ISNUMBER(OFFSET($A$1,ROW()-1,9)),OFFSET($A$1,ROW()-1,9),IF(ISNUMBER(OFFSET($A$1,ROW()-1,8)),OFFSET($A$1,ROW()-1,8),0))))))))</f>
        <v/>
      </c>
      <c r="AH30" s="62">
        <f>IF($V30="","",IF(AND(ISNUMBER($G30),$G30&lt;=IF($S30=MesCiclo,InicioCiclo,$S30+MOD(2-WEEKDAY($S30),7))+6),1,IF(N($W30)&gt;0,MIN(1,SUMIFS($AD$5:$AD$1000,$U$5:$U$1000,ROW(),$V$5:$V$1000,"Sub")),$Z30)))</f>
        <v/>
      </c>
      <c r="AI30" s="62">
        <f>IF($V30="","",IF(AND(ISNUMBER($G30),$G30&lt;=IF($S30=MesCiclo,InicioCiclo,$S30+MOD(2-WEEKDAY($S30),7))+13),1,IF(N($W30)&gt;0,MIN(1,SUMIFS($AE$5:$AE$1000,$U$5:$U$1000,ROW(),$V$5:$V$1000,"Sub")),$AA30)))</f>
        <v/>
      </c>
      <c r="AJ30" s="62">
        <f>IF($V30="","",IF(AND(ISNUMBER($G30),$G30&lt;=IF($S30=MesCiclo,InicioCiclo,$S30+MOD(2-WEEKDAY($S30),7))+20),1,IF(N($W30)&gt;0,MIN(1,SUMIFS($AF$5:$AF$1000,$U$5:$U$1000,ROW(),$V$5:$V$1000,"Sub")),$AB30)))</f>
        <v/>
      </c>
      <c r="AK30" s="62">
        <f>IF($V30="","",IF(AND(ISNUMBER($G30),$G30&lt;=IF($S30=MesCiclo,InicioCiclo,$S30+MOD(2-WEEKDAY($S30),7))+27),1,IF(N($W30)&gt;0,MIN(1,SUMIFS($AG$5:$AG$1000,$U$5:$U$1000,ROW(),$V$5:$V$1000,"Sub")),$AC30)))</f>
        <v/>
      </c>
      <c r="AL30" s="62">
        <f>IF($V30&lt;&gt;"Macro","",IF(COUNTIFS($S$5:$S$1000,$S30,$V$5:$V$1000,"Macro",$H$5:$H$1000,"&gt;0")=0,1/COUNTIFS($S$5:$S$1000,$S30,$V$5:$V$1000,"Macro"),IF(AND(ISNUMBER($H30),N($H30)&gt;0),$H30,SUMIFS($H$5:$H$1000,$S$5:$S$1000,$S30,$V$5:$V$1000,"Macro")/COUNTIFS($S$5:$S$1000,$S30,$V$5:$V$1000,"Macro",$H$5:$H$1000,"&gt;0"))/(COUNTIFS($S$5:$S$1000,$S30,$V$5:$V$1000,"Macro")*SUMIFS($H$5:$H$1000,$S$5:$S$1000,$S30,$V$5:$V$1000,"Macro")/COUNTIFS($S$5:$S$1000,$S30,$V$5:$V$1000,"Macro",$H$5:$H$1000,"&gt;0"))))</f>
        <v/>
      </c>
      <c r="AM30" s="62" t="n"/>
      <c r="AN30" s="62" t="n"/>
      <c r="AO30" s="62" t="n"/>
      <c r="AP30" s="62" t="n"/>
      <c r="AQ30" s="62">
        <f>IF(LEFT($C30,11)="[Jefatura] ",IFERROR(MATCH("Asistente Técnico de Riesgo|"&amp;MID($C30,12,500),rDname_ADM,0),0),"")</f>
        <v/>
      </c>
      <c r="AR30" s="62">
        <f>IF(N($AQ30)&gt;0,INDEX(rIni_ADM,$AQ30),IF(ISNUMBER($E30),$E30,""))</f>
        <v/>
      </c>
      <c r="AS30" s="62">
        <f>IF(N($AQ30)&gt;0,INDEX(rLim_ADM,$AQ30),IF(ISNUMBER($F30),$F30,""))</f>
        <v/>
      </c>
    </row>
    <row r="31">
      <c r="A31" s="56">
        <f>IF(NOT((COUNTA($B31:$D31)+COUNTA($G31:$H31)+COUNTA($Q31))&gt;0),"",IF($V31="Macro",COUNTIFS($V$5:$V31,"Macro",$S$5:$S31,$S31),IF(N($U31)=0,"?",COUNTIFS(INDEX($V$5:$V$1000,1):INDEX($V$5:$V$1000,$U31-4),"Macro",INDEX($S$5:$S$1000,1):INDEX($S$5:$S$1000,$U31-4),INDEX($S$5:$S$1000,$U31-4))&amp;"."&amp;COUNTIFS($U$5:$U31,$U31,$V$5:$V31,"Sub"))))</f>
        <v/>
      </c>
      <c r="B31" s="57" t="n"/>
      <c r="C31" s="58" t="n"/>
      <c r="D31" s="58" t="n"/>
      <c r="E31" s="59">
        <f>IF(N($AQ31)&gt;0,INDEX(rIni_ADM,$AQ31),"")</f>
        <v/>
      </c>
      <c r="F31" s="59">
        <f>IF(N($AQ31)&gt;0,INDEX(rLim_ADM,$AQ31),"")</f>
        <v/>
      </c>
      <c r="G31" s="59" t="n"/>
      <c r="H31" s="60" t="n"/>
      <c r="I31" s="60">
        <f>IF(N($W31)=0,"",IF(AND($S31=MesCiclo,1&gt;SemanaActual),"",MIN(1,SUMIFS(OFFSET($A$1,ROW(),29,1000-ROW(),1),OFFSET($A$1,ROW(),20,1000-ROW(),1),ROW(),OFFSET($A$1,ROW(),21,1000-ROW(),1),"Sub"))))</f>
        <v/>
      </c>
      <c r="J31" s="60">
        <f>IF(N($W31)=0,"",IF(AND($S31=MesCiclo,2&gt;SemanaActual),"",MIN(1,SUMIFS(OFFSET($A$1,ROW(),30,1000-ROW(),1),OFFSET($A$1,ROW(),20,1000-ROW(),1),ROW(),OFFSET($A$1,ROW(),21,1000-ROW(),1),"Sub"))))</f>
        <v/>
      </c>
      <c r="K31" s="60">
        <f>IF(N($W31)=0,"",IF(AND($S31=MesCiclo,3&gt;SemanaActual),"",MIN(1,SUMIFS(OFFSET($A$1,ROW(),31,1000-ROW(),1),OFFSET($A$1,ROW(),20,1000-ROW(),1),ROW(),OFFSET($A$1,ROW(),21,1000-ROW(),1),"Sub"))))</f>
        <v/>
      </c>
      <c r="L31" s="60">
        <f>IF(N($W31)=0,"",IF(AND($S31=MesCiclo,4&gt;SemanaActual),"",MIN(1,SUMIFS(OFFSET($A$1,ROW(),32,1000-ROW(),1),OFFSET($A$1,ROW(),20,1000-ROW(),1),ROW(),OFFSET($A$1,ROW(),21,1000-ROW(),1),"Sub"))))</f>
        <v/>
      </c>
      <c r="M31" s="61">
        <f>IF(OR(NOT((COUNTA($B31:$D31)+COUNTA($G31:$H31)+COUNTA($Q31))&gt;0),$V31="Sub"),"",IF(ISNUMBER($G31),1,IF(N($W31)&gt;0,MIN(1,SUMIFS($Y$5:$Y$1000,$U$5:$U$1000,ROW(),$V$5:$V$1000,"Sub")),$Y31)))</f>
        <v/>
      </c>
      <c r="N31" s="56">
        <f>IF(OR($M31="",$V31="Sub"),"",IF($M31&gt;=1,"Completado",IF($M31&gt;0,"En curso","Pendiente")))</f>
        <v/>
      </c>
      <c r="O31" s="56">
        <f>IF(OR(NOT((COUNTA($B31:$D31)+COUNTA($G31:$H31)+COUNTA($Q31))&gt;0),$V31="Sub"),"",IF(ISNUMBER($G31),IF(AND(ISNUMBER($AS31),$G31&gt;$AS31),"Cumplida con "&amp;($G31-$AS31)&amp;IF($G31-$AS31=1," día"," días")&amp;" de retraso","Cumplida"),IF(N($M31)&gt;=1,"Cumplida",IF(NOT(ISNUMBER($AS31)),"Sin fecha límite",IF($AS31&lt;FechaRef,"Vencida hace "&amp;(FechaRef-$AS31)&amp;IF(FechaRef-$AS31=1," día"," días"),IF($AS31=FechaRef,"Vence hoy",IF($AS31-FechaRef&lt;=DiasAlerta,"Vence en "&amp;($AS31-FechaRef)&amp;IF($AS31-FechaRef=1," día"," días"),"En plazo")))))))</f>
        <v/>
      </c>
      <c r="P31" s="62" t="n"/>
      <c r="Q31" s="58" t="n"/>
      <c r="R31" s="63">
        <f>IF(NOT((COUNTA($B31:$D31)+COUNTA($G31:$H31)+COUNTA($Q31))&gt;0),"",IF((IF($C31="","Falta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 OK","⚠ "&amp;LEFT(IF($C31="","Falta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",""),LEN(IF($C31="","Falta el nombre de la actividad"&amp;" · ","")&amp;IF(AND($V31="Sub",N($U31)=0),"Subactividad sin macroactividad arriba"&amp;" · ","")&amp;IF(AND($V31="Macro",$AR31=""),"Sin fecha de inicio"&amp;" · ","")&amp;IF(AND($V31="Macro",$AS31=""),"Sin fecha límite"&amp;" · ","")&amp;IF(AND(LEFT($C31,11)="[Jefatura] ",N($AQ31)=0),"No se encuentra en la hoja de la jefatura (elíjala de nuevo en la lista)"&amp;" · ","")&amp;IF(OR(AND($E31&lt;&gt;"",NOT(ISNUMBER($E31))),AND($F31&lt;&gt;"",NOT(ISNUMBER($F31))),AND($G31&lt;&gt;"",NOT(ISNUMBER($G31)))),"Fecha no válida"&amp;" · ","")&amp;IF(AND(ISNUMBER($AR31),ISNUMBER($AS31),$AR31&gt;$AS31),"Inicio posterior a fecha límite"&amp;" · ","")&amp;IF(AND($V31="Macro",$H31&lt;&gt;"",OR(NOT(ISNUMBER($H31)),$H31&lt;0,$H31&gt;1)),"Peso fuera de rango"&amp;" · ","")&amp;IF(AND($V31="Sub",$H31&lt;&gt;"",OR(NOT(ISNUMBER($H31)),$H31&lt;0,$H31&gt;1)),"% de la subactividad fuera de rango 0-100%"&amp;" · ","")&amp;IF(AND(N($W31)&gt;0,SUMIFS($H$5:$H$1000,$U$5:$U$1000,ROW(),$V$5:$V$1000,"Sub")&gt;1.0001),"Las subactividades suman más de 100%"&amp;" · ","")&amp;IF(AND(N($W31)&gt;0,OR(IF(ISNUMBER($I31),ROUND($I31,6)&lt;&gt;ROUND(MIN(1,SUMIFS($AD$5:$AD$1000,$U$5:$U$1000,ROW(),$V$5:$V$1000,"Sub")),6),FALSE),IF(ISNUMBER($J31),ROUND($J31,6)&lt;&gt;ROUND(MIN(1,SUMIFS($AE$5:$AE$1000,$U$5:$U$1000,ROW(),$V$5:$V$1000,"Sub")),6),FALSE),IF(ISNUMBER($K31),ROUND($K31,6)&lt;&gt;ROUND(MIN(1,SUMIFS($AF$5:$AF$1000,$U$5:$U$1000,ROW(),$V$5:$V$1000,"Sub")),6),FALSE),IF(ISNUMBER($L31),ROUND($L31,6)&lt;&gt;ROUND(MIN(1,SUMIFS($AG$5:$AG$1000,$U$5:$U$1000,ROW(),$V$5:$V$1000,"Sub")),6),FALSE))),"Con subactividades: no escriba en las semanas (se llenan solas)"&amp;" · ","")&amp;IF((COUNTIF($I31:$L31,"&gt;1")+COUNTIF($I31:$L31,"&lt;0")+SUMPRODUCT((LEN($I31:$L31)&gt;0)*NOT(ISNUMBER($I31:$L31))))&gt;0,"Avance fuera de rango 0-100%"&amp;" · ","")&amp;IF(OR(AND(ISNUMBER($J31),$J31&lt;N($I31)),AND(ISNUMBER($K31),$K31&lt;MAX($I31:$J31)),AND(ISNUMBER($L31),$L31&lt;MAX($I31:$K31))),"Avance semanal decreciente"&amp;" · ","")&amp;IF(AND(ISNUMBER($AS31),$AS31&lt;FechaRef,IF($V31="Sub",1,N($M31))&lt;1),"Vencida"&amp;" · ","")&amp;IF(AND(ObsObligatoria="Sí",ISNUMBER($AS31),$AS31&lt;FechaRef,IF($V31="Sub",1,N($M31))&lt;1,$Q31=""),"Vencida sin observación"&amp;" · ",""))-3)))</f>
        <v/>
      </c>
      <c r="S31" s="64">
        <f>IF(NOT((COUNTA($B31:$D31)+COUNTA($G31:$H31)+COUNTA($Q31))&gt;0),"",IF(AND($V31="Sub",N($U31)&gt;0),IF(ISNUMBER(INDEX($AR$5:$AR$1000,$U31-4)),DATE(YEAR(INDEX($AR$5:$AR$1000,$U31-4)),MONTH(INDEX($AR$5:$AR$1000,$U31-4)),1),IF(ISNUMBER(INDEX($AS$5:$AS$1000,$U31-4)),DATE(YEAR(INDEX($AS$5:$AS$1000,$U31-4)),MONTH(INDEX($AS$5:$AS$1000,$U31-4)),1),MesCiclo)),IF(ISNUMBER($AR31),DATE(YEAR($AR31),MONTH($AR31),1),IF(ISNUMBER($AS31),DATE(YEAR($AS31),MONTH($AS31),1),MesCiclo))))</f>
        <v/>
      </c>
      <c r="T31" s="62">
        <f>IF(OR($S31="",$S31&lt;&gt;MesCiclo,$V31&lt;&gt;"Macro"),"",COUNTIFS($S$5:$S31,MesCiclo,$V$5:$V31,"Macro"))</f>
        <v/>
      </c>
      <c r="U31" s="62">
        <f>IF($V31="","",IF($V31="Macro",ROW(),IFERROR(LOOKUP(2,1/($V$5:$V31="Macro"),ROW($V$5:$V31)),0)))</f>
        <v/>
      </c>
      <c r="V31" s="62">
        <f>IF(NOT((COUNTA($B31:$D31)+COUNTA($G31:$H31)+COUNTA($Q31))&gt;0),"",IF($B31="Subactividad","Sub","Macro"))</f>
        <v/>
      </c>
      <c r="W31" s="62">
        <f>IF($V31="Macro",COUNTIFS($U$5:$U$1000,ROW(),$V$5:$V$1000,"Sub"),"")</f>
        <v/>
      </c>
      <c r="X31" s="62">
        <f>IF($V31&lt;&gt;"Sub","",IF(AND(ISNUMBER($H31),N($H31)&gt;0),$H31,IFERROR(MAX(0,1-SUMIFS($H$5:$H$1000,$U$5:$U$1000,$U31,$V$5:$V$1000,"Sub"))/(COUNTIFS($U$5:$U$1000,$U31,$V$5:$V$1000,"Sub")-COUNTIFS($U$5:$U$1000,$U31,$V$5:$V$1000,"Sub",$H$5:$H$1000,"&gt;0")),0)))</f>
        <v/>
      </c>
      <c r="Y31" s="62">
        <f>IF($V31="","",IF($V31="Sub",N($X31)*IF(ISNUMBER($G31),1,MIN(1,MAX(0,IFERROR(LOOKUP(2,1/ISNUMBER($I31:$L31),$I31:$L31),0)))),IF(ISNUMBER($G31),1,IFERROR(LOOKUP(2,1/($I31:$L31&lt;&gt;""),$I31:$L31),0))))</f>
        <v/>
      </c>
      <c r="Z31" s="62">
        <f>IF($V31="","",IF(AND(ISNUMBER($G31),$G31&lt;=IF($S31=MesCiclo,InicioCiclo,$S31+MOD(2-WEEKDAY($S31),7))+6),1,IF(ISNUMBER($I31),$I31,0)))</f>
        <v/>
      </c>
      <c r="AA31" s="62">
        <f>IF($V31="","",IF(AND(ISNUMBER($G31),$G31&lt;=IF($S31=MesCiclo,InicioCiclo,$S31+MOD(2-WEEKDAY($S31),7))+13),1,IF(ISNUMBER($J31),$J31,$Z31)))</f>
        <v/>
      </c>
      <c r="AB31" s="62">
        <f>IF($V31="","",IF(AND(ISNUMBER($G31),$G31&lt;=IF($S31=MesCiclo,InicioCiclo,$S31+MOD(2-WEEKDAY($S31),7))+20),1,IF(ISNUMBER($K31),$K31,$AA31)))</f>
        <v/>
      </c>
      <c r="AC31" s="62">
        <f>IF($V31="","",IF(AND(ISNUMBER($G31),$G31&lt;=IF($S31=MesCiclo,InicioCiclo,$S31+MOD(2-WEEKDAY($S31),7))+27),1,IF(ISNUMBER($L31),$L31,$AB31)))</f>
        <v/>
      </c>
      <c r="AD31" s="62">
        <f>IF($V31&lt;&gt;"Sub","",N($X31)*IF(AND(ISNUMBER($G31),$G31&lt;=IF($S31=MesCiclo,InicioCiclo,$S31+MOD(2-WEEKDAY($S31),7))+6),1,MIN(1,MAX(0,IF(ISNUMBER(OFFSET($A$1,ROW()-1,8)),OFFSET($A$1,ROW()-1,8),0)))))</f>
        <v/>
      </c>
      <c r="AE31" s="62">
        <f>IF($V31&lt;&gt;"Sub","",N($X31)*IF(AND(ISNUMBER($G31),$G31&lt;=IF($S31=MesCiclo,InicioCiclo,$S31+MOD(2-WEEKDAY($S31),7))+13),1,MIN(1,MAX(0,IF(ISNUMBER(OFFSET($A$1,ROW()-1,9)),OFFSET($A$1,ROW()-1,9),IF(ISNUMBER(OFFSET($A$1,ROW()-1,8)),OFFSET($A$1,ROW()-1,8),0))))))</f>
        <v/>
      </c>
      <c r="AF31" s="62">
        <f>IF($V31&lt;&gt;"Sub","",N($X31)*IF(AND(ISNUMBER($G31),$G31&lt;=IF($S31=MesCiclo,InicioCiclo,$S31+MOD(2-WEEKDAY($S31),7))+20),1,MIN(1,MAX(0,IF(ISNUMBER(OFFSET($A$1,ROW()-1,10)),OFFSET($A$1,ROW()-1,10),IF(ISNUMBER(OFFSET($A$1,ROW()-1,9)),OFFSET($A$1,ROW()-1,9),IF(ISNUMBER(OFFSET($A$1,ROW()-1,8)),OFFSET($A$1,ROW()-1,8),0)))))))</f>
        <v/>
      </c>
      <c r="AG31" s="62">
        <f>IF($V31&lt;&gt;"Sub","",N($X31)*IF(AND(ISNUMBER($G31),$G31&lt;=IF($S31=MesCiclo,InicioCiclo,$S31+MOD(2-WEEKDAY($S31),7))+27),1,MIN(1,MAX(0,IF(ISNUMBER(OFFSET($A$1,ROW()-1,11)),OFFSET($A$1,ROW()-1,11),IF(ISNUMBER(OFFSET($A$1,ROW()-1,10)),OFFSET($A$1,ROW()-1,10),IF(ISNUMBER(OFFSET($A$1,ROW()-1,9)),OFFSET($A$1,ROW()-1,9),IF(ISNUMBER(OFFSET($A$1,ROW()-1,8)),OFFSET($A$1,ROW()-1,8),0))))))))</f>
        <v/>
      </c>
      <c r="AH31" s="62">
        <f>IF($V31="","",IF(AND(ISNUMBER($G31),$G31&lt;=IF($S31=MesCiclo,InicioCiclo,$S31+MOD(2-WEEKDAY($S31),7))+6),1,IF(N($W31)&gt;0,MIN(1,SUMIFS($AD$5:$AD$1000,$U$5:$U$1000,ROW(),$V$5:$V$1000,"Sub")),$Z31)))</f>
        <v/>
      </c>
      <c r="AI31" s="62">
        <f>IF($V31="","",IF(AND(ISNUMBER($G31),$G31&lt;=IF($S31=MesCiclo,InicioCiclo,$S31+MOD(2-WEEKDAY($S31),7))+13),1,IF(N($W31)&gt;0,MIN(1,SUMIFS($AE$5:$AE$1000,$U$5:$U$1000,ROW(),$V$5:$V$1000,"Sub")),$AA31)))</f>
        <v/>
      </c>
      <c r="AJ31" s="62">
        <f>IF($V31="","",IF(AND(ISNUMBER($G31),$G31&lt;=IF($S31=MesCiclo,InicioCiclo,$S31+MOD(2-WEEKDAY($S31),7))+20),1,IF(N($W31)&gt;0,MIN(1,SUMIFS($AF$5:$AF$1000,$U$5:$U$1000,ROW(),$V$5:$V$1000,"Sub")),$AB31)))</f>
        <v/>
      </c>
      <c r="AK31" s="62">
        <f>IF($V31="","",IF(AND(ISNUMBER($G31),$G31&lt;=IF($S31=MesCiclo,InicioCiclo,$S31+MOD(2-WEEKDAY($S31),7))+27),1,IF(N($W31)&gt;0,MIN(1,SUMIFS($AG$5:$AG$1000,$U$5:$U$1000,ROW(),$V$5:$V$1000,"Sub")),$AC31)))</f>
        <v/>
      </c>
      <c r="AL31" s="62">
        <f>IF($V31&lt;&gt;"Macro","",IF(COUNTIFS($S$5:$S$1000,$S31,$V$5:$V$1000,"Macro",$H$5:$H$1000,"&gt;0")=0,1/COUNTIFS($S$5:$S$1000,$S31,$V$5:$V$1000,"Macro"),IF(AND(ISNUMBER($H31),N($H31)&gt;0),$H31,SUMIFS($H$5:$H$1000,$S$5:$S$1000,$S31,$V$5:$V$1000,"Macro")/COUNTIFS($S$5:$S$1000,$S31,$V$5:$V$1000,"Macro",$H$5:$H$1000,"&gt;0"))/(COUNTIFS($S$5:$S$1000,$S31,$V$5:$V$1000,"Macro")*SUMIFS($H$5:$H$1000,$S$5:$S$1000,$S31,$V$5:$V$1000,"Macro")/COUNTIFS($S$5:$S$1000,$S31,$V$5:$V$1000,"Macro",$H$5:$H$1000,"&gt;0"))))</f>
        <v/>
      </c>
      <c r="AM31" s="62" t="n"/>
      <c r="AN31" s="62" t="n"/>
      <c r="AO31" s="62" t="n"/>
      <c r="AP31" s="62" t="n"/>
      <c r="AQ31" s="62">
        <f>IF(LEFT($C31,11)="[Jefatura] ",IFERROR(MATCH("Asistente Técnico de Riesgo|"&amp;MID($C31,12,500),rDname_ADM,0),0),"")</f>
        <v/>
      </c>
      <c r="AR31" s="62">
        <f>IF(N($AQ31)&gt;0,INDEX(rIni_ADM,$AQ31),IF(ISNUMBER($E31),$E31,""))</f>
        <v/>
      </c>
      <c r="AS31" s="62">
        <f>IF(N($AQ31)&gt;0,INDEX(rLim_ADM,$AQ31),IF(ISNUMBER($F31),$F31,""))</f>
        <v/>
      </c>
    </row>
    <row r="32">
      <c r="A32" s="56">
        <f>IF(NOT((COUNTA($B32:$D32)+COUNTA($G32:$H32)+COUNTA($Q32))&gt;0),"",IF($V32="Macro",COUNTIFS($V$5:$V32,"Macro",$S$5:$S32,$S32),IF(N($U32)=0,"?",COUNTIFS(INDEX($V$5:$V$1000,1):INDEX($V$5:$V$1000,$U32-4),"Macro",INDEX($S$5:$S$1000,1):INDEX($S$5:$S$1000,$U32-4),INDEX($S$5:$S$1000,$U32-4))&amp;"."&amp;COUNTIFS($U$5:$U32,$U32,$V$5:$V32,"Sub"))))</f>
        <v/>
      </c>
      <c r="B32" s="57" t="n"/>
      <c r="C32" s="58" t="n"/>
      <c r="D32" s="58" t="n"/>
      <c r="E32" s="59">
        <f>IF(N($AQ32)&gt;0,INDEX(rIni_ADM,$AQ32),"")</f>
        <v/>
      </c>
      <c r="F32" s="59">
        <f>IF(N($AQ32)&gt;0,INDEX(rLim_ADM,$AQ32),"")</f>
        <v/>
      </c>
      <c r="G32" s="59" t="n"/>
      <c r="H32" s="60" t="n"/>
      <c r="I32" s="60">
        <f>IF(N($W32)=0,"",IF(AND($S32=MesCiclo,1&gt;SemanaActual),"",MIN(1,SUMIFS(OFFSET($A$1,ROW(),29,1000-ROW(),1),OFFSET($A$1,ROW(),20,1000-ROW(),1),ROW(),OFFSET($A$1,ROW(),21,1000-ROW(),1),"Sub"))))</f>
        <v/>
      </c>
      <c r="J32" s="60">
        <f>IF(N($W32)=0,"",IF(AND($S32=MesCiclo,2&gt;SemanaActual),"",MIN(1,SUMIFS(OFFSET($A$1,ROW(),30,1000-ROW(),1),OFFSET($A$1,ROW(),20,1000-ROW(),1),ROW(),OFFSET($A$1,ROW(),21,1000-ROW(),1),"Sub"))))</f>
        <v/>
      </c>
      <c r="K32" s="60">
        <f>IF(N($W32)=0,"",IF(AND($S32=MesCiclo,3&gt;SemanaActual),"",MIN(1,SUMIFS(OFFSET($A$1,ROW(),31,1000-ROW(),1),OFFSET($A$1,ROW(),20,1000-ROW(),1),ROW(),OFFSET($A$1,ROW(),21,1000-ROW(),1),"Sub"))))</f>
        <v/>
      </c>
      <c r="L32" s="60">
        <f>IF(N($W32)=0,"",IF(AND($S32=MesCiclo,4&gt;SemanaActual),"",MIN(1,SUMIFS(OFFSET($A$1,ROW(),32,1000-ROW(),1),OFFSET($A$1,ROW(),20,1000-ROW(),1),ROW(),OFFSET($A$1,ROW(),21,1000-ROW(),1),"Sub"))))</f>
        <v/>
      </c>
      <c r="M32" s="61">
        <f>IF(OR(NOT((COUNTA($B32:$D32)+COUNTA($G32:$H32)+COUNTA($Q32))&gt;0),$V32="Sub"),"",IF(ISNUMBER($G32),1,IF(N($W32)&gt;0,MIN(1,SUMIFS($Y$5:$Y$1000,$U$5:$U$1000,ROW(),$V$5:$V$1000,"Sub")),$Y32)))</f>
        <v/>
      </c>
      <c r="N32" s="56">
        <f>IF(OR($M32="",$V32="Sub"),"",IF($M32&gt;=1,"Completado",IF($M32&gt;0,"En curso","Pendiente")))</f>
        <v/>
      </c>
      <c r="O32" s="56">
        <f>IF(OR(NOT((COUNTA($B32:$D32)+COUNTA($G32:$H32)+COUNTA($Q32))&gt;0),$V32="Sub"),"",IF(ISNUMBER($G32),IF(AND(ISNUMBER($AS32),$G32&gt;$AS32),"Cumplida con "&amp;($G32-$AS32)&amp;IF($G32-$AS32=1," día"," días")&amp;" de retraso","Cumplida"),IF(N($M32)&gt;=1,"Cumplida",IF(NOT(ISNUMBER($AS32)),"Sin fecha límite",IF($AS32&lt;FechaRef,"Vencida hace "&amp;(FechaRef-$AS32)&amp;IF(FechaRef-$AS32=1," día"," días"),IF($AS32=FechaRef,"Vence hoy",IF($AS32-FechaRef&lt;=DiasAlerta,"Vence en "&amp;($AS32-FechaRef)&amp;IF($AS32-FechaRef=1," día"," días"),"En plazo")))))))</f>
        <v/>
      </c>
      <c r="P32" s="62" t="n"/>
      <c r="Q32" s="58" t="n"/>
      <c r="R32" s="63">
        <f>IF(NOT((COUNTA($B32:$D32)+COUNTA($G32:$H32)+COUNTA($Q32))&gt;0),"",IF((IF($C32="","Falta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 OK","⚠ "&amp;LEFT(IF($C32="","Falta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",""),LEN(IF($C32="","Falta el nombre de la actividad"&amp;" · ","")&amp;IF(AND($V32="Sub",N($U32)=0),"Subactividad sin macroactividad arriba"&amp;" · ","")&amp;IF(AND($V32="Macro",$AR32=""),"Sin fecha de inicio"&amp;" · ","")&amp;IF(AND($V32="Macro",$AS32=""),"Sin fecha límite"&amp;" · ","")&amp;IF(AND(LEFT($C32,11)="[Jefatura] ",N($AQ32)=0),"No se encuentra en la hoja de la jefatura (elíjala de nuevo en la lista)"&amp;" · ","")&amp;IF(OR(AND($E32&lt;&gt;"",NOT(ISNUMBER($E32))),AND($F32&lt;&gt;"",NOT(ISNUMBER($F32))),AND($G32&lt;&gt;"",NOT(ISNUMBER($G32)))),"Fecha no válida"&amp;" · ","")&amp;IF(AND(ISNUMBER($AR32),ISNUMBER($AS32),$AR32&gt;$AS32),"Inicio posterior a fecha límite"&amp;" · ","")&amp;IF(AND($V32="Macro",$H32&lt;&gt;"",OR(NOT(ISNUMBER($H32)),$H32&lt;0,$H32&gt;1)),"Peso fuera de rango"&amp;" · ","")&amp;IF(AND($V32="Sub",$H32&lt;&gt;"",OR(NOT(ISNUMBER($H32)),$H32&lt;0,$H32&gt;1)),"% de la subactividad fuera de rango 0-100%"&amp;" · ","")&amp;IF(AND(N($W32)&gt;0,SUMIFS($H$5:$H$1000,$U$5:$U$1000,ROW(),$V$5:$V$1000,"Sub")&gt;1.0001),"Las subactividades suman más de 100%"&amp;" · ","")&amp;IF(AND(N($W32)&gt;0,OR(IF(ISNUMBER($I32),ROUND($I32,6)&lt;&gt;ROUND(MIN(1,SUMIFS($AD$5:$AD$1000,$U$5:$U$1000,ROW(),$V$5:$V$1000,"Sub")),6),FALSE),IF(ISNUMBER($J32),ROUND($J32,6)&lt;&gt;ROUND(MIN(1,SUMIFS($AE$5:$AE$1000,$U$5:$U$1000,ROW(),$V$5:$V$1000,"Sub")),6),FALSE),IF(ISNUMBER($K32),ROUND($K32,6)&lt;&gt;ROUND(MIN(1,SUMIFS($AF$5:$AF$1000,$U$5:$U$1000,ROW(),$V$5:$V$1000,"Sub")),6),FALSE),IF(ISNUMBER($L32),ROUND($L32,6)&lt;&gt;ROUND(MIN(1,SUMIFS($AG$5:$AG$1000,$U$5:$U$1000,ROW(),$V$5:$V$1000,"Sub")),6),FALSE))),"Con subactividades: no escriba en las semanas (se llenan solas)"&amp;" · ","")&amp;IF((COUNTIF($I32:$L32,"&gt;1")+COUNTIF($I32:$L32,"&lt;0")+SUMPRODUCT((LEN($I32:$L32)&gt;0)*NOT(ISNUMBER($I32:$L32))))&gt;0,"Avance fuera de rango 0-100%"&amp;" · ","")&amp;IF(OR(AND(ISNUMBER($J32),$J32&lt;N($I32)),AND(ISNUMBER($K32),$K32&lt;MAX($I32:$J32)),AND(ISNUMBER($L32),$L32&lt;MAX($I32:$K32))),"Avance semanal decreciente"&amp;" · ","")&amp;IF(AND(ISNUMBER($AS32),$AS32&lt;FechaRef,IF($V32="Sub",1,N($M32))&lt;1),"Vencida"&amp;" · ","")&amp;IF(AND(ObsObligatoria="Sí",ISNUMBER($AS32),$AS32&lt;FechaRef,IF($V32="Sub",1,N($M32))&lt;1,$Q32=""),"Vencida sin observación"&amp;" · ",""))-3)))</f>
        <v/>
      </c>
      <c r="S32" s="64">
        <f>IF(NOT((COUNTA($B32:$D32)+COUNTA($G32:$H32)+COUNTA($Q32))&gt;0),"",IF(AND($V32="Sub",N($U32)&gt;0),IF(ISNUMBER(INDEX($AR$5:$AR$1000,$U32-4)),DATE(YEAR(INDEX($AR$5:$AR$1000,$U32-4)),MONTH(INDEX($AR$5:$AR$1000,$U32-4)),1),IF(ISNUMBER(INDEX($AS$5:$AS$1000,$U32-4)),DATE(YEAR(INDEX($AS$5:$AS$1000,$U32-4)),MONTH(INDEX($AS$5:$AS$1000,$U32-4)),1),MesCiclo)),IF(ISNUMBER($AR32),DATE(YEAR($AR32),MONTH($AR32),1),IF(ISNUMBER($AS32),DATE(YEAR($AS32),MONTH($AS32),1),MesCiclo))))</f>
        <v/>
      </c>
      <c r="T32" s="62">
        <f>IF(OR($S32="",$S32&lt;&gt;MesCiclo,$V32&lt;&gt;"Macro"),"",COUNTIFS($S$5:$S32,MesCiclo,$V$5:$V32,"Macro"))</f>
        <v/>
      </c>
      <c r="U32" s="62">
        <f>IF($V32="","",IF($V32="Macro",ROW(),IFERROR(LOOKUP(2,1/($V$5:$V32="Macro"),ROW($V$5:$V32)),0)))</f>
        <v/>
      </c>
      <c r="V32" s="62">
        <f>IF(NOT((COUNTA($B32:$D32)+COUNTA($G32:$H32)+COUNTA($Q32))&gt;0),"",IF($B32="Subactividad","Sub","Macro"))</f>
        <v/>
      </c>
      <c r="W32" s="62">
        <f>IF($V32="Macro",COUNTIFS($U$5:$U$1000,ROW(),$V$5:$V$1000,"Sub"),"")</f>
        <v/>
      </c>
      <c r="X32" s="62">
        <f>IF($V32&lt;&gt;"Sub","",IF(AND(ISNUMBER($H32),N($H32)&gt;0),$H32,IFERROR(MAX(0,1-SUMIFS($H$5:$H$1000,$U$5:$U$1000,$U32,$V$5:$V$1000,"Sub"))/(COUNTIFS($U$5:$U$1000,$U32,$V$5:$V$1000,"Sub")-COUNTIFS($U$5:$U$1000,$U32,$V$5:$V$1000,"Sub",$H$5:$H$1000,"&gt;0")),0)))</f>
        <v/>
      </c>
      <c r="Y32" s="62">
        <f>IF($V32="","",IF($V32="Sub",N($X32)*IF(ISNUMBER($G32),1,MIN(1,MAX(0,IFERROR(LOOKUP(2,1/ISNUMBER($I32:$L32),$I32:$L32),0)))),IF(ISNUMBER($G32),1,IFERROR(LOOKUP(2,1/($I32:$L32&lt;&gt;""),$I32:$L32),0))))</f>
        <v/>
      </c>
      <c r="Z32" s="62">
        <f>IF($V32="","",IF(AND(ISNUMBER($G32),$G32&lt;=IF($S32=MesCiclo,InicioCiclo,$S32+MOD(2-WEEKDAY($S32),7))+6),1,IF(ISNUMBER($I32),$I32,0)))</f>
        <v/>
      </c>
      <c r="AA32" s="62">
        <f>IF($V32="","",IF(AND(ISNUMBER($G32),$G32&lt;=IF($S32=MesCiclo,InicioCiclo,$S32+MOD(2-WEEKDAY($S32),7))+13),1,IF(ISNUMBER($J32),$J32,$Z32)))</f>
        <v/>
      </c>
      <c r="AB32" s="62">
        <f>IF($V32="","",IF(AND(ISNUMBER($G32),$G32&lt;=IF($S32=MesCiclo,InicioCiclo,$S32+MOD(2-WEEKDAY($S32),7))+20),1,IF(ISNUMBER($K32),$K32,$AA32)))</f>
        <v/>
      </c>
      <c r="AC32" s="62">
        <f>IF($V32="","",IF(AND(ISNUMBER($G32),$G32&lt;=IF($S32=MesCiclo,InicioCiclo,$S32+MOD(2-WEEKDAY($S32),7))+27),1,IF(ISNUMBER($L32),$L32,$AB32)))</f>
        <v/>
      </c>
      <c r="AD32" s="62">
        <f>IF($V32&lt;&gt;"Sub","",N($X32)*IF(AND(ISNUMBER($G32),$G32&lt;=IF($S32=MesCiclo,InicioCiclo,$S32+MOD(2-WEEKDAY($S32),7))+6),1,MIN(1,MAX(0,IF(ISNUMBER(OFFSET($A$1,ROW()-1,8)),OFFSET($A$1,ROW()-1,8),0)))))</f>
        <v/>
      </c>
      <c r="AE32" s="62">
        <f>IF($V32&lt;&gt;"Sub","",N($X32)*IF(AND(ISNUMBER($G32),$G32&lt;=IF($S32=MesCiclo,InicioCiclo,$S32+MOD(2-WEEKDAY($S32),7))+13),1,MIN(1,MAX(0,IF(ISNUMBER(OFFSET($A$1,ROW()-1,9)),OFFSET($A$1,ROW()-1,9),IF(ISNUMBER(OFFSET($A$1,ROW()-1,8)),OFFSET($A$1,ROW()-1,8),0))))))</f>
        <v/>
      </c>
      <c r="AF32" s="62">
        <f>IF($V32&lt;&gt;"Sub","",N($X32)*IF(AND(ISNUMBER($G32),$G32&lt;=IF($S32=MesCiclo,InicioCiclo,$S32+MOD(2-WEEKDAY($S32),7))+20),1,MIN(1,MAX(0,IF(ISNUMBER(OFFSET($A$1,ROW()-1,10)),OFFSET($A$1,ROW()-1,10),IF(ISNUMBER(OFFSET($A$1,ROW()-1,9)),OFFSET($A$1,ROW()-1,9),IF(ISNUMBER(OFFSET($A$1,ROW()-1,8)),OFFSET($A$1,ROW()-1,8),0)))))))</f>
        <v/>
      </c>
      <c r="AG32" s="62">
        <f>IF($V32&lt;&gt;"Sub","",N($X32)*IF(AND(ISNUMBER($G32),$G32&lt;=IF($S32=MesCiclo,InicioCiclo,$S32+MOD(2-WEEKDAY($S32),7))+27),1,MIN(1,MAX(0,IF(ISNUMBER(OFFSET($A$1,ROW()-1,11)),OFFSET($A$1,ROW()-1,11),IF(ISNUMBER(OFFSET($A$1,ROW()-1,10)),OFFSET($A$1,ROW()-1,10),IF(ISNUMBER(OFFSET($A$1,ROW()-1,9)),OFFSET($A$1,ROW()-1,9),IF(ISNUMBER(OFFSET($A$1,ROW()-1,8)),OFFSET($A$1,ROW()-1,8),0))))))))</f>
        <v/>
      </c>
      <c r="AH32" s="62">
        <f>IF($V32="","",IF(AND(ISNUMBER($G32),$G32&lt;=IF($S32=MesCiclo,InicioCiclo,$S32+MOD(2-WEEKDAY($S32),7))+6),1,IF(N($W32)&gt;0,MIN(1,SUMIFS($AD$5:$AD$1000,$U$5:$U$1000,ROW(),$V$5:$V$1000,"Sub")),$Z32)))</f>
        <v/>
      </c>
      <c r="AI32" s="62">
        <f>IF($V32="","",IF(AND(ISNUMBER($G32),$G32&lt;=IF($S32=MesCiclo,InicioCiclo,$S32+MOD(2-WEEKDAY($S32),7))+13),1,IF(N($W32)&gt;0,MIN(1,SUMIFS($AE$5:$AE$1000,$U$5:$U$1000,ROW(),$V$5:$V$1000,"Sub")),$AA32)))</f>
        <v/>
      </c>
      <c r="AJ32" s="62">
        <f>IF($V32="","",IF(AND(ISNUMBER($G32),$G32&lt;=IF($S32=MesCiclo,InicioCiclo,$S32+MOD(2-WEEKDAY($S32),7))+20),1,IF(N($W32)&gt;0,MIN(1,SUMIFS($AF$5:$AF$1000,$U$5:$U$1000,ROW(),$V$5:$V$1000,"Sub")),$AB32)))</f>
        <v/>
      </c>
      <c r="AK32" s="62">
        <f>IF($V32="","",IF(AND(ISNUMBER($G32),$G32&lt;=IF($S32=MesCiclo,InicioCiclo,$S32+MOD(2-WEEKDAY($S32),7))+27),1,IF(N($W32)&gt;0,MIN(1,SUMIFS($AG$5:$AG$1000,$U$5:$U$1000,ROW(),$V$5:$V$1000,"Sub")),$AC32)))</f>
        <v/>
      </c>
      <c r="AL32" s="62">
        <f>IF($V32&lt;&gt;"Macro","",IF(COUNTIFS($S$5:$S$1000,$S32,$V$5:$V$1000,"Macro",$H$5:$H$1000,"&gt;0")=0,1/COUNTIFS($S$5:$S$1000,$S32,$V$5:$V$1000,"Macro"),IF(AND(ISNUMBER($H32),N($H32)&gt;0),$H32,SUMIFS($H$5:$H$1000,$S$5:$S$1000,$S32,$V$5:$V$1000,"Macro")/COUNTIFS($S$5:$S$1000,$S32,$V$5:$V$1000,"Macro",$H$5:$H$1000,"&gt;0"))/(COUNTIFS($S$5:$S$1000,$S32,$V$5:$V$1000,"Macro")*SUMIFS($H$5:$H$1000,$S$5:$S$1000,$S32,$V$5:$V$1000,"Macro")/COUNTIFS($S$5:$S$1000,$S32,$V$5:$V$1000,"Macro",$H$5:$H$1000,"&gt;0"))))</f>
        <v/>
      </c>
      <c r="AM32" s="62" t="n"/>
      <c r="AN32" s="62" t="n"/>
      <c r="AO32" s="62" t="n"/>
      <c r="AP32" s="62" t="n"/>
      <c r="AQ32" s="62">
        <f>IF(LEFT($C32,11)="[Jefatura] ",IFERROR(MATCH("Asistente Técnico de Riesgo|"&amp;MID($C32,12,500),rDname_ADM,0),0),"")</f>
        <v/>
      </c>
      <c r="AR32" s="62">
        <f>IF(N($AQ32)&gt;0,INDEX(rIni_ADM,$AQ32),IF(ISNUMBER($E32),$E32,""))</f>
        <v/>
      </c>
      <c r="AS32" s="62">
        <f>IF(N($AQ32)&gt;0,INDEX(rLim_ADM,$AQ32),IF(ISNUMBER($F32),$F32,""))</f>
        <v/>
      </c>
    </row>
    <row r="33">
      <c r="A33" s="56">
        <f>IF(NOT((COUNTA($B33:$D33)+COUNTA($G33:$H33)+COUNTA($Q33))&gt;0),"",IF($V33="Macro",COUNTIFS($V$5:$V33,"Macro",$S$5:$S33,$S33),IF(N($U33)=0,"?",COUNTIFS(INDEX($V$5:$V$1000,1):INDEX($V$5:$V$1000,$U33-4),"Macro",INDEX($S$5:$S$1000,1):INDEX($S$5:$S$1000,$U33-4),INDEX($S$5:$S$1000,$U33-4))&amp;"."&amp;COUNTIFS($U$5:$U33,$U33,$V$5:$V33,"Sub"))))</f>
        <v/>
      </c>
      <c r="B33" s="57" t="n"/>
      <c r="C33" s="58" t="n"/>
      <c r="D33" s="58" t="n"/>
      <c r="E33" s="59">
        <f>IF(N($AQ33)&gt;0,INDEX(rIni_ADM,$AQ33),"")</f>
        <v/>
      </c>
      <c r="F33" s="59">
        <f>IF(N($AQ33)&gt;0,INDEX(rLim_ADM,$AQ33),"")</f>
        <v/>
      </c>
      <c r="G33" s="59" t="n"/>
      <c r="H33" s="60" t="n"/>
      <c r="I33" s="60">
        <f>IF(N($W33)=0,"",IF(AND($S33=MesCiclo,1&gt;SemanaActual),"",MIN(1,SUMIFS(OFFSET($A$1,ROW(),29,1000-ROW(),1),OFFSET($A$1,ROW(),20,1000-ROW(),1),ROW(),OFFSET($A$1,ROW(),21,1000-ROW(),1),"Sub"))))</f>
        <v/>
      </c>
      <c r="J33" s="60">
        <f>IF(N($W33)=0,"",IF(AND($S33=MesCiclo,2&gt;SemanaActual),"",MIN(1,SUMIFS(OFFSET($A$1,ROW(),30,1000-ROW(),1),OFFSET($A$1,ROW(),20,1000-ROW(),1),ROW(),OFFSET($A$1,ROW(),21,1000-ROW(),1),"Sub"))))</f>
        <v/>
      </c>
      <c r="K33" s="60">
        <f>IF(N($W33)=0,"",IF(AND($S33=MesCiclo,3&gt;SemanaActual),"",MIN(1,SUMIFS(OFFSET($A$1,ROW(),31,1000-ROW(),1),OFFSET($A$1,ROW(),20,1000-ROW(),1),ROW(),OFFSET($A$1,ROW(),21,1000-ROW(),1),"Sub"))))</f>
        <v/>
      </c>
      <c r="L33" s="60">
        <f>IF(N($W33)=0,"",IF(AND($S33=MesCiclo,4&gt;SemanaActual),"",MIN(1,SUMIFS(OFFSET($A$1,ROW(),32,1000-ROW(),1),OFFSET($A$1,ROW(),20,1000-ROW(),1),ROW(),OFFSET($A$1,ROW(),21,1000-ROW(),1),"Sub"))))</f>
        <v/>
      </c>
      <c r="M33" s="61">
        <f>IF(OR(NOT((COUNTA($B33:$D33)+COUNTA($G33:$H33)+COUNTA($Q33))&gt;0),$V33="Sub"),"",IF(ISNUMBER($G33),1,IF(N($W33)&gt;0,MIN(1,SUMIFS($Y$5:$Y$1000,$U$5:$U$1000,ROW(),$V$5:$V$1000,"Sub")),$Y33)))</f>
        <v/>
      </c>
      <c r="N33" s="56">
        <f>IF(OR($M33="",$V33="Sub"),"",IF($M33&gt;=1,"Completado",IF($M33&gt;0,"En curso","Pendiente")))</f>
        <v/>
      </c>
      <c r="O33" s="56">
        <f>IF(OR(NOT((COUNTA($B33:$D33)+COUNTA($G33:$H33)+COUNTA($Q33))&gt;0),$V33="Sub"),"",IF(ISNUMBER($G33),IF(AND(ISNUMBER($AS33),$G33&gt;$AS33),"Cumplida con "&amp;($G33-$AS33)&amp;IF($G33-$AS33=1," día"," días")&amp;" de retraso","Cumplida"),IF(N($M33)&gt;=1,"Cumplida",IF(NOT(ISNUMBER($AS33)),"Sin fecha límite",IF($AS33&lt;FechaRef,"Vencida hace "&amp;(FechaRef-$AS33)&amp;IF(FechaRef-$AS33=1," día"," días"),IF($AS33=FechaRef,"Vence hoy",IF($AS33-FechaRef&lt;=DiasAlerta,"Vence en "&amp;($AS33-FechaRef)&amp;IF($AS33-FechaRef=1," día"," días"),"En plazo")))))))</f>
        <v/>
      </c>
      <c r="P33" s="62" t="n"/>
      <c r="Q33" s="58" t="n"/>
      <c r="R33" s="63">
        <f>IF(NOT((COUNTA($B33:$D33)+COUNTA($G33:$H33)+COUNTA($Q33))&gt;0),"",IF((IF($C33="","Falta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 OK","⚠ "&amp;LEFT(IF($C33="","Falta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",""),LEN(IF($C33="","Falta el nombre de la actividad"&amp;" · ","")&amp;IF(AND($V33="Sub",N($U33)=0),"Subactividad sin macroactividad arriba"&amp;" · ","")&amp;IF(AND($V33="Macro",$AR33=""),"Sin fecha de inicio"&amp;" · ","")&amp;IF(AND($V33="Macro",$AS33=""),"Sin fecha límite"&amp;" · ","")&amp;IF(AND(LEFT($C33,11)="[Jefatura] ",N($AQ33)=0),"No se encuentra en la hoja de la jefatura (elíjala de nuevo en la lista)"&amp;" · ","")&amp;IF(OR(AND($E33&lt;&gt;"",NOT(ISNUMBER($E33))),AND($F33&lt;&gt;"",NOT(ISNUMBER($F33))),AND($G33&lt;&gt;"",NOT(ISNUMBER($G33)))),"Fecha no válida"&amp;" · ","")&amp;IF(AND(ISNUMBER($AR33),ISNUMBER($AS33),$AR33&gt;$AS33),"Inicio posterior a fecha límite"&amp;" · ","")&amp;IF(AND($V33="Macro",$H33&lt;&gt;"",OR(NOT(ISNUMBER($H33)),$H33&lt;0,$H33&gt;1)),"Peso fuera de rango"&amp;" · ","")&amp;IF(AND($V33="Sub",$H33&lt;&gt;"",OR(NOT(ISNUMBER($H33)),$H33&lt;0,$H33&gt;1)),"% de la subactividad fuera de rango 0-100%"&amp;" · ","")&amp;IF(AND(N($W33)&gt;0,SUMIFS($H$5:$H$1000,$U$5:$U$1000,ROW(),$V$5:$V$1000,"Sub")&gt;1.0001),"Las subactividades suman más de 100%"&amp;" · ","")&amp;IF(AND(N($W33)&gt;0,OR(IF(ISNUMBER($I33),ROUND($I33,6)&lt;&gt;ROUND(MIN(1,SUMIFS($AD$5:$AD$1000,$U$5:$U$1000,ROW(),$V$5:$V$1000,"Sub")),6),FALSE),IF(ISNUMBER($J33),ROUND($J33,6)&lt;&gt;ROUND(MIN(1,SUMIFS($AE$5:$AE$1000,$U$5:$U$1000,ROW(),$V$5:$V$1000,"Sub")),6),FALSE),IF(ISNUMBER($K33),ROUND($K33,6)&lt;&gt;ROUND(MIN(1,SUMIFS($AF$5:$AF$1000,$U$5:$U$1000,ROW(),$V$5:$V$1000,"Sub")),6),FALSE),IF(ISNUMBER($L33),ROUND($L33,6)&lt;&gt;ROUND(MIN(1,SUMIFS($AG$5:$AG$1000,$U$5:$U$1000,ROW(),$V$5:$V$1000,"Sub")),6),FALSE))),"Con subactividades: no escriba en las semanas (se llenan solas)"&amp;" · ","")&amp;IF((COUNTIF($I33:$L33,"&gt;1")+COUNTIF($I33:$L33,"&lt;0")+SUMPRODUCT((LEN($I33:$L33)&gt;0)*NOT(ISNUMBER($I33:$L33))))&gt;0,"Avance fuera de rango 0-100%"&amp;" · ","")&amp;IF(OR(AND(ISNUMBER($J33),$J33&lt;N($I33)),AND(ISNUMBER($K33),$K33&lt;MAX($I33:$J33)),AND(ISNUMBER($L33),$L33&lt;MAX($I33:$K33))),"Avance semanal decreciente"&amp;" · ","")&amp;IF(AND(ISNUMBER($AS33),$AS33&lt;FechaRef,IF($V33="Sub",1,N($M33))&lt;1),"Vencida"&amp;" · ","")&amp;IF(AND(ObsObligatoria="Sí",ISNUMBER($AS33),$AS33&lt;FechaRef,IF($V33="Sub",1,N($M33))&lt;1,$Q33=""),"Vencida sin observación"&amp;" · ",""))-3)))</f>
        <v/>
      </c>
      <c r="S33" s="64">
        <f>IF(NOT((COUNTA($B33:$D33)+COUNTA($G33:$H33)+COUNTA($Q33))&gt;0),"",IF(AND($V33="Sub",N($U33)&gt;0),IF(ISNUMBER(INDEX($AR$5:$AR$1000,$U33-4)),DATE(YEAR(INDEX($AR$5:$AR$1000,$U33-4)),MONTH(INDEX($AR$5:$AR$1000,$U33-4)),1),IF(ISNUMBER(INDEX($AS$5:$AS$1000,$U33-4)),DATE(YEAR(INDEX($AS$5:$AS$1000,$U33-4)),MONTH(INDEX($AS$5:$AS$1000,$U33-4)),1),MesCiclo)),IF(ISNUMBER($AR33),DATE(YEAR($AR33),MONTH($AR33),1),IF(ISNUMBER($AS33),DATE(YEAR($AS33),MONTH($AS33),1),MesCiclo))))</f>
        <v/>
      </c>
      <c r="T33" s="62">
        <f>IF(OR($S33="",$S33&lt;&gt;MesCiclo,$V33&lt;&gt;"Macro"),"",COUNTIFS($S$5:$S33,MesCiclo,$V$5:$V33,"Macro"))</f>
        <v/>
      </c>
      <c r="U33" s="62">
        <f>IF($V33="","",IF($V33="Macro",ROW(),IFERROR(LOOKUP(2,1/($V$5:$V33="Macro"),ROW($V$5:$V33)),0)))</f>
        <v/>
      </c>
      <c r="V33" s="62">
        <f>IF(NOT((COUNTA($B33:$D33)+COUNTA($G33:$H33)+COUNTA($Q33))&gt;0),"",IF($B33="Subactividad","Sub","Macro"))</f>
        <v/>
      </c>
      <c r="W33" s="62">
        <f>IF($V33="Macro",COUNTIFS($U$5:$U$1000,ROW(),$V$5:$V$1000,"Sub"),"")</f>
        <v/>
      </c>
      <c r="X33" s="62">
        <f>IF($V33&lt;&gt;"Sub","",IF(AND(ISNUMBER($H33),N($H33)&gt;0),$H33,IFERROR(MAX(0,1-SUMIFS($H$5:$H$1000,$U$5:$U$1000,$U33,$V$5:$V$1000,"Sub"))/(COUNTIFS($U$5:$U$1000,$U33,$V$5:$V$1000,"Sub")-COUNTIFS($U$5:$U$1000,$U33,$V$5:$V$1000,"Sub",$H$5:$H$1000,"&gt;0")),0)))</f>
        <v/>
      </c>
      <c r="Y33" s="62">
        <f>IF($V33="","",IF($V33="Sub",N($X33)*IF(ISNUMBER($G33),1,MIN(1,MAX(0,IFERROR(LOOKUP(2,1/ISNUMBER($I33:$L33),$I33:$L33),0)))),IF(ISNUMBER($G33),1,IFERROR(LOOKUP(2,1/($I33:$L33&lt;&gt;""),$I33:$L33),0))))</f>
        <v/>
      </c>
      <c r="Z33" s="62">
        <f>IF($V33="","",IF(AND(ISNUMBER($G33),$G33&lt;=IF($S33=MesCiclo,InicioCiclo,$S33+MOD(2-WEEKDAY($S33),7))+6),1,IF(ISNUMBER($I33),$I33,0)))</f>
        <v/>
      </c>
      <c r="AA33" s="62">
        <f>IF($V33="","",IF(AND(ISNUMBER($G33),$G33&lt;=IF($S33=MesCiclo,InicioCiclo,$S33+MOD(2-WEEKDAY($S33),7))+13),1,IF(ISNUMBER($J33),$J33,$Z33)))</f>
        <v/>
      </c>
      <c r="AB33" s="62">
        <f>IF($V33="","",IF(AND(ISNUMBER($G33),$G33&lt;=IF($S33=MesCiclo,InicioCiclo,$S33+MOD(2-WEEKDAY($S33),7))+20),1,IF(ISNUMBER($K33),$K33,$AA33)))</f>
        <v/>
      </c>
      <c r="AC33" s="62">
        <f>IF($V33="","",IF(AND(ISNUMBER($G33),$G33&lt;=IF($S33=MesCiclo,InicioCiclo,$S33+MOD(2-WEEKDAY($S33),7))+27),1,IF(ISNUMBER($L33),$L33,$AB33)))</f>
        <v/>
      </c>
      <c r="AD33" s="62">
        <f>IF($V33&lt;&gt;"Sub","",N($X33)*IF(AND(ISNUMBER($G33),$G33&lt;=IF($S33=MesCiclo,InicioCiclo,$S33+MOD(2-WEEKDAY($S33),7))+6),1,MIN(1,MAX(0,IF(ISNUMBER(OFFSET($A$1,ROW()-1,8)),OFFSET($A$1,ROW()-1,8),0)))))</f>
        <v/>
      </c>
      <c r="AE33" s="62">
        <f>IF($V33&lt;&gt;"Sub","",N($X33)*IF(AND(ISNUMBER($G33),$G33&lt;=IF($S33=MesCiclo,InicioCiclo,$S33+MOD(2-WEEKDAY($S33),7))+13),1,MIN(1,MAX(0,IF(ISNUMBER(OFFSET($A$1,ROW()-1,9)),OFFSET($A$1,ROW()-1,9),IF(ISNUMBER(OFFSET($A$1,ROW()-1,8)),OFFSET($A$1,ROW()-1,8),0))))))</f>
        <v/>
      </c>
      <c r="AF33" s="62">
        <f>IF($V33&lt;&gt;"Sub","",N($X33)*IF(AND(ISNUMBER($G33),$G33&lt;=IF($S33=MesCiclo,InicioCiclo,$S33+MOD(2-WEEKDAY($S33),7))+20),1,MIN(1,MAX(0,IF(ISNUMBER(OFFSET($A$1,ROW()-1,10)),OFFSET($A$1,ROW()-1,10),IF(ISNUMBER(OFFSET($A$1,ROW()-1,9)),OFFSET($A$1,ROW()-1,9),IF(ISNUMBER(OFFSET($A$1,ROW()-1,8)),OFFSET($A$1,ROW()-1,8),0)))))))</f>
        <v/>
      </c>
      <c r="AG33" s="62">
        <f>IF($V33&lt;&gt;"Sub","",N($X33)*IF(AND(ISNUMBER($G33),$G33&lt;=IF($S33=MesCiclo,InicioCiclo,$S33+MOD(2-WEEKDAY($S33),7))+27),1,MIN(1,MAX(0,IF(ISNUMBER(OFFSET($A$1,ROW()-1,11)),OFFSET($A$1,ROW()-1,11),IF(ISNUMBER(OFFSET($A$1,ROW()-1,10)),OFFSET($A$1,ROW()-1,10),IF(ISNUMBER(OFFSET($A$1,ROW()-1,9)),OFFSET($A$1,ROW()-1,9),IF(ISNUMBER(OFFSET($A$1,ROW()-1,8)),OFFSET($A$1,ROW()-1,8),0))))))))</f>
        <v/>
      </c>
      <c r="AH33" s="62">
        <f>IF($V33="","",IF(AND(ISNUMBER($G33),$G33&lt;=IF($S33=MesCiclo,InicioCiclo,$S33+MOD(2-WEEKDAY($S33),7))+6),1,IF(N($W33)&gt;0,MIN(1,SUMIFS($AD$5:$AD$1000,$U$5:$U$1000,ROW(),$V$5:$V$1000,"Sub")),$Z33)))</f>
        <v/>
      </c>
      <c r="AI33" s="62">
        <f>IF($V33="","",IF(AND(ISNUMBER($G33),$G33&lt;=IF($S33=MesCiclo,InicioCiclo,$S33+MOD(2-WEEKDAY($S33),7))+13),1,IF(N($W33)&gt;0,MIN(1,SUMIFS($AE$5:$AE$1000,$U$5:$U$1000,ROW(),$V$5:$V$1000,"Sub")),$AA33)))</f>
        <v/>
      </c>
      <c r="AJ33" s="62">
        <f>IF($V33="","",IF(AND(ISNUMBER($G33),$G33&lt;=IF($S33=MesCiclo,InicioCiclo,$S33+MOD(2-WEEKDAY($S33),7))+20),1,IF(N($W33)&gt;0,MIN(1,SUMIFS($AF$5:$AF$1000,$U$5:$U$1000,ROW(),$V$5:$V$1000,"Sub")),$AB33)))</f>
        <v/>
      </c>
      <c r="AK33" s="62">
        <f>IF($V33="","",IF(AND(ISNUMBER($G33),$G33&lt;=IF($S33=MesCiclo,InicioCiclo,$S33+MOD(2-WEEKDAY($S33),7))+27),1,IF(N($W33)&gt;0,MIN(1,SUMIFS($AG$5:$AG$1000,$U$5:$U$1000,ROW(),$V$5:$V$1000,"Sub")),$AC33)))</f>
        <v/>
      </c>
      <c r="AL33" s="62">
        <f>IF($V33&lt;&gt;"Macro","",IF(COUNTIFS($S$5:$S$1000,$S33,$V$5:$V$1000,"Macro",$H$5:$H$1000,"&gt;0")=0,1/COUNTIFS($S$5:$S$1000,$S33,$V$5:$V$1000,"Macro"),IF(AND(ISNUMBER($H33),N($H33)&gt;0),$H33,SUMIFS($H$5:$H$1000,$S$5:$S$1000,$S33,$V$5:$V$1000,"Macro")/COUNTIFS($S$5:$S$1000,$S33,$V$5:$V$1000,"Macro",$H$5:$H$1000,"&gt;0"))/(COUNTIFS($S$5:$S$1000,$S33,$V$5:$V$1000,"Macro")*SUMIFS($H$5:$H$1000,$S$5:$S$1000,$S33,$V$5:$V$1000,"Macro")/COUNTIFS($S$5:$S$1000,$S33,$V$5:$V$1000,"Macro",$H$5:$H$1000,"&gt;0"))))</f>
        <v/>
      </c>
      <c r="AM33" s="62" t="n"/>
      <c r="AN33" s="62" t="n"/>
      <c r="AO33" s="62" t="n"/>
      <c r="AP33" s="62" t="n"/>
      <c r="AQ33" s="62">
        <f>IF(LEFT($C33,11)="[Jefatura] ",IFERROR(MATCH("Asistente Técnico de Riesgo|"&amp;MID($C33,12,500),rDname_ADM,0),0),"")</f>
        <v/>
      </c>
      <c r="AR33" s="62">
        <f>IF(N($AQ33)&gt;0,INDEX(rIni_ADM,$AQ33),IF(ISNUMBER($E33),$E33,""))</f>
        <v/>
      </c>
      <c r="AS33" s="62">
        <f>IF(N($AQ33)&gt;0,INDEX(rLim_ADM,$AQ33),IF(ISNUMBER($F33),$F33,""))</f>
        <v/>
      </c>
    </row>
    <row r="34">
      <c r="A34" s="56">
        <f>IF(NOT((COUNTA($B34:$D34)+COUNTA($G34:$H34)+COUNTA($Q34))&gt;0),"",IF($V34="Macro",COUNTIFS($V$5:$V34,"Macro",$S$5:$S34,$S34),IF(N($U34)=0,"?",COUNTIFS(INDEX($V$5:$V$1000,1):INDEX($V$5:$V$1000,$U34-4),"Macro",INDEX($S$5:$S$1000,1):INDEX($S$5:$S$1000,$U34-4),INDEX($S$5:$S$1000,$U34-4))&amp;"."&amp;COUNTIFS($U$5:$U34,$U34,$V$5:$V34,"Sub"))))</f>
        <v/>
      </c>
      <c r="B34" s="57" t="n"/>
      <c r="C34" s="58" t="n"/>
      <c r="D34" s="58" t="n"/>
      <c r="E34" s="59">
        <f>IF(N($AQ34)&gt;0,INDEX(rIni_ADM,$AQ34),"")</f>
        <v/>
      </c>
      <c r="F34" s="59">
        <f>IF(N($AQ34)&gt;0,INDEX(rLim_ADM,$AQ34),"")</f>
        <v/>
      </c>
      <c r="G34" s="59" t="n"/>
      <c r="H34" s="60" t="n"/>
      <c r="I34" s="60">
        <f>IF(N($W34)=0,"",IF(AND($S34=MesCiclo,1&gt;SemanaActual),"",MIN(1,SUMIFS(OFFSET($A$1,ROW(),29,1000-ROW(),1),OFFSET($A$1,ROW(),20,1000-ROW(),1),ROW(),OFFSET($A$1,ROW(),21,1000-ROW(),1),"Sub"))))</f>
        <v/>
      </c>
      <c r="J34" s="60">
        <f>IF(N($W34)=0,"",IF(AND($S34=MesCiclo,2&gt;SemanaActual),"",MIN(1,SUMIFS(OFFSET($A$1,ROW(),30,1000-ROW(),1),OFFSET($A$1,ROW(),20,1000-ROW(),1),ROW(),OFFSET($A$1,ROW(),21,1000-ROW(),1),"Sub"))))</f>
        <v/>
      </c>
      <c r="K34" s="60">
        <f>IF(N($W34)=0,"",IF(AND($S34=MesCiclo,3&gt;SemanaActual),"",MIN(1,SUMIFS(OFFSET($A$1,ROW(),31,1000-ROW(),1),OFFSET($A$1,ROW(),20,1000-ROW(),1),ROW(),OFFSET($A$1,ROW(),21,1000-ROW(),1),"Sub"))))</f>
        <v/>
      </c>
      <c r="L34" s="60">
        <f>IF(N($W34)=0,"",IF(AND($S34=MesCiclo,4&gt;SemanaActual),"",MIN(1,SUMIFS(OFFSET($A$1,ROW(),32,1000-ROW(),1),OFFSET($A$1,ROW(),20,1000-ROW(),1),ROW(),OFFSET($A$1,ROW(),21,1000-ROW(),1),"Sub"))))</f>
        <v/>
      </c>
      <c r="M34" s="61">
        <f>IF(OR(NOT((COUNTA($B34:$D34)+COUNTA($G34:$H34)+COUNTA($Q34))&gt;0),$V34="Sub"),"",IF(ISNUMBER($G34),1,IF(N($W34)&gt;0,MIN(1,SUMIFS($Y$5:$Y$1000,$U$5:$U$1000,ROW(),$V$5:$V$1000,"Sub")),$Y34)))</f>
        <v/>
      </c>
      <c r="N34" s="56">
        <f>IF(OR($M34="",$V34="Sub"),"",IF($M34&gt;=1,"Completado",IF($M34&gt;0,"En curso","Pendiente")))</f>
        <v/>
      </c>
      <c r="O34" s="56">
        <f>IF(OR(NOT((COUNTA($B34:$D34)+COUNTA($G34:$H34)+COUNTA($Q34))&gt;0),$V34="Sub"),"",IF(ISNUMBER($G34),IF(AND(ISNUMBER($AS34),$G34&gt;$AS34),"Cumplida con "&amp;($G34-$AS34)&amp;IF($G34-$AS34=1," día"," días")&amp;" de retraso","Cumplida"),IF(N($M34)&gt;=1,"Cumplida",IF(NOT(ISNUMBER($AS34)),"Sin fecha límite",IF($AS34&lt;FechaRef,"Vencida hace "&amp;(FechaRef-$AS34)&amp;IF(FechaRef-$AS34=1," día"," días"),IF($AS34=FechaRef,"Vence hoy",IF($AS34-FechaRef&lt;=DiasAlerta,"Vence en "&amp;($AS34-FechaRef)&amp;IF($AS34-FechaRef=1," día"," días"),"En plazo")))))))</f>
        <v/>
      </c>
      <c r="P34" s="62" t="n"/>
      <c r="Q34" s="58" t="n"/>
      <c r="R34" s="63">
        <f>IF(NOT((COUNTA($B34:$D34)+COUNTA($G34:$H34)+COUNTA($Q34))&gt;0),"",IF((IF($C34="","Falta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 OK","⚠ "&amp;LEFT(IF($C34="","Falta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",""),LEN(IF($C34="","Falta el nombre de la actividad"&amp;" · ","")&amp;IF(AND($V34="Sub",N($U34)=0),"Subactividad sin macroactividad arriba"&amp;" · ","")&amp;IF(AND($V34="Macro",$AR34=""),"Sin fecha de inicio"&amp;" · ","")&amp;IF(AND($V34="Macro",$AS34=""),"Sin fecha límite"&amp;" · ","")&amp;IF(AND(LEFT($C34,11)="[Jefatura] ",N($AQ34)=0),"No se encuentra en la hoja de la jefatura (elíjala de nuevo en la lista)"&amp;" · ","")&amp;IF(OR(AND($E34&lt;&gt;"",NOT(ISNUMBER($E34))),AND($F34&lt;&gt;"",NOT(ISNUMBER($F34))),AND($G34&lt;&gt;"",NOT(ISNUMBER($G34)))),"Fecha no válida"&amp;" · ","")&amp;IF(AND(ISNUMBER($AR34),ISNUMBER($AS34),$AR34&gt;$AS34),"Inicio posterior a fecha límite"&amp;" · ","")&amp;IF(AND($V34="Macro",$H34&lt;&gt;"",OR(NOT(ISNUMBER($H34)),$H34&lt;0,$H34&gt;1)),"Peso fuera de rango"&amp;" · ","")&amp;IF(AND($V34="Sub",$H34&lt;&gt;"",OR(NOT(ISNUMBER($H34)),$H34&lt;0,$H34&gt;1)),"% de la subactividad fuera de rango 0-100%"&amp;" · ","")&amp;IF(AND(N($W34)&gt;0,SUMIFS($H$5:$H$1000,$U$5:$U$1000,ROW(),$V$5:$V$1000,"Sub")&gt;1.0001),"Las subactividades suman más de 100%"&amp;" · ","")&amp;IF(AND(N($W34)&gt;0,OR(IF(ISNUMBER($I34),ROUND($I34,6)&lt;&gt;ROUND(MIN(1,SUMIFS($AD$5:$AD$1000,$U$5:$U$1000,ROW(),$V$5:$V$1000,"Sub")),6),FALSE),IF(ISNUMBER($J34),ROUND($J34,6)&lt;&gt;ROUND(MIN(1,SUMIFS($AE$5:$AE$1000,$U$5:$U$1000,ROW(),$V$5:$V$1000,"Sub")),6),FALSE),IF(ISNUMBER($K34),ROUND($K34,6)&lt;&gt;ROUND(MIN(1,SUMIFS($AF$5:$AF$1000,$U$5:$U$1000,ROW(),$V$5:$V$1000,"Sub")),6),FALSE),IF(ISNUMBER($L34),ROUND($L34,6)&lt;&gt;ROUND(MIN(1,SUMIFS($AG$5:$AG$1000,$U$5:$U$1000,ROW(),$V$5:$V$1000,"Sub")),6),FALSE))),"Con subactividades: no escriba en las semanas (se llenan solas)"&amp;" · ","")&amp;IF((COUNTIF($I34:$L34,"&gt;1")+COUNTIF($I34:$L34,"&lt;0")+SUMPRODUCT((LEN($I34:$L34)&gt;0)*NOT(ISNUMBER($I34:$L34))))&gt;0,"Avance fuera de rango 0-100%"&amp;" · ","")&amp;IF(OR(AND(ISNUMBER($J34),$J34&lt;N($I34)),AND(ISNUMBER($K34),$K34&lt;MAX($I34:$J34)),AND(ISNUMBER($L34),$L34&lt;MAX($I34:$K34))),"Avance semanal decreciente"&amp;" · ","")&amp;IF(AND(ISNUMBER($AS34),$AS34&lt;FechaRef,IF($V34="Sub",1,N($M34))&lt;1),"Vencida"&amp;" · ","")&amp;IF(AND(ObsObligatoria="Sí",ISNUMBER($AS34),$AS34&lt;FechaRef,IF($V34="Sub",1,N($M34))&lt;1,$Q34=""),"Vencida sin observación"&amp;" · ",""))-3)))</f>
        <v/>
      </c>
      <c r="S34" s="64">
        <f>IF(NOT((COUNTA($B34:$D34)+COUNTA($G34:$H34)+COUNTA($Q34))&gt;0),"",IF(AND($V34="Sub",N($U34)&gt;0),IF(ISNUMBER(INDEX($AR$5:$AR$1000,$U34-4)),DATE(YEAR(INDEX($AR$5:$AR$1000,$U34-4)),MONTH(INDEX($AR$5:$AR$1000,$U34-4)),1),IF(ISNUMBER(INDEX($AS$5:$AS$1000,$U34-4)),DATE(YEAR(INDEX($AS$5:$AS$1000,$U34-4)),MONTH(INDEX($AS$5:$AS$1000,$U34-4)),1),MesCiclo)),IF(ISNUMBER($AR34),DATE(YEAR($AR34),MONTH($AR34),1),IF(ISNUMBER($AS34),DATE(YEAR($AS34),MONTH($AS34),1),MesCiclo))))</f>
        <v/>
      </c>
      <c r="T34" s="62">
        <f>IF(OR($S34="",$S34&lt;&gt;MesCiclo,$V34&lt;&gt;"Macro"),"",COUNTIFS($S$5:$S34,MesCiclo,$V$5:$V34,"Macro"))</f>
        <v/>
      </c>
      <c r="U34" s="62">
        <f>IF($V34="","",IF($V34="Macro",ROW(),IFERROR(LOOKUP(2,1/($V$5:$V34="Macro"),ROW($V$5:$V34)),0)))</f>
        <v/>
      </c>
      <c r="V34" s="62">
        <f>IF(NOT((COUNTA($B34:$D34)+COUNTA($G34:$H34)+COUNTA($Q34))&gt;0),"",IF($B34="Subactividad","Sub","Macro"))</f>
        <v/>
      </c>
      <c r="W34" s="62">
        <f>IF($V34="Macro",COUNTIFS($U$5:$U$1000,ROW(),$V$5:$V$1000,"Sub"),"")</f>
        <v/>
      </c>
      <c r="X34" s="62">
        <f>IF($V34&lt;&gt;"Sub","",IF(AND(ISNUMBER($H34),N($H34)&gt;0),$H34,IFERROR(MAX(0,1-SUMIFS($H$5:$H$1000,$U$5:$U$1000,$U34,$V$5:$V$1000,"Sub"))/(COUNTIFS($U$5:$U$1000,$U34,$V$5:$V$1000,"Sub")-COUNTIFS($U$5:$U$1000,$U34,$V$5:$V$1000,"Sub",$H$5:$H$1000,"&gt;0")),0)))</f>
        <v/>
      </c>
      <c r="Y34" s="62">
        <f>IF($V34="","",IF($V34="Sub",N($X34)*IF(ISNUMBER($G34),1,MIN(1,MAX(0,IFERROR(LOOKUP(2,1/ISNUMBER($I34:$L34),$I34:$L34),0)))),IF(ISNUMBER($G34),1,IFERROR(LOOKUP(2,1/($I34:$L34&lt;&gt;""),$I34:$L34),0))))</f>
        <v/>
      </c>
      <c r="Z34" s="62">
        <f>IF($V34="","",IF(AND(ISNUMBER($G34),$G34&lt;=IF($S34=MesCiclo,InicioCiclo,$S34+MOD(2-WEEKDAY($S34),7))+6),1,IF(ISNUMBER($I34),$I34,0)))</f>
        <v/>
      </c>
      <c r="AA34" s="62">
        <f>IF($V34="","",IF(AND(ISNUMBER($G34),$G34&lt;=IF($S34=MesCiclo,InicioCiclo,$S34+MOD(2-WEEKDAY($S34),7))+13),1,IF(ISNUMBER($J34),$J34,$Z34)))</f>
        <v/>
      </c>
      <c r="AB34" s="62">
        <f>IF($V34="","",IF(AND(ISNUMBER($G34),$G34&lt;=IF($S34=MesCiclo,InicioCiclo,$S34+MOD(2-WEEKDAY($S34),7))+20),1,IF(ISNUMBER($K34),$K34,$AA34)))</f>
        <v/>
      </c>
      <c r="AC34" s="62">
        <f>IF($V34="","",IF(AND(ISNUMBER($G34),$G34&lt;=IF($S34=MesCiclo,InicioCiclo,$S34+MOD(2-WEEKDAY($S34),7))+27),1,IF(ISNUMBER($L34),$L34,$AB34)))</f>
        <v/>
      </c>
      <c r="AD34" s="62">
        <f>IF($V34&lt;&gt;"Sub","",N($X34)*IF(AND(ISNUMBER($G34),$G34&lt;=IF($S34=MesCiclo,InicioCiclo,$S34+MOD(2-WEEKDAY($S34),7))+6),1,MIN(1,MAX(0,IF(ISNUMBER(OFFSET($A$1,ROW()-1,8)),OFFSET($A$1,ROW()-1,8),0)))))</f>
        <v/>
      </c>
      <c r="AE34" s="62">
        <f>IF($V34&lt;&gt;"Sub","",N($X34)*IF(AND(ISNUMBER($G34),$G34&lt;=IF($S34=MesCiclo,InicioCiclo,$S34+MOD(2-WEEKDAY($S34),7))+13),1,MIN(1,MAX(0,IF(ISNUMBER(OFFSET($A$1,ROW()-1,9)),OFFSET($A$1,ROW()-1,9),IF(ISNUMBER(OFFSET($A$1,ROW()-1,8)),OFFSET($A$1,ROW()-1,8),0))))))</f>
        <v/>
      </c>
      <c r="AF34" s="62">
        <f>IF($V34&lt;&gt;"Sub","",N($X34)*IF(AND(ISNUMBER($G34),$G34&lt;=IF($S34=MesCiclo,InicioCiclo,$S34+MOD(2-WEEKDAY($S34),7))+20),1,MIN(1,MAX(0,IF(ISNUMBER(OFFSET($A$1,ROW()-1,10)),OFFSET($A$1,ROW()-1,10),IF(ISNUMBER(OFFSET($A$1,ROW()-1,9)),OFFSET($A$1,ROW()-1,9),IF(ISNUMBER(OFFSET($A$1,ROW()-1,8)),OFFSET($A$1,ROW()-1,8),0)))))))</f>
        <v/>
      </c>
      <c r="AG34" s="62">
        <f>IF($V34&lt;&gt;"Sub","",N($X34)*IF(AND(ISNUMBER($G34),$G34&lt;=IF($S34=MesCiclo,InicioCiclo,$S34+MOD(2-WEEKDAY($S34),7))+27),1,MIN(1,MAX(0,IF(ISNUMBER(OFFSET($A$1,ROW()-1,11)),OFFSET($A$1,ROW()-1,11),IF(ISNUMBER(OFFSET($A$1,ROW()-1,10)),OFFSET($A$1,ROW()-1,10),IF(ISNUMBER(OFFSET($A$1,ROW()-1,9)),OFFSET($A$1,ROW()-1,9),IF(ISNUMBER(OFFSET($A$1,ROW()-1,8)),OFFSET($A$1,ROW()-1,8),0))))))))</f>
        <v/>
      </c>
      <c r="AH34" s="62">
        <f>IF($V34="","",IF(AND(ISNUMBER($G34),$G34&lt;=IF($S34=MesCiclo,InicioCiclo,$S34+MOD(2-WEEKDAY($S34),7))+6),1,IF(N($W34)&gt;0,MIN(1,SUMIFS($AD$5:$AD$1000,$U$5:$U$1000,ROW(),$V$5:$V$1000,"Sub")),$Z34)))</f>
        <v/>
      </c>
      <c r="AI34" s="62">
        <f>IF($V34="","",IF(AND(ISNUMBER($G34),$G34&lt;=IF($S34=MesCiclo,InicioCiclo,$S34+MOD(2-WEEKDAY($S34),7))+13),1,IF(N($W34)&gt;0,MIN(1,SUMIFS($AE$5:$AE$1000,$U$5:$U$1000,ROW(),$V$5:$V$1000,"Sub")),$AA34)))</f>
        <v/>
      </c>
      <c r="AJ34" s="62">
        <f>IF($V34="","",IF(AND(ISNUMBER($G34),$G34&lt;=IF($S34=MesCiclo,InicioCiclo,$S34+MOD(2-WEEKDAY($S34),7))+20),1,IF(N($W34)&gt;0,MIN(1,SUMIFS($AF$5:$AF$1000,$U$5:$U$1000,ROW(),$V$5:$V$1000,"Sub")),$AB34)))</f>
        <v/>
      </c>
      <c r="AK34" s="62">
        <f>IF($V34="","",IF(AND(ISNUMBER($G34),$G34&lt;=IF($S34=MesCiclo,InicioCiclo,$S34+MOD(2-WEEKDAY($S34),7))+27),1,IF(N($W34)&gt;0,MIN(1,SUMIFS($AG$5:$AG$1000,$U$5:$U$1000,ROW(),$V$5:$V$1000,"Sub")),$AC34)))</f>
        <v/>
      </c>
      <c r="AL34" s="62">
        <f>IF($V34&lt;&gt;"Macro","",IF(COUNTIFS($S$5:$S$1000,$S34,$V$5:$V$1000,"Macro",$H$5:$H$1000,"&gt;0")=0,1/COUNTIFS($S$5:$S$1000,$S34,$V$5:$V$1000,"Macro"),IF(AND(ISNUMBER($H34),N($H34)&gt;0),$H34,SUMIFS($H$5:$H$1000,$S$5:$S$1000,$S34,$V$5:$V$1000,"Macro")/COUNTIFS($S$5:$S$1000,$S34,$V$5:$V$1000,"Macro",$H$5:$H$1000,"&gt;0"))/(COUNTIFS($S$5:$S$1000,$S34,$V$5:$V$1000,"Macro")*SUMIFS($H$5:$H$1000,$S$5:$S$1000,$S34,$V$5:$V$1000,"Macro")/COUNTIFS($S$5:$S$1000,$S34,$V$5:$V$1000,"Macro",$H$5:$H$1000,"&gt;0"))))</f>
        <v/>
      </c>
      <c r="AM34" s="62" t="n"/>
      <c r="AN34" s="62" t="n"/>
      <c r="AO34" s="62" t="n"/>
      <c r="AP34" s="62" t="n"/>
      <c r="AQ34" s="62">
        <f>IF(LEFT($C34,11)="[Jefatura] ",IFERROR(MATCH("Asistente Técnico de Riesgo|"&amp;MID($C34,12,500),rDname_ADM,0),0),"")</f>
        <v/>
      </c>
      <c r="AR34" s="62">
        <f>IF(N($AQ34)&gt;0,INDEX(rIni_ADM,$AQ34),IF(ISNUMBER($E34),$E34,""))</f>
        <v/>
      </c>
      <c r="AS34" s="62">
        <f>IF(N($AQ34)&gt;0,INDEX(rLim_ADM,$AQ34),IF(ISNUMBER($F34),$F34,""))</f>
        <v/>
      </c>
    </row>
    <row r="35">
      <c r="A35" s="56">
        <f>IF(NOT((COUNTA($B35:$D35)+COUNTA($G35:$H35)+COUNTA($Q35))&gt;0),"",IF($V35="Macro",COUNTIFS($V$5:$V35,"Macro",$S$5:$S35,$S35),IF(N($U35)=0,"?",COUNTIFS(INDEX($V$5:$V$1000,1):INDEX($V$5:$V$1000,$U35-4),"Macro",INDEX($S$5:$S$1000,1):INDEX($S$5:$S$1000,$U35-4),INDEX($S$5:$S$1000,$U35-4))&amp;"."&amp;COUNTIFS($U$5:$U35,$U35,$V$5:$V35,"Sub"))))</f>
        <v/>
      </c>
      <c r="B35" s="57" t="n"/>
      <c r="C35" s="58" t="n"/>
      <c r="D35" s="58" t="n"/>
      <c r="E35" s="59">
        <f>IF(N($AQ35)&gt;0,INDEX(rIni_ADM,$AQ35),"")</f>
        <v/>
      </c>
      <c r="F35" s="59">
        <f>IF(N($AQ35)&gt;0,INDEX(rLim_ADM,$AQ35),"")</f>
        <v/>
      </c>
      <c r="G35" s="59" t="n"/>
      <c r="H35" s="60" t="n"/>
      <c r="I35" s="60">
        <f>IF(N($W35)=0,"",IF(AND($S35=MesCiclo,1&gt;SemanaActual),"",MIN(1,SUMIFS(OFFSET($A$1,ROW(),29,1000-ROW(),1),OFFSET($A$1,ROW(),20,1000-ROW(),1),ROW(),OFFSET($A$1,ROW(),21,1000-ROW(),1),"Sub"))))</f>
        <v/>
      </c>
      <c r="J35" s="60">
        <f>IF(N($W35)=0,"",IF(AND($S35=MesCiclo,2&gt;SemanaActual),"",MIN(1,SUMIFS(OFFSET($A$1,ROW(),30,1000-ROW(),1),OFFSET($A$1,ROW(),20,1000-ROW(),1),ROW(),OFFSET($A$1,ROW(),21,1000-ROW(),1),"Sub"))))</f>
        <v/>
      </c>
      <c r="K35" s="60">
        <f>IF(N($W35)=0,"",IF(AND($S35=MesCiclo,3&gt;SemanaActual),"",MIN(1,SUMIFS(OFFSET($A$1,ROW(),31,1000-ROW(),1),OFFSET($A$1,ROW(),20,1000-ROW(),1),ROW(),OFFSET($A$1,ROW(),21,1000-ROW(),1),"Sub"))))</f>
        <v/>
      </c>
      <c r="L35" s="60">
        <f>IF(N($W35)=0,"",IF(AND($S35=MesCiclo,4&gt;SemanaActual),"",MIN(1,SUMIFS(OFFSET($A$1,ROW(),32,1000-ROW(),1),OFFSET($A$1,ROW(),20,1000-ROW(),1),ROW(),OFFSET($A$1,ROW(),21,1000-ROW(),1),"Sub"))))</f>
        <v/>
      </c>
      <c r="M35" s="61">
        <f>IF(OR(NOT((COUNTA($B35:$D35)+COUNTA($G35:$H35)+COUNTA($Q35))&gt;0),$V35="Sub"),"",IF(ISNUMBER($G35),1,IF(N($W35)&gt;0,MIN(1,SUMIFS($Y$5:$Y$1000,$U$5:$U$1000,ROW(),$V$5:$V$1000,"Sub")),$Y35)))</f>
        <v/>
      </c>
      <c r="N35" s="56">
        <f>IF(OR($M35="",$V35="Sub"),"",IF($M35&gt;=1,"Completado",IF($M35&gt;0,"En curso","Pendiente")))</f>
        <v/>
      </c>
      <c r="O35" s="56">
        <f>IF(OR(NOT((COUNTA($B35:$D35)+COUNTA($G35:$H35)+COUNTA($Q35))&gt;0),$V35="Sub"),"",IF(ISNUMBER($G35),IF(AND(ISNUMBER($AS35),$G35&gt;$AS35),"Cumplida con "&amp;($G35-$AS35)&amp;IF($G35-$AS35=1," día"," días")&amp;" de retraso","Cumplida"),IF(N($M35)&gt;=1,"Cumplida",IF(NOT(ISNUMBER($AS35)),"Sin fecha límite",IF($AS35&lt;FechaRef,"Vencida hace "&amp;(FechaRef-$AS35)&amp;IF(FechaRef-$AS35=1," día"," días"),IF($AS35=FechaRef,"Vence hoy",IF($AS35-FechaRef&lt;=DiasAlerta,"Vence en "&amp;($AS35-FechaRef)&amp;IF($AS35-FechaRef=1," día"," días"),"En plazo")))))))</f>
        <v/>
      </c>
      <c r="P35" s="62" t="n"/>
      <c r="Q35" s="58" t="n"/>
      <c r="R35" s="63">
        <f>IF(NOT((COUNTA($B35:$D35)+COUNTA($G35:$H35)+COUNTA($Q35))&gt;0),"",IF((IF($C35="","Falta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 OK","⚠ "&amp;LEFT(IF($C35="","Falta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",""),LEN(IF($C35="","Falta el nombre de la actividad"&amp;" · ","")&amp;IF(AND($V35="Sub",N($U35)=0),"Subactividad sin macroactividad arriba"&amp;" · ","")&amp;IF(AND($V35="Macro",$AR35=""),"Sin fecha de inicio"&amp;" · ","")&amp;IF(AND($V35="Macro",$AS35=""),"Sin fecha límite"&amp;" · ","")&amp;IF(AND(LEFT($C35,11)="[Jefatura] ",N($AQ35)=0),"No se encuentra en la hoja de la jefatura (elíjala de nuevo en la lista)"&amp;" · ","")&amp;IF(OR(AND($E35&lt;&gt;"",NOT(ISNUMBER($E35))),AND($F35&lt;&gt;"",NOT(ISNUMBER($F35))),AND($G35&lt;&gt;"",NOT(ISNUMBER($G35)))),"Fecha no válida"&amp;" · ","")&amp;IF(AND(ISNUMBER($AR35),ISNUMBER($AS35),$AR35&gt;$AS35),"Inicio posterior a fecha límite"&amp;" · ","")&amp;IF(AND($V35="Macro",$H35&lt;&gt;"",OR(NOT(ISNUMBER($H35)),$H35&lt;0,$H35&gt;1)),"Peso fuera de rango"&amp;" · ","")&amp;IF(AND($V35="Sub",$H35&lt;&gt;"",OR(NOT(ISNUMBER($H35)),$H35&lt;0,$H35&gt;1)),"% de la subactividad fuera de rango 0-100%"&amp;" · ","")&amp;IF(AND(N($W35)&gt;0,SUMIFS($H$5:$H$1000,$U$5:$U$1000,ROW(),$V$5:$V$1000,"Sub")&gt;1.0001),"Las subactividades suman más de 100%"&amp;" · ","")&amp;IF(AND(N($W35)&gt;0,OR(IF(ISNUMBER($I35),ROUND($I35,6)&lt;&gt;ROUND(MIN(1,SUMIFS($AD$5:$AD$1000,$U$5:$U$1000,ROW(),$V$5:$V$1000,"Sub")),6),FALSE),IF(ISNUMBER($J35),ROUND($J35,6)&lt;&gt;ROUND(MIN(1,SUMIFS($AE$5:$AE$1000,$U$5:$U$1000,ROW(),$V$5:$V$1000,"Sub")),6),FALSE),IF(ISNUMBER($K35),ROUND($K35,6)&lt;&gt;ROUND(MIN(1,SUMIFS($AF$5:$AF$1000,$U$5:$U$1000,ROW(),$V$5:$V$1000,"Sub")),6),FALSE),IF(ISNUMBER($L35),ROUND($L35,6)&lt;&gt;ROUND(MIN(1,SUMIFS($AG$5:$AG$1000,$U$5:$U$1000,ROW(),$V$5:$V$1000,"Sub")),6),FALSE))),"Con subactividades: no escriba en las semanas (se llenan solas)"&amp;" · ","")&amp;IF((COUNTIF($I35:$L35,"&gt;1")+COUNTIF($I35:$L35,"&lt;0")+SUMPRODUCT((LEN($I35:$L35)&gt;0)*NOT(ISNUMBER($I35:$L35))))&gt;0,"Avance fuera de rango 0-100%"&amp;" · ","")&amp;IF(OR(AND(ISNUMBER($J35),$J35&lt;N($I35)),AND(ISNUMBER($K35),$K35&lt;MAX($I35:$J35)),AND(ISNUMBER($L35),$L35&lt;MAX($I35:$K35))),"Avance semanal decreciente"&amp;" · ","")&amp;IF(AND(ISNUMBER($AS35),$AS35&lt;FechaRef,IF($V35="Sub",1,N($M35))&lt;1),"Vencida"&amp;" · ","")&amp;IF(AND(ObsObligatoria="Sí",ISNUMBER($AS35),$AS35&lt;FechaRef,IF($V35="Sub",1,N($M35))&lt;1,$Q35=""),"Vencida sin observación"&amp;" · ",""))-3)))</f>
        <v/>
      </c>
      <c r="S35" s="64">
        <f>IF(NOT((COUNTA($B35:$D35)+COUNTA($G35:$H35)+COUNTA($Q35))&gt;0),"",IF(AND($V35="Sub",N($U35)&gt;0),IF(ISNUMBER(INDEX($AR$5:$AR$1000,$U35-4)),DATE(YEAR(INDEX($AR$5:$AR$1000,$U35-4)),MONTH(INDEX($AR$5:$AR$1000,$U35-4)),1),IF(ISNUMBER(INDEX($AS$5:$AS$1000,$U35-4)),DATE(YEAR(INDEX($AS$5:$AS$1000,$U35-4)),MONTH(INDEX($AS$5:$AS$1000,$U35-4)),1),MesCiclo)),IF(ISNUMBER($AR35),DATE(YEAR($AR35),MONTH($AR35),1),IF(ISNUMBER($AS35),DATE(YEAR($AS35),MONTH($AS35),1),MesCiclo))))</f>
        <v/>
      </c>
      <c r="T35" s="62">
        <f>IF(OR($S35="",$S35&lt;&gt;MesCiclo,$V35&lt;&gt;"Macro"),"",COUNTIFS($S$5:$S35,MesCiclo,$V$5:$V35,"Macro"))</f>
        <v/>
      </c>
      <c r="U35" s="62">
        <f>IF($V35="","",IF($V35="Macro",ROW(),IFERROR(LOOKUP(2,1/($V$5:$V35="Macro"),ROW($V$5:$V35)),0)))</f>
        <v/>
      </c>
      <c r="V35" s="62">
        <f>IF(NOT((COUNTA($B35:$D35)+COUNTA($G35:$H35)+COUNTA($Q35))&gt;0),"",IF($B35="Subactividad","Sub","Macro"))</f>
        <v/>
      </c>
      <c r="W35" s="62">
        <f>IF($V35="Macro",COUNTIFS($U$5:$U$1000,ROW(),$V$5:$V$1000,"Sub"),"")</f>
        <v/>
      </c>
      <c r="X35" s="62">
        <f>IF($V35&lt;&gt;"Sub","",IF(AND(ISNUMBER($H35),N($H35)&gt;0),$H35,IFERROR(MAX(0,1-SUMIFS($H$5:$H$1000,$U$5:$U$1000,$U35,$V$5:$V$1000,"Sub"))/(COUNTIFS($U$5:$U$1000,$U35,$V$5:$V$1000,"Sub")-COUNTIFS($U$5:$U$1000,$U35,$V$5:$V$1000,"Sub",$H$5:$H$1000,"&gt;0")),0)))</f>
        <v/>
      </c>
      <c r="Y35" s="62">
        <f>IF($V35="","",IF($V35="Sub",N($X35)*IF(ISNUMBER($G35),1,MIN(1,MAX(0,IFERROR(LOOKUP(2,1/ISNUMBER($I35:$L35),$I35:$L35),0)))),IF(ISNUMBER($G35),1,IFERROR(LOOKUP(2,1/($I35:$L35&lt;&gt;""),$I35:$L35),0))))</f>
        <v/>
      </c>
      <c r="Z35" s="62">
        <f>IF($V35="","",IF(AND(ISNUMBER($G35),$G35&lt;=IF($S35=MesCiclo,InicioCiclo,$S35+MOD(2-WEEKDAY($S35),7))+6),1,IF(ISNUMBER($I35),$I35,0)))</f>
        <v/>
      </c>
      <c r="AA35" s="62">
        <f>IF($V35="","",IF(AND(ISNUMBER($G35),$G35&lt;=IF($S35=MesCiclo,InicioCiclo,$S35+MOD(2-WEEKDAY($S35),7))+13),1,IF(ISNUMBER($J35),$J35,$Z35)))</f>
        <v/>
      </c>
      <c r="AB35" s="62">
        <f>IF($V35="","",IF(AND(ISNUMBER($G35),$G35&lt;=IF($S35=MesCiclo,InicioCiclo,$S35+MOD(2-WEEKDAY($S35),7))+20),1,IF(ISNUMBER($K35),$K35,$AA35)))</f>
        <v/>
      </c>
      <c r="AC35" s="62">
        <f>IF($V35="","",IF(AND(ISNUMBER($G35),$G35&lt;=IF($S35=MesCiclo,InicioCiclo,$S35+MOD(2-WEEKDAY($S35),7))+27),1,IF(ISNUMBER($L35),$L35,$AB35)))</f>
        <v/>
      </c>
      <c r="AD35" s="62">
        <f>IF($V35&lt;&gt;"Sub","",N($X35)*IF(AND(ISNUMBER($G35),$G35&lt;=IF($S35=MesCiclo,InicioCiclo,$S35+MOD(2-WEEKDAY($S35),7))+6),1,MIN(1,MAX(0,IF(ISNUMBER(OFFSET($A$1,ROW()-1,8)),OFFSET($A$1,ROW()-1,8),0)))))</f>
        <v/>
      </c>
      <c r="AE35" s="62">
        <f>IF($V35&lt;&gt;"Sub","",N($X35)*IF(AND(ISNUMBER($G35),$G35&lt;=IF($S35=MesCiclo,InicioCiclo,$S35+MOD(2-WEEKDAY($S35),7))+13),1,MIN(1,MAX(0,IF(ISNUMBER(OFFSET($A$1,ROW()-1,9)),OFFSET($A$1,ROW()-1,9),IF(ISNUMBER(OFFSET($A$1,ROW()-1,8)),OFFSET($A$1,ROW()-1,8),0))))))</f>
        <v/>
      </c>
      <c r="AF35" s="62">
        <f>IF($V35&lt;&gt;"Sub","",N($X35)*IF(AND(ISNUMBER($G35),$G35&lt;=IF($S35=MesCiclo,InicioCiclo,$S35+MOD(2-WEEKDAY($S35),7))+20),1,MIN(1,MAX(0,IF(ISNUMBER(OFFSET($A$1,ROW()-1,10)),OFFSET($A$1,ROW()-1,10),IF(ISNUMBER(OFFSET($A$1,ROW()-1,9)),OFFSET($A$1,ROW()-1,9),IF(ISNUMBER(OFFSET($A$1,ROW()-1,8)),OFFSET($A$1,ROW()-1,8),0)))))))</f>
        <v/>
      </c>
      <c r="AG35" s="62">
        <f>IF($V35&lt;&gt;"Sub","",N($X35)*IF(AND(ISNUMBER($G35),$G35&lt;=IF($S35=MesCiclo,InicioCiclo,$S35+MOD(2-WEEKDAY($S35),7))+27),1,MIN(1,MAX(0,IF(ISNUMBER(OFFSET($A$1,ROW()-1,11)),OFFSET($A$1,ROW()-1,11),IF(ISNUMBER(OFFSET($A$1,ROW()-1,10)),OFFSET($A$1,ROW()-1,10),IF(ISNUMBER(OFFSET($A$1,ROW()-1,9)),OFFSET($A$1,ROW()-1,9),IF(ISNUMBER(OFFSET($A$1,ROW()-1,8)),OFFSET($A$1,ROW()-1,8),0))))))))</f>
        <v/>
      </c>
      <c r="AH35" s="62">
        <f>IF($V35="","",IF(AND(ISNUMBER($G35),$G35&lt;=IF($S35=MesCiclo,InicioCiclo,$S35+MOD(2-WEEKDAY($S35),7))+6),1,IF(N($W35)&gt;0,MIN(1,SUMIFS($AD$5:$AD$1000,$U$5:$U$1000,ROW(),$V$5:$V$1000,"Sub")),$Z35)))</f>
        <v/>
      </c>
      <c r="AI35" s="62">
        <f>IF($V35="","",IF(AND(ISNUMBER($G35),$G35&lt;=IF($S35=MesCiclo,InicioCiclo,$S35+MOD(2-WEEKDAY($S35),7))+13),1,IF(N($W35)&gt;0,MIN(1,SUMIFS($AE$5:$AE$1000,$U$5:$U$1000,ROW(),$V$5:$V$1000,"Sub")),$AA35)))</f>
        <v/>
      </c>
      <c r="AJ35" s="62">
        <f>IF($V35="","",IF(AND(ISNUMBER($G35),$G35&lt;=IF($S35=MesCiclo,InicioCiclo,$S35+MOD(2-WEEKDAY($S35),7))+20),1,IF(N($W35)&gt;0,MIN(1,SUMIFS($AF$5:$AF$1000,$U$5:$U$1000,ROW(),$V$5:$V$1000,"Sub")),$AB35)))</f>
        <v/>
      </c>
      <c r="AK35" s="62">
        <f>IF($V35="","",IF(AND(ISNUMBER($G35),$G35&lt;=IF($S35=MesCiclo,InicioCiclo,$S35+MOD(2-WEEKDAY($S35),7))+27),1,IF(N($W35)&gt;0,MIN(1,SUMIFS($AG$5:$AG$1000,$U$5:$U$1000,ROW(),$V$5:$V$1000,"Sub")),$AC35)))</f>
        <v/>
      </c>
      <c r="AL35" s="62">
        <f>IF($V35&lt;&gt;"Macro","",IF(COUNTIFS($S$5:$S$1000,$S35,$V$5:$V$1000,"Macro",$H$5:$H$1000,"&gt;0")=0,1/COUNTIFS($S$5:$S$1000,$S35,$V$5:$V$1000,"Macro"),IF(AND(ISNUMBER($H35),N($H35)&gt;0),$H35,SUMIFS($H$5:$H$1000,$S$5:$S$1000,$S35,$V$5:$V$1000,"Macro")/COUNTIFS($S$5:$S$1000,$S35,$V$5:$V$1000,"Macro",$H$5:$H$1000,"&gt;0"))/(COUNTIFS($S$5:$S$1000,$S35,$V$5:$V$1000,"Macro")*SUMIFS($H$5:$H$1000,$S$5:$S$1000,$S35,$V$5:$V$1000,"Macro")/COUNTIFS($S$5:$S$1000,$S35,$V$5:$V$1000,"Macro",$H$5:$H$1000,"&gt;0"))))</f>
        <v/>
      </c>
      <c r="AM35" s="62" t="n"/>
      <c r="AN35" s="62" t="n"/>
      <c r="AO35" s="62" t="n"/>
      <c r="AP35" s="62" t="n"/>
      <c r="AQ35" s="62">
        <f>IF(LEFT($C35,11)="[Jefatura] ",IFERROR(MATCH("Asistente Técnico de Riesgo|"&amp;MID($C35,12,500),rDname_ADM,0),0),"")</f>
        <v/>
      </c>
      <c r="AR35" s="62">
        <f>IF(N($AQ35)&gt;0,INDEX(rIni_ADM,$AQ35),IF(ISNUMBER($E35),$E35,""))</f>
        <v/>
      </c>
      <c r="AS35" s="62">
        <f>IF(N($AQ35)&gt;0,INDEX(rLim_ADM,$AQ35),IF(ISNUMBER($F35),$F35,""))</f>
        <v/>
      </c>
    </row>
    <row r="36">
      <c r="A36" s="56">
        <f>IF(NOT((COUNTA($B36:$D36)+COUNTA($G36:$H36)+COUNTA($Q36))&gt;0),"",IF($V36="Macro",COUNTIFS($V$5:$V36,"Macro",$S$5:$S36,$S36),IF(N($U36)=0,"?",COUNTIFS(INDEX($V$5:$V$1000,1):INDEX($V$5:$V$1000,$U36-4),"Macro",INDEX($S$5:$S$1000,1):INDEX($S$5:$S$1000,$U36-4),INDEX($S$5:$S$1000,$U36-4))&amp;"."&amp;COUNTIFS($U$5:$U36,$U36,$V$5:$V36,"Sub"))))</f>
        <v/>
      </c>
      <c r="B36" s="57" t="n"/>
      <c r="C36" s="58" t="n"/>
      <c r="D36" s="58" t="n"/>
      <c r="E36" s="59">
        <f>IF(N($AQ36)&gt;0,INDEX(rIni_ADM,$AQ36),"")</f>
        <v/>
      </c>
      <c r="F36" s="59">
        <f>IF(N($AQ36)&gt;0,INDEX(rLim_ADM,$AQ36),"")</f>
        <v/>
      </c>
      <c r="G36" s="59" t="n"/>
      <c r="H36" s="60" t="n"/>
      <c r="I36" s="60">
        <f>IF(N($W36)=0,"",IF(AND($S36=MesCiclo,1&gt;SemanaActual),"",MIN(1,SUMIFS(OFFSET($A$1,ROW(),29,1000-ROW(),1),OFFSET($A$1,ROW(),20,1000-ROW(),1),ROW(),OFFSET($A$1,ROW(),21,1000-ROW(),1),"Sub"))))</f>
        <v/>
      </c>
      <c r="J36" s="60">
        <f>IF(N($W36)=0,"",IF(AND($S36=MesCiclo,2&gt;SemanaActual),"",MIN(1,SUMIFS(OFFSET($A$1,ROW(),30,1000-ROW(),1),OFFSET($A$1,ROW(),20,1000-ROW(),1),ROW(),OFFSET($A$1,ROW(),21,1000-ROW(),1),"Sub"))))</f>
        <v/>
      </c>
      <c r="K36" s="60">
        <f>IF(N($W36)=0,"",IF(AND($S36=MesCiclo,3&gt;SemanaActual),"",MIN(1,SUMIFS(OFFSET($A$1,ROW(),31,1000-ROW(),1),OFFSET($A$1,ROW(),20,1000-ROW(),1),ROW(),OFFSET($A$1,ROW(),21,1000-ROW(),1),"Sub"))))</f>
        <v/>
      </c>
      <c r="L36" s="60">
        <f>IF(N($W36)=0,"",IF(AND($S36=MesCiclo,4&gt;SemanaActual),"",MIN(1,SUMIFS(OFFSET($A$1,ROW(),32,1000-ROW(),1),OFFSET($A$1,ROW(),20,1000-ROW(),1),ROW(),OFFSET($A$1,ROW(),21,1000-ROW(),1),"Sub"))))</f>
        <v/>
      </c>
      <c r="M36" s="61">
        <f>IF(OR(NOT((COUNTA($B36:$D36)+COUNTA($G36:$H36)+COUNTA($Q36))&gt;0),$V36="Sub"),"",IF(ISNUMBER($G36),1,IF(N($W36)&gt;0,MIN(1,SUMIFS($Y$5:$Y$1000,$U$5:$U$1000,ROW(),$V$5:$V$1000,"Sub")),$Y36)))</f>
        <v/>
      </c>
      <c r="N36" s="56">
        <f>IF(OR($M36="",$V36="Sub"),"",IF($M36&gt;=1,"Completado",IF($M36&gt;0,"En curso","Pendiente")))</f>
        <v/>
      </c>
      <c r="O36" s="56">
        <f>IF(OR(NOT((COUNTA($B36:$D36)+COUNTA($G36:$H36)+COUNTA($Q36))&gt;0),$V36="Sub"),"",IF(ISNUMBER($G36),IF(AND(ISNUMBER($AS36),$G36&gt;$AS36),"Cumplida con "&amp;($G36-$AS36)&amp;IF($G36-$AS36=1," día"," días")&amp;" de retraso","Cumplida"),IF(N($M36)&gt;=1,"Cumplida",IF(NOT(ISNUMBER($AS36)),"Sin fecha límite",IF($AS36&lt;FechaRef,"Vencida hace "&amp;(FechaRef-$AS36)&amp;IF(FechaRef-$AS36=1," día"," días"),IF($AS36=FechaRef,"Vence hoy",IF($AS36-FechaRef&lt;=DiasAlerta,"Vence en "&amp;($AS36-FechaRef)&amp;IF($AS36-FechaRef=1," día"," días"),"En plazo")))))))</f>
        <v/>
      </c>
      <c r="P36" s="62" t="n"/>
      <c r="Q36" s="58" t="n"/>
      <c r="R36" s="63">
        <f>IF(NOT((COUNTA($B36:$D36)+COUNTA($G36:$H36)+COUNTA($Q36))&gt;0),"",IF((IF($C36="","Falta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 OK","⚠ "&amp;LEFT(IF($C36="","Falta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",""),LEN(IF($C36="","Falta el nombre de la actividad"&amp;" · ","")&amp;IF(AND($V36="Sub",N($U36)=0),"Subactividad sin macroactividad arriba"&amp;" · ","")&amp;IF(AND($V36="Macro",$AR36=""),"Sin fecha de inicio"&amp;" · ","")&amp;IF(AND($V36="Macro",$AS36=""),"Sin fecha límite"&amp;" · ","")&amp;IF(AND(LEFT($C36,11)="[Jefatura] ",N($AQ36)=0),"No se encuentra en la hoja de la jefatura (elíjala de nuevo en la lista)"&amp;" · ","")&amp;IF(OR(AND($E36&lt;&gt;"",NOT(ISNUMBER($E36))),AND($F36&lt;&gt;"",NOT(ISNUMBER($F36))),AND($G36&lt;&gt;"",NOT(ISNUMBER($G36)))),"Fecha no válida"&amp;" · ","")&amp;IF(AND(ISNUMBER($AR36),ISNUMBER($AS36),$AR36&gt;$AS36),"Inicio posterior a fecha límite"&amp;" · ","")&amp;IF(AND($V36="Macro",$H36&lt;&gt;"",OR(NOT(ISNUMBER($H36)),$H36&lt;0,$H36&gt;1)),"Peso fuera de rango"&amp;" · ","")&amp;IF(AND($V36="Sub",$H36&lt;&gt;"",OR(NOT(ISNUMBER($H36)),$H36&lt;0,$H36&gt;1)),"% de la subactividad fuera de rango 0-100%"&amp;" · ","")&amp;IF(AND(N($W36)&gt;0,SUMIFS($H$5:$H$1000,$U$5:$U$1000,ROW(),$V$5:$V$1000,"Sub")&gt;1.0001),"Las subactividades suman más de 100%"&amp;" · ","")&amp;IF(AND(N($W36)&gt;0,OR(IF(ISNUMBER($I36),ROUND($I36,6)&lt;&gt;ROUND(MIN(1,SUMIFS($AD$5:$AD$1000,$U$5:$U$1000,ROW(),$V$5:$V$1000,"Sub")),6),FALSE),IF(ISNUMBER($J36),ROUND($J36,6)&lt;&gt;ROUND(MIN(1,SUMIFS($AE$5:$AE$1000,$U$5:$U$1000,ROW(),$V$5:$V$1000,"Sub")),6),FALSE),IF(ISNUMBER($K36),ROUND($K36,6)&lt;&gt;ROUND(MIN(1,SUMIFS($AF$5:$AF$1000,$U$5:$U$1000,ROW(),$V$5:$V$1000,"Sub")),6),FALSE),IF(ISNUMBER($L36),ROUND($L36,6)&lt;&gt;ROUND(MIN(1,SUMIFS($AG$5:$AG$1000,$U$5:$U$1000,ROW(),$V$5:$V$1000,"Sub")),6),FALSE))),"Con subactividades: no escriba en las semanas (se llenan solas)"&amp;" · ","")&amp;IF((COUNTIF($I36:$L36,"&gt;1")+COUNTIF($I36:$L36,"&lt;0")+SUMPRODUCT((LEN($I36:$L36)&gt;0)*NOT(ISNUMBER($I36:$L36))))&gt;0,"Avance fuera de rango 0-100%"&amp;" · ","")&amp;IF(OR(AND(ISNUMBER($J36),$J36&lt;N($I36)),AND(ISNUMBER($K36),$K36&lt;MAX($I36:$J36)),AND(ISNUMBER($L36),$L36&lt;MAX($I36:$K36))),"Avance semanal decreciente"&amp;" · ","")&amp;IF(AND(ISNUMBER($AS36),$AS36&lt;FechaRef,IF($V36="Sub",1,N($M36))&lt;1),"Vencida"&amp;" · ","")&amp;IF(AND(ObsObligatoria="Sí",ISNUMBER($AS36),$AS36&lt;FechaRef,IF($V36="Sub",1,N($M36))&lt;1,$Q36=""),"Vencida sin observación"&amp;" · ",""))-3)))</f>
        <v/>
      </c>
      <c r="S36" s="64">
        <f>IF(NOT((COUNTA($B36:$D36)+COUNTA($G36:$H36)+COUNTA($Q36))&gt;0),"",IF(AND($V36="Sub",N($U36)&gt;0),IF(ISNUMBER(INDEX($AR$5:$AR$1000,$U36-4)),DATE(YEAR(INDEX($AR$5:$AR$1000,$U36-4)),MONTH(INDEX($AR$5:$AR$1000,$U36-4)),1),IF(ISNUMBER(INDEX($AS$5:$AS$1000,$U36-4)),DATE(YEAR(INDEX($AS$5:$AS$1000,$U36-4)),MONTH(INDEX($AS$5:$AS$1000,$U36-4)),1),MesCiclo)),IF(ISNUMBER($AR36),DATE(YEAR($AR36),MONTH($AR36),1),IF(ISNUMBER($AS36),DATE(YEAR($AS36),MONTH($AS36),1),MesCiclo))))</f>
        <v/>
      </c>
      <c r="T36" s="62">
        <f>IF(OR($S36="",$S36&lt;&gt;MesCiclo,$V36&lt;&gt;"Macro"),"",COUNTIFS($S$5:$S36,MesCiclo,$V$5:$V36,"Macro"))</f>
        <v/>
      </c>
      <c r="U36" s="62">
        <f>IF($V36="","",IF($V36="Macro",ROW(),IFERROR(LOOKUP(2,1/($V$5:$V36="Macro"),ROW($V$5:$V36)),0)))</f>
        <v/>
      </c>
      <c r="V36" s="62">
        <f>IF(NOT((COUNTA($B36:$D36)+COUNTA($G36:$H36)+COUNTA($Q36))&gt;0),"",IF($B36="Subactividad","Sub","Macro"))</f>
        <v/>
      </c>
      <c r="W36" s="62">
        <f>IF($V36="Macro",COUNTIFS($U$5:$U$1000,ROW(),$V$5:$V$1000,"Sub"),"")</f>
        <v/>
      </c>
      <c r="X36" s="62">
        <f>IF($V36&lt;&gt;"Sub","",IF(AND(ISNUMBER($H36),N($H36)&gt;0),$H36,IFERROR(MAX(0,1-SUMIFS($H$5:$H$1000,$U$5:$U$1000,$U36,$V$5:$V$1000,"Sub"))/(COUNTIFS($U$5:$U$1000,$U36,$V$5:$V$1000,"Sub")-COUNTIFS($U$5:$U$1000,$U36,$V$5:$V$1000,"Sub",$H$5:$H$1000,"&gt;0")),0)))</f>
        <v/>
      </c>
      <c r="Y36" s="62">
        <f>IF($V36="","",IF($V36="Sub",N($X36)*IF(ISNUMBER($G36),1,MIN(1,MAX(0,IFERROR(LOOKUP(2,1/ISNUMBER($I36:$L36),$I36:$L36),0)))),IF(ISNUMBER($G36),1,IFERROR(LOOKUP(2,1/($I36:$L36&lt;&gt;""),$I36:$L36),0))))</f>
        <v/>
      </c>
      <c r="Z36" s="62">
        <f>IF($V36="","",IF(AND(ISNUMBER($G36),$G36&lt;=IF($S36=MesCiclo,InicioCiclo,$S36+MOD(2-WEEKDAY($S36),7))+6),1,IF(ISNUMBER($I36),$I36,0)))</f>
        <v/>
      </c>
      <c r="AA36" s="62">
        <f>IF($V36="","",IF(AND(ISNUMBER($G36),$G36&lt;=IF($S36=MesCiclo,InicioCiclo,$S36+MOD(2-WEEKDAY($S36),7))+13),1,IF(ISNUMBER($J36),$J36,$Z36)))</f>
        <v/>
      </c>
      <c r="AB36" s="62">
        <f>IF($V36="","",IF(AND(ISNUMBER($G36),$G36&lt;=IF($S36=MesCiclo,InicioCiclo,$S36+MOD(2-WEEKDAY($S36),7))+20),1,IF(ISNUMBER($K36),$K36,$AA36)))</f>
        <v/>
      </c>
      <c r="AC36" s="62">
        <f>IF($V36="","",IF(AND(ISNUMBER($G36),$G36&lt;=IF($S36=MesCiclo,InicioCiclo,$S36+MOD(2-WEEKDAY($S36),7))+27),1,IF(ISNUMBER($L36),$L36,$AB36)))</f>
        <v/>
      </c>
      <c r="AD36" s="62">
        <f>IF($V36&lt;&gt;"Sub","",N($X36)*IF(AND(ISNUMBER($G36),$G36&lt;=IF($S36=MesCiclo,InicioCiclo,$S36+MOD(2-WEEKDAY($S36),7))+6),1,MIN(1,MAX(0,IF(ISNUMBER(OFFSET($A$1,ROW()-1,8)),OFFSET($A$1,ROW()-1,8),0)))))</f>
        <v/>
      </c>
      <c r="AE36" s="62">
        <f>IF($V36&lt;&gt;"Sub","",N($X36)*IF(AND(ISNUMBER($G36),$G36&lt;=IF($S36=MesCiclo,InicioCiclo,$S36+MOD(2-WEEKDAY($S36),7))+13),1,MIN(1,MAX(0,IF(ISNUMBER(OFFSET($A$1,ROW()-1,9)),OFFSET($A$1,ROW()-1,9),IF(ISNUMBER(OFFSET($A$1,ROW()-1,8)),OFFSET($A$1,ROW()-1,8),0))))))</f>
        <v/>
      </c>
      <c r="AF36" s="62">
        <f>IF($V36&lt;&gt;"Sub","",N($X36)*IF(AND(ISNUMBER($G36),$G36&lt;=IF($S36=MesCiclo,InicioCiclo,$S36+MOD(2-WEEKDAY($S36),7))+20),1,MIN(1,MAX(0,IF(ISNUMBER(OFFSET($A$1,ROW()-1,10)),OFFSET($A$1,ROW()-1,10),IF(ISNUMBER(OFFSET($A$1,ROW()-1,9)),OFFSET($A$1,ROW()-1,9),IF(ISNUMBER(OFFSET($A$1,ROW()-1,8)),OFFSET($A$1,ROW()-1,8),0)))))))</f>
        <v/>
      </c>
      <c r="AG36" s="62">
        <f>IF($V36&lt;&gt;"Sub","",N($X36)*IF(AND(ISNUMBER($G36),$G36&lt;=IF($S36=MesCiclo,InicioCiclo,$S36+MOD(2-WEEKDAY($S36),7))+27),1,MIN(1,MAX(0,IF(ISNUMBER(OFFSET($A$1,ROW()-1,11)),OFFSET($A$1,ROW()-1,11),IF(ISNUMBER(OFFSET($A$1,ROW()-1,10)),OFFSET($A$1,ROW()-1,10),IF(ISNUMBER(OFFSET($A$1,ROW()-1,9)),OFFSET($A$1,ROW()-1,9),IF(ISNUMBER(OFFSET($A$1,ROW()-1,8)),OFFSET($A$1,ROW()-1,8),0))))))))</f>
        <v/>
      </c>
      <c r="AH36" s="62">
        <f>IF($V36="","",IF(AND(ISNUMBER($G36),$G36&lt;=IF($S36=MesCiclo,InicioCiclo,$S36+MOD(2-WEEKDAY($S36),7))+6),1,IF(N($W36)&gt;0,MIN(1,SUMIFS($AD$5:$AD$1000,$U$5:$U$1000,ROW(),$V$5:$V$1000,"Sub")),$Z36)))</f>
        <v/>
      </c>
      <c r="AI36" s="62">
        <f>IF($V36="","",IF(AND(ISNUMBER($G36),$G36&lt;=IF($S36=MesCiclo,InicioCiclo,$S36+MOD(2-WEEKDAY($S36),7))+13),1,IF(N($W36)&gt;0,MIN(1,SUMIFS($AE$5:$AE$1000,$U$5:$U$1000,ROW(),$V$5:$V$1000,"Sub")),$AA36)))</f>
        <v/>
      </c>
      <c r="AJ36" s="62">
        <f>IF($V36="","",IF(AND(ISNUMBER($G36),$G36&lt;=IF($S36=MesCiclo,InicioCiclo,$S36+MOD(2-WEEKDAY($S36),7))+20),1,IF(N($W36)&gt;0,MIN(1,SUMIFS($AF$5:$AF$1000,$U$5:$U$1000,ROW(),$V$5:$V$1000,"Sub")),$AB36)))</f>
        <v/>
      </c>
      <c r="AK36" s="62">
        <f>IF($V36="","",IF(AND(ISNUMBER($G36),$G36&lt;=IF($S36=MesCiclo,InicioCiclo,$S36+MOD(2-WEEKDAY($S36),7))+27),1,IF(N($W36)&gt;0,MIN(1,SUMIFS($AG$5:$AG$1000,$U$5:$U$1000,ROW(),$V$5:$V$1000,"Sub")),$AC36)))</f>
        <v/>
      </c>
      <c r="AL36" s="62">
        <f>IF($V36&lt;&gt;"Macro","",IF(COUNTIFS($S$5:$S$1000,$S36,$V$5:$V$1000,"Macro",$H$5:$H$1000,"&gt;0")=0,1/COUNTIFS($S$5:$S$1000,$S36,$V$5:$V$1000,"Macro"),IF(AND(ISNUMBER($H36),N($H36)&gt;0),$H36,SUMIFS($H$5:$H$1000,$S$5:$S$1000,$S36,$V$5:$V$1000,"Macro")/COUNTIFS($S$5:$S$1000,$S36,$V$5:$V$1000,"Macro",$H$5:$H$1000,"&gt;0"))/(COUNTIFS($S$5:$S$1000,$S36,$V$5:$V$1000,"Macro")*SUMIFS($H$5:$H$1000,$S$5:$S$1000,$S36,$V$5:$V$1000,"Macro")/COUNTIFS($S$5:$S$1000,$S36,$V$5:$V$1000,"Macro",$H$5:$H$1000,"&gt;0"))))</f>
        <v/>
      </c>
      <c r="AM36" s="62" t="n"/>
      <c r="AN36" s="62" t="n"/>
      <c r="AO36" s="62" t="n"/>
      <c r="AP36" s="62" t="n"/>
      <c r="AQ36" s="62">
        <f>IF(LEFT($C36,11)="[Jefatura] ",IFERROR(MATCH("Asistente Técnico de Riesgo|"&amp;MID($C36,12,500),rDname_ADM,0),0),"")</f>
        <v/>
      </c>
      <c r="AR36" s="62">
        <f>IF(N($AQ36)&gt;0,INDEX(rIni_ADM,$AQ36),IF(ISNUMBER($E36),$E36,""))</f>
        <v/>
      </c>
      <c r="AS36" s="62">
        <f>IF(N($AQ36)&gt;0,INDEX(rLim_ADM,$AQ36),IF(ISNUMBER($F36),$F36,""))</f>
        <v/>
      </c>
    </row>
    <row r="37">
      <c r="A37" s="56">
        <f>IF(NOT((COUNTA($B37:$D37)+COUNTA($G37:$H37)+COUNTA($Q37))&gt;0),"",IF($V37="Macro",COUNTIFS($V$5:$V37,"Macro",$S$5:$S37,$S37),IF(N($U37)=0,"?",COUNTIFS(INDEX($V$5:$V$1000,1):INDEX($V$5:$V$1000,$U37-4),"Macro",INDEX($S$5:$S$1000,1):INDEX($S$5:$S$1000,$U37-4),INDEX($S$5:$S$1000,$U37-4))&amp;"."&amp;COUNTIFS($U$5:$U37,$U37,$V$5:$V37,"Sub"))))</f>
        <v/>
      </c>
      <c r="B37" s="57" t="n"/>
      <c r="C37" s="58" t="n"/>
      <c r="D37" s="58" t="n"/>
      <c r="E37" s="59">
        <f>IF(N($AQ37)&gt;0,INDEX(rIni_ADM,$AQ37),"")</f>
        <v/>
      </c>
      <c r="F37" s="59">
        <f>IF(N($AQ37)&gt;0,INDEX(rLim_ADM,$AQ37),"")</f>
        <v/>
      </c>
      <c r="G37" s="59" t="n"/>
      <c r="H37" s="60" t="n"/>
      <c r="I37" s="60">
        <f>IF(N($W37)=0,"",IF(AND($S37=MesCiclo,1&gt;SemanaActual),"",MIN(1,SUMIFS(OFFSET($A$1,ROW(),29,1000-ROW(),1),OFFSET($A$1,ROW(),20,1000-ROW(),1),ROW(),OFFSET($A$1,ROW(),21,1000-ROW(),1),"Sub"))))</f>
        <v/>
      </c>
      <c r="J37" s="60">
        <f>IF(N($W37)=0,"",IF(AND($S37=MesCiclo,2&gt;SemanaActual),"",MIN(1,SUMIFS(OFFSET($A$1,ROW(),30,1000-ROW(),1),OFFSET($A$1,ROW(),20,1000-ROW(),1),ROW(),OFFSET($A$1,ROW(),21,1000-ROW(),1),"Sub"))))</f>
        <v/>
      </c>
      <c r="K37" s="60">
        <f>IF(N($W37)=0,"",IF(AND($S37=MesCiclo,3&gt;SemanaActual),"",MIN(1,SUMIFS(OFFSET($A$1,ROW(),31,1000-ROW(),1),OFFSET($A$1,ROW(),20,1000-ROW(),1),ROW(),OFFSET($A$1,ROW(),21,1000-ROW(),1),"Sub"))))</f>
        <v/>
      </c>
      <c r="L37" s="60">
        <f>IF(N($W37)=0,"",IF(AND($S37=MesCiclo,4&gt;SemanaActual),"",MIN(1,SUMIFS(OFFSET($A$1,ROW(),32,1000-ROW(),1),OFFSET($A$1,ROW(),20,1000-ROW(),1),ROW(),OFFSET($A$1,ROW(),21,1000-ROW(),1),"Sub"))))</f>
        <v/>
      </c>
      <c r="M37" s="61">
        <f>IF(OR(NOT((COUNTA($B37:$D37)+COUNTA($G37:$H37)+COUNTA($Q37))&gt;0),$V37="Sub"),"",IF(ISNUMBER($G37),1,IF(N($W37)&gt;0,MIN(1,SUMIFS($Y$5:$Y$1000,$U$5:$U$1000,ROW(),$V$5:$V$1000,"Sub")),$Y37)))</f>
        <v/>
      </c>
      <c r="N37" s="56">
        <f>IF(OR($M37="",$V37="Sub"),"",IF($M37&gt;=1,"Completado",IF($M37&gt;0,"En curso","Pendiente")))</f>
        <v/>
      </c>
      <c r="O37" s="56">
        <f>IF(OR(NOT((COUNTA($B37:$D37)+COUNTA($G37:$H37)+COUNTA($Q37))&gt;0),$V37="Sub"),"",IF(ISNUMBER($G37),IF(AND(ISNUMBER($AS37),$G37&gt;$AS37),"Cumplida con "&amp;($G37-$AS37)&amp;IF($G37-$AS37=1," día"," días")&amp;" de retraso","Cumplida"),IF(N($M37)&gt;=1,"Cumplida",IF(NOT(ISNUMBER($AS37)),"Sin fecha límite",IF($AS37&lt;FechaRef,"Vencida hace "&amp;(FechaRef-$AS37)&amp;IF(FechaRef-$AS37=1," día"," días"),IF($AS37=FechaRef,"Vence hoy",IF($AS37-FechaRef&lt;=DiasAlerta,"Vence en "&amp;($AS37-FechaRef)&amp;IF($AS37-FechaRef=1," día"," días"),"En plazo")))))))</f>
        <v/>
      </c>
      <c r="P37" s="62" t="n"/>
      <c r="Q37" s="58" t="n"/>
      <c r="R37" s="63">
        <f>IF(NOT((COUNTA($B37:$D37)+COUNTA($G37:$H37)+COUNTA($Q37))&gt;0),"",IF((IF($C37="","Falta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 OK","⚠ "&amp;LEFT(IF($C37="","Falta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",""),LEN(IF($C37="","Falta el nombre de la actividad"&amp;" · ","")&amp;IF(AND($V37="Sub",N($U37)=0),"Subactividad sin macroactividad arriba"&amp;" · ","")&amp;IF(AND($V37="Macro",$AR37=""),"Sin fecha de inicio"&amp;" · ","")&amp;IF(AND($V37="Macro",$AS37=""),"Sin fecha límite"&amp;" · ","")&amp;IF(AND(LEFT($C37,11)="[Jefatura] ",N($AQ37)=0),"No se encuentra en la hoja de la jefatura (elíjala de nuevo en la lista)"&amp;" · ","")&amp;IF(OR(AND($E37&lt;&gt;"",NOT(ISNUMBER($E37))),AND($F37&lt;&gt;"",NOT(ISNUMBER($F37))),AND($G37&lt;&gt;"",NOT(ISNUMBER($G37)))),"Fecha no válida"&amp;" · ","")&amp;IF(AND(ISNUMBER($AR37),ISNUMBER($AS37),$AR37&gt;$AS37),"Inicio posterior a fecha límite"&amp;" · ","")&amp;IF(AND($V37="Macro",$H37&lt;&gt;"",OR(NOT(ISNUMBER($H37)),$H37&lt;0,$H37&gt;1)),"Peso fuera de rango"&amp;" · ","")&amp;IF(AND($V37="Sub",$H37&lt;&gt;"",OR(NOT(ISNUMBER($H37)),$H37&lt;0,$H37&gt;1)),"% de la subactividad fuera de rango 0-100%"&amp;" · ","")&amp;IF(AND(N($W37)&gt;0,SUMIFS($H$5:$H$1000,$U$5:$U$1000,ROW(),$V$5:$V$1000,"Sub")&gt;1.0001),"Las subactividades suman más de 100%"&amp;" · ","")&amp;IF(AND(N($W37)&gt;0,OR(IF(ISNUMBER($I37),ROUND($I37,6)&lt;&gt;ROUND(MIN(1,SUMIFS($AD$5:$AD$1000,$U$5:$U$1000,ROW(),$V$5:$V$1000,"Sub")),6),FALSE),IF(ISNUMBER($J37),ROUND($J37,6)&lt;&gt;ROUND(MIN(1,SUMIFS($AE$5:$AE$1000,$U$5:$U$1000,ROW(),$V$5:$V$1000,"Sub")),6),FALSE),IF(ISNUMBER($K37),ROUND($K37,6)&lt;&gt;ROUND(MIN(1,SUMIFS($AF$5:$AF$1000,$U$5:$U$1000,ROW(),$V$5:$V$1000,"Sub")),6),FALSE),IF(ISNUMBER($L37),ROUND($L37,6)&lt;&gt;ROUND(MIN(1,SUMIFS($AG$5:$AG$1000,$U$5:$U$1000,ROW(),$V$5:$V$1000,"Sub")),6),FALSE))),"Con subactividades: no escriba en las semanas (se llenan solas)"&amp;" · ","")&amp;IF((COUNTIF($I37:$L37,"&gt;1")+COUNTIF($I37:$L37,"&lt;0")+SUMPRODUCT((LEN($I37:$L37)&gt;0)*NOT(ISNUMBER($I37:$L37))))&gt;0,"Avance fuera de rango 0-100%"&amp;" · ","")&amp;IF(OR(AND(ISNUMBER($J37),$J37&lt;N($I37)),AND(ISNUMBER($K37),$K37&lt;MAX($I37:$J37)),AND(ISNUMBER($L37),$L37&lt;MAX($I37:$K37))),"Avance semanal decreciente"&amp;" · ","")&amp;IF(AND(ISNUMBER($AS37),$AS37&lt;FechaRef,IF($V37="Sub",1,N($M37))&lt;1),"Vencida"&amp;" · ","")&amp;IF(AND(ObsObligatoria="Sí",ISNUMBER($AS37),$AS37&lt;FechaRef,IF($V37="Sub",1,N($M37))&lt;1,$Q37=""),"Vencida sin observación"&amp;" · ",""))-3)))</f>
        <v/>
      </c>
      <c r="S37" s="64">
        <f>IF(NOT((COUNTA($B37:$D37)+COUNTA($G37:$H37)+COUNTA($Q37))&gt;0),"",IF(AND($V37="Sub",N($U37)&gt;0),IF(ISNUMBER(INDEX($AR$5:$AR$1000,$U37-4)),DATE(YEAR(INDEX($AR$5:$AR$1000,$U37-4)),MONTH(INDEX($AR$5:$AR$1000,$U37-4)),1),IF(ISNUMBER(INDEX($AS$5:$AS$1000,$U37-4)),DATE(YEAR(INDEX($AS$5:$AS$1000,$U37-4)),MONTH(INDEX($AS$5:$AS$1000,$U37-4)),1),MesCiclo)),IF(ISNUMBER($AR37),DATE(YEAR($AR37),MONTH($AR37),1),IF(ISNUMBER($AS37),DATE(YEAR($AS37),MONTH($AS37),1),MesCiclo))))</f>
        <v/>
      </c>
      <c r="T37" s="62">
        <f>IF(OR($S37="",$S37&lt;&gt;MesCiclo,$V37&lt;&gt;"Macro"),"",COUNTIFS($S$5:$S37,MesCiclo,$V$5:$V37,"Macro"))</f>
        <v/>
      </c>
      <c r="U37" s="62">
        <f>IF($V37="","",IF($V37="Macro",ROW(),IFERROR(LOOKUP(2,1/($V$5:$V37="Macro"),ROW($V$5:$V37)),0)))</f>
        <v/>
      </c>
      <c r="V37" s="62">
        <f>IF(NOT((COUNTA($B37:$D37)+COUNTA($G37:$H37)+COUNTA($Q37))&gt;0),"",IF($B37="Subactividad","Sub","Macro"))</f>
        <v/>
      </c>
      <c r="W37" s="62">
        <f>IF($V37="Macro",COUNTIFS($U$5:$U$1000,ROW(),$V$5:$V$1000,"Sub"),"")</f>
        <v/>
      </c>
      <c r="X37" s="62">
        <f>IF($V37&lt;&gt;"Sub","",IF(AND(ISNUMBER($H37),N($H37)&gt;0),$H37,IFERROR(MAX(0,1-SUMIFS($H$5:$H$1000,$U$5:$U$1000,$U37,$V$5:$V$1000,"Sub"))/(COUNTIFS($U$5:$U$1000,$U37,$V$5:$V$1000,"Sub")-COUNTIFS($U$5:$U$1000,$U37,$V$5:$V$1000,"Sub",$H$5:$H$1000,"&gt;0")),0)))</f>
        <v/>
      </c>
      <c r="Y37" s="62">
        <f>IF($V37="","",IF($V37="Sub",N($X37)*IF(ISNUMBER($G37),1,MIN(1,MAX(0,IFERROR(LOOKUP(2,1/ISNUMBER($I37:$L37),$I37:$L37),0)))),IF(ISNUMBER($G37),1,IFERROR(LOOKUP(2,1/($I37:$L37&lt;&gt;""),$I37:$L37),0))))</f>
        <v/>
      </c>
      <c r="Z37" s="62">
        <f>IF($V37="","",IF(AND(ISNUMBER($G37),$G37&lt;=IF($S37=MesCiclo,InicioCiclo,$S37+MOD(2-WEEKDAY($S37),7))+6),1,IF(ISNUMBER($I37),$I37,0)))</f>
        <v/>
      </c>
      <c r="AA37" s="62">
        <f>IF($V37="","",IF(AND(ISNUMBER($G37),$G37&lt;=IF($S37=MesCiclo,InicioCiclo,$S37+MOD(2-WEEKDAY($S37),7))+13),1,IF(ISNUMBER($J37),$J37,$Z37)))</f>
        <v/>
      </c>
      <c r="AB37" s="62">
        <f>IF($V37="","",IF(AND(ISNUMBER($G37),$G37&lt;=IF($S37=MesCiclo,InicioCiclo,$S37+MOD(2-WEEKDAY($S37),7))+20),1,IF(ISNUMBER($K37),$K37,$AA37)))</f>
        <v/>
      </c>
      <c r="AC37" s="62">
        <f>IF($V37="","",IF(AND(ISNUMBER($G37),$G37&lt;=IF($S37=MesCiclo,InicioCiclo,$S37+MOD(2-WEEKDAY($S37),7))+27),1,IF(ISNUMBER($L37),$L37,$AB37)))</f>
        <v/>
      </c>
      <c r="AD37" s="62">
        <f>IF($V37&lt;&gt;"Sub","",N($X37)*IF(AND(ISNUMBER($G37),$G37&lt;=IF($S37=MesCiclo,InicioCiclo,$S37+MOD(2-WEEKDAY($S37),7))+6),1,MIN(1,MAX(0,IF(ISNUMBER(OFFSET($A$1,ROW()-1,8)),OFFSET($A$1,ROW()-1,8),0)))))</f>
        <v/>
      </c>
      <c r="AE37" s="62">
        <f>IF($V37&lt;&gt;"Sub","",N($X37)*IF(AND(ISNUMBER($G37),$G37&lt;=IF($S37=MesCiclo,InicioCiclo,$S37+MOD(2-WEEKDAY($S37),7))+13),1,MIN(1,MAX(0,IF(ISNUMBER(OFFSET($A$1,ROW()-1,9)),OFFSET($A$1,ROW()-1,9),IF(ISNUMBER(OFFSET($A$1,ROW()-1,8)),OFFSET($A$1,ROW()-1,8),0))))))</f>
        <v/>
      </c>
      <c r="AF37" s="62">
        <f>IF($V37&lt;&gt;"Sub","",N($X37)*IF(AND(ISNUMBER($G37),$G37&lt;=IF($S37=MesCiclo,InicioCiclo,$S37+MOD(2-WEEKDAY($S37),7))+20),1,MIN(1,MAX(0,IF(ISNUMBER(OFFSET($A$1,ROW()-1,10)),OFFSET($A$1,ROW()-1,10),IF(ISNUMBER(OFFSET($A$1,ROW()-1,9)),OFFSET($A$1,ROW()-1,9),IF(ISNUMBER(OFFSET($A$1,ROW()-1,8)),OFFSET($A$1,ROW()-1,8),0)))))))</f>
        <v/>
      </c>
      <c r="AG37" s="62">
        <f>IF($V37&lt;&gt;"Sub","",N($X37)*IF(AND(ISNUMBER($G37),$G37&lt;=IF($S37=MesCiclo,InicioCiclo,$S37+MOD(2-WEEKDAY($S37),7))+27),1,MIN(1,MAX(0,IF(ISNUMBER(OFFSET($A$1,ROW()-1,11)),OFFSET($A$1,ROW()-1,11),IF(ISNUMBER(OFFSET($A$1,ROW()-1,10)),OFFSET($A$1,ROW()-1,10),IF(ISNUMBER(OFFSET($A$1,ROW()-1,9)),OFFSET($A$1,ROW()-1,9),IF(ISNUMBER(OFFSET($A$1,ROW()-1,8)),OFFSET($A$1,ROW()-1,8),0))))))))</f>
        <v/>
      </c>
      <c r="AH37" s="62">
        <f>IF($V37="","",IF(AND(ISNUMBER($G37),$G37&lt;=IF($S37=MesCiclo,InicioCiclo,$S37+MOD(2-WEEKDAY($S37),7))+6),1,IF(N($W37)&gt;0,MIN(1,SUMIFS($AD$5:$AD$1000,$U$5:$U$1000,ROW(),$V$5:$V$1000,"Sub")),$Z37)))</f>
        <v/>
      </c>
      <c r="AI37" s="62">
        <f>IF($V37="","",IF(AND(ISNUMBER($G37),$G37&lt;=IF($S37=MesCiclo,InicioCiclo,$S37+MOD(2-WEEKDAY($S37),7))+13),1,IF(N($W37)&gt;0,MIN(1,SUMIFS($AE$5:$AE$1000,$U$5:$U$1000,ROW(),$V$5:$V$1000,"Sub")),$AA37)))</f>
        <v/>
      </c>
      <c r="AJ37" s="62">
        <f>IF($V37="","",IF(AND(ISNUMBER($G37),$G37&lt;=IF($S37=MesCiclo,InicioCiclo,$S37+MOD(2-WEEKDAY($S37),7))+20),1,IF(N($W37)&gt;0,MIN(1,SUMIFS($AF$5:$AF$1000,$U$5:$U$1000,ROW(),$V$5:$V$1000,"Sub")),$AB37)))</f>
        <v/>
      </c>
      <c r="AK37" s="62">
        <f>IF($V37="","",IF(AND(ISNUMBER($G37),$G37&lt;=IF($S37=MesCiclo,InicioCiclo,$S37+MOD(2-WEEKDAY($S37),7))+27),1,IF(N($W37)&gt;0,MIN(1,SUMIFS($AG$5:$AG$1000,$U$5:$U$1000,ROW(),$V$5:$V$1000,"Sub")),$AC37)))</f>
        <v/>
      </c>
      <c r="AL37" s="62">
        <f>IF($V37&lt;&gt;"Macro","",IF(COUNTIFS($S$5:$S$1000,$S37,$V$5:$V$1000,"Macro",$H$5:$H$1000,"&gt;0")=0,1/COUNTIFS($S$5:$S$1000,$S37,$V$5:$V$1000,"Macro"),IF(AND(ISNUMBER($H37),N($H37)&gt;0),$H37,SUMIFS($H$5:$H$1000,$S$5:$S$1000,$S37,$V$5:$V$1000,"Macro")/COUNTIFS($S$5:$S$1000,$S37,$V$5:$V$1000,"Macro",$H$5:$H$1000,"&gt;0"))/(COUNTIFS($S$5:$S$1000,$S37,$V$5:$V$1000,"Macro")*SUMIFS($H$5:$H$1000,$S$5:$S$1000,$S37,$V$5:$V$1000,"Macro")/COUNTIFS($S$5:$S$1000,$S37,$V$5:$V$1000,"Macro",$H$5:$H$1000,"&gt;0"))))</f>
        <v/>
      </c>
      <c r="AM37" s="62" t="n"/>
      <c r="AN37" s="62" t="n"/>
      <c r="AO37" s="62" t="n"/>
      <c r="AP37" s="62" t="n"/>
      <c r="AQ37" s="62">
        <f>IF(LEFT($C37,11)="[Jefatura] ",IFERROR(MATCH("Asistente Técnico de Riesgo|"&amp;MID($C37,12,500),rDname_ADM,0),0),"")</f>
        <v/>
      </c>
      <c r="AR37" s="62">
        <f>IF(N($AQ37)&gt;0,INDEX(rIni_ADM,$AQ37),IF(ISNUMBER($E37),$E37,""))</f>
        <v/>
      </c>
      <c r="AS37" s="62">
        <f>IF(N($AQ37)&gt;0,INDEX(rLim_ADM,$AQ37),IF(ISNUMBER($F37),$F37,""))</f>
        <v/>
      </c>
    </row>
    <row r="38">
      <c r="A38" s="56">
        <f>IF(NOT((COUNTA($B38:$D38)+COUNTA($G38:$H38)+COUNTA($Q38))&gt;0),"",IF($V38="Macro",COUNTIFS($V$5:$V38,"Macro",$S$5:$S38,$S38),IF(N($U38)=0,"?",COUNTIFS(INDEX($V$5:$V$1000,1):INDEX($V$5:$V$1000,$U38-4),"Macro",INDEX($S$5:$S$1000,1):INDEX($S$5:$S$1000,$U38-4),INDEX($S$5:$S$1000,$U38-4))&amp;"."&amp;COUNTIFS($U$5:$U38,$U38,$V$5:$V38,"Sub"))))</f>
        <v/>
      </c>
      <c r="B38" s="57" t="n"/>
      <c r="C38" s="58" t="n"/>
      <c r="D38" s="58" t="n"/>
      <c r="E38" s="59">
        <f>IF(N($AQ38)&gt;0,INDEX(rIni_ADM,$AQ38),"")</f>
        <v/>
      </c>
      <c r="F38" s="59">
        <f>IF(N($AQ38)&gt;0,INDEX(rLim_ADM,$AQ38),"")</f>
        <v/>
      </c>
      <c r="G38" s="59" t="n"/>
      <c r="H38" s="60" t="n"/>
      <c r="I38" s="60">
        <f>IF(N($W38)=0,"",IF(AND($S38=MesCiclo,1&gt;SemanaActual),"",MIN(1,SUMIFS(OFFSET($A$1,ROW(),29,1000-ROW(),1),OFFSET($A$1,ROW(),20,1000-ROW(),1),ROW(),OFFSET($A$1,ROW(),21,1000-ROW(),1),"Sub"))))</f>
        <v/>
      </c>
      <c r="J38" s="60">
        <f>IF(N($W38)=0,"",IF(AND($S38=MesCiclo,2&gt;SemanaActual),"",MIN(1,SUMIFS(OFFSET($A$1,ROW(),30,1000-ROW(),1),OFFSET($A$1,ROW(),20,1000-ROW(),1),ROW(),OFFSET($A$1,ROW(),21,1000-ROW(),1),"Sub"))))</f>
        <v/>
      </c>
      <c r="K38" s="60">
        <f>IF(N($W38)=0,"",IF(AND($S38=MesCiclo,3&gt;SemanaActual),"",MIN(1,SUMIFS(OFFSET($A$1,ROW(),31,1000-ROW(),1),OFFSET($A$1,ROW(),20,1000-ROW(),1),ROW(),OFFSET($A$1,ROW(),21,1000-ROW(),1),"Sub"))))</f>
        <v/>
      </c>
      <c r="L38" s="60">
        <f>IF(N($W38)=0,"",IF(AND($S38=MesCiclo,4&gt;SemanaActual),"",MIN(1,SUMIFS(OFFSET($A$1,ROW(),32,1000-ROW(),1),OFFSET($A$1,ROW(),20,1000-ROW(),1),ROW(),OFFSET($A$1,ROW(),21,1000-ROW(),1),"Sub"))))</f>
        <v/>
      </c>
      <c r="M38" s="61">
        <f>IF(OR(NOT((COUNTA($B38:$D38)+COUNTA($G38:$H38)+COUNTA($Q38))&gt;0),$V38="Sub"),"",IF(ISNUMBER($G38),1,IF(N($W38)&gt;0,MIN(1,SUMIFS($Y$5:$Y$1000,$U$5:$U$1000,ROW(),$V$5:$V$1000,"Sub")),$Y38)))</f>
        <v/>
      </c>
      <c r="N38" s="56">
        <f>IF(OR($M38="",$V38="Sub"),"",IF($M38&gt;=1,"Completado",IF($M38&gt;0,"En curso","Pendiente")))</f>
        <v/>
      </c>
      <c r="O38" s="56">
        <f>IF(OR(NOT((COUNTA($B38:$D38)+COUNTA($G38:$H38)+COUNTA($Q38))&gt;0),$V38="Sub"),"",IF(ISNUMBER($G38),IF(AND(ISNUMBER($AS38),$G38&gt;$AS38),"Cumplida con "&amp;($G38-$AS38)&amp;IF($G38-$AS38=1," día"," días")&amp;" de retraso","Cumplida"),IF(N($M38)&gt;=1,"Cumplida",IF(NOT(ISNUMBER($AS38)),"Sin fecha límite",IF($AS38&lt;FechaRef,"Vencida hace "&amp;(FechaRef-$AS38)&amp;IF(FechaRef-$AS38=1," día"," días"),IF($AS38=FechaRef,"Vence hoy",IF($AS38-FechaRef&lt;=DiasAlerta,"Vence en "&amp;($AS38-FechaRef)&amp;IF($AS38-FechaRef=1," día"," días"),"En plazo")))))))</f>
        <v/>
      </c>
      <c r="P38" s="62" t="n"/>
      <c r="Q38" s="58" t="n"/>
      <c r="R38" s="63">
        <f>IF(NOT((COUNTA($B38:$D38)+COUNTA($G38:$H38)+COUNTA($Q38))&gt;0),"",IF((IF($C38="","Falta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 OK","⚠ "&amp;LEFT(IF($C38="","Falta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",""),LEN(IF($C38="","Falta el nombre de la actividad"&amp;" · ","")&amp;IF(AND($V38="Sub",N($U38)=0),"Subactividad sin macroactividad arriba"&amp;" · ","")&amp;IF(AND($V38="Macro",$AR38=""),"Sin fecha de inicio"&amp;" · ","")&amp;IF(AND($V38="Macro",$AS38=""),"Sin fecha límite"&amp;" · ","")&amp;IF(AND(LEFT($C38,11)="[Jefatura] ",N($AQ38)=0),"No se encuentra en la hoja de la jefatura (elíjala de nuevo en la lista)"&amp;" · ","")&amp;IF(OR(AND($E38&lt;&gt;"",NOT(ISNUMBER($E38))),AND($F38&lt;&gt;"",NOT(ISNUMBER($F38))),AND($G38&lt;&gt;"",NOT(ISNUMBER($G38)))),"Fecha no válida"&amp;" · ","")&amp;IF(AND(ISNUMBER($AR38),ISNUMBER($AS38),$AR38&gt;$AS38),"Inicio posterior a fecha límite"&amp;" · ","")&amp;IF(AND($V38="Macro",$H38&lt;&gt;"",OR(NOT(ISNUMBER($H38)),$H38&lt;0,$H38&gt;1)),"Peso fuera de rango"&amp;" · ","")&amp;IF(AND($V38="Sub",$H38&lt;&gt;"",OR(NOT(ISNUMBER($H38)),$H38&lt;0,$H38&gt;1)),"% de la subactividad fuera de rango 0-100%"&amp;" · ","")&amp;IF(AND(N($W38)&gt;0,SUMIFS($H$5:$H$1000,$U$5:$U$1000,ROW(),$V$5:$V$1000,"Sub")&gt;1.0001),"Las subactividades suman más de 100%"&amp;" · ","")&amp;IF(AND(N($W38)&gt;0,OR(IF(ISNUMBER($I38),ROUND($I38,6)&lt;&gt;ROUND(MIN(1,SUMIFS($AD$5:$AD$1000,$U$5:$U$1000,ROW(),$V$5:$V$1000,"Sub")),6),FALSE),IF(ISNUMBER($J38),ROUND($J38,6)&lt;&gt;ROUND(MIN(1,SUMIFS($AE$5:$AE$1000,$U$5:$U$1000,ROW(),$V$5:$V$1000,"Sub")),6),FALSE),IF(ISNUMBER($K38),ROUND($K38,6)&lt;&gt;ROUND(MIN(1,SUMIFS($AF$5:$AF$1000,$U$5:$U$1000,ROW(),$V$5:$V$1000,"Sub")),6),FALSE),IF(ISNUMBER($L38),ROUND($L38,6)&lt;&gt;ROUND(MIN(1,SUMIFS($AG$5:$AG$1000,$U$5:$U$1000,ROW(),$V$5:$V$1000,"Sub")),6),FALSE))),"Con subactividades: no escriba en las semanas (se llenan solas)"&amp;" · ","")&amp;IF((COUNTIF($I38:$L38,"&gt;1")+COUNTIF($I38:$L38,"&lt;0")+SUMPRODUCT((LEN($I38:$L38)&gt;0)*NOT(ISNUMBER($I38:$L38))))&gt;0,"Avance fuera de rango 0-100%"&amp;" · ","")&amp;IF(OR(AND(ISNUMBER($J38),$J38&lt;N($I38)),AND(ISNUMBER($K38),$K38&lt;MAX($I38:$J38)),AND(ISNUMBER($L38),$L38&lt;MAX($I38:$K38))),"Avance semanal decreciente"&amp;" · ","")&amp;IF(AND(ISNUMBER($AS38),$AS38&lt;FechaRef,IF($V38="Sub",1,N($M38))&lt;1),"Vencida"&amp;" · ","")&amp;IF(AND(ObsObligatoria="Sí",ISNUMBER($AS38),$AS38&lt;FechaRef,IF($V38="Sub",1,N($M38))&lt;1,$Q38=""),"Vencida sin observación"&amp;" · ",""))-3)))</f>
        <v/>
      </c>
      <c r="S38" s="64">
        <f>IF(NOT((COUNTA($B38:$D38)+COUNTA($G38:$H38)+COUNTA($Q38))&gt;0),"",IF(AND($V38="Sub",N($U38)&gt;0),IF(ISNUMBER(INDEX($AR$5:$AR$1000,$U38-4)),DATE(YEAR(INDEX($AR$5:$AR$1000,$U38-4)),MONTH(INDEX($AR$5:$AR$1000,$U38-4)),1),IF(ISNUMBER(INDEX($AS$5:$AS$1000,$U38-4)),DATE(YEAR(INDEX($AS$5:$AS$1000,$U38-4)),MONTH(INDEX($AS$5:$AS$1000,$U38-4)),1),MesCiclo)),IF(ISNUMBER($AR38),DATE(YEAR($AR38),MONTH($AR38),1),IF(ISNUMBER($AS38),DATE(YEAR($AS38),MONTH($AS38),1),MesCiclo))))</f>
        <v/>
      </c>
      <c r="T38" s="62">
        <f>IF(OR($S38="",$S38&lt;&gt;MesCiclo,$V38&lt;&gt;"Macro"),"",COUNTIFS($S$5:$S38,MesCiclo,$V$5:$V38,"Macro"))</f>
        <v/>
      </c>
      <c r="U38" s="62">
        <f>IF($V38="","",IF($V38="Macro",ROW(),IFERROR(LOOKUP(2,1/($V$5:$V38="Macro"),ROW($V$5:$V38)),0)))</f>
        <v/>
      </c>
      <c r="V38" s="62">
        <f>IF(NOT((COUNTA($B38:$D38)+COUNTA($G38:$H38)+COUNTA($Q38))&gt;0),"",IF($B38="Subactividad","Sub","Macro"))</f>
        <v/>
      </c>
      <c r="W38" s="62">
        <f>IF($V38="Macro",COUNTIFS($U$5:$U$1000,ROW(),$V$5:$V$1000,"Sub"),"")</f>
        <v/>
      </c>
      <c r="X38" s="62">
        <f>IF($V38&lt;&gt;"Sub","",IF(AND(ISNUMBER($H38),N($H38)&gt;0),$H38,IFERROR(MAX(0,1-SUMIFS($H$5:$H$1000,$U$5:$U$1000,$U38,$V$5:$V$1000,"Sub"))/(COUNTIFS($U$5:$U$1000,$U38,$V$5:$V$1000,"Sub")-COUNTIFS($U$5:$U$1000,$U38,$V$5:$V$1000,"Sub",$H$5:$H$1000,"&gt;0")),0)))</f>
        <v/>
      </c>
      <c r="Y38" s="62">
        <f>IF($V38="","",IF($V38="Sub",N($X38)*IF(ISNUMBER($G38),1,MIN(1,MAX(0,IFERROR(LOOKUP(2,1/ISNUMBER($I38:$L38),$I38:$L38),0)))),IF(ISNUMBER($G38),1,IFERROR(LOOKUP(2,1/($I38:$L38&lt;&gt;""),$I38:$L38),0))))</f>
        <v/>
      </c>
      <c r="Z38" s="62">
        <f>IF($V38="","",IF(AND(ISNUMBER($G38),$G38&lt;=IF($S38=MesCiclo,InicioCiclo,$S38+MOD(2-WEEKDAY($S38),7))+6),1,IF(ISNUMBER($I38),$I38,0)))</f>
        <v/>
      </c>
      <c r="AA38" s="62">
        <f>IF($V38="","",IF(AND(ISNUMBER($G38),$G38&lt;=IF($S38=MesCiclo,InicioCiclo,$S38+MOD(2-WEEKDAY($S38),7))+13),1,IF(ISNUMBER($J38),$J38,$Z38)))</f>
        <v/>
      </c>
      <c r="AB38" s="62">
        <f>IF($V38="","",IF(AND(ISNUMBER($G38),$G38&lt;=IF($S38=MesCiclo,InicioCiclo,$S38+MOD(2-WEEKDAY($S38),7))+20),1,IF(ISNUMBER($K38),$K38,$AA38)))</f>
        <v/>
      </c>
      <c r="AC38" s="62">
        <f>IF($V38="","",IF(AND(ISNUMBER($G38),$G38&lt;=IF($S38=MesCiclo,InicioCiclo,$S38+MOD(2-WEEKDAY($S38),7))+27),1,IF(ISNUMBER($L38),$L38,$AB38)))</f>
        <v/>
      </c>
      <c r="AD38" s="62">
        <f>IF($V38&lt;&gt;"Sub","",N($X38)*IF(AND(ISNUMBER($G38),$G38&lt;=IF($S38=MesCiclo,InicioCiclo,$S38+MOD(2-WEEKDAY($S38),7))+6),1,MIN(1,MAX(0,IF(ISNUMBER(OFFSET($A$1,ROW()-1,8)),OFFSET($A$1,ROW()-1,8),0)))))</f>
        <v/>
      </c>
      <c r="AE38" s="62">
        <f>IF($V38&lt;&gt;"Sub","",N($X38)*IF(AND(ISNUMBER($G38),$G38&lt;=IF($S38=MesCiclo,InicioCiclo,$S38+MOD(2-WEEKDAY($S38),7))+13),1,MIN(1,MAX(0,IF(ISNUMBER(OFFSET($A$1,ROW()-1,9)),OFFSET($A$1,ROW()-1,9),IF(ISNUMBER(OFFSET($A$1,ROW()-1,8)),OFFSET($A$1,ROW()-1,8),0))))))</f>
        <v/>
      </c>
      <c r="AF38" s="62">
        <f>IF($V38&lt;&gt;"Sub","",N($X38)*IF(AND(ISNUMBER($G38),$G38&lt;=IF($S38=MesCiclo,InicioCiclo,$S38+MOD(2-WEEKDAY($S38),7))+20),1,MIN(1,MAX(0,IF(ISNUMBER(OFFSET($A$1,ROW()-1,10)),OFFSET($A$1,ROW()-1,10),IF(ISNUMBER(OFFSET($A$1,ROW()-1,9)),OFFSET($A$1,ROW()-1,9),IF(ISNUMBER(OFFSET($A$1,ROW()-1,8)),OFFSET($A$1,ROW()-1,8),0)))))))</f>
        <v/>
      </c>
      <c r="AG38" s="62">
        <f>IF($V38&lt;&gt;"Sub","",N($X38)*IF(AND(ISNUMBER($G38),$G38&lt;=IF($S38=MesCiclo,InicioCiclo,$S38+MOD(2-WEEKDAY($S38),7))+27),1,MIN(1,MAX(0,IF(ISNUMBER(OFFSET($A$1,ROW()-1,11)),OFFSET($A$1,ROW()-1,11),IF(ISNUMBER(OFFSET($A$1,ROW()-1,10)),OFFSET($A$1,ROW()-1,10),IF(ISNUMBER(OFFSET($A$1,ROW()-1,9)),OFFSET($A$1,ROW()-1,9),IF(ISNUMBER(OFFSET($A$1,ROW()-1,8)),OFFSET($A$1,ROW()-1,8),0))))))))</f>
        <v/>
      </c>
      <c r="AH38" s="62">
        <f>IF($V38="","",IF(AND(ISNUMBER($G38),$G38&lt;=IF($S38=MesCiclo,InicioCiclo,$S38+MOD(2-WEEKDAY($S38),7))+6),1,IF(N($W38)&gt;0,MIN(1,SUMIFS($AD$5:$AD$1000,$U$5:$U$1000,ROW(),$V$5:$V$1000,"Sub")),$Z38)))</f>
        <v/>
      </c>
      <c r="AI38" s="62">
        <f>IF($V38="","",IF(AND(ISNUMBER($G38),$G38&lt;=IF($S38=MesCiclo,InicioCiclo,$S38+MOD(2-WEEKDAY($S38),7))+13),1,IF(N($W38)&gt;0,MIN(1,SUMIFS($AE$5:$AE$1000,$U$5:$U$1000,ROW(),$V$5:$V$1000,"Sub")),$AA38)))</f>
        <v/>
      </c>
      <c r="AJ38" s="62">
        <f>IF($V38="","",IF(AND(ISNUMBER($G38),$G38&lt;=IF($S38=MesCiclo,InicioCiclo,$S38+MOD(2-WEEKDAY($S38),7))+20),1,IF(N($W38)&gt;0,MIN(1,SUMIFS($AF$5:$AF$1000,$U$5:$U$1000,ROW(),$V$5:$V$1000,"Sub")),$AB38)))</f>
        <v/>
      </c>
      <c r="AK38" s="62">
        <f>IF($V38="","",IF(AND(ISNUMBER($G38),$G38&lt;=IF($S38=MesCiclo,InicioCiclo,$S38+MOD(2-WEEKDAY($S38),7))+27),1,IF(N($W38)&gt;0,MIN(1,SUMIFS($AG$5:$AG$1000,$U$5:$U$1000,ROW(),$V$5:$V$1000,"Sub")),$AC38)))</f>
        <v/>
      </c>
      <c r="AL38" s="62">
        <f>IF($V38&lt;&gt;"Macro","",IF(COUNTIFS($S$5:$S$1000,$S38,$V$5:$V$1000,"Macro",$H$5:$H$1000,"&gt;0")=0,1/COUNTIFS($S$5:$S$1000,$S38,$V$5:$V$1000,"Macro"),IF(AND(ISNUMBER($H38),N($H38)&gt;0),$H38,SUMIFS($H$5:$H$1000,$S$5:$S$1000,$S38,$V$5:$V$1000,"Macro")/COUNTIFS($S$5:$S$1000,$S38,$V$5:$V$1000,"Macro",$H$5:$H$1000,"&gt;0"))/(COUNTIFS($S$5:$S$1000,$S38,$V$5:$V$1000,"Macro")*SUMIFS($H$5:$H$1000,$S$5:$S$1000,$S38,$V$5:$V$1000,"Macro")/COUNTIFS($S$5:$S$1000,$S38,$V$5:$V$1000,"Macro",$H$5:$H$1000,"&gt;0"))))</f>
        <v/>
      </c>
      <c r="AM38" s="62" t="n"/>
      <c r="AN38" s="62" t="n"/>
      <c r="AO38" s="62" t="n"/>
      <c r="AP38" s="62" t="n"/>
      <c r="AQ38" s="62">
        <f>IF(LEFT($C38,11)="[Jefatura] ",IFERROR(MATCH("Asistente Técnico de Riesgo|"&amp;MID($C38,12,500),rDname_ADM,0),0),"")</f>
        <v/>
      </c>
      <c r="AR38" s="62">
        <f>IF(N($AQ38)&gt;0,INDEX(rIni_ADM,$AQ38),IF(ISNUMBER($E38),$E38,""))</f>
        <v/>
      </c>
      <c r="AS38" s="62">
        <f>IF(N($AQ38)&gt;0,INDEX(rLim_ADM,$AQ38),IF(ISNUMBER($F38),$F38,""))</f>
        <v/>
      </c>
    </row>
    <row r="39">
      <c r="A39" s="56">
        <f>IF(NOT((COUNTA($B39:$D39)+COUNTA($G39:$H39)+COUNTA($Q39))&gt;0),"",IF($V39="Macro",COUNTIFS($V$5:$V39,"Macro",$S$5:$S39,$S39),IF(N($U39)=0,"?",COUNTIFS(INDEX($V$5:$V$1000,1):INDEX($V$5:$V$1000,$U39-4),"Macro",INDEX($S$5:$S$1000,1):INDEX($S$5:$S$1000,$U39-4),INDEX($S$5:$S$1000,$U39-4))&amp;"."&amp;COUNTIFS($U$5:$U39,$U39,$V$5:$V39,"Sub"))))</f>
        <v/>
      </c>
      <c r="B39" s="57" t="n"/>
      <c r="C39" s="58" t="n"/>
      <c r="D39" s="58" t="n"/>
      <c r="E39" s="59">
        <f>IF(N($AQ39)&gt;0,INDEX(rIni_ADM,$AQ39),"")</f>
        <v/>
      </c>
      <c r="F39" s="59">
        <f>IF(N($AQ39)&gt;0,INDEX(rLim_ADM,$AQ39),"")</f>
        <v/>
      </c>
      <c r="G39" s="59" t="n"/>
      <c r="H39" s="60" t="n"/>
      <c r="I39" s="60">
        <f>IF(N($W39)=0,"",IF(AND($S39=MesCiclo,1&gt;SemanaActual),"",MIN(1,SUMIFS(OFFSET($A$1,ROW(),29,1000-ROW(),1),OFFSET($A$1,ROW(),20,1000-ROW(),1),ROW(),OFFSET($A$1,ROW(),21,1000-ROW(),1),"Sub"))))</f>
        <v/>
      </c>
      <c r="J39" s="60">
        <f>IF(N($W39)=0,"",IF(AND($S39=MesCiclo,2&gt;SemanaActual),"",MIN(1,SUMIFS(OFFSET($A$1,ROW(),30,1000-ROW(),1),OFFSET($A$1,ROW(),20,1000-ROW(),1),ROW(),OFFSET($A$1,ROW(),21,1000-ROW(),1),"Sub"))))</f>
        <v/>
      </c>
      <c r="K39" s="60">
        <f>IF(N($W39)=0,"",IF(AND($S39=MesCiclo,3&gt;SemanaActual),"",MIN(1,SUMIFS(OFFSET($A$1,ROW(),31,1000-ROW(),1),OFFSET($A$1,ROW(),20,1000-ROW(),1),ROW(),OFFSET($A$1,ROW(),21,1000-ROW(),1),"Sub"))))</f>
        <v/>
      </c>
      <c r="L39" s="60">
        <f>IF(N($W39)=0,"",IF(AND($S39=MesCiclo,4&gt;SemanaActual),"",MIN(1,SUMIFS(OFFSET($A$1,ROW(),32,1000-ROW(),1),OFFSET($A$1,ROW(),20,1000-ROW(),1),ROW(),OFFSET($A$1,ROW(),21,1000-ROW(),1),"Sub"))))</f>
        <v/>
      </c>
      <c r="M39" s="61">
        <f>IF(OR(NOT((COUNTA($B39:$D39)+COUNTA($G39:$H39)+COUNTA($Q39))&gt;0),$V39="Sub"),"",IF(ISNUMBER($G39),1,IF(N($W39)&gt;0,MIN(1,SUMIFS($Y$5:$Y$1000,$U$5:$U$1000,ROW(),$V$5:$V$1000,"Sub")),$Y39)))</f>
        <v/>
      </c>
      <c r="N39" s="56">
        <f>IF(OR($M39="",$V39="Sub"),"",IF($M39&gt;=1,"Completado",IF($M39&gt;0,"En curso","Pendiente")))</f>
        <v/>
      </c>
      <c r="O39" s="56">
        <f>IF(OR(NOT((COUNTA($B39:$D39)+COUNTA($G39:$H39)+COUNTA($Q39))&gt;0),$V39="Sub"),"",IF(ISNUMBER($G39),IF(AND(ISNUMBER($AS39),$G39&gt;$AS39),"Cumplida con "&amp;($G39-$AS39)&amp;IF($G39-$AS39=1," día"," días")&amp;" de retraso","Cumplida"),IF(N($M39)&gt;=1,"Cumplida",IF(NOT(ISNUMBER($AS39)),"Sin fecha límite",IF($AS39&lt;FechaRef,"Vencida hace "&amp;(FechaRef-$AS39)&amp;IF(FechaRef-$AS39=1," día"," días"),IF($AS39=FechaRef,"Vence hoy",IF($AS39-FechaRef&lt;=DiasAlerta,"Vence en "&amp;($AS39-FechaRef)&amp;IF($AS39-FechaRef=1," día"," días"),"En plazo")))))))</f>
        <v/>
      </c>
      <c r="P39" s="62" t="n"/>
      <c r="Q39" s="58" t="n"/>
      <c r="R39" s="63">
        <f>IF(NOT((COUNTA($B39:$D39)+COUNTA($G39:$H39)+COUNTA($Q39))&gt;0),"",IF((IF($C39="","Falta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 OK","⚠ "&amp;LEFT(IF($C39="","Falta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",""),LEN(IF($C39="","Falta el nombre de la actividad"&amp;" · ","")&amp;IF(AND($V39="Sub",N($U39)=0),"Subactividad sin macroactividad arriba"&amp;" · ","")&amp;IF(AND($V39="Macro",$AR39=""),"Sin fecha de inicio"&amp;" · ","")&amp;IF(AND($V39="Macro",$AS39=""),"Sin fecha límite"&amp;" · ","")&amp;IF(AND(LEFT($C39,11)="[Jefatura] ",N($AQ39)=0),"No se encuentra en la hoja de la jefatura (elíjala de nuevo en la lista)"&amp;" · ","")&amp;IF(OR(AND($E39&lt;&gt;"",NOT(ISNUMBER($E39))),AND($F39&lt;&gt;"",NOT(ISNUMBER($F39))),AND($G39&lt;&gt;"",NOT(ISNUMBER($G39)))),"Fecha no válida"&amp;" · ","")&amp;IF(AND(ISNUMBER($AR39),ISNUMBER($AS39),$AR39&gt;$AS39),"Inicio posterior a fecha límite"&amp;" · ","")&amp;IF(AND($V39="Macro",$H39&lt;&gt;"",OR(NOT(ISNUMBER($H39)),$H39&lt;0,$H39&gt;1)),"Peso fuera de rango"&amp;" · ","")&amp;IF(AND($V39="Sub",$H39&lt;&gt;"",OR(NOT(ISNUMBER($H39)),$H39&lt;0,$H39&gt;1)),"% de la subactividad fuera de rango 0-100%"&amp;" · ","")&amp;IF(AND(N($W39)&gt;0,SUMIFS($H$5:$H$1000,$U$5:$U$1000,ROW(),$V$5:$V$1000,"Sub")&gt;1.0001),"Las subactividades suman más de 100%"&amp;" · ","")&amp;IF(AND(N($W39)&gt;0,OR(IF(ISNUMBER($I39),ROUND($I39,6)&lt;&gt;ROUND(MIN(1,SUMIFS($AD$5:$AD$1000,$U$5:$U$1000,ROW(),$V$5:$V$1000,"Sub")),6),FALSE),IF(ISNUMBER($J39),ROUND($J39,6)&lt;&gt;ROUND(MIN(1,SUMIFS($AE$5:$AE$1000,$U$5:$U$1000,ROW(),$V$5:$V$1000,"Sub")),6),FALSE),IF(ISNUMBER($K39),ROUND($K39,6)&lt;&gt;ROUND(MIN(1,SUMIFS($AF$5:$AF$1000,$U$5:$U$1000,ROW(),$V$5:$V$1000,"Sub")),6),FALSE),IF(ISNUMBER($L39),ROUND($L39,6)&lt;&gt;ROUND(MIN(1,SUMIFS($AG$5:$AG$1000,$U$5:$U$1000,ROW(),$V$5:$V$1000,"Sub")),6),FALSE))),"Con subactividades: no escriba en las semanas (se llenan solas)"&amp;" · ","")&amp;IF((COUNTIF($I39:$L39,"&gt;1")+COUNTIF($I39:$L39,"&lt;0")+SUMPRODUCT((LEN($I39:$L39)&gt;0)*NOT(ISNUMBER($I39:$L39))))&gt;0,"Avance fuera de rango 0-100%"&amp;" · ","")&amp;IF(OR(AND(ISNUMBER($J39),$J39&lt;N($I39)),AND(ISNUMBER($K39),$K39&lt;MAX($I39:$J39)),AND(ISNUMBER($L39),$L39&lt;MAX($I39:$K39))),"Avance semanal decreciente"&amp;" · ","")&amp;IF(AND(ISNUMBER($AS39),$AS39&lt;FechaRef,IF($V39="Sub",1,N($M39))&lt;1),"Vencida"&amp;" · ","")&amp;IF(AND(ObsObligatoria="Sí",ISNUMBER($AS39),$AS39&lt;FechaRef,IF($V39="Sub",1,N($M39))&lt;1,$Q39=""),"Vencida sin observación"&amp;" · ",""))-3)))</f>
        <v/>
      </c>
      <c r="S39" s="64">
        <f>IF(NOT((COUNTA($B39:$D39)+COUNTA($G39:$H39)+COUNTA($Q39))&gt;0),"",IF(AND($V39="Sub",N($U39)&gt;0),IF(ISNUMBER(INDEX($AR$5:$AR$1000,$U39-4)),DATE(YEAR(INDEX($AR$5:$AR$1000,$U39-4)),MONTH(INDEX($AR$5:$AR$1000,$U39-4)),1),IF(ISNUMBER(INDEX($AS$5:$AS$1000,$U39-4)),DATE(YEAR(INDEX($AS$5:$AS$1000,$U39-4)),MONTH(INDEX($AS$5:$AS$1000,$U39-4)),1),MesCiclo)),IF(ISNUMBER($AR39),DATE(YEAR($AR39),MONTH($AR39),1),IF(ISNUMBER($AS39),DATE(YEAR($AS39),MONTH($AS39),1),MesCiclo))))</f>
        <v/>
      </c>
      <c r="T39" s="62">
        <f>IF(OR($S39="",$S39&lt;&gt;MesCiclo,$V39&lt;&gt;"Macro"),"",COUNTIFS($S$5:$S39,MesCiclo,$V$5:$V39,"Macro"))</f>
        <v/>
      </c>
      <c r="U39" s="62">
        <f>IF($V39="","",IF($V39="Macro",ROW(),IFERROR(LOOKUP(2,1/($V$5:$V39="Macro"),ROW($V$5:$V39)),0)))</f>
        <v/>
      </c>
      <c r="V39" s="62">
        <f>IF(NOT((COUNTA($B39:$D39)+COUNTA($G39:$H39)+COUNTA($Q39))&gt;0),"",IF($B39="Subactividad","Sub","Macro"))</f>
        <v/>
      </c>
      <c r="W39" s="62">
        <f>IF($V39="Macro",COUNTIFS($U$5:$U$1000,ROW(),$V$5:$V$1000,"Sub"),"")</f>
        <v/>
      </c>
      <c r="X39" s="62">
        <f>IF($V39&lt;&gt;"Sub","",IF(AND(ISNUMBER($H39),N($H39)&gt;0),$H39,IFERROR(MAX(0,1-SUMIFS($H$5:$H$1000,$U$5:$U$1000,$U39,$V$5:$V$1000,"Sub"))/(COUNTIFS($U$5:$U$1000,$U39,$V$5:$V$1000,"Sub")-COUNTIFS($U$5:$U$1000,$U39,$V$5:$V$1000,"Sub",$H$5:$H$1000,"&gt;0")),0)))</f>
        <v/>
      </c>
      <c r="Y39" s="62">
        <f>IF($V39="","",IF($V39="Sub",N($X39)*IF(ISNUMBER($G39),1,MIN(1,MAX(0,IFERROR(LOOKUP(2,1/ISNUMBER($I39:$L39),$I39:$L39),0)))),IF(ISNUMBER($G39),1,IFERROR(LOOKUP(2,1/($I39:$L39&lt;&gt;""),$I39:$L39),0))))</f>
        <v/>
      </c>
      <c r="Z39" s="62">
        <f>IF($V39="","",IF(AND(ISNUMBER($G39),$G39&lt;=IF($S39=MesCiclo,InicioCiclo,$S39+MOD(2-WEEKDAY($S39),7))+6),1,IF(ISNUMBER($I39),$I39,0)))</f>
        <v/>
      </c>
      <c r="AA39" s="62">
        <f>IF($V39="","",IF(AND(ISNUMBER($G39),$G39&lt;=IF($S39=MesCiclo,InicioCiclo,$S39+MOD(2-WEEKDAY($S39),7))+13),1,IF(ISNUMBER($J39),$J39,$Z39)))</f>
        <v/>
      </c>
      <c r="AB39" s="62">
        <f>IF($V39="","",IF(AND(ISNUMBER($G39),$G39&lt;=IF($S39=MesCiclo,InicioCiclo,$S39+MOD(2-WEEKDAY($S39),7))+20),1,IF(ISNUMBER($K39),$K39,$AA39)))</f>
        <v/>
      </c>
      <c r="AC39" s="62">
        <f>IF($V39="","",IF(AND(ISNUMBER($G39),$G39&lt;=IF($S39=MesCiclo,InicioCiclo,$S39+MOD(2-WEEKDAY($S39),7))+27),1,IF(ISNUMBER($L39),$L39,$AB39)))</f>
        <v/>
      </c>
      <c r="AD39" s="62">
        <f>IF($V39&lt;&gt;"Sub","",N($X39)*IF(AND(ISNUMBER($G39),$G39&lt;=IF($S39=MesCiclo,InicioCiclo,$S39+MOD(2-WEEKDAY($S39),7))+6),1,MIN(1,MAX(0,IF(ISNUMBER(OFFSET($A$1,ROW()-1,8)),OFFSET($A$1,ROW()-1,8),0)))))</f>
        <v/>
      </c>
      <c r="AE39" s="62">
        <f>IF($V39&lt;&gt;"Sub","",N($X39)*IF(AND(ISNUMBER($G39),$G39&lt;=IF($S39=MesCiclo,InicioCiclo,$S39+MOD(2-WEEKDAY($S39),7))+13),1,MIN(1,MAX(0,IF(ISNUMBER(OFFSET($A$1,ROW()-1,9)),OFFSET($A$1,ROW()-1,9),IF(ISNUMBER(OFFSET($A$1,ROW()-1,8)),OFFSET($A$1,ROW()-1,8),0))))))</f>
        <v/>
      </c>
      <c r="AF39" s="62">
        <f>IF($V39&lt;&gt;"Sub","",N($X39)*IF(AND(ISNUMBER($G39),$G39&lt;=IF($S39=MesCiclo,InicioCiclo,$S39+MOD(2-WEEKDAY($S39),7))+20),1,MIN(1,MAX(0,IF(ISNUMBER(OFFSET($A$1,ROW()-1,10)),OFFSET($A$1,ROW()-1,10),IF(ISNUMBER(OFFSET($A$1,ROW()-1,9)),OFFSET($A$1,ROW()-1,9),IF(ISNUMBER(OFFSET($A$1,ROW()-1,8)),OFFSET($A$1,ROW()-1,8),0)))))))</f>
        <v/>
      </c>
      <c r="AG39" s="62">
        <f>IF($V39&lt;&gt;"Sub","",N($X39)*IF(AND(ISNUMBER($G39),$G39&lt;=IF($S39=MesCiclo,InicioCiclo,$S39+MOD(2-WEEKDAY($S39),7))+27),1,MIN(1,MAX(0,IF(ISNUMBER(OFFSET($A$1,ROW()-1,11)),OFFSET($A$1,ROW()-1,11),IF(ISNUMBER(OFFSET($A$1,ROW()-1,10)),OFFSET($A$1,ROW()-1,10),IF(ISNUMBER(OFFSET($A$1,ROW()-1,9)),OFFSET($A$1,ROW()-1,9),IF(ISNUMBER(OFFSET($A$1,ROW()-1,8)),OFFSET($A$1,ROW()-1,8),0))))))))</f>
        <v/>
      </c>
      <c r="AH39" s="62">
        <f>IF($V39="","",IF(AND(ISNUMBER($G39),$G39&lt;=IF($S39=MesCiclo,InicioCiclo,$S39+MOD(2-WEEKDAY($S39),7))+6),1,IF(N($W39)&gt;0,MIN(1,SUMIFS($AD$5:$AD$1000,$U$5:$U$1000,ROW(),$V$5:$V$1000,"Sub")),$Z39)))</f>
        <v/>
      </c>
      <c r="AI39" s="62">
        <f>IF($V39="","",IF(AND(ISNUMBER($G39),$G39&lt;=IF($S39=MesCiclo,InicioCiclo,$S39+MOD(2-WEEKDAY($S39),7))+13),1,IF(N($W39)&gt;0,MIN(1,SUMIFS($AE$5:$AE$1000,$U$5:$U$1000,ROW(),$V$5:$V$1000,"Sub")),$AA39)))</f>
        <v/>
      </c>
      <c r="AJ39" s="62">
        <f>IF($V39="","",IF(AND(ISNUMBER($G39),$G39&lt;=IF($S39=MesCiclo,InicioCiclo,$S39+MOD(2-WEEKDAY($S39),7))+20),1,IF(N($W39)&gt;0,MIN(1,SUMIFS($AF$5:$AF$1000,$U$5:$U$1000,ROW(),$V$5:$V$1000,"Sub")),$AB39)))</f>
        <v/>
      </c>
      <c r="AK39" s="62">
        <f>IF($V39="","",IF(AND(ISNUMBER($G39),$G39&lt;=IF($S39=MesCiclo,InicioCiclo,$S39+MOD(2-WEEKDAY($S39),7))+27),1,IF(N($W39)&gt;0,MIN(1,SUMIFS($AG$5:$AG$1000,$U$5:$U$1000,ROW(),$V$5:$V$1000,"Sub")),$AC39)))</f>
        <v/>
      </c>
      <c r="AL39" s="62">
        <f>IF($V39&lt;&gt;"Macro","",IF(COUNTIFS($S$5:$S$1000,$S39,$V$5:$V$1000,"Macro",$H$5:$H$1000,"&gt;0")=0,1/COUNTIFS($S$5:$S$1000,$S39,$V$5:$V$1000,"Macro"),IF(AND(ISNUMBER($H39),N($H39)&gt;0),$H39,SUMIFS($H$5:$H$1000,$S$5:$S$1000,$S39,$V$5:$V$1000,"Macro")/COUNTIFS($S$5:$S$1000,$S39,$V$5:$V$1000,"Macro",$H$5:$H$1000,"&gt;0"))/(COUNTIFS($S$5:$S$1000,$S39,$V$5:$V$1000,"Macro")*SUMIFS($H$5:$H$1000,$S$5:$S$1000,$S39,$V$5:$V$1000,"Macro")/COUNTIFS($S$5:$S$1000,$S39,$V$5:$V$1000,"Macro",$H$5:$H$1000,"&gt;0"))))</f>
        <v/>
      </c>
      <c r="AM39" s="62" t="n"/>
      <c r="AN39" s="62" t="n"/>
      <c r="AO39" s="62" t="n"/>
      <c r="AP39" s="62" t="n"/>
      <c r="AQ39" s="62">
        <f>IF(LEFT($C39,11)="[Jefatura] ",IFERROR(MATCH("Asistente Técnico de Riesgo|"&amp;MID($C39,12,500),rDname_ADM,0),0),"")</f>
        <v/>
      </c>
      <c r="AR39" s="62">
        <f>IF(N($AQ39)&gt;0,INDEX(rIni_ADM,$AQ39),IF(ISNUMBER($E39),$E39,""))</f>
        <v/>
      </c>
      <c r="AS39" s="62">
        <f>IF(N($AQ39)&gt;0,INDEX(rLim_ADM,$AQ39),IF(ISNUMBER($F39),$F39,""))</f>
        <v/>
      </c>
    </row>
    <row r="40">
      <c r="A40" s="56">
        <f>IF(NOT((COUNTA($B40:$D40)+COUNTA($G40:$H40)+COUNTA($Q40))&gt;0),"",IF($V40="Macro",COUNTIFS($V$5:$V40,"Macro",$S$5:$S40,$S40),IF(N($U40)=0,"?",COUNTIFS(INDEX($V$5:$V$1000,1):INDEX($V$5:$V$1000,$U40-4),"Macro",INDEX($S$5:$S$1000,1):INDEX($S$5:$S$1000,$U40-4),INDEX($S$5:$S$1000,$U40-4))&amp;"."&amp;COUNTIFS($U$5:$U40,$U40,$V$5:$V40,"Sub"))))</f>
        <v/>
      </c>
      <c r="B40" s="57" t="n"/>
      <c r="C40" s="58" t="n"/>
      <c r="D40" s="58" t="n"/>
      <c r="E40" s="59">
        <f>IF(N($AQ40)&gt;0,INDEX(rIni_ADM,$AQ40),"")</f>
        <v/>
      </c>
      <c r="F40" s="59">
        <f>IF(N($AQ40)&gt;0,INDEX(rLim_ADM,$AQ40),"")</f>
        <v/>
      </c>
      <c r="G40" s="59" t="n"/>
      <c r="H40" s="60" t="n"/>
      <c r="I40" s="60">
        <f>IF(N($W40)=0,"",IF(AND($S40=MesCiclo,1&gt;SemanaActual),"",MIN(1,SUMIFS(OFFSET($A$1,ROW(),29,1000-ROW(),1),OFFSET($A$1,ROW(),20,1000-ROW(),1),ROW(),OFFSET($A$1,ROW(),21,1000-ROW(),1),"Sub"))))</f>
        <v/>
      </c>
      <c r="J40" s="60">
        <f>IF(N($W40)=0,"",IF(AND($S40=MesCiclo,2&gt;SemanaActual),"",MIN(1,SUMIFS(OFFSET($A$1,ROW(),30,1000-ROW(),1),OFFSET($A$1,ROW(),20,1000-ROW(),1),ROW(),OFFSET($A$1,ROW(),21,1000-ROW(),1),"Sub"))))</f>
        <v/>
      </c>
      <c r="K40" s="60">
        <f>IF(N($W40)=0,"",IF(AND($S40=MesCiclo,3&gt;SemanaActual),"",MIN(1,SUMIFS(OFFSET($A$1,ROW(),31,1000-ROW(),1),OFFSET($A$1,ROW(),20,1000-ROW(),1),ROW(),OFFSET($A$1,ROW(),21,1000-ROW(),1),"Sub"))))</f>
        <v/>
      </c>
      <c r="L40" s="60">
        <f>IF(N($W40)=0,"",IF(AND($S40=MesCiclo,4&gt;SemanaActual),"",MIN(1,SUMIFS(OFFSET($A$1,ROW(),32,1000-ROW(),1),OFFSET($A$1,ROW(),20,1000-ROW(),1),ROW(),OFFSET($A$1,ROW(),21,1000-ROW(),1),"Sub"))))</f>
        <v/>
      </c>
      <c r="M40" s="61">
        <f>IF(OR(NOT((COUNTA($B40:$D40)+COUNTA($G40:$H40)+COUNTA($Q40))&gt;0),$V40="Sub"),"",IF(ISNUMBER($G40),1,IF(N($W40)&gt;0,MIN(1,SUMIFS($Y$5:$Y$1000,$U$5:$U$1000,ROW(),$V$5:$V$1000,"Sub")),$Y40)))</f>
        <v/>
      </c>
      <c r="N40" s="56">
        <f>IF(OR($M40="",$V40="Sub"),"",IF($M40&gt;=1,"Completado",IF($M40&gt;0,"En curso","Pendiente")))</f>
        <v/>
      </c>
      <c r="O40" s="56">
        <f>IF(OR(NOT((COUNTA($B40:$D40)+COUNTA($G40:$H40)+COUNTA($Q40))&gt;0),$V40="Sub"),"",IF(ISNUMBER($G40),IF(AND(ISNUMBER($AS40),$G40&gt;$AS40),"Cumplida con "&amp;($G40-$AS40)&amp;IF($G40-$AS40=1," día"," días")&amp;" de retraso","Cumplida"),IF(N($M40)&gt;=1,"Cumplida",IF(NOT(ISNUMBER($AS40)),"Sin fecha límite",IF($AS40&lt;FechaRef,"Vencida hace "&amp;(FechaRef-$AS40)&amp;IF(FechaRef-$AS40=1," día"," días"),IF($AS40=FechaRef,"Vence hoy",IF($AS40-FechaRef&lt;=DiasAlerta,"Vence en "&amp;($AS40-FechaRef)&amp;IF($AS40-FechaRef=1," día"," días"),"En plazo")))))))</f>
        <v/>
      </c>
      <c r="P40" s="62" t="n"/>
      <c r="Q40" s="58" t="n"/>
      <c r="R40" s="63">
        <f>IF(NOT((COUNTA($B40:$D40)+COUNTA($G40:$H40)+COUNTA($Q40))&gt;0),"",IF((IF($C40="","Falta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 OK","⚠ "&amp;LEFT(IF($C40="","Falta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",""),LEN(IF($C40="","Falta el nombre de la actividad"&amp;" · ","")&amp;IF(AND($V40="Sub",N($U40)=0),"Subactividad sin macroactividad arriba"&amp;" · ","")&amp;IF(AND($V40="Macro",$AR40=""),"Sin fecha de inicio"&amp;" · ","")&amp;IF(AND($V40="Macro",$AS40=""),"Sin fecha límite"&amp;" · ","")&amp;IF(AND(LEFT($C40,11)="[Jefatura] ",N($AQ40)=0),"No se encuentra en la hoja de la jefatura (elíjala de nuevo en la lista)"&amp;" · ","")&amp;IF(OR(AND($E40&lt;&gt;"",NOT(ISNUMBER($E40))),AND($F40&lt;&gt;"",NOT(ISNUMBER($F40))),AND($G40&lt;&gt;"",NOT(ISNUMBER($G40)))),"Fecha no válida"&amp;" · ","")&amp;IF(AND(ISNUMBER($AR40),ISNUMBER($AS40),$AR40&gt;$AS40),"Inicio posterior a fecha límite"&amp;" · ","")&amp;IF(AND($V40="Macro",$H40&lt;&gt;"",OR(NOT(ISNUMBER($H40)),$H40&lt;0,$H40&gt;1)),"Peso fuera de rango"&amp;" · ","")&amp;IF(AND($V40="Sub",$H40&lt;&gt;"",OR(NOT(ISNUMBER($H40)),$H40&lt;0,$H40&gt;1)),"% de la subactividad fuera de rango 0-100%"&amp;" · ","")&amp;IF(AND(N($W40)&gt;0,SUMIFS($H$5:$H$1000,$U$5:$U$1000,ROW(),$V$5:$V$1000,"Sub")&gt;1.0001),"Las subactividades suman más de 100%"&amp;" · ","")&amp;IF(AND(N($W40)&gt;0,OR(IF(ISNUMBER($I40),ROUND($I40,6)&lt;&gt;ROUND(MIN(1,SUMIFS($AD$5:$AD$1000,$U$5:$U$1000,ROW(),$V$5:$V$1000,"Sub")),6),FALSE),IF(ISNUMBER($J40),ROUND($J40,6)&lt;&gt;ROUND(MIN(1,SUMIFS($AE$5:$AE$1000,$U$5:$U$1000,ROW(),$V$5:$V$1000,"Sub")),6),FALSE),IF(ISNUMBER($K40),ROUND($K40,6)&lt;&gt;ROUND(MIN(1,SUMIFS($AF$5:$AF$1000,$U$5:$U$1000,ROW(),$V$5:$V$1000,"Sub")),6),FALSE),IF(ISNUMBER($L40),ROUND($L40,6)&lt;&gt;ROUND(MIN(1,SUMIFS($AG$5:$AG$1000,$U$5:$U$1000,ROW(),$V$5:$V$1000,"Sub")),6),FALSE))),"Con subactividades: no escriba en las semanas (se llenan solas)"&amp;" · ","")&amp;IF((COUNTIF($I40:$L40,"&gt;1")+COUNTIF($I40:$L40,"&lt;0")+SUMPRODUCT((LEN($I40:$L40)&gt;0)*NOT(ISNUMBER($I40:$L40))))&gt;0,"Avance fuera de rango 0-100%"&amp;" · ","")&amp;IF(OR(AND(ISNUMBER($J40),$J40&lt;N($I40)),AND(ISNUMBER($K40),$K40&lt;MAX($I40:$J40)),AND(ISNUMBER($L40),$L40&lt;MAX($I40:$K40))),"Avance semanal decreciente"&amp;" · ","")&amp;IF(AND(ISNUMBER($AS40),$AS40&lt;FechaRef,IF($V40="Sub",1,N($M40))&lt;1),"Vencida"&amp;" · ","")&amp;IF(AND(ObsObligatoria="Sí",ISNUMBER($AS40),$AS40&lt;FechaRef,IF($V40="Sub",1,N($M40))&lt;1,$Q40=""),"Vencida sin observación"&amp;" · ",""))-3)))</f>
        <v/>
      </c>
      <c r="S40" s="64">
        <f>IF(NOT((COUNTA($B40:$D40)+COUNTA($G40:$H40)+COUNTA($Q40))&gt;0),"",IF(AND($V40="Sub",N($U40)&gt;0),IF(ISNUMBER(INDEX($AR$5:$AR$1000,$U40-4)),DATE(YEAR(INDEX($AR$5:$AR$1000,$U40-4)),MONTH(INDEX($AR$5:$AR$1000,$U40-4)),1),IF(ISNUMBER(INDEX($AS$5:$AS$1000,$U40-4)),DATE(YEAR(INDEX($AS$5:$AS$1000,$U40-4)),MONTH(INDEX($AS$5:$AS$1000,$U40-4)),1),MesCiclo)),IF(ISNUMBER($AR40),DATE(YEAR($AR40),MONTH($AR40),1),IF(ISNUMBER($AS40),DATE(YEAR($AS40),MONTH($AS40),1),MesCiclo))))</f>
        <v/>
      </c>
      <c r="T40" s="62">
        <f>IF(OR($S40="",$S40&lt;&gt;MesCiclo,$V40&lt;&gt;"Macro"),"",COUNTIFS($S$5:$S40,MesCiclo,$V$5:$V40,"Macro"))</f>
        <v/>
      </c>
      <c r="U40" s="62">
        <f>IF($V40="","",IF($V40="Macro",ROW(),IFERROR(LOOKUP(2,1/($V$5:$V40="Macro"),ROW($V$5:$V40)),0)))</f>
        <v/>
      </c>
      <c r="V40" s="62">
        <f>IF(NOT((COUNTA($B40:$D40)+COUNTA($G40:$H40)+COUNTA($Q40))&gt;0),"",IF($B40="Subactividad","Sub","Macro"))</f>
        <v/>
      </c>
      <c r="W40" s="62">
        <f>IF($V40="Macro",COUNTIFS($U$5:$U$1000,ROW(),$V$5:$V$1000,"Sub"),"")</f>
        <v/>
      </c>
      <c r="X40" s="62">
        <f>IF($V40&lt;&gt;"Sub","",IF(AND(ISNUMBER($H40),N($H40)&gt;0),$H40,IFERROR(MAX(0,1-SUMIFS($H$5:$H$1000,$U$5:$U$1000,$U40,$V$5:$V$1000,"Sub"))/(COUNTIFS($U$5:$U$1000,$U40,$V$5:$V$1000,"Sub")-COUNTIFS($U$5:$U$1000,$U40,$V$5:$V$1000,"Sub",$H$5:$H$1000,"&gt;0")),0)))</f>
        <v/>
      </c>
      <c r="Y40" s="62">
        <f>IF($V40="","",IF($V40="Sub",N($X40)*IF(ISNUMBER($G40),1,MIN(1,MAX(0,IFERROR(LOOKUP(2,1/ISNUMBER($I40:$L40),$I40:$L40),0)))),IF(ISNUMBER($G40),1,IFERROR(LOOKUP(2,1/($I40:$L40&lt;&gt;""),$I40:$L40),0))))</f>
        <v/>
      </c>
      <c r="Z40" s="62">
        <f>IF($V40="","",IF(AND(ISNUMBER($G40),$G40&lt;=IF($S40=MesCiclo,InicioCiclo,$S40+MOD(2-WEEKDAY($S40),7))+6),1,IF(ISNUMBER($I40),$I40,0)))</f>
        <v/>
      </c>
      <c r="AA40" s="62">
        <f>IF($V40="","",IF(AND(ISNUMBER($G40),$G40&lt;=IF($S40=MesCiclo,InicioCiclo,$S40+MOD(2-WEEKDAY($S40),7))+13),1,IF(ISNUMBER($J40),$J40,$Z40)))</f>
        <v/>
      </c>
      <c r="AB40" s="62">
        <f>IF($V40="","",IF(AND(ISNUMBER($G40),$G40&lt;=IF($S40=MesCiclo,InicioCiclo,$S40+MOD(2-WEEKDAY($S40),7))+20),1,IF(ISNUMBER($K40),$K40,$AA40)))</f>
        <v/>
      </c>
      <c r="AC40" s="62">
        <f>IF($V40="","",IF(AND(ISNUMBER($G40),$G40&lt;=IF($S40=MesCiclo,InicioCiclo,$S40+MOD(2-WEEKDAY($S40),7))+27),1,IF(ISNUMBER($L40),$L40,$AB40)))</f>
        <v/>
      </c>
      <c r="AD40" s="62">
        <f>IF($V40&lt;&gt;"Sub","",N($X40)*IF(AND(ISNUMBER($G40),$G40&lt;=IF($S40=MesCiclo,InicioCiclo,$S40+MOD(2-WEEKDAY($S40),7))+6),1,MIN(1,MAX(0,IF(ISNUMBER(OFFSET($A$1,ROW()-1,8)),OFFSET($A$1,ROW()-1,8),0)))))</f>
        <v/>
      </c>
      <c r="AE40" s="62">
        <f>IF($V40&lt;&gt;"Sub","",N($X40)*IF(AND(ISNUMBER($G40),$G40&lt;=IF($S40=MesCiclo,InicioCiclo,$S40+MOD(2-WEEKDAY($S40),7))+13),1,MIN(1,MAX(0,IF(ISNUMBER(OFFSET($A$1,ROW()-1,9)),OFFSET($A$1,ROW()-1,9),IF(ISNUMBER(OFFSET($A$1,ROW()-1,8)),OFFSET($A$1,ROW()-1,8),0))))))</f>
        <v/>
      </c>
      <c r="AF40" s="62">
        <f>IF($V40&lt;&gt;"Sub","",N($X40)*IF(AND(ISNUMBER($G40),$G40&lt;=IF($S40=MesCiclo,InicioCiclo,$S40+MOD(2-WEEKDAY($S40),7))+20),1,MIN(1,MAX(0,IF(ISNUMBER(OFFSET($A$1,ROW()-1,10)),OFFSET($A$1,ROW()-1,10),IF(ISNUMBER(OFFSET($A$1,ROW()-1,9)),OFFSET($A$1,ROW()-1,9),IF(ISNUMBER(OFFSET($A$1,ROW()-1,8)),OFFSET($A$1,ROW()-1,8),0)))))))</f>
        <v/>
      </c>
      <c r="AG40" s="62">
        <f>IF($V40&lt;&gt;"Sub","",N($X40)*IF(AND(ISNUMBER($G40),$G40&lt;=IF($S40=MesCiclo,InicioCiclo,$S40+MOD(2-WEEKDAY($S40),7))+27),1,MIN(1,MAX(0,IF(ISNUMBER(OFFSET($A$1,ROW()-1,11)),OFFSET($A$1,ROW()-1,11),IF(ISNUMBER(OFFSET($A$1,ROW()-1,10)),OFFSET($A$1,ROW()-1,10),IF(ISNUMBER(OFFSET($A$1,ROW()-1,9)),OFFSET($A$1,ROW()-1,9),IF(ISNUMBER(OFFSET($A$1,ROW()-1,8)),OFFSET($A$1,ROW()-1,8),0))))))))</f>
        <v/>
      </c>
      <c r="AH40" s="62">
        <f>IF($V40="","",IF(AND(ISNUMBER($G40),$G40&lt;=IF($S40=MesCiclo,InicioCiclo,$S40+MOD(2-WEEKDAY($S40),7))+6),1,IF(N($W40)&gt;0,MIN(1,SUMIFS($AD$5:$AD$1000,$U$5:$U$1000,ROW(),$V$5:$V$1000,"Sub")),$Z40)))</f>
        <v/>
      </c>
      <c r="AI40" s="62">
        <f>IF($V40="","",IF(AND(ISNUMBER($G40),$G40&lt;=IF($S40=MesCiclo,InicioCiclo,$S40+MOD(2-WEEKDAY($S40),7))+13),1,IF(N($W40)&gt;0,MIN(1,SUMIFS($AE$5:$AE$1000,$U$5:$U$1000,ROW(),$V$5:$V$1000,"Sub")),$AA40)))</f>
        <v/>
      </c>
      <c r="AJ40" s="62">
        <f>IF($V40="","",IF(AND(ISNUMBER($G40),$G40&lt;=IF($S40=MesCiclo,InicioCiclo,$S40+MOD(2-WEEKDAY($S40),7))+20),1,IF(N($W40)&gt;0,MIN(1,SUMIFS($AF$5:$AF$1000,$U$5:$U$1000,ROW(),$V$5:$V$1000,"Sub")),$AB40)))</f>
        <v/>
      </c>
      <c r="AK40" s="62">
        <f>IF($V40="","",IF(AND(ISNUMBER($G40),$G40&lt;=IF($S40=MesCiclo,InicioCiclo,$S40+MOD(2-WEEKDAY($S40),7))+27),1,IF(N($W40)&gt;0,MIN(1,SUMIFS($AG$5:$AG$1000,$U$5:$U$1000,ROW(),$V$5:$V$1000,"Sub")),$AC40)))</f>
        <v/>
      </c>
      <c r="AL40" s="62">
        <f>IF($V40&lt;&gt;"Macro","",IF(COUNTIFS($S$5:$S$1000,$S40,$V$5:$V$1000,"Macro",$H$5:$H$1000,"&gt;0")=0,1/COUNTIFS($S$5:$S$1000,$S40,$V$5:$V$1000,"Macro"),IF(AND(ISNUMBER($H40),N($H40)&gt;0),$H40,SUMIFS($H$5:$H$1000,$S$5:$S$1000,$S40,$V$5:$V$1000,"Macro")/COUNTIFS($S$5:$S$1000,$S40,$V$5:$V$1000,"Macro",$H$5:$H$1000,"&gt;0"))/(COUNTIFS($S$5:$S$1000,$S40,$V$5:$V$1000,"Macro")*SUMIFS($H$5:$H$1000,$S$5:$S$1000,$S40,$V$5:$V$1000,"Macro")/COUNTIFS($S$5:$S$1000,$S40,$V$5:$V$1000,"Macro",$H$5:$H$1000,"&gt;0"))))</f>
        <v/>
      </c>
      <c r="AM40" s="62" t="n"/>
      <c r="AN40" s="62" t="n"/>
      <c r="AO40" s="62" t="n"/>
      <c r="AP40" s="62" t="n"/>
      <c r="AQ40" s="62">
        <f>IF(LEFT($C40,11)="[Jefatura] ",IFERROR(MATCH("Asistente Técnico de Riesgo|"&amp;MID($C40,12,500),rDname_ADM,0),0),"")</f>
        <v/>
      </c>
      <c r="AR40" s="62">
        <f>IF(N($AQ40)&gt;0,INDEX(rIni_ADM,$AQ40),IF(ISNUMBER($E40),$E40,""))</f>
        <v/>
      </c>
      <c r="AS40" s="62">
        <f>IF(N($AQ40)&gt;0,INDEX(rLim_ADM,$AQ40),IF(ISNUMBER($F40),$F40,""))</f>
        <v/>
      </c>
    </row>
    <row r="41">
      <c r="A41" s="56">
        <f>IF(NOT((COUNTA($B41:$D41)+COUNTA($G41:$H41)+COUNTA($Q41))&gt;0),"",IF($V41="Macro",COUNTIFS($V$5:$V41,"Macro",$S$5:$S41,$S41),IF(N($U41)=0,"?",COUNTIFS(INDEX($V$5:$V$1000,1):INDEX($V$5:$V$1000,$U41-4),"Macro",INDEX($S$5:$S$1000,1):INDEX($S$5:$S$1000,$U41-4),INDEX($S$5:$S$1000,$U41-4))&amp;"."&amp;COUNTIFS($U$5:$U41,$U41,$V$5:$V41,"Sub"))))</f>
        <v/>
      </c>
      <c r="B41" s="57" t="n"/>
      <c r="C41" s="58" t="n"/>
      <c r="D41" s="58" t="n"/>
      <c r="E41" s="59">
        <f>IF(N($AQ41)&gt;0,INDEX(rIni_ADM,$AQ41),"")</f>
        <v/>
      </c>
      <c r="F41" s="59">
        <f>IF(N($AQ41)&gt;0,INDEX(rLim_ADM,$AQ41),"")</f>
        <v/>
      </c>
      <c r="G41" s="59" t="n"/>
      <c r="H41" s="60" t="n"/>
      <c r="I41" s="60">
        <f>IF(N($W41)=0,"",IF(AND($S41=MesCiclo,1&gt;SemanaActual),"",MIN(1,SUMIFS(OFFSET($A$1,ROW(),29,1000-ROW(),1),OFFSET($A$1,ROW(),20,1000-ROW(),1),ROW(),OFFSET($A$1,ROW(),21,1000-ROW(),1),"Sub"))))</f>
        <v/>
      </c>
      <c r="J41" s="60">
        <f>IF(N($W41)=0,"",IF(AND($S41=MesCiclo,2&gt;SemanaActual),"",MIN(1,SUMIFS(OFFSET($A$1,ROW(),30,1000-ROW(),1),OFFSET($A$1,ROW(),20,1000-ROW(),1),ROW(),OFFSET($A$1,ROW(),21,1000-ROW(),1),"Sub"))))</f>
        <v/>
      </c>
      <c r="K41" s="60">
        <f>IF(N($W41)=0,"",IF(AND($S41=MesCiclo,3&gt;SemanaActual),"",MIN(1,SUMIFS(OFFSET($A$1,ROW(),31,1000-ROW(),1),OFFSET($A$1,ROW(),20,1000-ROW(),1),ROW(),OFFSET($A$1,ROW(),21,1000-ROW(),1),"Sub"))))</f>
        <v/>
      </c>
      <c r="L41" s="60">
        <f>IF(N($W41)=0,"",IF(AND($S41=MesCiclo,4&gt;SemanaActual),"",MIN(1,SUMIFS(OFFSET($A$1,ROW(),32,1000-ROW(),1),OFFSET($A$1,ROW(),20,1000-ROW(),1),ROW(),OFFSET($A$1,ROW(),21,1000-ROW(),1),"Sub"))))</f>
        <v/>
      </c>
      <c r="M41" s="61">
        <f>IF(OR(NOT((COUNTA($B41:$D41)+COUNTA($G41:$H41)+COUNTA($Q41))&gt;0),$V41="Sub"),"",IF(ISNUMBER($G41),1,IF(N($W41)&gt;0,MIN(1,SUMIFS($Y$5:$Y$1000,$U$5:$U$1000,ROW(),$V$5:$V$1000,"Sub")),$Y41)))</f>
        <v/>
      </c>
      <c r="N41" s="56">
        <f>IF(OR($M41="",$V41="Sub"),"",IF($M41&gt;=1,"Completado",IF($M41&gt;0,"En curso","Pendiente")))</f>
        <v/>
      </c>
      <c r="O41" s="56">
        <f>IF(OR(NOT((COUNTA($B41:$D41)+COUNTA($G41:$H41)+COUNTA($Q41))&gt;0),$V41="Sub"),"",IF(ISNUMBER($G41),IF(AND(ISNUMBER($AS41),$G41&gt;$AS41),"Cumplida con "&amp;($G41-$AS41)&amp;IF($G41-$AS41=1," día"," días")&amp;" de retraso","Cumplida"),IF(N($M41)&gt;=1,"Cumplida",IF(NOT(ISNUMBER($AS41)),"Sin fecha límite",IF($AS41&lt;FechaRef,"Vencida hace "&amp;(FechaRef-$AS41)&amp;IF(FechaRef-$AS41=1," día"," días"),IF($AS41=FechaRef,"Vence hoy",IF($AS41-FechaRef&lt;=DiasAlerta,"Vence en "&amp;($AS41-FechaRef)&amp;IF($AS41-FechaRef=1," día"," días"),"En plazo")))))))</f>
        <v/>
      </c>
      <c r="P41" s="62" t="n"/>
      <c r="Q41" s="58" t="n"/>
      <c r="R41" s="63">
        <f>IF(NOT((COUNTA($B41:$D41)+COUNTA($G41:$H41)+COUNTA($Q41))&gt;0),"",IF((IF($C41="","Falta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 OK","⚠ "&amp;LEFT(IF($C41="","Falta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",""),LEN(IF($C41="","Falta el nombre de la actividad"&amp;" · ","")&amp;IF(AND($V41="Sub",N($U41)=0),"Subactividad sin macroactividad arriba"&amp;" · ","")&amp;IF(AND($V41="Macro",$AR41=""),"Sin fecha de inicio"&amp;" · ","")&amp;IF(AND($V41="Macro",$AS41=""),"Sin fecha límite"&amp;" · ","")&amp;IF(AND(LEFT($C41,11)="[Jefatura] ",N($AQ41)=0),"No se encuentra en la hoja de la jefatura (elíjala de nuevo en la lista)"&amp;" · ","")&amp;IF(OR(AND($E41&lt;&gt;"",NOT(ISNUMBER($E41))),AND($F41&lt;&gt;"",NOT(ISNUMBER($F41))),AND($G41&lt;&gt;"",NOT(ISNUMBER($G41)))),"Fecha no válida"&amp;" · ","")&amp;IF(AND(ISNUMBER($AR41),ISNUMBER($AS41),$AR41&gt;$AS41),"Inicio posterior a fecha límite"&amp;" · ","")&amp;IF(AND($V41="Macro",$H41&lt;&gt;"",OR(NOT(ISNUMBER($H41)),$H41&lt;0,$H41&gt;1)),"Peso fuera de rango"&amp;" · ","")&amp;IF(AND($V41="Sub",$H41&lt;&gt;"",OR(NOT(ISNUMBER($H41)),$H41&lt;0,$H41&gt;1)),"% de la subactividad fuera de rango 0-100%"&amp;" · ","")&amp;IF(AND(N($W41)&gt;0,SUMIFS($H$5:$H$1000,$U$5:$U$1000,ROW(),$V$5:$V$1000,"Sub")&gt;1.0001),"Las subactividades suman más de 100%"&amp;" · ","")&amp;IF(AND(N($W41)&gt;0,OR(IF(ISNUMBER($I41),ROUND($I41,6)&lt;&gt;ROUND(MIN(1,SUMIFS($AD$5:$AD$1000,$U$5:$U$1000,ROW(),$V$5:$V$1000,"Sub")),6),FALSE),IF(ISNUMBER($J41),ROUND($J41,6)&lt;&gt;ROUND(MIN(1,SUMIFS($AE$5:$AE$1000,$U$5:$U$1000,ROW(),$V$5:$V$1000,"Sub")),6),FALSE),IF(ISNUMBER($K41),ROUND($K41,6)&lt;&gt;ROUND(MIN(1,SUMIFS($AF$5:$AF$1000,$U$5:$U$1000,ROW(),$V$5:$V$1000,"Sub")),6),FALSE),IF(ISNUMBER($L41),ROUND($L41,6)&lt;&gt;ROUND(MIN(1,SUMIFS($AG$5:$AG$1000,$U$5:$U$1000,ROW(),$V$5:$V$1000,"Sub")),6),FALSE))),"Con subactividades: no escriba en las semanas (se llenan solas)"&amp;" · ","")&amp;IF((COUNTIF($I41:$L41,"&gt;1")+COUNTIF($I41:$L41,"&lt;0")+SUMPRODUCT((LEN($I41:$L41)&gt;0)*NOT(ISNUMBER($I41:$L41))))&gt;0,"Avance fuera de rango 0-100%"&amp;" · ","")&amp;IF(OR(AND(ISNUMBER($J41),$J41&lt;N($I41)),AND(ISNUMBER($K41),$K41&lt;MAX($I41:$J41)),AND(ISNUMBER($L41),$L41&lt;MAX($I41:$K41))),"Avance semanal decreciente"&amp;" · ","")&amp;IF(AND(ISNUMBER($AS41),$AS41&lt;FechaRef,IF($V41="Sub",1,N($M41))&lt;1),"Vencida"&amp;" · ","")&amp;IF(AND(ObsObligatoria="Sí",ISNUMBER($AS41),$AS41&lt;FechaRef,IF($V41="Sub",1,N($M41))&lt;1,$Q41=""),"Vencida sin observación"&amp;" · ",""))-3)))</f>
        <v/>
      </c>
      <c r="S41" s="64">
        <f>IF(NOT((COUNTA($B41:$D41)+COUNTA($G41:$H41)+COUNTA($Q41))&gt;0),"",IF(AND($V41="Sub",N($U41)&gt;0),IF(ISNUMBER(INDEX($AR$5:$AR$1000,$U41-4)),DATE(YEAR(INDEX($AR$5:$AR$1000,$U41-4)),MONTH(INDEX($AR$5:$AR$1000,$U41-4)),1),IF(ISNUMBER(INDEX($AS$5:$AS$1000,$U41-4)),DATE(YEAR(INDEX($AS$5:$AS$1000,$U41-4)),MONTH(INDEX($AS$5:$AS$1000,$U41-4)),1),MesCiclo)),IF(ISNUMBER($AR41),DATE(YEAR($AR41),MONTH($AR41),1),IF(ISNUMBER($AS41),DATE(YEAR($AS41),MONTH($AS41),1),MesCiclo))))</f>
        <v/>
      </c>
      <c r="T41" s="62">
        <f>IF(OR($S41="",$S41&lt;&gt;MesCiclo,$V41&lt;&gt;"Macro"),"",COUNTIFS($S$5:$S41,MesCiclo,$V$5:$V41,"Macro"))</f>
        <v/>
      </c>
      <c r="U41" s="62">
        <f>IF($V41="","",IF($V41="Macro",ROW(),IFERROR(LOOKUP(2,1/($V$5:$V41="Macro"),ROW($V$5:$V41)),0)))</f>
        <v/>
      </c>
      <c r="V41" s="62">
        <f>IF(NOT((COUNTA($B41:$D41)+COUNTA($G41:$H41)+COUNTA($Q41))&gt;0),"",IF($B41="Subactividad","Sub","Macro"))</f>
        <v/>
      </c>
      <c r="W41" s="62">
        <f>IF($V41="Macro",COUNTIFS($U$5:$U$1000,ROW(),$V$5:$V$1000,"Sub"),"")</f>
        <v/>
      </c>
      <c r="X41" s="62">
        <f>IF($V41&lt;&gt;"Sub","",IF(AND(ISNUMBER($H41),N($H41)&gt;0),$H41,IFERROR(MAX(0,1-SUMIFS($H$5:$H$1000,$U$5:$U$1000,$U41,$V$5:$V$1000,"Sub"))/(COUNTIFS($U$5:$U$1000,$U41,$V$5:$V$1000,"Sub")-COUNTIFS($U$5:$U$1000,$U41,$V$5:$V$1000,"Sub",$H$5:$H$1000,"&gt;0")),0)))</f>
        <v/>
      </c>
      <c r="Y41" s="62">
        <f>IF($V41="","",IF($V41="Sub",N($X41)*IF(ISNUMBER($G41),1,MIN(1,MAX(0,IFERROR(LOOKUP(2,1/ISNUMBER($I41:$L41),$I41:$L41),0)))),IF(ISNUMBER($G41),1,IFERROR(LOOKUP(2,1/($I41:$L41&lt;&gt;""),$I41:$L41),0))))</f>
        <v/>
      </c>
      <c r="Z41" s="62">
        <f>IF($V41="","",IF(AND(ISNUMBER($G41),$G41&lt;=IF($S41=MesCiclo,InicioCiclo,$S41+MOD(2-WEEKDAY($S41),7))+6),1,IF(ISNUMBER($I41),$I41,0)))</f>
        <v/>
      </c>
      <c r="AA41" s="62">
        <f>IF($V41="","",IF(AND(ISNUMBER($G41),$G41&lt;=IF($S41=MesCiclo,InicioCiclo,$S41+MOD(2-WEEKDAY($S41),7))+13),1,IF(ISNUMBER($J41),$J41,$Z41)))</f>
        <v/>
      </c>
      <c r="AB41" s="62">
        <f>IF($V41="","",IF(AND(ISNUMBER($G41),$G41&lt;=IF($S41=MesCiclo,InicioCiclo,$S41+MOD(2-WEEKDAY($S41),7))+20),1,IF(ISNUMBER($K41),$K41,$AA41)))</f>
        <v/>
      </c>
      <c r="AC41" s="62">
        <f>IF($V41="","",IF(AND(ISNUMBER($G41),$G41&lt;=IF($S41=MesCiclo,InicioCiclo,$S41+MOD(2-WEEKDAY($S41),7))+27),1,IF(ISNUMBER($L41),$L41,$AB41)))</f>
        <v/>
      </c>
      <c r="AD41" s="62">
        <f>IF($V41&lt;&gt;"Sub","",N($X41)*IF(AND(ISNUMBER($G41),$G41&lt;=IF($S41=MesCiclo,InicioCiclo,$S41+MOD(2-WEEKDAY($S41),7))+6),1,MIN(1,MAX(0,IF(ISNUMBER(OFFSET($A$1,ROW()-1,8)),OFFSET($A$1,ROW()-1,8),0)))))</f>
        <v/>
      </c>
      <c r="AE41" s="62">
        <f>IF($V41&lt;&gt;"Sub","",N($X41)*IF(AND(ISNUMBER($G41),$G41&lt;=IF($S41=MesCiclo,InicioCiclo,$S41+MOD(2-WEEKDAY($S41),7))+13),1,MIN(1,MAX(0,IF(ISNUMBER(OFFSET($A$1,ROW()-1,9)),OFFSET($A$1,ROW()-1,9),IF(ISNUMBER(OFFSET($A$1,ROW()-1,8)),OFFSET($A$1,ROW()-1,8),0))))))</f>
        <v/>
      </c>
      <c r="AF41" s="62">
        <f>IF($V41&lt;&gt;"Sub","",N($X41)*IF(AND(ISNUMBER($G41),$G41&lt;=IF($S41=MesCiclo,InicioCiclo,$S41+MOD(2-WEEKDAY($S41),7))+20),1,MIN(1,MAX(0,IF(ISNUMBER(OFFSET($A$1,ROW()-1,10)),OFFSET($A$1,ROW()-1,10),IF(ISNUMBER(OFFSET($A$1,ROW()-1,9)),OFFSET($A$1,ROW()-1,9),IF(ISNUMBER(OFFSET($A$1,ROW()-1,8)),OFFSET($A$1,ROW()-1,8),0)))))))</f>
        <v/>
      </c>
      <c r="AG41" s="62">
        <f>IF($V41&lt;&gt;"Sub","",N($X41)*IF(AND(ISNUMBER($G41),$G41&lt;=IF($S41=MesCiclo,InicioCiclo,$S41+MOD(2-WEEKDAY($S41),7))+27),1,MIN(1,MAX(0,IF(ISNUMBER(OFFSET($A$1,ROW()-1,11)),OFFSET($A$1,ROW()-1,11),IF(ISNUMBER(OFFSET($A$1,ROW()-1,10)),OFFSET($A$1,ROW()-1,10),IF(ISNUMBER(OFFSET($A$1,ROW()-1,9)),OFFSET($A$1,ROW()-1,9),IF(ISNUMBER(OFFSET($A$1,ROW()-1,8)),OFFSET($A$1,ROW()-1,8),0))))))))</f>
        <v/>
      </c>
      <c r="AH41" s="62">
        <f>IF($V41="","",IF(AND(ISNUMBER($G41),$G41&lt;=IF($S41=MesCiclo,InicioCiclo,$S41+MOD(2-WEEKDAY($S41),7))+6),1,IF(N($W41)&gt;0,MIN(1,SUMIFS($AD$5:$AD$1000,$U$5:$U$1000,ROW(),$V$5:$V$1000,"Sub")),$Z41)))</f>
        <v/>
      </c>
      <c r="AI41" s="62">
        <f>IF($V41="","",IF(AND(ISNUMBER($G41),$G41&lt;=IF($S41=MesCiclo,InicioCiclo,$S41+MOD(2-WEEKDAY($S41),7))+13),1,IF(N($W41)&gt;0,MIN(1,SUMIFS($AE$5:$AE$1000,$U$5:$U$1000,ROW(),$V$5:$V$1000,"Sub")),$AA41)))</f>
        <v/>
      </c>
      <c r="AJ41" s="62">
        <f>IF($V41="","",IF(AND(ISNUMBER($G41),$G41&lt;=IF($S41=MesCiclo,InicioCiclo,$S41+MOD(2-WEEKDAY($S41),7))+20),1,IF(N($W41)&gt;0,MIN(1,SUMIFS($AF$5:$AF$1000,$U$5:$U$1000,ROW(),$V$5:$V$1000,"Sub")),$AB41)))</f>
        <v/>
      </c>
      <c r="AK41" s="62">
        <f>IF($V41="","",IF(AND(ISNUMBER($G41),$G41&lt;=IF($S41=MesCiclo,InicioCiclo,$S41+MOD(2-WEEKDAY($S41),7))+27),1,IF(N($W41)&gt;0,MIN(1,SUMIFS($AG$5:$AG$1000,$U$5:$U$1000,ROW(),$V$5:$V$1000,"Sub")),$AC41)))</f>
        <v/>
      </c>
      <c r="AL41" s="62">
        <f>IF($V41&lt;&gt;"Macro","",IF(COUNTIFS($S$5:$S$1000,$S41,$V$5:$V$1000,"Macro",$H$5:$H$1000,"&gt;0")=0,1/COUNTIFS($S$5:$S$1000,$S41,$V$5:$V$1000,"Macro"),IF(AND(ISNUMBER($H41),N($H41)&gt;0),$H41,SUMIFS($H$5:$H$1000,$S$5:$S$1000,$S41,$V$5:$V$1000,"Macro")/COUNTIFS($S$5:$S$1000,$S41,$V$5:$V$1000,"Macro",$H$5:$H$1000,"&gt;0"))/(COUNTIFS($S$5:$S$1000,$S41,$V$5:$V$1000,"Macro")*SUMIFS($H$5:$H$1000,$S$5:$S$1000,$S41,$V$5:$V$1000,"Macro")/COUNTIFS($S$5:$S$1000,$S41,$V$5:$V$1000,"Macro",$H$5:$H$1000,"&gt;0"))))</f>
        <v/>
      </c>
      <c r="AM41" s="62" t="n"/>
      <c r="AN41" s="62" t="n"/>
      <c r="AO41" s="62" t="n"/>
      <c r="AP41" s="62" t="n"/>
      <c r="AQ41" s="62">
        <f>IF(LEFT($C41,11)="[Jefatura] ",IFERROR(MATCH("Asistente Técnico de Riesgo|"&amp;MID($C41,12,500),rDname_ADM,0),0),"")</f>
        <v/>
      </c>
      <c r="AR41" s="62">
        <f>IF(N($AQ41)&gt;0,INDEX(rIni_ADM,$AQ41),IF(ISNUMBER($E41),$E41,""))</f>
        <v/>
      </c>
      <c r="AS41" s="62">
        <f>IF(N($AQ41)&gt;0,INDEX(rLim_ADM,$AQ41),IF(ISNUMBER($F41),$F41,""))</f>
        <v/>
      </c>
    </row>
    <row r="42">
      <c r="A42" s="56">
        <f>IF(NOT((COUNTA($B42:$D42)+COUNTA($G42:$H42)+COUNTA($Q42))&gt;0),"",IF($V42="Macro",COUNTIFS($V$5:$V42,"Macro",$S$5:$S42,$S42),IF(N($U42)=0,"?",COUNTIFS(INDEX($V$5:$V$1000,1):INDEX($V$5:$V$1000,$U42-4),"Macro",INDEX($S$5:$S$1000,1):INDEX($S$5:$S$1000,$U42-4),INDEX($S$5:$S$1000,$U42-4))&amp;"."&amp;COUNTIFS($U$5:$U42,$U42,$V$5:$V42,"Sub"))))</f>
        <v/>
      </c>
      <c r="B42" s="57" t="n"/>
      <c r="C42" s="58" t="n"/>
      <c r="D42" s="58" t="n"/>
      <c r="E42" s="59">
        <f>IF(N($AQ42)&gt;0,INDEX(rIni_ADM,$AQ42),"")</f>
        <v/>
      </c>
      <c r="F42" s="59">
        <f>IF(N($AQ42)&gt;0,INDEX(rLim_ADM,$AQ42),"")</f>
        <v/>
      </c>
      <c r="G42" s="59" t="n"/>
      <c r="H42" s="60" t="n"/>
      <c r="I42" s="60">
        <f>IF(N($W42)=0,"",IF(AND($S42=MesCiclo,1&gt;SemanaActual),"",MIN(1,SUMIFS(OFFSET($A$1,ROW(),29,1000-ROW(),1),OFFSET($A$1,ROW(),20,1000-ROW(),1),ROW(),OFFSET($A$1,ROW(),21,1000-ROW(),1),"Sub"))))</f>
        <v/>
      </c>
      <c r="J42" s="60">
        <f>IF(N($W42)=0,"",IF(AND($S42=MesCiclo,2&gt;SemanaActual),"",MIN(1,SUMIFS(OFFSET($A$1,ROW(),30,1000-ROW(),1),OFFSET($A$1,ROW(),20,1000-ROW(),1),ROW(),OFFSET($A$1,ROW(),21,1000-ROW(),1),"Sub"))))</f>
        <v/>
      </c>
      <c r="K42" s="60">
        <f>IF(N($W42)=0,"",IF(AND($S42=MesCiclo,3&gt;SemanaActual),"",MIN(1,SUMIFS(OFFSET($A$1,ROW(),31,1000-ROW(),1),OFFSET($A$1,ROW(),20,1000-ROW(),1),ROW(),OFFSET($A$1,ROW(),21,1000-ROW(),1),"Sub"))))</f>
        <v/>
      </c>
      <c r="L42" s="60">
        <f>IF(N($W42)=0,"",IF(AND($S42=MesCiclo,4&gt;SemanaActual),"",MIN(1,SUMIFS(OFFSET($A$1,ROW(),32,1000-ROW(),1),OFFSET($A$1,ROW(),20,1000-ROW(),1),ROW(),OFFSET($A$1,ROW(),21,1000-ROW(),1),"Sub"))))</f>
        <v/>
      </c>
      <c r="M42" s="61">
        <f>IF(OR(NOT((COUNTA($B42:$D42)+COUNTA($G42:$H42)+COUNTA($Q42))&gt;0),$V42="Sub"),"",IF(ISNUMBER($G42),1,IF(N($W42)&gt;0,MIN(1,SUMIFS($Y$5:$Y$1000,$U$5:$U$1000,ROW(),$V$5:$V$1000,"Sub")),$Y42)))</f>
        <v/>
      </c>
      <c r="N42" s="56">
        <f>IF(OR($M42="",$V42="Sub"),"",IF($M42&gt;=1,"Completado",IF($M42&gt;0,"En curso","Pendiente")))</f>
        <v/>
      </c>
      <c r="O42" s="56">
        <f>IF(OR(NOT((COUNTA($B42:$D42)+COUNTA($G42:$H42)+COUNTA($Q42))&gt;0),$V42="Sub"),"",IF(ISNUMBER($G42),IF(AND(ISNUMBER($AS42),$G42&gt;$AS42),"Cumplida con "&amp;($G42-$AS42)&amp;IF($G42-$AS42=1," día"," días")&amp;" de retraso","Cumplida"),IF(N($M42)&gt;=1,"Cumplida",IF(NOT(ISNUMBER($AS42)),"Sin fecha límite",IF($AS42&lt;FechaRef,"Vencida hace "&amp;(FechaRef-$AS42)&amp;IF(FechaRef-$AS42=1," día"," días"),IF($AS42=FechaRef,"Vence hoy",IF($AS42-FechaRef&lt;=DiasAlerta,"Vence en "&amp;($AS42-FechaRef)&amp;IF($AS42-FechaRef=1," día"," días"),"En plazo")))))))</f>
        <v/>
      </c>
      <c r="P42" s="62" t="n"/>
      <c r="Q42" s="58" t="n"/>
      <c r="R42" s="63">
        <f>IF(NOT((COUNTA($B42:$D42)+COUNTA($G42:$H42)+COUNTA($Q42))&gt;0),"",IF((IF($C42="","Falta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 OK","⚠ "&amp;LEFT(IF($C42="","Falta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",""),LEN(IF($C42="","Falta el nombre de la actividad"&amp;" · ","")&amp;IF(AND($V42="Sub",N($U42)=0),"Subactividad sin macroactividad arriba"&amp;" · ","")&amp;IF(AND($V42="Macro",$AR42=""),"Sin fecha de inicio"&amp;" · ","")&amp;IF(AND($V42="Macro",$AS42=""),"Sin fecha límite"&amp;" · ","")&amp;IF(AND(LEFT($C42,11)="[Jefatura] ",N($AQ42)=0),"No se encuentra en la hoja de la jefatura (elíjala de nuevo en la lista)"&amp;" · ","")&amp;IF(OR(AND($E42&lt;&gt;"",NOT(ISNUMBER($E42))),AND($F42&lt;&gt;"",NOT(ISNUMBER($F42))),AND($G42&lt;&gt;"",NOT(ISNUMBER($G42)))),"Fecha no válida"&amp;" · ","")&amp;IF(AND(ISNUMBER($AR42),ISNUMBER($AS42),$AR42&gt;$AS42),"Inicio posterior a fecha límite"&amp;" · ","")&amp;IF(AND($V42="Macro",$H42&lt;&gt;"",OR(NOT(ISNUMBER($H42)),$H42&lt;0,$H42&gt;1)),"Peso fuera de rango"&amp;" · ","")&amp;IF(AND($V42="Sub",$H42&lt;&gt;"",OR(NOT(ISNUMBER($H42)),$H42&lt;0,$H42&gt;1)),"% de la subactividad fuera de rango 0-100%"&amp;" · ","")&amp;IF(AND(N($W42)&gt;0,SUMIFS($H$5:$H$1000,$U$5:$U$1000,ROW(),$V$5:$V$1000,"Sub")&gt;1.0001),"Las subactividades suman más de 100%"&amp;" · ","")&amp;IF(AND(N($W42)&gt;0,OR(IF(ISNUMBER($I42),ROUND($I42,6)&lt;&gt;ROUND(MIN(1,SUMIFS($AD$5:$AD$1000,$U$5:$U$1000,ROW(),$V$5:$V$1000,"Sub")),6),FALSE),IF(ISNUMBER($J42),ROUND($J42,6)&lt;&gt;ROUND(MIN(1,SUMIFS($AE$5:$AE$1000,$U$5:$U$1000,ROW(),$V$5:$V$1000,"Sub")),6),FALSE),IF(ISNUMBER($K42),ROUND($K42,6)&lt;&gt;ROUND(MIN(1,SUMIFS($AF$5:$AF$1000,$U$5:$U$1000,ROW(),$V$5:$V$1000,"Sub")),6),FALSE),IF(ISNUMBER($L42),ROUND($L42,6)&lt;&gt;ROUND(MIN(1,SUMIFS($AG$5:$AG$1000,$U$5:$U$1000,ROW(),$V$5:$V$1000,"Sub")),6),FALSE))),"Con subactividades: no escriba en las semanas (se llenan solas)"&amp;" · ","")&amp;IF((COUNTIF($I42:$L42,"&gt;1")+COUNTIF($I42:$L42,"&lt;0")+SUMPRODUCT((LEN($I42:$L42)&gt;0)*NOT(ISNUMBER($I42:$L42))))&gt;0,"Avance fuera de rango 0-100%"&amp;" · ","")&amp;IF(OR(AND(ISNUMBER($J42),$J42&lt;N($I42)),AND(ISNUMBER($K42),$K42&lt;MAX($I42:$J42)),AND(ISNUMBER($L42),$L42&lt;MAX($I42:$K42))),"Avance semanal decreciente"&amp;" · ","")&amp;IF(AND(ISNUMBER($AS42),$AS42&lt;FechaRef,IF($V42="Sub",1,N($M42))&lt;1),"Vencida"&amp;" · ","")&amp;IF(AND(ObsObligatoria="Sí",ISNUMBER($AS42),$AS42&lt;FechaRef,IF($V42="Sub",1,N($M42))&lt;1,$Q42=""),"Vencida sin observación"&amp;" · ",""))-3)))</f>
        <v/>
      </c>
      <c r="S42" s="64">
        <f>IF(NOT((COUNTA($B42:$D42)+COUNTA($G42:$H42)+COUNTA($Q42))&gt;0),"",IF(AND($V42="Sub",N($U42)&gt;0),IF(ISNUMBER(INDEX($AR$5:$AR$1000,$U42-4)),DATE(YEAR(INDEX($AR$5:$AR$1000,$U42-4)),MONTH(INDEX($AR$5:$AR$1000,$U42-4)),1),IF(ISNUMBER(INDEX($AS$5:$AS$1000,$U42-4)),DATE(YEAR(INDEX($AS$5:$AS$1000,$U42-4)),MONTH(INDEX($AS$5:$AS$1000,$U42-4)),1),MesCiclo)),IF(ISNUMBER($AR42),DATE(YEAR($AR42),MONTH($AR42),1),IF(ISNUMBER($AS42),DATE(YEAR($AS42),MONTH($AS42),1),MesCiclo))))</f>
        <v/>
      </c>
      <c r="T42" s="62">
        <f>IF(OR($S42="",$S42&lt;&gt;MesCiclo,$V42&lt;&gt;"Macro"),"",COUNTIFS($S$5:$S42,MesCiclo,$V$5:$V42,"Macro"))</f>
        <v/>
      </c>
      <c r="U42" s="62">
        <f>IF($V42="","",IF($V42="Macro",ROW(),IFERROR(LOOKUP(2,1/($V$5:$V42="Macro"),ROW($V$5:$V42)),0)))</f>
        <v/>
      </c>
      <c r="V42" s="62">
        <f>IF(NOT((COUNTA($B42:$D42)+COUNTA($G42:$H42)+COUNTA($Q42))&gt;0),"",IF($B42="Subactividad","Sub","Macro"))</f>
        <v/>
      </c>
      <c r="W42" s="62">
        <f>IF($V42="Macro",COUNTIFS($U$5:$U$1000,ROW(),$V$5:$V$1000,"Sub"),"")</f>
        <v/>
      </c>
      <c r="X42" s="62">
        <f>IF($V42&lt;&gt;"Sub","",IF(AND(ISNUMBER($H42),N($H42)&gt;0),$H42,IFERROR(MAX(0,1-SUMIFS($H$5:$H$1000,$U$5:$U$1000,$U42,$V$5:$V$1000,"Sub"))/(COUNTIFS($U$5:$U$1000,$U42,$V$5:$V$1000,"Sub")-COUNTIFS($U$5:$U$1000,$U42,$V$5:$V$1000,"Sub",$H$5:$H$1000,"&gt;0")),0)))</f>
        <v/>
      </c>
      <c r="Y42" s="62">
        <f>IF($V42="","",IF($V42="Sub",N($X42)*IF(ISNUMBER($G42),1,MIN(1,MAX(0,IFERROR(LOOKUP(2,1/ISNUMBER($I42:$L42),$I42:$L42),0)))),IF(ISNUMBER($G42),1,IFERROR(LOOKUP(2,1/($I42:$L42&lt;&gt;""),$I42:$L42),0))))</f>
        <v/>
      </c>
      <c r="Z42" s="62">
        <f>IF($V42="","",IF(AND(ISNUMBER($G42),$G42&lt;=IF($S42=MesCiclo,InicioCiclo,$S42+MOD(2-WEEKDAY($S42),7))+6),1,IF(ISNUMBER($I42),$I42,0)))</f>
        <v/>
      </c>
      <c r="AA42" s="62">
        <f>IF($V42="","",IF(AND(ISNUMBER($G42),$G42&lt;=IF($S42=MesCiclo,InicioCiclo,$S42+MOD(2-WEEKDAY($S42),7))+13),1,IF(ISNUMBER($J42),$J42,$Z42)))</f>
        <v/>
      </c>
      <c r="AB42" s="62">
        <f>IF($V42="","",IF(AND(ISNUMBER($G42),$G42&lt;=IF($S42=MesCiclo,InicioCiclo,$S42+MOD(2-WEEKDAY($S42),7))+20),1,IF(ISNUMBER($K42),$K42,$AA42)))</f>
        <v/>
      </c>
      <c r="AC42" s="62">
        <f>IF($V42="","",IF(AND(ISNUMBER($G42),$G42&lt;=IF($S42=MesCiclo,InicioCiclo,$S42+MOD(2-WEEKDAY($S42),7))+27),1,IF(ISNUMBER($L42),$L42,$AB42)))</f>
        <v/>
      </c>
      <c r="AD42" s="62">
        <f>IF($V42&lt;&gt;"Sub","",N($X42)*IF(AND(ISNUMBER($G42),$G42&lt;=IF($S42=MesCiclo,InicioCiclo,$S42+MOD(2-WEEKDAY($S42),7))+6),1,MIN(1,MAX(0,IF(ISNUMBER(OFFSET($A$1,ROW()-1,8)),OFFSET($A$1,ROW()-1,8),0)))))</f>
        <v/>
      </c>
      <c r="AE42" s="62">
        <f>IF($V42&lt;&gt;"Sub","",N($X42)*IF(AND(ISNUMBER($G42),$G42&lt;=IF($S42=MesCiclo,InicioCiclo,$S42+MOD(2-WEEKDAY($S42),7))+13),1,MIN(1,MAX(0,IF(ISNUMBER(OFFSET($A$1,ROW()-1,9)),OFFSET($A$1,ROW()-1,9),IF(ISNUMBER(OFFSET($A$1,ROW()-1,8)),OFFSET($A$1,ROW()-1,8),0))))))</f>
        <v/>
      </c>
      <c r="AF42" s="62">
        <f>IF($V42&lt;&gt;"Sub","",N($X42)*IF(AND(ISNUMBER($G42),$G42&lt;=IF($S42=MesCiclo,InicioCiclo,$S42+MOD(2-WEEKDAY($S42),7))+20),1,MIN(1,MAX(0,IF(ISNUMBER(OFFSET($A$1,ROW()-1,10)),OFFSET($A$1,ROW()-1,10),IF(ISNUMBER(OFFSET($A$1,ROW()-1,9)),OFFSET($A$1,ROW()-1,9),IF(ISNUMBER(OFFSET($A$1,ROW()-1,8)),OFFSET($A$1,ROW()-1,8),0)))))))</f>
        <v/>
      </c>
      <c r="AG42" s="62">
        <f>IF($V42&lt;&gt;"Sub","",N($X42)*IF(AND(ISNUMBER($G42),$G42&lt;=IF($S42=MesCiclo,InicioCiclo,$S42+MOD(2-WEEKDAY($S42),7))+27),1,MIN(1,MAX(0,IF(ISNUMBER(OFFSET($A$1,ROW()-1,11)),OFFSET($A$1,ROW()-1,11),IF(ISNUMBER(OFFSET($A$1,ROW()-1,10)),OFFSET($A$1,ROW()-1,10),IF(ISNUMBER(OFFSET($A$1,ROW()-1,9)),OFFSET($A$1,ROW()-1,9),IF(ISNUMBER(OFFSET($A$1,ROW()-1,8)),OFFSET($A$1,ROW()-1,8),0))))))))</f>
        <v/>
      </c>
      <c r="AH42" s="62">
        <f>IF($V42="","",IF(AND(ISNUMBER($G42),$G42&lt;=IF($S42=MesCiclo,InicioCiclo,$S42+MOD(2-WEEKDAY($S42),7))+6),1,IF(N($W42)&gt;0,MIN(1,SUMIFS($AD$5:$AD$1000,$U$5:$U$1000,ROW(),$V$5:$V$1000,"Sub")),$Z42)))</f>
        <v/>
      </c>
      <c r="AI42" s="62">
        <f>IF($V42="","",IF(AND(ISNUMBER($G42),$G42&lt;=IF($S42=MesCiclo,InicioCiclo,$S42+MOD(2-WEEKDAY($S42),7))+13),1,IF(N($W42)&gt;0,MIN(1,SUMIFS($AE$5:$AE$1000,$U$5:$U$1000,ROW(),$V$5:$V$1000,"Sub")),$AA42)))</f>
        <v/>
      </c>
      <c r="AJ42" s="62">
        <f>IF($V42="","",IF(AND(ISNUMBER($G42),$G42&lt;=IF($S42=MesCiclo,InicioCiclo,$S42+MOD(2-WEEKDAY($S42),7))+20),1,IF(N($W42)&gt;0,MIN(1,SUMIFS($AF$5:$AF$1000,$U$5:$U$1000,ROW(),$V$5:$V$1000,"Sub")),$AB42)))</f>
        <v/>
      </c>
      <c r="AK42" s="62">
        <f>IF($V42="","",IF(AND(ISNUMBER($G42),$G42&lt;=IF($S42=MesCiclo,InicioCiclo,$S42+MOD(2-WEEKDAY($S42),7))+27),1,IF(N($W42)&gt;0,MIN(1,SUMIFS($AG$5:$AG$1000,$U$5:$U$1000,ROW(),$V$5:$V$1000,"Sub")),$AC42)))</f>
        <v/>
      </c>
      <c r="AL42" s="62">
        <f>IF($V42&lt;&gt;"Macro","",IF(COUNTIFS($S$5:$S$1000,$S42,$V$5:$V$1000,"Macro",$H$5:$H$1000,"&gt;0")=0,1/COUNTIFS($S$5:$S$1000,$S42,$V$5:$V$1000,"Macro"),IF(AND(ISNUMBER($H42),N($H42)&gt;0),$H42,SUMIFS($H$5:$H$1000,$S$5:$S$1000,$S42,$V$5:$V$1000,"Macro")/COUNTIFS($S$5:$S$1000,$S42,$V$5:$V$1000,"Macro",$H$5:$H$1000,"&gt;0"))/(COUNTIFS($S$5:$S$1000,$S42,$V$5:$V$1000,"Macro")*SUMIFS($H$5:$H$1000,$S$5:$S$1000,$S42,$V$5:$V$1000,"Macro")/COUNTIFS($S$5:$S$1000,$S42,$V$5:$V$1000,"Macro",$H$5:$H$1000,"&gt;0"))))</f>
        <v/>
      </c>
      <c r="AM42" s="62" t="n"/>
      <c r="AN42" s="62" t="n"/>
      <c r="AO42" s="62" t="n"/>
      <c r="AP42" s="62" t="n"/>
      <c r="AQ42" s="62">
        <f>IF(LEFT($C42,11)="[Jefatura] ",IFERROR(MATCH("Asistente Técnico de Riesgo|"&amp;MID($C42,12,500),rDname_ADM,0),0),"")</f>
        <v/>
      </c>
      <c r="AR42" s="62">
        <f>IF(N($AQ42)&gt;0,INDEX(rIni_ADM,$AQ42),IF(ISNUMBER($E42),$E42,""))</f>
        <v/>
      </c>
      <c r="AS42" s="62">
        <f>IF(N($AQ42)&gt;0,INDEX(rLim_ADM,$AQ42),IF(ISNUMBER($F42),$F42,""))</f>
        <v/>
      </c>
    </row>
    <row r="43">
      <c r="A43" s="56">
        <f>IF(NOT((COUNTA($B43:$D43)+COUNTA($G43:$H43)+COUNTA($Q43))&gt;0),"",IF($V43="Macro",COUNTIFS($V$5:$V43,"Macro",$S$5:$S43,$S43),IF(N($U43)=0,"?",COUNTIFS(INDEX($V$5:$V$1000,1):INDEX($V$5:$V$1000,$U43-4),"Macro",INDEX($S$5:$S$1000,1):INDEX($S$5:$S$1000,$U43-4),INDEX($S$5:$S$1000,$U43-4))&amp;"."&amp;COUNTIFS($U$5:$U43,$U43,$V$5:$V43,"Sub"))))</f>
        <v/>
      </c>
      <c r="B43" s="57" t="n"/>
      <c r="C43" s="58" t="n"/>
      <c r="D43" s="58" t="n"/>
      <c r="E43" s="59">
        <f>IF(N($AQ43)&gt;0,INDEX(rIni_ADM,$AQ43),"")</f>
        <v/>
      </c>
      <c r="F43" s="59">
        <f>IF(N($AQ43)&gt;0,INDEX(rLim_ADM,$AQ43),"")</f>
        <v/>
      </c>
      <c r="G43" s="59" t="n"/>
      <c r="H43" s="60" t="n"/>
      <c r="I43" s="60">
        <f>IF(N($W43)=0,"",IF(AND($S43=MesCiclo,1&gt;SemanaActual),"",MIN(1,SUMIFS(OFFSET($A$1,ROW(),29,1000-ROW(),1),OFFSET($A$1,ROW(),20,1000-ROW(),1),ROW(),OFFSET($A$1,ROW(),21,1000-ROW(),1),"Sub"))))</f>
        <v/>
      </c>
      <c r="J43" s="60">
        <f>IF(N($W43)=0,"",IF(AND($S43=MesCiclo,2&gt;SemanaActual),"",MIN(1,SUMIFS(OFFSET($A$1,ROW(),30,1000-ROW(),1),OFFSET($A$1,ROW(),20,1000-ROW(),1),ROW(),OFFSET($A$1,ROW(),21,1000-ROW(),1),"Sub"))))</f>
        <v/>
      </c>
      <c r="K43" s="60">
        <f>IF(N($W43)=0,"",IF(AND($S43=MesCiclo,3&gt;SemanaActual),"",MIN(1,SUMIFS(OFFSET($A$1,ROW(),31,1000-ROW(),1),OFFSET($A$1,ROW(),20,1000-ROW(),1),ROW(),OFFSET($A$1,ROW(),21,1000-ROW(),1),"Sub"))))</f>
        <v/>
      </c>
      <c r="L43" s="60">
        <f>IF(N($W43)=0,"",IF(AND($S43=MesCiclo,4&gt;SemanaActual),"",MIN(1,SUMIFS(OFFSET($A$1,ROW(),32,1000-ROW(),1),OFFSET($A$1,ROW(),20,1000-ROW(),1),ROW(),OFFSET($A$1,ROW(),21,1000-ROW(),1),"Sub"))))</f>
        <v/>
      </c>
      <c r="M43" s="61">
        <f>IF(OR(NOT((COUNTA($B43:$D43)+COUNTA($G43:$H43)+COUNTA($Q43))&gt;0),$V43="Sub"),"",IF(ISNUMBER($G43),1,IF(N($W43)&gt;0,MIN(1,SUMIFS($Y$5:$Y$1000,$U$5:$U$1000,ROW(),$V$5:$V$1000,"Sub")),$Y43)))</f>
        <v/>
      </c>
      <c r="N43" s="56">
        <f>IF(OR($M43="",$V43="Sub"),"",IF($M43&gt;=1,"Completado",IF($M43&gt;0,"En curso","Pendiente")))</f>
        <v/>
      </c>
      <c r="O43" s="56">
        <f>IF(OR(NOT((COUNTA($B43:$D43)+COUNTA($G43:$H43)+COUNTA($Q43))&gt;0),$V43="Sub"),"",IF(ISNUMBER($G43),IF(AND(ISNUMBER($AS43),$G43&gt;$AS43),"Cumplida con "&amp;($G43-$AS43)&amp;IF($G43-$AS43=1," día"," días")&amp;" de retraso","Cumplida"),IF(N($M43)&gt;=1,"Cumplida",IF(NOT(ISNUMBER($AS43)),"Sin fecha límite",IF($AS43&lt;FechaRef,"Vencida hace "&amp;(FechaRef-$AS43)&amp;IF(FechaRef-$AS43=1," día"," días"),IF($AS43=FechaRef,"Vence hoy",IF($AS43-FechaRef&lt;=DiasAlerta,"Vence en "&amp;($AS43-FechaRef)&amp;IF($AS43-FechaRef=1," día"," días"),"En plazo")))))))</f>
        <v/>
      </c>
      <c r="P43" s="62" t="n"/>
      <c r="Q43" s="58" t="n"/>
      <c r="R43" s="63">
        <f>IF(NOT((COUNTA($B43:$D43)+COUNTA($G43:$H43)+COUNTA($Q43))&gt;0),"",IF((IF($C43="","Falta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 OK","⚠ "&amp;LEFT(IF($C43="","Falta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",""),LEN(IF($C43="","Falta el nombre de la actividad"&amp;" · ","")&amp;IF(AND($V43="Sub",N($U43)=0),"Subactividad sin macroactividad arriba"&amp;" · ","")&amp;IF(AND($V43="Macro",$AR43=""),"Sin fecha de inicio"&amp;" · ","")&amp;IF(AND($V43="Macro",$AS43=""),"Sin fecha límite"&amp;" · ","")&amp;IF(AND(LEFT($C43,11)="[Jefatura] ",N($AQ43)=0),"No se encuentra en la hoja de la jefatura (elíjala de nuevo en la lista)"&amp;" · ","")&amp;IF(OR(AND($E43&lt;&gt;"",NOT(ISNUMBER($E43))),AND($F43&lt;&gt;"",NOT(ISNUMBER($F43))),AND($G43&lt;&gt;"",NOT(ISNUMBER($G43)))),"Fecha no válida"&amp;" · ","")&amp;IF(AND(ISNUMBER($AR43),ISNUMBER($AS43),$AR43&gt;$AS43),"Inicio posterior a fecha límite"&amp;" · ","")&amp;IF(AND($V43="Macro",$H43&lt;&gt;"",OR(NOT(ISNUMBER($H43)),$H43&lt;0,$H43&gt;1)),"Peso fuera de rango"&amp;" · ","")&amp;IF(AND($V43="Sub",$H43&lt;&gt;"",OR(NOT(ISNUMBER($H43)),$H43&lt;0,$H43&gt;1)),"% de la subactividad fuera de rango 0-100%"&amp;" · ","")&amp;IF(AND(N($W43)&gt;0,SUMIFS($H$5:$H$1000,$U$5:$U$1000,ROW(),$V$5:$V$1000,"Sub")&gt;1.0001),"Las subactividades suman más de 100%"&amp;" · ","")&amp;IF(AND(N($W43)&gt;0,OR(IF(ISNUMBER($I43),ROUND($I43,6)&lt;&gt;ROUND(MIN(1,SUMIFS($AD$5:$AD$1000,$U$5:$U$1000,ROW(),$V$5:$V$1000,"Sub")),6),FALSE),IF(ISNUMBER($J43),ROUND($J43,6)&lt;&gt;ROUND(MIN(1,SUMIFS($AE$5:$AE$1000,$U$5:$U$1000,ROW(),$V$5:$V$1000,"Sub")),6),FALSE),IF(ISNUMBER($K43),ROUND($K43,6)&lt;&gt;ROUND(MIN(1,SUMIFS($AF$5:$AF$1000,$U$5:$U$1000,ROW(),$V$5:$V$1000,"Sub")),6),FALSE),IF(ISNUMBER($L43),ROUND($L43,6)&lt;&gt;ROUND(MIN(1,SUMIFS($AG$5:$AG$1000,$U$5:$U$1000,ROW(),$V$5:$V$1000,"Sub")),6),FALSE))),"Con subactividades: no escriba en las semanas (se llenan solas)"&amp;" · ","")&amp;IF((COUNTIF($I43:$L43,"&gt;1")+COUNTIF($I43:$L43,"&lt;0")+SUMPRODUCT((LEN($I43:$L43)&gt;0)*NOT(ISNUMBER($I43:$L43))))&gt;0,"Avance fuera de rango 0-100%"&amp;" · ","")&amp;IF(OR(AND(ISNUMBER($J43),$J43&lt;N($I43)),AND(ISNUMBER($K43),$K43&lt;MAX($I43:$J43)),AND(ISNUMBER($L43),$L43&lt;MAX($I43:$K43))),"Avance semanal decreciente"&amp;" · ","")&amp;IF(AND(ISNUMBER($AS43),$AS43&lt;FechaRef,IF($V43="Sub",1,N($M43))&lt;1),"Vencida"&amp;" · ","")&amp;IF(AND(ObsObligatoria="Sí",ISNUMBER($AS43),$AS43&lt;FechaRef,IF($V43="Sub",1,N($M43))&lt;1,$Q43=""),"Vencida sin observación"&amp;" · ",""))-3)))</f>
        <v/>
      </c>
      <c r="S43" s="64">
        <f>IF(NOT((COUNTA($B43:$D43)+COUNTA($G43:$H43)+COUNTA($Q43))&gt;0),"",IF(AND($V43="Sub",N($U43)&gt;0),IF(ISNUMBER(INDEX($AR$5:$AR$1000,$U43-4)),DATE(YEAR(INDEX($AR$5:$AR$1000,$U43-4)),MONTH(INDEX($AR$5:$AR$1000,$U43-4)),1),IF(ISNUMBER(INDEX($AS$5:$AS$1000,$U43-4)),DATE(YEAR(INDEX($AS$5:$AS$1000,$U43-4)),MONTH(INDEX($AS$5:$AS$1000,$U43-4)),1),MesCiclo)),IF(ISNUMBER($AR43),DATE(YEAR($AR43),MONTH($AR43),1),IF(ISNUMBER($AS43),DATE(YEAR($AS43),MONTH($AS43),1),MesCiclo))))</f>
        <v/>
      </c>
      <c r="T43" s="62">
        <f>IF(OR($S43="",$S43&lt;&gt;MesCiclo,$V43&lt;&gt;"Macro"),"",COUNTIFS($S$5:$S43,MesCiclo,$V$5:$V43,"Macro"))</f>
        <v/>
      </c>
      <c r="U43" s="62">
        <f>IF($V43="","",IF($V43="Macro",ROW(),IFERROR(LOOKUP(2,1/($V$5:$V43="Macro"),ROW($V$5:$V43)),0)))</f>
        <v/>
      </c>
      <c r="V43" s="62">
        <f>IF(NOT((COUNTA($B43:$D43)+COUNTA($G43:$H43)+COUNTA($Q43))&gt;0),"",IF($B43="Subactividad","Sub","Macro"))</f>
        <v/>
      </c>
      <c r="W43" s="62">
        <f>IF($V43="Macro",COUNTIFS($U$5:$U$1000,ROW(),$V$5:$V$1000,"Sub"),"")</f>
        <v/>
      </c>
      <c r="X43" s="62">
        <f>IF($V43&lt;&gt;"Sub","",IF(AND(ISNUMBER($H43),N($H43)&gt;0),$H43,IFERROR(MAX(0,1-SUMIFS($H$5:$H$1000,$U$5:$U$1000,$U43,$V$5:$V$1000,"Sub"))/(COUNTIFS($U$5:$U$1000,$U43,$V$5:$V$1000,"Sub")-COUNTIFS($U$5:$U$1000,$U43,$V$5:$V$1000,"Sub",$H$5:$H$1000,"&gt;0")),0)))</f>
        <v/>
      </c>
      <c r="Y43" s="62">
        <f>IF($V43="","",IF($V43="Sub",N($X43)*IF(ISNUMBER($G43),1,MIN(1,MAX(0,IFERROR(LOOKUP(2,1/ISNUMBER($I43:$L43),$I43:$L43),0)))),IF(ISNUMBER($G43),1,IFERROR(LOOKUP(2,1/($I43:$L43&lt;&gt;""),$I43:$L43),0))))</f>
        <v/>
      </c>
      <c r="Z43" s="62">
        <f>IF($V43="","",IF(AND(ISNUMBER($G43),$G43&lt;=IF($S43=MesCiclo,InicioCiclo,$S43+MOD(2-WEEKDAY($S43),7))+6),1,IF(ISNUMBER($I43),$I43,0)))</f>
        <v/>
      </c>
      <c r="AA43" s="62">
        <f>IF($V43="","",IF(AND(ISNUMBER($G43),$G43&lt;=IF($S43=MesCiclo,InicioCiclo,$S43+MOD(2-WEEKDAY($S43),7))+13),1,IF(ISNUMBER($J43),$J43,$Z43)))</f>
        <v/>
      </c>
      <c r="AB43" s="62">
        <f>IF($V43="","",IF(AND(ISNUMBER($G43),$G43&lt;=IF($S43=MesCiclo,InicioCiclo,$S43+MOD(2-WEEKDAY($S43),7))+20),1,IF(ISNUMBER($K43),$K43,$AA43)))</f>
        <v/>
      </c>
      <c r="AC43" s="62">
        <f>IF($V43="","",IF(AND(ISNUMBER($G43),$G43&lt;=IF($S43=MesCiclo,InicioCiclo,$S43+MOD(2-WEEKDAY($S43),7))+27),1,IF(ISNUMBER($L43),$L43,$AB43)))</f>
        <v/>
      </c>
      <c r="AD43" s="62">
        <f>IF($V43&lt;&gt;"Sub","",N($X43)*IF(AND(ISNUMBER($G43),$G43&lt;=IF($S43=MesCiclo,InicioCiclo,$S43+MOD(2-WEEKDAY($S43),7))+6),1,MIN(1,MAX(0,IF(ISNUMBER(OFFSET($A$1,ROW()-1,8)),OFFSET($A$1,ROW()-1,8),0)))))</f>
        <v/>
      </c>
      <c r="AE43" s="62">
        <f>IF($V43&lt;&gt;"Sub","",N($X43)*IF(AND(ISNUMBER($G43),$G43&lt;=IF($S43=MesCiclo,InicioCiclo,$S43+MOD(2-WEEKDAY($S43),7))+13),1,MIN(1,MAX(0,IF(ISNUMBER(OFFSET($A$1,ROW()-1,9)),OFFSET($A$1,ROW()-1,9),IF(ISNUMBER(OFFSET($A$1,ROW()-1,8)),OFFSET($A$1,ROW()-1,8),0))))))</f>
        <v/>
      </c>
      <c r="AF43" s="62">
        <f>IF($V43&lt;&gt;"Sub","",N($X43)*IF(AND(ISNUMBER($G43),$G43&lt;=IF($S43=MesCiclo,InicioCiclo,$S43+MOD(2-WEEKDAY($S43),7))+20),1,MIN(1,MAX(0,IF(ISNUMBER(OFFSET($A$1,ROW()-1,10)),OFFSET($A$1,ROW()-1,10),IF(ISNUMBER(OFFSET($A$1,ROW()-1,9)),OFFSET($A$1,ROW()-1,9),IF(ISNUMBER(OFFSET($A$1,ROW()-1,8)),OFFSET($A$1,ROW()-1,8),0)))))))</f>
        <v/>
      </c>
      <c r="AG43" s="62">
        <f>IF($V43&lt;&gt;"Sub","",N($X43)*IF(AND(ISNUMBER($G43),$G43&lt;=IF($S43=MesCiclo,InicioCiclo,$S43+MOD(2-WEEKDAY($S43),7))+27),1,MIN(1,MAX(0,IF(ISNUMBER(OFFSET($A$1,ROW()-1,11)),OFFSET($A$1,ROW()-1,11),IF(ISNUMBER(OFFSET($A$1,ROW()-1,10)),OFFSET($A$1,ROW()-1,10),IF(ISNUMBER(OFFSET($A$1,ROW()-1,9)),OFFSET($A$1,ROW()-1,9),IF(ISNUMBER(OFFSET($A$1,ROW()-1,8)),OFFSET($A$1,ROW()-1,8),0))))))))</f>
        <v/>
      </c>
      <c r="AH43" s="62">
        <f>IF($V43="","",IF(AND(ISNUMBER($G43),$G43&lt;=IF($S43=MesCiclo,InicioCiclo,$S43+MOD(2-WEEKDAY($S43),7))+6),1,IF(N($W43)&gt;0,MIN(1,SUMIFS($AD$5:$AD$1000,$U$5:$U$1000,ROW(),$V$5:$V$1000,"Sub")),$Z43)))</f>
        <v/>
      </c>
      <c r="AI43" s="62">
        <f>IF($V43="","",IF(AND(ISNUMBER($G43),$G43&lt;=IF($S43=MesCiclo,InicioCiclo,$S43+MOD(2-WEEKDAY($S43),7))+13),1,IF(N($W43)&gt;0,MIN(1,SUMIFS($AE$5:$AE$1000,$U$5:$U$1000,ROW(),$V$5:$V$1000,"Sub")),$AA43)))</f>
        <v/>
      </c>
      <c r="AJ43" s="62">
        <f>IF($V43="","",IF(AND(ISNUMBER($G43),$G43&lt;=IF($S43=MesCiclo,InicioCiclo,$S43+MOD(2-WEEKDAY($S43),7))+20),1,IF(N($W43)&gt;0,MIN(1,SUMIFS($AF$5:$AF$1000,$U$5:$U$1000,ROW(),$V$5:$V$1000,"Sub")),$AB43)))</f>
        <v/>
      </c>
      <c r="AK43" s="62">
        <f>IF($V43="","",IF(AND(ISNUMBER($G43),$G43&lt;=IF($S43=MesCiclo,InicioCiclo,$S43+MOD(2-WEEKDAY($S43),7))+27),1,IF(N($W43)&gt;0,MIN(1,SUMIFS($AG$5:$AG$1000,$U$5:$U$1000,ROW(),$V$5:$V$1000,"Sub")),$AC43)))</f>
        <v/>
      </c>
      <c r="AL43" s="62">
        <f>IF($V43&lt;&gt;"Macro","",IF(COUNTIFS($S$5:$S$1000,$S43,$V$5:$V$1000,"Macro",$H$5:$H$1000,"&gt;0")=0,1/COUNTIFS($S$5:$S$1000,$S43,$V$5:$V$1000,"Macro"),IF(AND(ISNUMBER($H43),N($H43)&gt;0),$H43,SUMIFS($H$5:$H$1000,$S$5:$S$1000,$S43,$V$5:$V$1000,"Macro")/COUNTIFS($S$5:$S$1000,$S43,$V$5:$V$1000,"Macro",$H$5:$H$1000,"&gt;0"))/(COUNTIFS($S$5:$S$1000,$S43,$V$5:$V$1000,"Macro")*SUMIFS($H$5:$H$1000,$S$5:$S$1000,$S43,$V$5:$V$1000,"Macro")/COUNTIFS($S$5:$S$1000,$S43,$V$5:$V$1000,"Macro",$H$5:$H$1000,"&gt;0"))))</f>
        <v/>
      </c>
      <c r="AM43" s="62" t="n"/>
      <c r="AN43" s="62" t="n"/>
      <c r="AO43" s="62" t="n"/>
      <c r="AP43" s="62" t="n"/>
      <c r="AQ43" s="62">
        <f>IF(LEFT($C43,11)="[Jefatura] ",IFERROR(MATCH("Asistente Técnico de Riesgo|"&amp;MID($C43,12,500),rDname_ADM,0),0),"")</f>
        <v/>
      </c>
      <c r="AR43" s="62">
        <f>IF(N($AQ43)&gt;0,INDEX(rIni_ADM,$AQ43),IF(ISNUMBER($E43),$E43,""))</f>
        <v/>
      </c>
      <c r="AS43" s="62">
        <f>IF(N($AQ43)&gt;0,INDEX(rLim_ADM,$AQ43),IF(ISNUMBER($F43),$F43,""))</f>
        <v/>
      </c>
    </row>
    <row r="44">
      <c r="A44" s="56">
        <f>IF(NOT((COUNTA($B44:$D44)+COUNTA($G44:$H44)+COUNTA($Q44))&gt;0),"",IF($V44="Macro",COUNTIFS($V$5:$V44,"Macro",$S$5:$S44,$S44),IF(N($U44)=0,"?",COUNTIFS(INDEX($V$5:$V$1000,1):INDEX($V$5:$V$1000,$U44-4),"Macro",INDEX($S$5:$S$1000,1):INDEX($S$5:$S$1000,$U44-4),INDEX($S$5:$S$1000,$U44-4))&amp;"."&amp;COUNTIFS($U$5:$U44,$U44,$V$5:$V44,"Sub"))))</f>
        <v/>
      </c>
      <c r="B44" s="57" t="n"/>
      <c r="C44" s="58" t="n"/>
      <c r="D44" s="58" t="n"/>
      <c r="E44" s="59">
        <f>IF(N($AQ44)&gt;0,INDEX(rIni_ADM,$AQ44),"")</f>
        <v/>
      </c>
      <c r="F44" s="59">
        <f>IF(N($AQ44)&gt;0,INDEX(rLim_ADM,$AQ44),"")</f>
        <v/>
      </c>
      <c r="G44" s="59" t="n"/>
      <c r="H44" s="60" t="n"/>
      <c r="I44" s="60">
        <f>IF(N($W44)=0,"",IF(AND($S44=MesCiclo,1&gt;SemanaActual),"",MIN(1,SUMIFS(OFFSET($A$1,ROW(),29,1000-ROW(),1),OFFSET($A$1,ROW(),20,1000-ROW(),1),ROW(),OFFSET($A$1,ROW(),21,1000-ROW(),1),"Sub"))))</f>
        <v/>
      </c>
      <c r="J44" s="60">
        <f>IF(N($W44)=0,"",IF(AND($S44=MesCiclo,2&gt;SemanaActual),"",MIN(1,SUMIFS(OFFSET($A$1,ROW(),30,1000-ROW(),1),OFFSET($A$1,ROW(),20,1000-ROW(),1),ROW(),OFFSET($A$1,ROW(),21,1000-ROW(),1),"Sub"))))</f>
        <v/>
      </c>
      <c r="K44" s="60">
        <f>IF(N($W44)=0,"",IF(AND($S44=MesCiclo,3&gt;SemanaActual),"",MIN(1,SUMIFS(OFFSET($A$1,ROW(),31,1000-ROW(),1),OFFSET($A$1,ROW(),20,1000-ROW(),1),ROW(),OFFSET($A$1,ROW(),21,1000-ROW(),1),"Sub"))))</f>
        <v/>
      </c>
      <c r="L44" s="60">
        <f>IF(N($W44)=0,"",IF(AND($S44=MesCiclo,4&gt;SemanaActual),"",MIN(1,SUMIFS(OFFSET($A$1,ROW(),32,1000-ROW(),1),OFFSET($A$1,ROW(),20,1000-ROW(),1),ROW(),OFFSET($A$1,ROW(),21,1000-ROW(),1),"Sub"))))</f>
        <v/>
      </c>
      <c r="M44" s="61">
        <f>IF(OR(NOT((COUNTA($B44:$D44)+COUNTA($G44:$H44)+COUNTA($Q44))&gt;0),$V44="Sub"),"",IF(ISNUMBER($G44),1,IF(N($W44)&gt;0,MIN(1,SUMIFS($Y$5:$Y$1000,$U$5:$U$1000,ROW(),$V$5:$V$1000,"Sub")),$Y44)))</f>
        <v/>
      </c>
      <c r="N44" s="56">
        <f>IF(OR($M44="",$V44="Sub"),"",IF($M44&gt;=1,"Completado",IF($M44&gt;0,"En curso","Pendiente")))</f>
        <v/>
      </c>
      <c r="O44" s="56">
        <f>IF(OR(NOT((COUNTA($B44:$D44)+COUNTA($G44:$H44)+COUNTA($Q44))&gt;0),$V44="Sub"),"",IF(ISNUMBER($G44),IF(AND(ISNUMBER($AS44),$G44&gt;$AS44),"Cumplida con "&amp;($G44-$AS44)&amp;IF($G44-$AS44=1," día"," días")&amp;" de retraso","Cumplida"),IF(N($M44)&gt;=1,"Cumplida",IF(NOT(ISNUMBER($AS44)),"Sin fecha límite",IF($AS44&lt;FechaRef,"Vencida hace "&amp;(FechaRef-$AS44)&amp;IF(FechaRef-$AS44=1," día"," días"),IF($AS44=FechaRef,"Vence hoy",IF($AS44-FechaRef&lt;=DiasAlerta,"Vence en "&amp;($AS44-FechaRef)&amp;IF($AS44-FechaRef=1," día"," días"),"En plazo")))))))</f>
        <v/>
      </c>
      <c r="P44" s="62" t="n"/>
      <c r="Q44" s="58" t="n"/>
      <c r="R44" s="63">
        <f>IF(NOT((COUNTA($B44:$D44)+COUNTA($G44:$H44)+COUNTA($Q44))&gt;0),"",IF((IF($C44="","Falta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 OK","⚠ "&amp;LEFT(IF($C44="","Falta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",""),LEN(IF($C44="","Falta el nombre de la actividad"&amp;" · ","")&amp;IF(AND($V44="Sub",N($U44)=0),"Subactividad sin macroactividad arriba"&amp;" · ","")&amp;IF(AND($V44="Macro",$AR44=""),"Sin fecha de inicio"&amp;" · ","")&amp;IF(AND($V44="Macro",$AS44=""),"Sin fecha límite"&amp;" · ","")&amp;IF(AND(LEFT($C44,11)="[Jefatura] ",N($AQ44)=0),"No se encuentra en la hoja de la jefatura (elíjala de nuevo en la lista)"&amp;" · ","")&amp;IF(OR(AND($E44&lt;&gt;"",NOT(ISNUMBER($E44))),AND($F44&lt;&gt;"",NOT(ISNUMBER($F44))),AND($G44&lt;&gt;"",NOT(ISNUMBER($G44)))),"Fecha no válida"&amp;" · ","")&amp;IF(AND(ISNUMBER($AR44),ISNUMBER($AS44),$AR44&gt;$AS44),"Inicio posterior a fecha límite"&amp;" · ","")&amp;IF(AND($V44="Macro",$H44&lt;&gt;"",OR(NOT(ISNUMBER($H44)),$H44&lt;0,$H44&gt;1)),"Peso fuera de rango"&amp;" · ","")&amp;IF(AND($V44="Sub",$H44&lt;&gt;"",OR(NOT(ISNUMBER($H44)),$H44&lt;0,$H44&gt;1)),"% de la subactividad fuera de rango 0-100%"&amp;" · ","")&amp;IF(AND(N($W44)&gt;0,SUMIFS($H$5:$H$1000,$U$5:$U$1000,ROW(),$V$5:$V$1000,"Sub")&gt;1.0001),"Las subactividades suman más de 100%"&amp;" · ","")&amp;IF(AND(N($W44)&gt;0,OR(IF(ISNUMBER($I44),ROUND($I44,6)&lt;&gt;ROUND(MIN(1,SUMIFS($AD$5:$AD$1000,$U$5:$U$1000,ROW(),$V$5:$V$1000,"Sub")),6),FALSE),IF(ISNUMBER($J44),ROUND($J44,6)&lt;&gt;ROUND(MIN(1,SUMIFS($AE$5:$AE$1000,$U$5:$U$1000,ROW(),$V$5:$V$1000,"Sub")),6),FALSE),IF(ISNUMBER($K44),ROUND($K44,6)&lt;&gt;ROUND(MIN(1,SUMIFS($AF$5:$AF$1000,$U$5:$U$1000,ROW(),$V$5:$V$1000,"Sub")),6),FALSE),IF(ISNUMBER($L44),ROUND($L44,6)&lt;&gt;ROUND(MIN(1,SUMIFS($AG$5:$AG$1000,$U$5:$U$1000,ROW(),$V$5:$V$1000,"Sub")),6),FALSE))),"Con subactividades: no escriba en las semanas (se llenan solas)"&amp;" · ","")&amp;IF((COUNTIF($I44:$L44,"&gt;1")+COUNTIF($I44:$L44,"&lt;0")+SUMPRODUCT((LEN($I44:$L44)&gt;0)*NOT(ISNUMBER($I44:$L44))))&gt;0,"Avance fuera de rango 0-100%"&amp;" · ","")&amp;IF(OR(AND(ISNUMBER($J44),$J44&lt;N($I44)),AND(ISNUMBER($K44),$K44&lt;MAX($I44:$J44)),AND(ISNUMBER($L44),$L44&lt;MAX($I44:$K44))),"Avance semanal decreciente"&amp;" · ","")&amp;IF(AND(ISNUMBER($AS44),$AS44&lt;FechaRef,IF($V44="Sub",1,N($M44))&lt;1),"Vencida"&amp;" · ","")&amp;IF(AND(ObsObligatoria="Sí",ISNUMBER($AS44),$AS44&lt;FechaRef,IF($V44="Sub",1,N($M44))&lt;1,$Q44=""),"Vencida sin observación"&amp;" · ",""))-3)))</f>
        <v/>
      </c>
      <c r="S44" s="64">
        <f>IF(NOT((COUNTA($B44:$D44)+COUNTA($G44:$H44)+COUNTA($Q44))&gt;0),"",IF(AND($V44="Sub",N($U44)&gt;0),IF(ISNUMBER(INDEX($AR$5:$AR$1000,$U44-4)),DATE(YEAR(INDEX($AR$5:$AR$1000,$U44-4)),MONTH(INDEX($AR$5:$AR$1000,$U44-4)),1),IF(ISNUMBER(INDEX($AS$5:$AS$1000,$U44-4)),DATE(YEAR(INDEX($AS$5:$AS$1000,$U44-4)),MONTH(INDEX($AS$5:$AS$1000,$U44-4)),1),MesCiclo)),IF(ISNUMBER($AR44),DATE(YEAR($AR44),MONTH($AR44),1),IF(ISNUMBER($AS44),DATE(YEAR($AS44),MONTH($AS44),1),MesCiclo))))</f>
        <v/>
      </c>
      <c r="T44" s="62">
        <f>IF(OR($S44="",$S44&lt;&gt;MesCiclo,$V44&lt;&gt;"Macro"),"",COUNTIFS($S$5:$S44,MesCiclo,$V$5:$V44,"Macro"))</f>
        <v/>
      </c>
      <c r="U44" s="62">
        <f>IF($V44="","",IF($V44="Macro",ROW(),IFERROR(LOOKUP(2,1/($V$5:$V44="Macro"),ROW($V$5:$V44)),0)))</f>
        <v/>
      </c>
      <c r="V44" s="62">
        <f>IF(NOT((COUNTA($B44:$D44)+COUNTA($G44:$H44)+COUNTA($Q44))&gt;0),"",IF($B44="Subactividad","Sub","Macro"))</f>
        <v/>
      </c>
      <c r="W44" s="62">
        <f>IF($V44="Macro",COUNTIFS($U$5:$U$1000,ROW(),$V$5:$V$1000,"Sub"),"")</f>
        <v/>
      </c>
      <c r="X44" s="62">
        <f>IF($V44&lt;&gt;"Sub","",IF(AND(ISNUMBER($H44),N($H44)&gt;0),$H44,IFERROR(MAX(0,1-SUMIFS($H$5:$H$1000,$U$5:$U$1000,$U44,$V$5:$V$1000,"Sub"))/(COUNTIFS($U$5:$U$1000,$U44,$V$5:$V$1000,"Sub")-COUNTIFS($U$5:$U$1000,$U44,$V$5:$V$1000,"Sub",$H$5:$H$1000,"&gt;0")),0)))</f>
        <v/>
      </c>
      <c r="Y44" s="62">
        <f>IF($V44="","",IF($V44="Sub",N($X44)*IF(ISNUMBER($G44),1,MIN(1,MAX(0,IFERROR(LOOKUP(2,1/ISNUMBER($I44:$L44),$I44:$L44),0)))),IF(ISNUMBER($G44),1,IFERROR(LOOKUP(2,1/($I44:$L44&lt;&gt;""),$I44:$L44),0))))</f>
        <v/>
      </c>
      <c r="Z44" s="62">
        <f>IF($V44="","",IF(AND(ISNUMBER($G44),$G44&lt;=IF($S44=MesCiclo,InicioCiclo,$S44+MOD(2-WEEKDAY($S44),7))+6),1,IF(ISNUMBER($I44),$I44,0)))</f>
        <v/>
      </c>
      <c r="AA44" s="62">
        <f>IF($V44="","",IF(AND(ISNUMBER($G44),$G44&lt;=IF($S44=MesCiclo,InicioCiclo,$S44+MOD(2-WEEKDAY($S44),7))+13),1,IF(ISNUMBER($J44),$J44,$Z44)))</f>
        <v/>
      </c>
      <c r="AB44" s="62">
        <f>IF($V44="","",IF(AND(ISNUMBER($G44),$G44&lt;=IF($S44=MesCiclo,InicioCiclo,$S44+MOD(2-WEEKDAY($S44),7))+20),1,IF(ISNUMBER($K44),$K44,$AA44)))</f>
        <v/>
      </c>
      <c r="AC44" s="62">
        <f>IF($V44="","",IF(AND(ISNUMBER($G44),$G44&lt;=IF($S44=MesCiclo,InicioCiclo,$S44+MOD(2-WEEKDAY($S44),7))+27),1,IF(ISNUMBER($L44),$L44,$AB44)))</f>
        <v/>
      </c>
      <c r="AD44" s="62">
        <f>IF($V44&lt;&gt;"Sub","",N($X44)*IF(AND(ISNUMBER($G44),$G44&lt;=IF($S44=MesCiclo,InicioCiclo,$S44+MOD(2-WEEKDAY($S44),7))+6),1,MIN(1,MAX(0,IF(ISNUMBER(OFFSET($A$1,ROW()-1,8)),OFFSET($A$1,ROW()-1,8),0)))))</f>
        <v/>
      </c>
      <c r="AE44" s="62">
        <f>IF($V44&lt;&gt;"Sub","",N($X44)*IF(AND(ISNUMBER($G44),$G44&lt;=IF($S44=MesCiclo,InicioCiclo,$S44+MOD(2-WEEKDAY($S44),7))+13),1,MIN(1,MAX(0,IF(ISNUMBER(OFFSET($A$1,ROW()-1,9)),OFFSET($A$1,ROW()-1,9),IF(ISNUMBER(OFFSET($A$1,ROW()-1,8)),OFFSET($A$1,ROW()-1,8),0))))))</f>
        <v/>
      </c>
      <c r="AF44" s="62">
        <f>IF($V44&lt;&gt;"Sub","",N($X44)*IF(AND(ISNUMBER($G44),$G44&lt;=IF($S44=MesCiclo,InicioCiclo,$S44+MOD(2-WEEKDAY($S44),7))+20),1,MIN(1,MAX(0,IF(ISNUMBER(OFFSET($A$1,ROW()-1,10)),OFFSET($A$1,ROW()-1,10),IF(ISNUMBER(OFFSET($A$1,ROW()-1,9)),OFFSET($A$1,ROW()-1,9),IF(ISNUMBER(OFFSET($A$1,ROW()-1,8)),OFFSET($A$1,ROW()-1,8),0)))))))</f>
        <v/>
      </c>
      <c r="AG44" s="62">
        <f>IF($V44&lt;&gt;"Sub","",N($X44)*IF(AND(ISNUMBER($G44),$G44&lt;=IF($S44=MesCiclo,InicioCiclo,$S44+MOD(2-WEEKDAY($S44),7))+27),1,MIN(1,MAX(0,IF(ISNUMBER(OFFSET($A$1,ROW()-1,11)),OFFSET($A$1,ROW()-1,11),IF(ISNUMBER(OFFSET($A$1,ROW()-1,10)),OFFSET($A$1,ROW()-1,10),IF(ISNUMBER(OFFSET($A$1,ROW()-1,9)),OFFSET($A$1,ROW()-1,9),IF(ISNUMBER(OFFSET($A$1,ROW()-1,8)),OFFSET($A$1,ROW()-1,8),0))))))))</f>
        <v/>
      </c>
      <c r="AH44" s="62">
        <f>IF($V44="","",IF(AND(ISNUMBER($G44),$G44&lt;=IF($S44=MesCiclo,InicioCiclo,$S44+MOD(2-WEEKDAY($S44),7))+6),1,IF(N($W44)&gt;0,MIN(1,SUMIFS($AD$5:$AD$1000,$U$5:$U$1000,ROW(),$V$5:$V$1000,"Sub")),$Z44)))</f>
        <v/>
      </c>
      <c r="AI44" s="62">
        <f>IF($V44="","",IF(AND(ISNUMBER($G44),$G44&lt;=IF($S44=MesCiclo,InicioCiclo,$S44+MOD(2-WEEKDAY($S44),7))+13),1,IF(N($W44)&gt;0,MIN(1,SUMIFS($AE$5:$AE$1000,$U$5:$U$1000,ROW(),$V$5:$V$1000,"Sub")),$AA44)))</f>
        <v/>
      </c>
      <c r="AJ44" s="62">
        <f>IF($V44="","",IF(AND(ISNUMBER($G44),$G44&lt;=IF($S44=MesCiclo,InicioCiclo,$S44+MOD(2-WEEKDAY($S44),7))+20),1,IF(N($W44)&gt;0,MIN(1,SUMIFS($AF$5:$AF$1000,$U$5:$U$1000,ROW(),$V$5:$V$1000,"Sub")),$AB44)))</f>
        <v/>
      </c>
      <c r="AK44" s="62">
        <f>IF($V44="","",IF(AND(ISNUMBER($G44),$G44&lt;=IF($S44=MesCiclo,InicioCiclo,$S44+MOD(2-WEEKDAY($S44),7))+27),1,IF(N($W44)&gt;0,MIN(1,SUMIFS($AG$5:$AG$1000,$U$5:$U$1000,ROW(),$V$5:$V$1000,"Sub")),$AC44)))</f>
        <v/>
      </c>
      <c r="AL44" s="62">
        <f>IF($V44&lt;&gt;"Macro","",IF(COUNTIFS($S$5:$S$1000,$S44,$V$5:$V$1000,"Macro",$H$5:$H$1000,"&gt;0")=0,1/COUNTIFS($S$5:$S$1000,$S44,$V$5:$V$1000,"Macro"),IF(AND(ISNUMBER($H44),N($H44)&gt;0),$H44,SUMIFS($H$5:$H$1000,$S$5:$S$1000,$S44,$V$5:$V$1000,"Macro")/COUNTIFS($S$5:$S$1000,$S44,$V$5:$V$1000,"Macro",$H$5:$H$1000,"&gt;0"))/(COUNTIFS($S$5:$S$1000,$S44,$V$5:$V$1000,"Macro")*SUMIFS($H$5:$H$1000,$S$5:$S$1000,$S44,$V$5:$V$1000,"Macro")/COUNTIFS($S$5:$S$1000,$S44,$V$5:$V$1000,"Macro",$H$5:$H$1000,"&gt;0"))))</f>
        <v/>
      </c>
      <c r="AM44" s="62" t="n"/>
      <c r="AN44" s="62" t="n"/>
      <c r="AO44" s="62" t="n"/>
      <c r="AP44" s="62" t="n"/>
      <c r="AQ44" s="62">
        <f>IF(LEFT($C44,11)="[Jefatura] ",IFERROR(MATCH("Asistente Técnico de Riesgo|"&amp;MID($C44,12,500),rDname_ADM,0),0),"")</f>
        <v/>
      </c>
      <c r="AR44" s="62">
        <f>IF(N($AQ44)&gt;0,INDEX(rIni_ADM,$AQ44),IF(ISNUMBER($E44),$E44,""))</f>
        <v/>
      </c>
      <c r="AS44" s="62">
        <f>IF(N($AQ44)&gt;0,INDEX(rLim_ADM,$AQ44),IF(ISNUMBER($F44),$F44,""))</f>
        <v/>
      </c>
    </row>
    <row r="45">
      <c r="A45" s="56">
        <f>IF(NOT((COUNTA($B45:$D45)+COUNTA($G45:$H45)+COUNTA($Q45))&gt;0),"",IF($V45="Macro",COUNTIFS($V$5:$V45,"Macro",$S$5:$S45,$S45),IF(N($U45)=0,"?",COUNTIFS(INDEX($V$5:$V$1000,1):INDEX($V$5:$V$1000,$U45-4),"Macro",INDEX($S$5:$S$1000,1):INDEX($S$5:$S$1000,$U45-4),INDEX($S$5:$S$1000,$U45-4))&amp;"."&amp;COUNTIFS($U$5:$U45,$U45,$V$5:$V45,"Sub"))))</f>
        <v/>
      </c>
      <c r="B45" s="57" t="n"/>
      <c r="C45" s="58" t="n"/>
      <c r="D45" s="58" t="n"/>
      <c r="E45" s="59">
        <f>IF(N($AQ45)&gt;0,INDEX(rIni_ADM,$AQ45),"")</f>
        <v/>
      </c>
      <c r="F45" s="59">
        <f>IF(N($AQ45)&gt;0,INDEX(rLim_ADM,$AQ45),"")</f>
        <v/>
      </c>
      <c r="G45" s="59" t="n"/>
      <c r="H45" s="60" t="n"/>
      <c r="I45" s="60">
        <f>IF(N($W45)=0,"",IF(AND($S45=MesCiclo,1&gt;SemanaActual),"",MIN(1,SUMIFS(OFFSET($A$1,ROW(),29,1000-ROW(),1),OFFSET($A$1,ROW(),20,1000-ROW(),1),ROW(),OFFSET($A$1,ROW(),21,1000-ROW(),1),"Sub"))))</f>
        <v/>
      </c>
      <c r="J45" s="60">
        <f>IF(N($W45)=0,"",IF(AND($S45=MesCiclo,2&gt;SemanaActual),"",MIN(1,SUMIFS(OFFSET($A$1,ROW(),30,1000-ROW(),1),OFFSET($A$1,ROW(),20,1000-ROW(),1),ROW(),OFFSET($A$1,ROW(),21,1000-ROW(),1),"Sub"))))</f>
        <v/>
      </c>
      <c r="K45" s="60">
        <f>IF(N($W45)=0,"",IF(AND($S45=MesCiclo,3&gt;SemanaActual),"",MIN(1,SUMIFS(OFFSET($A$1,ROW(),31,1000-ROW(),1),OFFSET($A$1,ROW(),20,1000-ROW(),1),ROW(),OFFSET($A$1,ROW(),21,1000-ROW(),1),"Sub"))))</f>
        <v/>
      </c>
      <c r="L45" s="60">
        <f>IF(N($W45)=0,"",IF(AND($S45=MesCiclo,4&gt;SemanaActual),"",MIN(1,SUMIFS(OFFSET($A$1,ROW(),32,1000-ROW(),1),OFFSET($A$1,ROW(),20,1000-ROW(),1),ROW(),OFFSET($A$1,ROW(),21,1000-ROW(),1),"Sub"))))</f>
        <v/>
      </c>
      <c r="M45" s="61">
        <f>IF(OR(NOT((COUNTA($B45:$D45)+COUNTA($G45:$H45)+COUNTA($Q45))&gt;0),$V45="Sub"),"",IF(ISNUMBER($G45),1,IF(N($W45)&gt;0,MIN(1,SUMIFS($Y$5:$Y$1000,$U$5:$U$1000,ROW(),$V$5:$V$1000,"Sub")),$Y45)))</f>
        <v/>
      </c>
      <c r="N45" s="56">
        <f>IF(OR($M45="",$V45="Sub"),"",IF($M45&gt;=1,"Completado",IF($M45&gt;0,"En curso","Pendiente")))</f>
        <v/>
      </c>
      <c r="O45" s="56">
        <f>IF(OR(NOT((COUNTA($B45:$D45)+COUNTA($G45:$H45)+COUNTA($Q45))&gt;0),$V45="Sub"),"",IF(ISNUMBER($G45),IF(AND(ISNUMBER($AS45),$G45&gt;$AS45),"Cumplida con "&amp;($G45-$AS45)&amp;IF($G45-$AS45=1," día"," días")&amp;" de retraso","Cumplida"),IF(N($M45)&gt;=1,"Cumplida",IF(NOT(ISNUMBER($AS45)),"Sin fecha límite",IF($AS45&lt;FechaRef,"Vencida hace "&amp;(FechaRef-$AS45)&amp;IF(FechaRef-$AS45=1," día"," días"),IF($AS45=FechaRef,"Vence hoy",IF($AS45-FechaRef&lt;=DiasAlerta,"Vence en "&amp;($AS45-FechaRef)&amp;IF($AS45-FechaRef=1," día"," días"),"En plazo")))))))</f>
        <v/>
      </c>
      <c r="P45" s="62" t="n"/>
      <c r="Q45" s="58" t="n"/>
      <c r="R45" s="63">
        <f>IF(NOT((COUNTA($B45:$D45)+COUNTA($G45:$H45)+COUNTA($Q45))&gt;0),"",IF((IF($C45="","Falta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 OK","⚠ "&amp;LEFT(IF($C45="","Falta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",""),LEN(IF($C45="","Falta el nombre de la actividad"&amp;" · ","")&amp;IF(AND($V45="Sub",N($U45)=0),"Subactividad sin macroactividad arriba"&amp;" · ","")&amp;IF(AND($V45="Macro",$AR45=""),"Sin fecha de inicio"&amp;" · ","")&amp;IF(AND($V45="Macro",$AS45=""),"Sin fecha límite"&amp;" · ","")&amp;IF(AND(LEFT($C45,11)="[Jefatura] ",N($AQ45)=0),"No se encuentra en la hoja de la jefatura (elíjala de nuevo en la lista)"&amp;" · ","")&amp;IF(OR(AND($E45&lt;&gt;"",NOT(ISNUMBER($E45))),AND($F45&lt;&gt;"",NOT(ISNUMBER($F45))),AND($G45&lt;&gt;"",NOT(ISNUMBER($G45)))),"Fecha no válida"&amp;" · ","")&amp;IF(AND(ISNUMBER($AR45),ISNUMBER($AS45),$AR45&gt;$AS45),"Inicio posterior a fecha límite"&amp;" · ","")&amp;IF(AND($V45="Macro",$H45&lt;&gt;"",OR(NOT(ISNUMBER($H45)),$H45&lt;0,$H45&gt;1)),"Peso fuera de rango"&amp;" · ","")&amp;IF(AND($V45="Sub",$H45&lt;&gt;"",OR(NOT(ISNUMBER($H45)),$H45&lt;0,$H45&gt;1)),"% de la subactividad fuera de rango 0-100%"&amp;" · ","")&amp;IF(AND(N($W45)&gt;0,SUMIFS($H$5:$H$1000,$U$5:$U$1000,ROW(),$V$5:$V$1000,"Sub")&gt;1.0001),"Las subactividades suman más de 100%"&amp;" · ","")&amp;IF(AND(N($W45)&gt;0,OR(IF(ISNUMBER($I45),ROUND($I45,6)&lt;&gt;ROUND(MIN(1,SUMIFS($AD$5:$AD$1000,$U$5:$U$1000,ROW(),$V$5:$V$1000,"Sub")),6),FALSE),IF(ISNUMBER($J45),ROUND($J45,6)&lt;&gt;ROUND(MIN(1,SUMIFS($AE$5:$AE$1000,$U$5:$U$1000,ROW(),$V$5:$V$1000,"Sub")),6),FALSE),IF(ISNUMBER($K45),ROUND($K45,6)&lt;&gt;ROUND(MIN(1,SUMIFS($AF$5:$AF$1000,$U$5:$U$1000,ROW(),$V$5:$V$1000,"Sub")),6),FALSE),IF(ISNUMBER($L45),ROUND($L45,6)&lt;&gt;ROUND(MIN(1,SUMIFS($AG$5:$AG$1000,$U$5:$U$1000,ROW(),$V$5:$V$1000,"Sub")),6),FALSE))),"Con subactividades: no escriba en las semanas (se llenan solas)"&amp;" · ","")&amp;IF((COUNTIF($I45:$L45,"&gt;1")+COUNTIF($I45:$L45,"&lt;0")+SUMPRODUCT((LEN($I45:$L45)&gt;0)*NOT(ISNUMBER($I45:$L45))))&gt;0,"Avance fuera de rango 0-100%"&amp;" · ","")&amp;IF(OR(AND(ISNUMBER($J45),$J45&lt;N($I45)),AND(ISNUMBER($K45),$K45&lt;MAX($I45:$J45)),AND(ISNUMBER($L45),$L45&lt;MAX($I45:$K45))),"Avance semanal decreciente"&amp;" · ","")&amp;IF(AND(ISNUMBER($AS45),$AS45&lt;FechaRef,IF($V45="Sub",1,N($M45))&lt;1),"Vencida"&amp;" · ","")&amp;IF(AND(ObsObligatoria="Sí",ISNUMBER($AS45),$AS45&lt;FechaRef,IF($V45="Sub",1,N($M45))&lt;1,$Q45=""),"Vencida sin observación"&amp;" · ",""))-3)))</f>
        <v/>
      </c>
      <c r="S45" s="64">
        <f>IF(NOT((COUNTA($B45:$D45)+COUNTA($G45:$H45)+COUNTA($Q45))&gt;0),"",IF(AND($V45="Sub",N($U45)&gt;0),IF(ISNUMBER(INDEX($AR$5:$AR$1000,$U45-4)),DATE(YEAR(INDEX($AR$5:$AR$1000,$U45-4)),MONTH(INDEX($AR$5:$AR$1000,$U45-4)),1),IF(ISNUMBER(INDEX($AS$5:$AS$1000,$U45-4)),DATE(YEAR(INDEX($AS$5:$AS$1000,$U45-4)),MONTH(INDEX($AS$5:$AS$1000,$U45-4)),1),MesCiclo)),IF(ISNUMBER($AR45),DATE(YEAR($AR45),MONTH($AR45),1),IF(ISNUMBER($AS45),DATE(YEAR($AS45),MONTH($AS45),1),MesCiclo))))</f>
        <v/>
      </c>
      <c r="T45" s="62">
        <f>IF(OR($S45="",$S45&lt;&gt;MesCiclo,$V45&lt;&gt;"Macro"),"",COUNTIFS($S$5:$S45,MesCiclo,$V$5:$V45,"Macro"))</f>
        <v/>
      </c>
      <c r="U45" s="62">
        <f>IF($V45="","",IF($V45="Macro",ROW(),IFERROR(LOOKUP(2,1/($V$5:$V45="Macro"),ROW($V$5:$V45)),0)))</f>
        <v/>
      </c>
      <c r="V45" s="62">
        <f>IF(NOT((COUNTA($B45:$D45)+COUNTA($G45:$H45)+COUNTA($Q45))&gt;0),"",IF($B45="Subactividad","Sub","Macro"))</f>
        <v/>
      </c>
      <c r="W45" s="62">
        <f>IF($V45="Macro",COUNTIFS($U$5:$U$1000,ROW(),$V$5:$V$1000,"Sub"),"")</f>
        <v/>
      </c>
      <c r="X45" s="62">
        <f>IF($V45&lt;&gt;"Sub","",IF(AND(ISNUMBER($H45),N($H45)&gt;0),$H45,IFERROR(MAX(0,1-SUMIFS($H$5:$H$1000,$U$5:$U$1000,$U45,$V$5:$V$1000,"Sub"))/(COUNTIFS($U$5:$U$1000,$U45,$V$5:$V$1000,"Sub")-COUNTIFS($U$5:$U$1000,$U45,$V$5:$V$1000,"Sub",$H$5:$H$1000,"&gt;0")),0)))</f>
        <v/>
      </c>
      <c r="Y45" s="62">
        <f>IF($V45="","",IF($V45="Sub",N($X45)*IF(ISNUMBER($G45),1,MIN(1,MAX(0,IFERROR(LOOKUP(2,1/ISNUMBER($I45:$L45),$I45:$L45),0)))),IF(ISNUMBER($G45),1,IFERROR(LOOKUP(2,1/($I45:$L45&lt;&gt;""),$I45:$L45),0))))</f>
        <v/>
      </c>
      <c r="Z45" s="62">
        <f>IF($V45="","",IF(AND(ISNUMBER($G45),$G45&lt;=IF($S45=MesCiclo,InicioCiclo,$S45+MOD(2-WEEKDAY($S45),7))+6),1,IF(ISNUMBER($I45),$I45,0)))</f>
        <v/>
      </c>
      <c r="AA45" s="62">
        <f>IF($V45="","",IF(AND(ISNUMBER($G45),$G45&lt;=IF($S45=MesCiclo,InicioCiclo,$S45+MOD(2-WEEKDAY($S45),7))+13),1,IF(ISNUMBER($J45),$J45,$Z45)))</f>
        <v/>
      </c>
      <c r="AB45" s="62">
        <f>IF($V45="","",IF(AND(ISNUMBER($G45),$G45&lt;=IF($S45=MesCiclo,InicioCiclo,$S45+MOD(2-WEEKDAY($S45),7))+20),1,IF(ISNUMBER($K45),$K45,$AA45)))</f>
        <v/>
      </c>
      <c r="AC45" s="62">
        <f>IF($V45="","",IF(AND(ISNUMBER($G45),$G45&lt;=IF($S45=MesCiclo,InicioCiclo,$S45+MOD(2-WEEKDAY($S45),7))+27),1,IF(ISNUMBER($L45),$L45,$AB45)))</f>
        <v/>
      </c>
      <c r="AD45" s="62">
        <f>IF($V45&lt;&gt;"Sub","",N($X45)*IF(AND(ISNUMBER($G45),$G45&lt;=IF($S45=MesCiclo,InicioCiclo,$S45+MOD(2-WEEKDAY($S45),7))+6),1,MIN(1,MAX(0,IF(ISNUMBER(OFFSET($A$1,ROW()-1,8)),OFFSET($A$1,ROW()-1,8),0)))))</f>
        <v/>
      </c>
      <c r="AE45" s="62">
        <f>IF($V45&lt;&gt;"Sub","",N($X45)*IF(AND(ISNUMBER($G45),$G45&lt;=IF($S45=MesCiclo,InicioCiclo,$S45+MOD(2-WEEKDAY($S45),7))+13),1,MIN(1,MAX(0,IF(ISNUMBER(OFFSET($A$1,ROW()-1,9)),OFFSET($A$1,ROW()-1,9),IF(ISNUMBER(OFFSET($A$1,ROW()-1,8)),OFFSET($A$1,ROW()-1,8),0))))))</f>
        <v/>
      </c>
      <c r="AF45" s="62">
        <f>IF($V45&lt;&gt;"Sub","",N($X45)*IF(AND(ISNUMBER($G45),$G45&lt;=IF($S45=MesCiclo,InicioCiclo,$S45+MOD(2-WEEKDAY($S45),7))+20),1,MIN(1,MAX(0,IF(ISNUMBER(OFFSET($A$1,ROW()-1,10)),OFFSET($A$1,ROW()-1,10),IF(ISNUMBER(OFFSET($A$1,ROW()-1,9)),OFFSET($A$1,ROW()-1,9),IF(ISNUMBER(OFFSET($A$1,ROW()-1,8)),OFFSET($A$1,ROW()-1,8),0)))))))</f>
        <v/>
      </c>
      <c r="AG45" s="62">
        <f>IF($V45&lt;&gt;"Sub","",N($X45)*IF(AND(ISNUMBER($G45),$G45&lt;=IF($S45=MesCiclo,InicioCiclo,$S45+MOD(2-WEEKDAY($S45),7))+27),1,MIN(1,MAX(0,IF(ISNUMBER(OFFSET($A$1,ROW()-1,11)),OFFSET($A$1,ROW()-1,11),IF(ISNUMBER(OFFSET($A$1,ROW()-1,10)),OFFSET($A$1,ROW()-1,10),IF(ISNUMBER(OFFSET($A$1,ROW()-1,9)),OFFSET($A$1,ROW()-1,9),IF(ISNUMBER(OFFSET($A$1,ROW()-1,8)),OFFSET($A$1,ROW()-1,8),0))))))))</f>
        <v/>
      </c>
      <c r="AH45" s="62">
        <f>IF($V45="","",IF(AND(ISNUMBER($G45),$G45&lt;=IF($S45=MesCiclo,InicioCiclo,$S45+MOD(2-WEEKDAY($S45),7))+6),1,IF(N($W45)&gt;0,MIN(1,SUMIFS($AD$5:$AD$1000,$U$5:$U$1000,ROW(),$V$5:$V$1000,"Sub")),$Z45)))</f>
        <v/>
      </c>
      <c r="AI45" s="62">
        <f>IF($V45="","",IF(AND(ISNUMBER($G45),$G45&lt;=IF($S45=MesCiclo,InicioCiclo,$S45+MOD(2-WEEKDAY($S45),7))+13),1,IF(N($W45)&gt;0,MIN(1,SUMIFS($AE$5:$AE$1000,$U$5:$U$1000,ROW(),$V$5:$V$1000,"Sub")),$AA45)))</f>
        <v/>
      </c>
      <c r="AJ45" s="62">
        <f>IF($V45="","",IF(AND(ISNUMBER($G45),$G45&lt;=IF($S45=MesCiclo,InicioCiclo,$S45+MOD(2-WEEKDAY($S45),7))+20),1,IF(N($W45)&gt;0,MIN(1,SUMIFS($AF$5:$AF$1000,$U$5:$U$1000,ROW(),$V$5:$V$1000,"Sub")),$AB45)))</f>
        <v/>
      </c>
      <c r="AK45" s="62">
        <f>IF($V45="","",IF(AND(ISNUMBER($G45),$G45&lt;=IF($S45=MesCiclo,InicioCiclo,$S45+MOD(2-WEEKDAY($S45),7))+27),1,IF(N($W45)&gt;0,MIN(1,SUMIFS($AG$5:$AG$1000,$U$5:$U$1000,ROW(),$V$5:$V$1000,"Sub")),$AC45)))</f>
        <v/>
      </c>
      <c r="AL45" s="62">
        <f>IF($V45&lt;&gt;"Macro","",IF(COUNTIFS($S$5:$S$1000,$S45,$V$5:$V$1000,"Macro",$H$5:$H$1000,"&gt;0")=0,1/COUNTIFS($S$5:$S$1000,$S45,$V$5:$V$1000,"Macro"),IF(AND(ISNUMBER($H45),N($H45)&gt;0),$H45,SUMIFS($H$5:$H$1000,$S$5:$S$1000,$S45,$V$5:$V$1000,"Macro")/COUNTIFS($S$5:$S$1000,$S45,$V$5:$V$1000,"Macro",$H$5:$H$1000,"&gt;0"))/(COUNTIFS($S$5:$S$1000,$S45,$V$5:$V$1000,"Macro")*SUMIFS($H$5:$H$1000,$S$5:$S$1000,$S45,$V$5:$V$1000,"Macro")/COUNTIFS($S$5:$S$1000,$S45,$V$5:$V$1000,"Macro",$H$5:$H$1000,"&gt;0"))))</f>
        <v/>
      </c>
      <c r="AM45" s="62" t="n"/>
      <c r="AN45" s="62" t="n"/>
      <c r="AO45" s="62" t="n"/>
      <c r="AP45" s="62" t="n"/>
      <c r="AQ45" s="62">
        <f>IF(LEFT($C45,11)="[Jefatura] ",IFERROR(MATCH("Asistente Técnico de Riesgo|"&amp;MID($C45,12,500),rDname_ADM,0),0),"")</f>
        <v/>
      </c>
      <c r="AR45" s="62">
        <f>IF(N($AQ45)&gt;0,INDEX(rIni_ADM,$AQ45),IF(ISNUMBER($E45),$E45,""))</f>
        <v/>
      </c>
      <c r="AS45" s="62">
        <f>IF(N($AQ45)&gt;0,INDEX(rLim_ADM,$AQ45),IF(ISNUMBER($F45),$F45,""))</f>
        <v/>
      </c>
    </row>
    <row r="46">
      <c r="A46" s="56">
        <f>IF(NOT((COUNTA($B46:$D46)+COUNTA($G46:$H46)+COUNTA($Q46))&gt;0),"",IF($V46="Macro",COUNTIFS($V$5:$V46,"Macro",$S$5:$S46,$S46),IF(N($U46)=0,"?",COUNTIFS(INDEX($V$5:$V$1000,1):INDEX($V$5:$V$1000,$U46-4),"Macro",INDEX($S$5:$S$1000,1):INDEX($S$5:$S$1000,$U46-4),INDEX($S$5:$S$1000,$U46-4))&amp;"."&amp;COUNTIFS($U$5:$U46,$U46,$V$5:$V46,"Sub"))))</f>
        <v/>
      </c>
      <c r="B46" s="57" t="n"/>
      <c r="C46" s="58" t="n"/>
      <c r="D46" s="58" t="n"/>
      <c r="E46" s="59">
        <f>IF(N($AQ46)&gt;0,INDEX(rIni_ADM,$AQ46),"")</f>
        <v/>
      </c>
      <c r="F46" s="59">
        <f>IF(N($AQ46)&gt;0,INDEX(rLim_ADM,$AQ46),"")</f>
        <v/>
      </c>
      <c r="G46" s="59" t="n"/>
      <c r="H46" s="60" t="n"/>
      <c r="I46" s="60">
        <f>IF(N($W46)=0,"",IF(AND($S46=MesCiclo,1&gt;SemanaActual),"",MIN(1,SUMIFS(OFFSET($A$1,ROW(),29,1000-ROW(),1),OFFSET($A$1,ROW(),20,1000-ROW(),1),ROW(),OFFSET($A$1,ROW(),21,1000-ROW(),1),"Sub"))))</f>
        <v/>
      </c>
      <c r="J46" s="60">
        <f>IF(N($W46)=0,"",IF(AND($S46=MesCiclo,2&gt;SemanaActual),"",MIN(1,SUMIFS(OFFSET($A$1,ROW(),30,1000-ROW(),1),OFFSET($A$1,ROW(),20,1000-ROW(),1),ROW(),OFFSET($A$1,ROW(),21,1000-ROW(),1),"Sub"))))</f>
        <v/>
      </c>
      <c r="K46" s="60">
        <f>IF(N($W46)=0,"",IF(AND($S46=MesCiclo,3&gt;SemanaActual),"",MIN(1,SUMIFS(OFFSET($A$1,ROW(),31,1000-ROW(),1),OFFSET($A$1,ROW(),20,1000-ROW(),1),ROW(),OFFSET($A$1,ROW(),21,1000-ROW(),1),"Sub"))))</f>
        <v/>
      </c>
      <c r="L46" s="60">
        <f>IF(N($W46)=0,"",IF(AND($S46=MesCiclo,4&gt;SemanaActual),"",MIN(1,SUMIFS(OFFSET($A$1,ROW(),32,1000-ROW(),1),OFFSET($A$1,ROW(),20,1000-ROW(),1),ROW(),OFFSET($A$1,ROW(),21,1000-ROW(),1),"Sub"))))</f>
        <v/>
      </c>
      <c r="M46" s="61">
        <f>IF(OR(NOT((COUNTA($B46:$D46)+COUNTA($G46:$H46)+COUNTA($Q46))&gt;0),$V46="Sub"),"",IF(ISNUMBER($G46),1,IF(N($W46)&gt;0,MIN(1,SUMIFS($Y$5:$Y$1000,$U$5:$U$1000,ROW(),$V$5:$V$1000,"Sub")),$Y46)))</f>
        <v/>
      </c>
      <c r="N46" s="56">
        <f>IF(OR($M46="",$V46="Sub"),"",IF($M46&gt;=1,"Completado",IF($M46&gt;0,"En curso","Pendiente")))</f>
        <v/>
      </c>
      <c r="O46" s="56">
        <f>IF(OR(NOT((COUNTA($B46:$D46)+COUNTA($G46:$H46)+COUNTA($Q46))&gt;0),$V46="Sub"),"",IF(ISNUMBER($G46),IF(AND(ISNUMBER($AS46),$G46&gt;$AS46),"Cumplida con "&amp;($G46-$AS46)&amp;IF($G46-$AS46=1," día"," días")&amp;" de retraso","Cumplida"),IF(N($M46)&gt;=1,"Cumplida",IF(NOT(ISNUMBER($AS46)),"Sin fecha límite",IF($AS46&lt;FechaRef,"Vencida hace "&amp;(FechaRef-$AS46)&amp;IF(FechaRef-$AS46=1," día"," días"),IF($AS46=FechaRef,"Vence hoy",IF($AS46-FechaRef&lt;=DiasAlerta,"Vence en "&amp;($AS46-FechaRef)&amp;IF($AS46-FechaRef=1," día"," días"),"En plazo")))))))</f>
        <v/>
      </c>
      <c r="P46" s="62" t="n"/>
      <c r="Q46" s="58" t="n"/>
      <c r="R46" s="63">
        <f>IF(NOT((COUNTA($B46:$D46)+COUNTA($G46:$H46)+COUNTA($Q46))&gt;0),"",IF((IF($C46="","Falta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 OK","⚠ "&amp;LEFT(IF($C46="","Falta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",""),LEN(IF($C46="","Falta el nombre de la actividad"&amp;" · ","")&amp;IF(AND($V46="Sub",N($U46)=0),"Subactividad sin macroactividad arriba"&amp;" · ","")&amp;IF(AND($V46="Macro",$AR46=""),"Sin fecha de inicio"&amp;" · ","")&amp;IF(AND($V46="Macro",$AS46=""),"Sin fecha límite"&amp;" · ","")&amp;IF(AND(LEFT($C46,11)="[Jefatura] ",N($AQ46)=0),"No se encuentra en la hoja de la jefatura (elíjala de nuevo en la lista)"&amp;" · ","")&amp;IF(OR(AND($E46&lt;&gt;"",NOT(ISNUMBER($E46))),AND($F46&lt;&gt;"",NOT(ISNUMBER($F46))),AND($G46&lt;&gt;"",NOT(ISNUMBER($G46)))),"Fecha no válida"&amp;" · ","")&amp;IF(AND(ISNUMBER($AR46),ISNUMBER($AS46),$AR46&gt;$AS46),"Inicio posterior a fecha límite"&amp;" · ","")&amp;IF(AND($V46="Macro",$H46&lt;&gt;"",OR(NOT(ISNUMBER($H46)),$H46&lt;0,$H46&gt;1)),"Peso fuera de rango"&amp;" · ","")&amp;IF(AND($V46="Sub",$H46&lt;&gt;"",OR(NOT(ISNUMBER($H46)),$H46&lt;0,$H46&gt;1)),"% de la subactividad fuera de rango 0-100%"&amp;" · ","")&amp;IF(AND(N($W46)&gt;0,SUMIFS($H$5:$H$1000,$U$5:$U$1000,ROW(),$V$5:$V$1000,"Sub")&gt;1.0001),"Las subactividades suman más de 100%"&amp;" · ","")&amp;IF(AND(N($W46)&gt;0,OR(IF(ISNUMBER($I46),ROUND($I46,6)&lt;&gt;ROUND(MIN(1,SUMIFS($AD$5:$AD$1000,$U$5:$U$1000,ROW(),$V$5:$V$1000,"Sub")),6),FALSE),IF(ISNUMBER($J46),ROUND($J46,6)&lt;&gt;ROUND(MIN(1,SUMIFS($AE$5:$AE$1000,$U$5:$U$1000,ROW(),$V$5:$V$1000,"Sub")),6),FALSE),IF(ISNUMBER($K46),ROUND($K46,6)&lt;&gt;ROUND(MIN(1,SUMIFS($AF$5:$AF$1000,$U$5:$U$1000,ROW(),$V$5:$V$1000,"Sub")),6),FALSE),IF(ISNUMBER($L46),ROUND($L46,6)&lt;&gt;ROUND(MIN(1,SUMIFS($AG$5:$AG$1000,$U$5:$U$1000,ROW(),$V$5:$V$1000,"Sub")),6),FALSE))),"Con subactividades: no escriba en las semanas (se llenan solas)"&amp;" · ","")&amp;IF((COUNTIF($I46:$L46,"&gt;1")+COUNTIF($I46:$L46,"&lt;0")+SUMPRODUCT((LEN($I46:$L46)&gt;0)*NOT(ISNUMBER($I46:$L46))))&gt;0,"Avance fuera de rango 0-100%"&amp;" · ","")&amp;IF(OR(AND(ISNUMBER($J46),$J46&lt;N($I46)),AND(ISNUMBER($K46),$K46&lt;MAX($I46:$J46)),AND(ISNUMBER($L46),$L46&lt;MAX($I46:$K46))),"Avance semanal decreciente"&amp;" · ","")&amp;IF(AND(ISNUMBER($AS46),$AS46&lt;FechaRef,IF($V46="Sub",1,N($M46))&lt;1),"Vencida"&amp;" · ","")&amp;IF(AND(ObsObligatoria="Sí",ISNUMBER($AS46),$AS46&lt;FechaRef,IF($V46="Sub",1,N($M46))&lt;1,$Q46=""),"Vencida sin observación"&amp;" · ",""))-3)))</f>
        <v/>
      </c>
      <c r="S46" s="64">
        <f>IF(NOT((COUNTA($B46:$D46)+COUNTA($G46:$H46)+COUNTA($Q46))&gt;0),"",IF(AND($V46="Sub",N($U46)&gt;0),IF(ISNUMBER(INDEX($AR$5:$AR$1000,$U46-4)),DATE(YEAR(INDEX($AR$5:$AR$1000,$U46-4)),MONTH(INDEX($AR$5:$AR$1000,$U46-4)),1),IF(ISNUMBER(INDEX($AS$5:$AS$1000,$U46-4)),DATE(YEAR(INDEX($AS$5:$AS$1000,$U46-4)),MONTH(INDEX($AS$5:$AS$1000,$U46-4)),1),MesCiclo)),IF(ISNUMBER($AR46),DATE(YEAR($AR46),MONTH($AR46),1),IF(ISNUMBER($AS46),DATE(YEAR($AS46),MONTH($AS46),1),MesCiclo))))</f>
        <v/>
      </c>
      <c r="T46" s="62">
        <f>IF(OR($S46="",$S46&lt;&gt;MesCiclo,$V46&lt;&gt;"Macro"),"",COUNTIFS($S$5:$S46,MesCiclo,$V$5:$V46,"Macro"))</f>
        <v/>
      </c>
      <c r="U46" s="62">
        <f>IF($V46="","",IF($V46="Macro",ROW(),IFERROR(LOOKUP(2,1/($V$5:$V46="Macro"),ROW($V$5:$V46)),0)))</f>
        <v/>
      </c>
      <c r="V46" s="62">
        <f>IF(NOT((COUNTA($B46:$D46)+COUNTA($G46:$H46)+COUNTA($Q46))&gt;0),"",IF($B46="Subactividad","Sub","Macro"))</f>
        <v/>
      </c>
      <c r="W46" s="62">
        <f>IF($V46="Macro",COUNTIFS($U$5:$U$1000,ROW(),$V$5:$V$1000,"Sub"),"")</f>
        <v/>
      </c>
      <c r="X46" s="62">
        <f>IF($V46&lt;&gt;"Sub","",IF(AND(ISNUMBER($H46),N($H46)&gt;0),$H46,IFERROR(MAX(0,1-SUMIFS($H$5:$H$1000,$U$5:$U$1000,$U46,$V$5:$V$1000,"Sub"))/(COUNTIFS($U$5:$U$1000,$U46,$V$5:$V$1000,"Sub")-COUNTIFS($U$5:$U$1000,$U46,$V$5:$V$1000,"Sub",$H$5:$H$1000,"&gt;0")),0)))</f>
        <v/>
      </c>
      <c r="Y46" s="62">
        <f>IF($V46="","",IF($V46="Sub",N($X46)*IF(ISNUMBER($G46),1,MIN(1,MAX(0,IFERROR(LOOKUP(2,1/ISNUMBER($I46:$L46),$I46:$L46),0)))),IF(ISNUMBER($G46),1,IFERROR(LOOKUP(2,1/($I46:$L46&lt;&gt;""),$I46:$L46),0))))</f>
        <v/>
      </c>
      <c r="Z46" s="62">
        <f>IF($V46="","",IF(AND(ISNUMBER($G46),$G46&lt;=IF($S46=MesCiclo,InicioCiclo,$S46+MOD(2-WEEKDAY($S46),7))+6),1,IF(ISNUMBER($I46),$I46,0)))</f>
        <v/>
      </c>
      <c r="AA46" s="62">
        <f>IF($V46="","",IF(AND(ISNUMBER($G46),$G46&lt;=IF($S46=MesCiclo,InicioCiclo,$S46+MOD(2-WEEKDAY($S46),7))+13),1,IF(ISNUMBER($J46),$J46,$Z46)))</f>
        <v/>
      </c>
      <c r="AB46" s="62">
        <f>IF($V46="","",IF(AND(ISNUMBER($G46),$G46&lt;=IF($S46=MesCiclo,InicioCiclo,$S46+MOD(2-WEEKDAY($S46),7))+20),1,IF(ISNUMBER($K46),$K46,$AA46)))</f>
        <v/>
      </c>
      <c r="AC46" s="62">
        <f>IF($V46="","",IF(AND(ISNUMBER($G46),$G46&lt;=IF($S46=MesCiclo,InicioCiclo,$S46+MOD(2-WEEKDAY($S46),7))+27),1,IF(ISNUMBER($L46),$L46,$AB46)))</f>
        <v/>
      </c>
      <c r="AD46" s="62">
        <f>IF($V46&lt;&gt;"Sub","",N($X46)*IF(AND(ISNUMBER($G46),$G46&lt;=IF($S46=MesCiclo,InicioCiclo,$S46+MOD(2-WEEKDAY($S46),7))+6),1,MIN(1,MAX(0,IF(ISNUMBER(OFFSET($A$1,ROW()-1,8)),OFFSET($A$1,ROW()-1,8),0)))))</f>
        <v/>
      </c>
      <c r="AE46" s="62">
        <f>IF($V46&lt;&gt;"Sub","",N($X46)*IF(AND(ISNUMBER($G46),$G46&lt;=IF($S46=MesCiclo,InicioCiclo,$S46+MOD(2-WEEKDAY($S46),7))+13),1,MIN(1,MAX(0,IF(ISNUMBER(OFFSET($A$1,ROW()-1,9)),OFFSET($A$1,ROW()-1,9),IF(ISNUMBER(OFFSET($A$1,ROW()-1,8)),OFFSET($A$1,ROW()-1,8),0))))))</f>
        <v/>
      </c>
      <c r="AF46" s="62">
        <f>IF($V46&lt;&gt;"Sub","",N($X46)*IF(AND(ISNUMBER($G46),$G46&lt;=IF($S46=MesCiclo,InicioCiclo,$S46+MOD(2-WEEKDAY($S46),7))+20),1,MIN(1,MAX(0,IF(ISNUMBER(OFFSET($A$1,ROW()-1,10)),OFFSET($A$1,ROW()-1,10),IF(ISNUMBER(OFFSET($A$1,ROW()-1,9)),OFFSET($A$1,ROW()-1,9),IF(ISNUMBER(OFFSET($A$1,ROW()-1,8)),OFFSET($A$1,ROW()-1,8),0)))))))</f>
        <v/>
      </c>
      <c r="AG46" s="62">
        <f>IF($V46&lt;&gt;"Sub","",N($X46)*IF(AND(ISNUMBER($G46),$G46&lt;=IF($S46=MesCiclo,InicioCiclo,$S46+MOD(2-WEEKDAY($S46),7))+27),1,MIN(1,MAX(0,IF(ISNUMBER(OFFSET($A$1,ROW()-1,11)),OFFSET($A$1,ROW()-1,11),IF(ISNUMBER(OFFSET($A$1,ROW()-1,10)),OFFSET($A$1,ROW()-1,10),IF(ISNUMBER(OFFSET($A$1,ROW()-1,9)),OFFSET($A$1,ROW()-1,9),IF(ISNUMBER(OFFSET($A$1,ROW()-1,8)),OFFSET($A$1,ROW()-1,8),0))))))))</f>
        <v/>
      </c>
      <c r="AH46" s="62">
        <f>IF($V46="","",IF(AND(ISNUMBER($G46),$G46&lt;=IF($S46=MesCiclo,InicioCiclo,$S46+MOD(2-WEEKDAY($S46),7))+6),1,IF(N($W46)&gt;0,MIN(1,SUMIFS($AD$5:$AD$1000,$U$5:$U$1000,ROW(),$V$5:$V$1000,"Sub")),$Z46)))</f>
        <v/>
      </c>
      <c r="AI46" s="62">
        <f>IF($V46="","",IF(AND(ISNUMBER($G46),$G46&lt;=IF($S46=MesCiclo,InicioCiclo,$S46+MOD(2-WEEKDAY($S46),7))+13),1,IF(N($W46)&gt;0,MIN(1,SUMIFS($AE$5:$AE$1000,$U$5:$U$1000,ROW(),$V$5:$V$1000,"Sub")),$AA46)))</f>
        <v/>
      </c>
      <c r="AJ46" s="62">
        <f>IF($V46="","",IF(AND(ISNUMBER($G46),$G46&lt;=IF($S46=MesCiclo,InicioCiclo,$S46+MOD(2-WEEKDAY($S46),7))+20),1,IF(N($W46)&gt;0,MIN(1,SUMIFS($AF$5:$AF$1000,$U$5:$U$1000,ROW(),$V$5:$V$1000,"Sub")),$AB46)))</f>
        <v/>
      </c>
      <c r="AK46" s="62">
        <f>IF($V46="","",IF(AND(ISNUMBER($G46),$G46&lt;=IF($S46=MesCiclo,InicioCiclo,$S46+MOD(2-WEEKDAY($S46),7))+27),1,IF(N($W46)&gt;0,MIN(1,SUMIFS($AG$5:$AG$1000,$U$5:$U$1000,ROW(),$V$5:$V$1000,"Sub")),$AC46)))</f>
        <v/>
      </c>
      <c r="AL46" s="62">
        <f>IF($V46&lt;&gt;"Macro","",IF(COUNTIFS($S$5:$S$1000,$S46,$V$5:$V$1000,"Macro",$H$5:$H$1000,"&gt;0")=0,1/COUNTIFS($S$5:$S$1000,$S46,$V$5:$V$1000,"Macro"),IF(AND(ISNUMBER($H46),N($H46)&gt;0),$H46,SUMIFS($H$5:$H$1000,$S$5:$S$1000,$S46,$V$5:$V$1000,"Macro")/COUNTIFS($S$5:$S$1000,$S46,$V$5:$V$1000,"Macro",$H$5:$H$1000,"&gt;0"))/(COUNTIFS($S$5:$S$1000,$S46,$V$5:$V$1000,"Macro")*SUMIFS($H$5:$H$1000,$S$5:$S$1000,$S46,$V$5:$V$1000,"Macro")/COUNTIFS($S$5:$S$1000,$S46,$V$5:$V$1000,"Macro",$H$5:$H$1000,"&gt;0"))))</f>
        <v/>
      </c>
      <c r="AM46" s="62" t="n"/>
      <c r="AN46" s="62" t="n"/>
      <c r="AO46" s="62" t="n"/>
      <c r="AP46" s="62" t="n"/>
      <c r="AQ46" s="62">
        <f>IF(LEFT($C46,11)="[Jefatura] ",IFERROR(MATCH("Asistente Técnico de Riesgo|"&amp;MID($C46,12,500),rDname_ADM,0),0),"")</f>
        <v/>
      </c>
      <c r="AR46" s="62">
        <f>IF(N($AQ46)&gt;0,INDEX(rIni_ADM,$AQ46),IF(ISNUMBER($E46),$E46,""))</f>
        <v/>
      </c>
      <c r="AS46" s="62">
        <f>IF(N($AQ46)&gt;0,INDEX(rLim_ADM,$AQ46),IF(ISNUMBER($F46),$F46,""))</f>
        <v/>
      </c>
    </row>
    <row r="47">
      <c r="A47" s="56">
        <f>IF(NOT((COUNTA($B47:$D47)+COUNTA($G47:$H47)+COUNTA($Q47))&gt;0),"",IF($V47="Macro",COUNTIFS($V$5:$V47,"Macro",$S$5:$S47,$S47),IF(N($U47)=0,"?",COUNTIFS(INDEX($V$5:$V$1000,1):INDEX($V$5:$V$1000,$U47-4),"Macro",INDEX($S$5:$S$1000,1):INDEX($S$5:$S$1000,$U47-4),INDEX($S$5:$S$1000,$U47-4))&amp;"."&amp;COUNTIFS($U$5:$U47,$U47,$V$5:$V47,"Sub"))))</f>
        <v/>
      </c>
      <c r="B47" s="57" t="n"/>
      <c r="C47" s="58" t="n"/>
      <c r="D47" s="58" t="n"/>
      <c r="E47" s="59">
        <f>IF(N($AQ47)&gt;0,INDEX(rIni_ADM,$AQ47),"")</f>
        <v/>
      </c>
      <c r="F47" s="59">
        <f>IF(N($AQ47)&gt;0,INDEX(rLim_ADM,$AQ47),"")</f>
        <v/>
      </c>
      <c r="G47" s="59" t="n"/>
      <c r="H47" s="60" t="n"/>
      <c r="I47" s="60">
        <f>IF(N($W47)=0,"",IF(AND($S47=MesCiclo,1&gt;SemanaActual),"",MIN(1,SUMIFS(OFFSET($A$1,ROW(),29,1000-ROW(),1),OFFSET($A$1,ROW(),20,1000-ROW(),1),ROW(),OFFSET($A$1,ROW(),21,1000-ROW(),1),"Sub"))))</f>
        <v/>
      </c>
      <c r="J47" s="60">
        <f>IF(N($W47)=0,"",IF(AND($S47=MesCiclo,2&gt;SemanaActual),"",MIN(1,SUMIFS(OFFSET($A$1,ROW(),30,1000-ROW(),1),OFFSET($A$1,ROW(),20,1000-ROW(),1),ROW(),OFFSET($A$1,ROW(),21,1000-ROW(),1),"Sub"))))</f>
        <v/>
      </c>
      <c r="K47" s="60">
        <f>IF(N($W47)=0,"",IF(AND($S47=MesCiclo,3&gt;SemanaActual),"",MIN(1,SUMIFS(OFFSET($A$1,ROW(),31,1000-ROW(),1),OFFSET($A$1,ROW(),20,1000-ROW(),1),ROW(),OFFSET($A$1,ROW(),21,1000-ROW(),1),"Sub"))))</f>
        <v/>
      </c>
      <c r="L47" s="60">
        <f>IF(N($W47)=0,"",IF(AND($S47=MesCiclo,4&gt;SemanaActual),"",MIN(1,SUMIFS(OFFSET($A$1,ROW(),32,1000-ROW(),1),OFFSET($A$1,ROW(),20,1000-ROW(),1),ROW(),OFFSET($A$1,ROW(),21,1000-ROW(),1),"Sub"))))</f>
        <v/>
      </c>
      <c r="M47" s="61">
        <f>IF(OR(NOT((COUNTA($B47:$D47)+COUNTA($G47:$H47)+COUNTA($Q47))&gt;0),$V47="Sub"),"",IF(ISNUMBER($G47),1,IF(N($W47)&gt;0,MIN(1,SUMIFS($Y$5:$Y$1000,$U$5:$U$1000,ROW(),$V$5:$V$1000,"Sub")),$Y47)))</f>
        <v/>
      </c>
      <c r="N47" s="56">
        <f>IF(OR($M47="",$V47="Sub"),"",IF($M47&gt;=1,"Completado",IF($M47&gt;0,"En curso","Pendiente")))</f>
        <v/>
      </c>
      <c r="O47" s="56">
        <f>IF(OR(NOT((COUNTA($B47:$D47)+COUNTA($G47:$H47)+COUNTA($Q47))&gt;0),$V47="Sub"),"",IF(ISNUMBER($G47),IF(AND(ISNUMBER($AS47),$G47&gt;$AS47),"Cumplida con "&amp;($G47-$AS47)&amp;IF($G47-$AS47=1," día"," días")&amp;" de retraso","Cumplida"),IF(N($M47)&gt;=1,"Cumplida",IF(NOT(ISNUMBER($AS47)),"Sin fecha límite",IF($AS47&lt;FechaRef,"Vencida hace "&amp;(FechaRef-$AS47)&amp;IF(FechaRef-$AS47=1," día"," días"),IF($AS47=FechaRef,"Vence hoy",IF($AS47-FechaRef&lt;=DiasAlerta,"Vence en "&amp;($AS47-FechaRef)&amp;IF($AS47-FechaRef=1," día"," días"),"En plazo")))))))</f>
        <v/>
      </c>
      <c r="P47" s="62" t="n"/>
      <c r="Q47" s="58" t="n"/>
      <c r="R47" s="63">
        <f>IF(NOT((COUNTA($B47:$D47)+COUNTA($G47:$H47)+COUNTA($Q47))&gt;0),"",IF((IF($C47="","Falta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 OK","⚠ "&amp;LEFT(IF($C47="","Falta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",""),LEN(IF($C47="","Falta el nombre de la actividad"&amp;" · ","")&amp;IF(AND($V47="Sub",N($U47)=0),"Subactividad sin macroactividad arriba"&amp;" · ","")&amp;IF(AND($V47="Macro",$AR47=""),"Sin fecha de inicio"&amp;" · ","")&amp;IF(AND($V47="Macro",$AS47=""),"Sin fecha límite"&amp;" · ","")&amp;IF(AND(LEFT($C47,11)="[Jefatura] ",N($AQ47)=0),"No se encuentra en la hoja de la jefatura (elíjala de nuevo en la lista)"&amp;" · ","")&amp;IF(OR(AND($E47&lt;&gt;"",NOT(ISNUMBER($E47))),AND($F47&lt;&gt;"",NOT(ISNUMBER($F47))),AND($G47&lt;&gt;"",NOT(ISNUMBER($G47)))),"Fecha no válida"&amp;" · ","")&amp;IF(AND(ISNUMBER($AR47),ISNUMBER($AS47),$AR47&gt;$AS47),"Inicio posterior a fecha límite"&amp;" · ","")&amp;IF(AND($V47="Macro",$H47&lt;&gt;"",OR(NOT(ISNUMBER($H47)),$H47&lt;0,$H47&gt;1)),"Peso fuera de rango"&amp;" · ","")&amp;IF(AND($V47="Sub",$H47&lt;&gt;"",OR(NOT(ISNUMBER($H47)),$H47&lt;0,$H47&gt;1)),"% de la subactividad fuera de rango 0-100%"&amp;" · ","")&amp;IF(AND(N($W47)&gt;0,SUMIFS($H$5:$H$1000,$U$5:$U$1000,ROW(),$V$5:$V$1000,"Sub")&gt;1.0001),"Las subactividades suman más de 100%"&amp;" · ","")&amp;IF(AND(N($W47)&gt;0,OR(IF(ISNUMBER($I47),ROUND($I47,6)&lt;&gt;ROUND(MIN(1,SUMIFS($AD$5:$AD$1000,$U$5:$U$1000,ROW(),$V$5:$V$1000,"Sub")),6),FALSE),IF(ISNUMBER($J47),ROUND($J47,6)&lt;&gt;ROUND(MIN(1,SUMIFS($AE$5:$AE$1000,$U$5:$U$1000,ROW(),$V$5:$V$1000,"Sub")),6),FALSE),IF(ISNUMBER($K47),ROUND($K47,6)&lt;&gt;ROUND(MIN(1,SUMIFS($AF$5:$AF$1000,$U$5:$U$1000,ROW(),$V$5:$V$1000,"Sub")),6),FALSE),IF(ISNUMBER($L47),ROUND($L47,6)&lt;&gt;ROUND(MIN(1,SUMIFS($AG$5:$AG$1000,$U$5:$U$1000,ROW(),$V$5:$V$1000,"Sub")),6),FALSE))),"Con subactividades: no escriba en las semanas (se llenan solas)"&amp;" · ","")&amp;IF((COUNTIF($I47:$L47,"&gt;1")+COUNTIF($I47:$L47,"&lt;0")+SUMPRODUCT((LEN($I47:$L47)&gt;0)*NOT(ISNUMBER($I47:$L47))))&gt;0,"Avance fuera de rango 0-100%"&amp;" · ","")&amp;IF(OR(AND(ISNUMBER($J47),$J47&lt;N($I47)),AND(ISNUMBER($K47),$K47&lt;MAX($I47:$J47)),AND(ISNUMBER($L47),$L47&lt;MAX($I47:$K47))),"Avance semanal decreciente"&amp;" · ","")&amp;IF(AND(ISNUMBER($AS47),$AS47&lt;FechaRef,IF($V47="Sub",1,N($M47))&lt;1),"Vencida"&amp;" · ","")&amp;IF(AND(ObsObligatoria="Sí",ISNUMBER($AS47),$AS47&lt;FechaRef,IF($V47="Sub",1,N($M47))&lt;1,$Q47=""),"Vencida sin observación"&amp;" · ",""))-3)))</f>
        <v/>
      </c>
      <c r="S47" s="64">
        <f>IF(NOT((COUNTA($B47:$D47)+COUNTA($G47:$H47)+COUNTA($Q47))&gt;0),"",IF(AND($V47="Sub",N($U47)&gt;0),IF(ISNUMBER(INDEX($AR$5:$AR$1000,$U47-4)),DATE(YEAR(INDEX($AR$5:$AR$1000,$U47-4)),MONTH(INDEX($AR$5:$AR$1000,$U47-4)),1),IF(ISNUMBER(INDEX($AS$5:$AS$1000,$U47-4)),DATE(YEAR(INDEX($AS$5:$AS$1000,$U47-4)),MONTH(INDEX($AS$5:$AS$1000,$U47-4)),1),MesCiclo)),IF(ISNUMBER($AR47),DATE(YEAR($AR47),MONTH($AR47),1),IF(ISNUMBER($AS47),DATE(YEAR($AS47),MONTH($AS47),1),MesCiclo))))</f>
        <v/>
      </c>
      <c r="T47" s="62">
        <f>IF(OR($S47="",$S47&lt;&gt;MesCiclo,$V47&lt;&gt;"Macro"),"",COUNTIFS($S$5:$S47,MesCiclo,$V$5:$V47,"Macro"))</f>
        <v/>
      </c>
      <c r="U47" s="62">
        <f>IF($V47="","",IF($V47="Macro",ROW(),IFERROR(LOOKUP(2,1/($V$5:$V47="Macro"),ROW($V$5:$V47)),0)))</f>
        <v/>
      </c>
      <c r="V47" s="62">
        <f>IF(NOT((COUNTA($B47:$D47)+COUNTA($G47:$H47)+COUNTA($Q47))&gt;0),"",IF($B47="Subactividad","Sub","Macro"))</f>
        <v/>
      </c>
      <c r="W47" s="62">
        <f>IF($V47="Macro",COUNTIFS($U$5:$U$1000,ROW(),$V$5:$V$1000,"Sub"),"")</f>
        <v/>
      </c>
      <c r="X47" s="62">
        <f>IF($V47&lt;&gt;"Sub","",IF(AND(ISNUMBER($H47),N($H47)&gt;0),$H47,IFERROR(MAX(0,1-SUMIFS($H$5:$H$1000,$U$5:$U$1000,$U47,$V$5:$V$1000,"Sub"))/(COUNTIFS($U$5:$U$1000,$U47,$V$5:$V$1000,"Sub")-COUNTIFS($U$5:$U$1000,$U47,$V$5:$V$1000,"Sub",$H$5:$H$1000,"&gt;0")),0)))</f>
        <v/>
      </c>
      <c r="Y47" s="62">
        <f>IF($V47="","",IF($V47="Sub",N($X47)*IF(ISNUMBER($G47),1,MIN(1,MAX(0,IFERROR(LOOKUP(2,1/ISNUMBER($I47:$L47),$I47:$L47),0)))),IF(ISNUMBER($G47),1,IFERROR(LOOKUP(2,1/($I47:$L47&lt;&gt;""),$I47:$L47),0))))</f>
        <v/>
      </c>
      <c r="Z47" s="62">
        <f>IF($V47="","",IF(AND(ISNUMBER($G47),$G47&lt;=IF($S47=MesCiclo,InicioCiclo,$S47+MOD(2-WEEKDAY($S47),7))+6),1,IF(ISNUMBER($I47),$I47,0)))</f>
        <v/>
      </c>
      <c r="AA47" s="62">
        <f>IF($V47="","",IF(AND(ISNUMBER($G47),$G47&lt;=IF($S47=MesCiclo,InicioCiclo,$S47+MOD(2-WEEKDAY($S47),7))+13),1,IF(ISNUMBER($J47),$J47,$Z47)))</f>
        <v/>
      </c>
      <c r="AB47" s="62">
        <f>IF($V47="","",IF(AND(ISNUMBER($G47),$G47&lt;=IF($S47=MesCiclo,InicioCiclo,$S47+MOD(2-WEEKDAY($S47),7))+20),1,IF(ISNUMBER($K47),$K47,$AA47)))</f>
        <v/>
      </c>
      <c r="AC47" s="62">
        <f>IF($V47="","",IF(AND(ISNUMBER($G47),$G47&lt;=IF($S47=MesCiclo,InicioCiclo,$S47+MOD(2-WEEKDAY($S47),7))+27),1,IF(ISNUMBER($L47),$L47,$AB47)))</f>
        <v/>
      </c>
      <c r="AD47" s="62">
        <f>IF($V47&lt;&gt;"Sub","",N($X47)*IF(AND(ISNUMBER($G47),$G47&lt;=IF($S47=MesCiclo,InicioCiclo,$S47+MOD(2-WEEKDAY($S47),7))+6),1,MIN(1,MAX(0,IF(ISNUMBER(OFFSET($A$1,ROW()-1,8)),OFFSET($A$1,ROW()-1,8),0)))))</f>
        <v/>
      </c>
      <c r="AE47" s="62">
        <f>IF($V47&lt;&gt;"Sub","",N($X47)*IF(AND(ISNUMBER($G47),$G47&lt;=IF($S47=MesCiclo,InicioCiclo,$S47+MOD(2-WEEKDAY($S47),7))+13),1,MIN(1,MAX(0,IF(ISNUMBER(OFFSET($A$1,ROW()-1,9)),OFFSET($A$1,ROW()-1,9),IF(ISNUMBER(OFFSET($A$1,ROW()-1,8)),OFFSET($A$1,ROW()-1,8),0))))))</f>
        <v/>
      </c>
      <c r="AF47" s="62">
        <f>IF($V47&lt;&gt;"Sub","",N($X47)*IF(AND(ISNUMBER($G47),$G47&lt;=IF($S47=MesCiclo,InicioCiclo,$S47+MOD(2-WEEKDAY($S47),7))+20),1,MIN(1,MAX(0,IF(ISNUMBER(OFFSET($A$1,ROW()-1,10)),OFFSET($A$1,ROW()-1,10),IF(ISNUMBER(OFFSET($A$1,ROW()-1,9)),OFFSET($A$1,ROW()-1,9),IF(ISNUMBER(OFFSET($A$1,ROW()-1,8)),OFFSET($A$1,ROW()-1,8),0)))))))</f>
        <v/>
      </c>
      <c r="AG47" s="62">
        <f>IF($V47&lt;&gt;"Sub","",N($X47)*IF(AND(ISNUMBER($G47),$G47&lt;=IF($S47=MesCiclo,InicioCiclo,$S47+MOD(2-WEEKDAY($S47),7))+27),1,MIN(1,MAX(0,IF(ISNUMBER(OFFSET($A$1,ROW()-1,11)),OFFSET($A$1,ROW()-1,11),IF(ISNUMBER(OFFSET($A$1,ROW()-1,10)),OFFSET($A$1,ROW()-1,10),IF(ISNUMBER(OFFSET($A$1,ROW()-1,9)),OFFSET($A$1,ROW()-1,9),IF(ISNUMBER(OFFSET($A$1,ROW()-1,8)),OFFSET($A$1,ROW()-1,8),0))))))))</f>
        <v/>
      </c>
      <c r="AH47" s="62">
        <f>IF($V47="","",IF(AND(ISNUMBER($G47),$G47&lt;=IF($S47=MesCiclo,InicioCiclo,$S47+MOD(2-WEEKDAY($S47),7))+6),1,IF(N($W47)&gt;0,MIN(1,SUMIFS($AD$5:$AD$1000,$U$5:$U$1000,ROW(),$V$5:$V$1000,"Sub")),$Z47)))</f>
        <v/>
      </c>
      <c r="AI47" s="62">
        <f>IF($V47="","",IF(AND(ISNUMBER($G47),$G47&lt;=IF($S47=MesCiclo,InicioCiclo,$S47+MOD(2-WEEKDAY($S47),7))+13),1,IF(N($W47)&gt;0,MIN(1,SUMIFS($AE$5:$AE$1000,$U$5:$U$1000,ROW(),$V$5:$V$1000,"Sub")),$AA47)))</f>
        <v/>
      </c>
      <c r="AJ47" s="62">
        <f>IF($V47="","",IF(AND(ISNUMBER($G47),$G47&lt;=IF($S47=MesCiclo,InicioCiclo,$S47+MOD(2-WEEKDAY($S47),7))+20),1,IF(N($W47)&gt;0,MIN(1,SUMIFS($AF$5:$AF$1000,$U$5:$U$1000,ROW(),$V$5:$V$1000,"Sub")),$AB47)))</f>
        <v/>
      </c>
      <c r="AK47" s="62">
        <f>IF($V47="","",IF(AND(ISNUMBER($G47),$G47&lt;=IF($S47=MesCiclo,InicioCiclo,$S47+MOD(2-WEEKDAY($S47),7))+27),1,IF(N($W47)&gt;0,MIN(1,SUMIFS($AG$5:$AG$1000,$U$5:$U$1000,ROW(),$V$5:$V$1000,"Sub")),$AC47)))</f>
        <v/>
      </c>
      <c r="AL47" s="62">
        <f>IF($V47&lt;&gt;"Macro","",IF(COUNTIFS($S$5:$S$1000,$S47,$V$5:$V$1000,"Macro",$H$5:$H$1000,"&gt;0")=0,1/COUNTIFS($S$5:$S$1000,$S47,$V$5:$V$1000,"Macro"),IF(AND(ISNUMBER($H47),N($H47)&gt;0),$H47,SUMIFS($H$5:$H$1000,$S$5:$S$1000,$S47,$V$5:$V$1000,"Macro")/COUNTIFS($S$5:$S$1000,$S47,$V$5:$V$1000,"Macro",$H$5:$H$1000,"&gt;0"))/(COUNTIFS($S$5:$S$1000,$S47,$V$5:$V$1000,"Macro")*SUMIFS($H$5:$H$1000,$S$5:$S$1000,$S47,$V$5:$V$1000,"Macro")/COUNTIFS($S$5:$S$1000,$S47,$V$5:$V$1000,"Macro",$H$5:$H$1000,"&gt;0"))))</f>
        <v/>
      </c>
      <c r="AM47" s="62" t="n"/>
      <c r="AN47" s="62" t="n"/>
      <c r="AO47" s="62" t="n"/>
      <c r="AP47" s="62" t="n"/>
      <c r="AQ47" s="62">
        <f>IF(LEFT($C47,11)="[Jefatura] ",IFERROR(MATCH("Asistente Técnico de Riesgo|"&amp;MID($C47,12,500),rDname_ADM,0),0),"")</f>
        <v/>
      </c>
      <c r="AR47" s="62">
        <f>IF(N($AQ47)&gt;0,INDEX(rIni_ADM,$AQ47),IF(ISNUMBER($E47),$E47,""))</f>
        <v/>
      </c>
      <c r="AS47" s="62">
        <f>IF(N($AQ47)&gt;0,INDEX(rLim_ADM,$AQ47),IF(ISNUMBER($F47),$F47,""))</f>
        <v/>
      </c>
    </row>
    <row r="48">
      <c r="A48" s="56">
        <f>IF(NOT((COUNTA($B48:$D48)+COUNTA($G48:$H48)+COUNTA($Q48))&gt;0),"",IF($V48="Macro",COUNTIFS($V$5:$V48,"Macro",$S$5:$S48,$S48),IF(N($U48)=0,"?",COUNTIFS(INDEX($V$5:$V$1000,1):INDEX($V$5:$V$1000,$U48-4),"Macro",INDEX($S$5:$S$1000,1):INDEX($S$5:$S$1000,$U48-4),INDEX($S$5:$S$1000,$U48-4))&amp;"."&amp;COUNTIFS($U$5:$U48,$U48,$V$5:$V48,"Sub"))))</f>
        <v/>
      </c>
      <c r="B48" s="57" t="n"/>
      <c r="C48" s="58" t="n"/>
      <c r="D48" s="58" t="n"/>
      <c r="E48" s="59">
        <f>IF(N($AQ48)&gt;0,INDEX(rIni_ADM,$AQ48),"")</f>
        <v/>
      </c>
      <c r="F48" s="59">
        <f>IF(N($AQ48)&gt;0,INDEX(rLim_ADM,$AQ48),"")</f>
        <v/>
      </c>
      <c r="G48" s="59" t="n"/>
      <c r="H48" s="60" t="n"/>
      <c r="I48" s="60">
        <f>IF(N($W48)=0,"",IF(AND($S48=MesCiclo,1&gt;SemanaActual),"",MIN(1,SUMIFS(OFFSET($A$1,ROW(),29,1000-ROW(),1),OFFSET($A$1,ROW(),20,1000-ROW(),1),ROW(),OFFSET($A$1,ROW(),21,1000-ROW(),1),"Sub"))))</f>
        <v/>
      </c>
      <c r="J48" s="60">
        <f>IF(N($W48)=0,"",IF(AND($S48=MesCiclo,2&gt;SemanaActual),"",MIN(1,SUMIFS(OFFSET($A$1,ROW(),30,1000-ROW(),1),OFFSET($A$1,ROW(),20,1000-ROW(),1),ROW(),OFFSET($A$1,ROW(),21,1000-ROW(),1),"Sub"))))</f>
        <v/>
      </c>
      <c r="K48" s="60">
        <f>IF(N($W48)=0,"",IF(AND($S48=MesCiclo,3&gt;SemanaActual),"",MIN(1,SUMIFS(OFFSET($A$1,ROW(),31,1000-ROW(),1),OFFSET($A$1,ROW(),20,1000-ROW(),1),ROW(),OFFSET($A$1,ROW(),21,1000-ROW(),1),"Sub"))))</f>
        <v/>
      </c>
      <c r="L48" s="60">
        <f>IF(N($W48)=0,"",IF(AND($S48=MesCiclo,4&gt;SemanaActual),"",MIN(1,SUMIFS(OFFSET($A$1,ROW(),32,1000-ROW(),1),OFFSET($A$1,ROW(),20,1000-ROW(),1),ROW(),OFFSET($A$1,ROW(),21,1000-ROW(),1),"Sub"))))</f>
        <v/>
      </c>
      <c r="M48" s="61">
        <f>IF(OR(NOT((COUNTA($B48:$D48)+COUNTA($G48:$H48)+COUNTA($Q48))&gt;0),$V48="Sub"),"",IF(ISNUMBER($G48),1,IF(N($W48)&gt;0,MIN(1,SUMIFS($Y$5:$Y$1000,$U$5:$U$1000,ROW(),$V$5:$V$1000,"Sub")),$Y48)))</f>
        <v/>
      </c>
      <c r="N48" s="56">
        <f>IF(OR($M48="",$V48="Sub"),"",IF($M48&gt;=1,"Completado",IF($M48&gt;0,"En curso","Pendiente")))</f>
        <v/>
      </c>
      <c r="O48" s="56">
        <f>IF(OR(NOT((COUNTA($B48:$D48)+COUNTA($G48:$H48)+COUNTA($Q48))&gt;0),$V48="Sub"),"",IF(ISNUMBER($G48),IF(AND(ISNUMBER($AS48),$G48&gt;$AS48),"Cumplida con "&amp;($G48-$AS48)&amp;IF($G48-$AS48=1," día"," días")&amp;" de retraso","Cumplida"),IF(N($M48)&gt;=1,"Cumplida",IF(NOT(ISNUMBER($AS48)),"Sin fecha límite",IF($AS48&lt;FechaRef,"Vencida hace "&amp;(FechaRef-$AS48)&amp;IF(FechaRef-$AS48=1," día"," días"),IF($AS48=FechaRef,"Vence hoy",IF($AS48-FechaRef&lt;=DiasAlerta,"Vence en "&amp;($AS48-FechaRef)&amp;IF($AS48-FechaRef=1," día"," días"),"En plazo")))))))</f>
        <v/>
      </c>
      <c r="P48" s="62" t="n"/>
      <c r="Q48" s="58" t="n"/>
      <c r="R48" s="63">
        <f>IF(NOT((COUNTA($B48:$D48)+COUNTA($G48:$H48)+COUNTA($Q48))&gt;0),"",IF((IF($C48="","Falta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 OK","⚠ "&amp;LEFT(IF($C48="","Falta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",""),LEN(IF($C48="","Falta el nombre de la actividad"&amp;" · ","")&amp;IF(AND($V48="Sub",N($U48)=0),"Subactividad sin macroactividad arriba"&amp;" · ","")&amp;IF(AND($V48="Macro",$AR48=""),"Sin fecha de inicio"&amp;" · ","")&amp;IF(AND($V48="Macro",$AS48=""),"Sin fecha límite"&amp;" · ","")&amp;IF(AND(LEFT($C48,11)="[Jefatura] ",N($AQ48)=0),"No se encuentra en la hoja de la jefatura (elíjala de nuevo en la lista)"&amp;" · ","")&amp;IF(OR(AND($E48&lt;&gt;"",NOT(ISNUMBER($E48))),AND($F48&lt;&gt;"",NOT(ISNUMBER($F48))),AND($G48&lt;&gt;"",NOT(ISNUMBER($G48)))),"Fecha no válida"&amp;" · ","")&amp;IF(AND(ISNUMBER($AR48),ISNUMBER($AS48),$AR48&gt;$AS48),"Inicio posterior a fecha límite"&amp;" · ","")&amp;IF(AND($V48="Macro",$H48&lt;&gt;"",OR(NOT(ISNUMBER($H48)),$H48&lt;0,$H48&gt;1)),"Peso fuera de rango"&amp;" · ","")&amp;IF(AND($V48="Sub",$H48&lt;&gt;"",OR(NOT(ISNUMBER($H48)),$H48&lt;0,$H48&gt;1)),"% de la subactividad fuera de rango 0-100%"&amp;" · ","")&amp;IF(AND(N($W48)&gt;0,SUMIFS($H$5:$H$1000,$U$5:$U$1000,ROW(),$V$5:$V$1000,"Sub")&gt;1.0001),"Las subactividades suman más de 100%"&amp;" · ","")&amp;IF(AND(N($W48)&gt;0,OR(IF(ISNUMBER($I48),ROUND($I48,6)&lt;&gt;ROUND(MIN(1,SUMIFS($AD$5:$AD$1000,$U$5:$U$1000,ROW(),$V$5:$V$1000,"Sub")),6),FALSE),IF(ISNUMBER($J48),ROUND($J48,6)&lt;&gt;ROUND(MIN(1,SUMIFS($AE$5:$AE$1000,$U$5:$U$1000,ROW(),$V$5:$V$1000,"Sub")),6),FALSE),IF(ISNUMBER($K48),ROUND($K48,6)&lt;&gt;ROUND(MIN(1,SUMIFS($AF$5:$AF$1000,$U$5:$U$1000,ROW(),$V$5:$V$1000,"Sub")),6),FALSE),IF(ISNUMBER($L48),ROUND($L48,6)&lt;&gt;ROUND(MIN(1,SUMIFS($AG$5:$AG$1000,$U$5:$U$1000,ROW(),$V$5:$V$1000,"Sub")),6),FALSE))),"Con subactividades: no escriba en las semanas (se llenan solas)"&amp;" · ","")&amp;IF((COUNTIF($I48:$L48,"&gt;1")+COUNTIF($I48:$L48,"&lt;0")+SUMPRODUCT((LEN($I48:$L48)&gt;0)*NOT(ISNUMBER($I48:$L48))))&gt;0,"Avance fuera de rango 0-100%"&amp;" · ","")&amp;IF(OR(AND(ISNUMBER($J48),$J48&lt;N($I48)),AND(ISNUMBER($K48),$K48&lt;MAX($I48:$J48)),AND(ISNUMBER($L48),$L48&lt;MAX($I48:$K48))),"Avance semanal decreciente"&amp;" · ","")&amp;IF(AND(ISNUMBER($AS48),$AS48&lt;FechaRef,IF($V48="Sub",1,N($M48))&lt;1),"Vencida"&amp;" · ","")&amp;IF(AND(ObsObligatoria="Sí",ISNUMBER($AS48),$AS48&lt;FechaRef,IF($V48="Sub",1,N($M48))&lt;1,$Q48=""),"Vencida sin observación"&amp;" · ",""))-3)))</f>
        <v/>
      </c>
      <c r="S48" s="64">
        <f>IF(NOT((COUNTA($B48:$D48)+COUNTA($G48:$H48)+COUNTA($Q48))&gt;0),"",IF(AND($V48="Sub",N($U48)&gt;0),IF(ISNUMBER(INDEX($AR$5:$AR$1000,$U48-4)),DATE(YEAR(INDEX($AR$5:$AR$1000,$U48-4)),MONTH(INDEX($AR$5:$AR$1000,$U48-4)),1),IF(ISNUMBER(INDEX($AS$5:$AS$1000,$U48-4)),DATE(YEAR(INDEX($AS$5:$AS$1000,$U48-4)),MONTH(INDEX($AS$5:$AS$1000,$U48-4)),1),MesCiclo)),IF(ISNUMBER($AR48),DATE(YEAR($AR48),MONTH($AR48),1),IF(ISNUMBER($AS48),DATE(YEAR($AS48),MONTH($AS48),1),MesCiclo))))</f>
        <v/>
      </c>
      <c r="T48" s="62">
        <f>IF(OR($S48="",$S48&lt;&gt;MesCiclo,$V48&lt;&gt;"Macro"),"",COUNTIFS($S$5:$S48,MesCiclo,$V$5:$V48,"Macro"))</f>
        <v/>
      </c>
      <c r="U48" s="62">
        <f>IF($V48="","",IF($V48="Macro",ROW(),IFERROR(LOOKUP(2,1/($V$5:$V48="Macro"),ROW($V$5:$V48)),0)))</f>
        <v/>
      </c>
      <c r="V48" s="62">
        <f>IF(NOT((COUNTA($B48:$D48)+COUNTA($G48:$H48)+COUNTA($Q48))&gt;0),"",IF($B48="Subactividad","Sub","Macro"))</f>
        <v/>
      </c>
      <c r="W48" s="62">
        <f>IF($V48="Macro",COUNTIFS($U$5:$U$1000,ROW(),$V$5:$V$1000,"Sub"),"")</f>
        <v/>
      </c>
      <c r="X48" s="62">
        <f>IF($V48&lt;&gt;"Sub","",IF(AND(ISNUMBER($H48),N($H48)&gt;0),$H48,IFERROR(MAX(0,1-SUMIFS($H$5:$H$1000,$U$5:$U$1000,$U48,$V$5:$V$1000,"Sub"))/(COUNTIFS($U$5:$U$1000,$U48,$V$5:$V$1000,"Sub")-COUNTIFS($U$5:$U$1000,$U48,$V$5:$V$1000,"Sub",$H$5:$H$1000,"&gt;0")),0)))</f>
        <v/>
      </c>
      <c r="Y48" s="62">
        <f>IF($V48="","",IF($V48="Sub",N($X48)*IF(ISNUMBER($G48),1,MIN(1,MAX(0,IFERROR(LOOKUP(2,1/ISNUMBER($I48:$L48),$I48:$L48),0)))),IF(ISNUMBER($G48),1,IFERROR(LOOKUP(2,1/($I48:$L48&lt;&gt;""),$I48:$L48),0))))</f>
        <v/>
      </c>
      <c r="Z48" s="62">
        <f>IF($V48="","",IF(AND(ISNUMBER($G48),$G48&lt;=IF($S48=MesCiclo,InicioCiclo,$S48+MOD(2-WEEKDAY($S48),7))+6),1,IF(ISNUMBER($I48),$I48,0)))</f>
        <v/>
      </c>
      <c r="AA48" s="62">
        <f>IF($V48="","",IF(AND(ISNUMBER($G48),$G48&lt;=IF($S48=MesCiclo,InicioCiclo,$S48+MOD(2-WEEKDAY($S48),7))+13),1,IF(ISNUMBER($J48),$J48,$Z48)))</f>
        <v/>
      </c>
      <c r="AB48" s="62">
        <f>IF($V48="","",IF(AND(ISNUMBER($G48),$G48&lt;=IF($S48=MesCiclo,InicioCiclo,$S48+MOD(2-WEEKDAY($S48),7))+20),1,IF(ISNUMBER($K48),$K48,$AA48)))</f>
        <v/>
      </c>
      <c r="AC48" s="62">
        <f>IF($V48="","",IF(AND(ISNUMBER($G48),$G48&lt;=IF($S48=MesCiclo,InicioCiclo,$S48+MOD(2-WEEKDAY($S48),7))+27),1,IF(ISNUMBER($L48),$L48,$AB48)))</f>
        <v/>
      </c>
      <c r="AD48" s="62">
        <f>IF($V48&lt;&gt;"Sub","",N($X48)*IF(AND(ISNUMBER($G48),$G48&lt;=IF($S48=MesCiclo,InicioCiclo,$S48+MOD(2-WEEKDAY($S48),7))+6),1,MIN(1,MAX(0,IF(ISNUMBER(OFFSET($A$1,ROW()-1,8)),OFFSET($A$1,ROW()-1,8),0)))))</f>
        <v/>
      </c>
      <c r="AE48" s="62">
        <f>IF($V48&lt;&gt;"Sub","",N($X48)*IF(AND(ISNUMBER($G48),$G48&lt;=IF($S48=MesCiclo,InicioCiclo,$S48+MOD(2-WEEKDAY($S48),7))+13),1,MIN(1,MAX(0,IF(ISNUMBER(OFFSET($A$1,ROW()-1,9)),OFFSET($A$1,ROW()-1,9),IF(ISNUMBER(OFFSET($A$1,ROW()-1,8)),OFFSET($A$1,ROW()-1,8),0))))))</f>
        <v/>
      </c>
      <c r="AF48" s="62">
        <f>IF($V48&lt;&gt;"Sub","",N($X48)*IF(AND(ISNUMBER($G48),$G48&lt;=IF($S48=MesCiclo,InicioCiclo,$S48+MOD(2-WEEKDAY($S48),7))+20),1,MIN(1,MAX(0,IF(ISNUMBER(OFFSET($A$1,ROW()-1,10)),OFFSET($A$1,ROW()-1,10),IF(ISNUMBER(OFFSET($A$1,ROW()-1,9)),OFFSET($A$1,ROW()-1,9),IF(ISNUMBER(OFFSET($A$1,ROW()-1,8)),OFFSET($A$1,ROW()-1,8),0)))))))</f>
        <v/>
      </c>
      <c r="AG48" s="62">
        <f>IF($V48&lt;&gt;"Sub","",N($X48)*IF(AND(ISNUMBER($G48),$G48&lt;=IF($S48=MesCiclo,InicioCiclo,$S48+MOD(2-WEEKDAY($S48),7))+27),1,MIN(1,MAX(0,IF(ISNUMBER(OFFSET($A$1,ROW()-1,11)),OFFSET($A$1,ROW()-1,11),IF(ISNUMBER(OFFSET($A$1,ROW()-1,10)),OFFSET($A$1,ROW()-1,10),IF(ISNUMBER(OFFSET($A$1,ROW()-1,9)),OFFSET($A$1,ROW()-1,9),IF(ISNUMBER(OFFSET($A$1,ROW()-1,8)),OFFSET($A$1,ROW()-1,8),0))))))))</f>
        <v/>
      </c>
      <c r="AH48" s="62">
        <f>IF($V48="","",IF(AND(ISNUMBER($G48),$G48&lt;=IF($S48=MesCiclo,InicioCiclo,$S48+MOD(2-WEEKDAY($S48),7))+6),1,IF(N($W48)&gt;0,MIN(1,SUMIFS($AD$5:$AD$1000,$U$5:$U$1000,ROW(),$V$5:$V$1000,"Sub")),$Z48)))</f>
        <v/>
      </c>
      <c r="AI48" s="62">
        <f>IF($V48="","",IF(AND(ISNUMBER($G48),$G48&lt;=IF($S48=MesCiclo,InicioCiclo,$S48+MOD(2-WEEKDAY($S48),7))+13),1,IF(N($W48)&gt;0,MIN(1,SUMIFS($AE$5:$AE$1000,$U$5:$U$1000,ROW(),$V$5:$V$1000,"Sub")),$AA48)))</f>
        <v/>
      </c>
      <c r="AJ48" s="62">
        <f>IF($V48="","",IF(AND(ISNUMBER($G48),$G48&lt;=IF($S48=MesCiclo,InicioCiclo,$S48+MOD(2-WEEKDAY($S48),7))+20),1,IF(N($W48)&gt;0,MIN(1,SUMIFS($AF$5:$AF$1000,$U$5:$U$1000,ROW(),$V$5:$V$1000,"Sub")),$AB48)))</f>
        <v/>
      </c>
      <c r="AK48" s="62">
        <f>IF($V48="","",IF(AND(ISNUMBER($G48),$G48&lt;=IF($S48=MesCiclo,InicioCiclo,$S48+MOD(2-WEEKDAY($S48),7))+27),1,IF(N($W48)&gt;0,MIN(1,SUMIFS($AG$5:$AG$1000,$U$5:$U$1000,ROW(),$V$5:$V$1000,"Sub")),$AC48)))</f>
        <v/>
      </c>
      <c r="AL48" s="62">
        <f>IF($V48&lt;&gt;"Macro","",IF(COUNTIFS($S$5:$S$1000,$S48,$V$5:$V$1000,"Macro",$H$5:$H$1000,"&gt;0")=0,1/COUNTIFS($S$5:$S$1000,$S48,$V$5:$V$1000,"Macro"),IF(AND(ISNUMBER($H48),N($H48)&gt;0),$H48,SUMIFS($H$5:$H$1000,$S$5:$S$1000,$S48,$V$5:$V$1000,"Macro")/COUNTIFS($S$5:$S$1000,$S48,$V$5:$V$1000,"Macro",$H$5:$H$1000,"&gt;0"))/(COUNTIFS($S$5:$S$1000,$S48,$V$5:$V$1000,"Macro")*SUMIFS($H$5:$H$1000,$S$5:$S$1000,$S48,$V$5:$V$1000,"Macro")/COUNTIFS($S$5:$S$1000,$S48,$V$5:$V$1000,"Macro",$H$5:$H$1000,"&gt;0"))))</f>
        <v/>
      </c>
      <c r="AM48" s="62" t="n"/>
      <c r="AN48" s="62" t="n"/>
      <c r="AO48" s="62" t="n"/>
      <c r="AP48" s="62" t="n"/>
      <c r="AQ48" s="62">
        <f>IF(LEFT($C48,11)="[Jefatura] ",IFERROR(MATCH("Asistente Técnico de Riesgo|"&amp;MID($C48,12,500),rDname_ADM,0),0),"")</f>
        <v/>
      </c>
      <c r="AR48" s="62">
        <f>IF(N($AQ48)&gt;0,INDEX(rIni_ADM,$AQ48),IF(ISNUMBER($E48),$E48,""))</f>
        <v/>
      </c>
      <c r="AS48" s="62">
        <f>IF(N($AQ48)&gt;0,INDEX(rLim_ADM,$AQ48),IF(ISNUMBER($F48),$F48,""))</f>
        <v/>
      </c>
    </row>
    <row r="49">
      <c r="A49" s="56">
        <f>IF(NOT((COUNTA($B49:$D49)+COUNTA($G49:$H49)+COUNTA($Q49))&gt;0),"",IF($V49="Macro",COUNTIFS($V$5:$V49,"Macro",$S$5:$S49,$S49),IF(N($U49)=0,"?",COUNTIFS(INDEX($V$5:$V$1000,1):INDEX($V$5:$V$1000,$U49-4),"Macro",INDEX($S$5:$S$1000,1):INDEX($S$5:$S$1000,$U49-4),INDEX($S$5:$S$1000,$U49-4))&amp;"."&amp;COUNTIFS($U$5:$U49,$U49,$V$5:$V49,"Sub"))))</f>
        <v/>
      </c>
      <c r="B49" s="57" t="n"/>
      <c r="C49" s="58" t="n"/>
      <c r="D49" s="58" t="n"/>
      <c r="E49" s="59">
        <f>IF(N($AQ49)&gt;0,INDEX(rIni_ADM,$AQ49),"")</f>
        <v/>
      </c>
      <c r="F49" s="59">
        <f>IF(N($AQ49)&gt;0,INDEX(rLim_ADM,$AQ49),"")</f>
        <v/>
      </c>
      <c r="G49" s="59" t="n"/>
      <c r="H49" s="60" t="n"/>
      <c r="I49" s="60">
        <f>IF(N($W49)=0,"",IF(AND($S49=MesCiclo,1&gt;SemanaActual),"",MIN(1,SUMIFS(OFFSET($A$1,ROW(),29,1000-ROW(),1),OFFSET($A$1,ROW(),20,1000-ROW(),1),ROW(),OFFSET($A$1,ROW(),21,1000-ROW(),1),"Sub"))))</f>
        <v/>
      </c>
      <c r="J49" s="60">
        <f>IF(N($W49)=0,"",IF(AND($S49=MesCiclo,2&gt;SemanaActual),"",MIN(1,SUMIFS(OFFSET($A$1,ROW(),30,1000-ROW(),1),OFFSET($A$1,ROW(),20,1000-ROW(),1),ROW(),OFFSET($A$1,ROW(),21,1000-ROW(),1),"Sub"))))</f>
        <v/>
      </c>
      <c r="K49" s="60">
        <f>IF(N($W49)=0,"",IF(AND($S49=MesCiclo,3&gt;SemanaActual),"",MIN(1,SUMIFS(OFFSET($A$1,ROW(),31,1000-ROW(),1),OFFSET($A$1,ROW(),20,1000-ROW(),1),ROW(),OFFSET($A$1,ROW(),21,1000-ROW(),1),"Sub"))))</f>
        <v/>
      </c>
      <c r="L49" s="60">
        <f>IF(N($W49)=0,"",IF(AND($S49=MesCiclo,4&gt;SemanaActual),"",MIN(1,SUMIFS(OFFSET($A$1,ROW(),32,1000-ROW(),1),OFFSET($A$1,ROW(),20,1000-ROW(),1),ROW(),OFFSET($A$1,ROW(),21,1000-ROW(),1),"Sub"))))</f>
        <v/>
      </c>
      <c r="M49" s="61">
        <f>IF(OR(NOT((COUNTA($B49:$D49)+COUNTA($G49:$H49)+COUNTA($Q49))&gt;0),$V49="Sub"),"",IF(ISNUMBER($G49),1,IF(N($W49)&gt;0,MIN(1,SUMIFS($Y$5:$Y$1000,$U$5:$U$1000,ROW(),$V$5:$V$1000,"Sub")),$Y49)))</f>
        <v/>
      </c>
      <c r="N49" s="56">
        <f>IF(OR($M49="",$V49="Sub"),"",IF($M49&gt;=1,"Completado",IF($M49&gt;0,"En curso","Pendiente")))</f>
        <v/>
      </c>
      <c r="O49" s="56">
        <f>IF(OR(NOT((COUNTA($B49:$D49)+COUNTA($G49:$H49)+COUNTA($Q49))&gt;0),$V49="Sub"),"",IF(ISNUMBER($G49),IF(AND(ISNUMBER($AS49),$G49&gt;$AS49),"Cumplida con "&amp;($G49-$AS49)&amp;IF($G49-$AS49=1," día"," días")&amp;" de retraso","Cumplida"),IF(N($M49)&gt;=1,"Cumplida",IF(NOT(ISNUMBER($AS49)),"Sin fecha límite",IF($AS49&lt;FechaRef,"Vencida hace "&amp;(FechaRef-$AS49)&amp;IF(FechaRef-$AS49=1," día"," días"),IF($AS49=FechaRef,"Vence hoy",IF($AS49-FechaRef&lt;=DiasAlerta,"Vence en "&amp;($AS49-FechaRef)&amp;IF($AS49-FechaRef=1," día"," días"),"En plazo")))))))</f>
        <v/>
      </c>
      <c r="P49" s="62" t="n"/>
      <c r="Q49" s="58" t="n"/>
      <c r="R49" s="63">
        <f>IF(NOT((COUNTA($B49:$D49)+COUNTA($G49:$H49)+COUNTA($Q49))&gt;0),"",IF((IF($C49="","Falta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 OK","⚠ "&amp;LEFT(IF($C49="","Falta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",""),LEN(IF($C49="","Falta el nombre de la actividad"&amp;" · ","")&amp;IF(AND($V49="Sub",N($U49)=0),"Subactividad sin macroactividad arriba"&amp;" · ","")&amp;IF(AND($V49="Macro",$AR49=""),"Sin fecha de inicio"&amp;" · ","")&amp;IF(AND($V49="Macro",$AS49=""),"Sin fecha límite"&amp;" · ","")&amp;IF(AND(LEFT($C49,11)="[Jefatura] ",N($AQ49)=0),"No se encuentra en la hoja de la jefatura (elíjala de nuevo en la lista)"&amp;" · ","")&amp;IF(OR(AND($E49&lt;&gt;"",NOT(ISNUMBER($E49))),AND($F49&lt;&gt;"",NOT(ISNUMBER($F49))),AND($G49&lt;&gt;"",NOT(ISNUMBER($G49)))),"Fecha no válida"&amp;" · ","")&amp;IF(AND(ISNUMBER($AR49),ISNUMBER($AS49),$AR49&gt;$AS49),"Inicio posterior a fecha límite"&amp;" · ","")&amp;IF(AND($V49="Macro",$H49&lt;&gt;"",OR(NOT(ISNUMBER($H49)),$H49&lt;0,$H49&gt;1)),"Peso fuera de rango"&amp;" · ","")&amp;IF(AND($V49="Sub",$H49&lt;&gt;"",OR(NOT(ISNUMBER($H49)),$H49&lt;0,$H49&gt;1)),"% de la subactividad fuera de rango 0-100%"&amp;" · ","")&amp;IF(AND(N($W49)&gt;0,SUMIFS($H$5:$H$1000,$U$5:$U$1000,ROW(),$V$5:$V$1000,"Sub")&gt;1.0001),"Las subactividades suman más de 100%"&amp;" · ","")&amp;IF(AND(N($W49)&gt;0,OR(IF(ISNUMBER($I49),ROUND($I49,6)&lt;&gt;ROUND(MIN(1,SUMIFS($AD$5:$AD$1000,$U$5:$U$1000,ROW(),$V$5:$V$1000,"Sub")),6),FALSE),IF(ISNUMBER($J49),ROUND($J49,6)&lt;&gt;ROUND(MIN(1,SUMIFS($AE$5:$AE$1000,$U$5:$U$1000,ROW(),$V$5:$V$1000,"Sub")),6),FALSE),IF(ISNUMBER($K49),ROUND($K49,6)&lt;&gt;ROUND(MIN(1,SUMIFS($AF$5:$AF$1000,$U$5:$U$1000,ROW(),$V$5:$V$1000,"Sub")),6),FALSE),IF(ISNUMBER($L49),ROUND($L49,6)&lt;&gt;ROUND(MIN(1,SUMIFS($AG$5:$AG$1000,$U$5:$U$1000,ROW(),$V$5:$V$1000,"Sub")),6),FALSE))),"Con subactividades: no escriba en las semanas (se llenan solas)"&amp;" · ","")&amp;IF((COUNTIF($I49:$L49,"&gt;1")+COUNTIF($I49:$L49,"&lt;0")+SUMPRODUCT((LEN($I49:$L49)&gt;0)*NOT(ISNUMBER($I49:$L49))))&gt;0,"Avance fuera de rango 0-100%"&amp;" · ","")&amp;IF(OR(AND(ISNUMBER($J49),$J49&lt;N($I49)),AND(ISNUMBER($K49),$K49&lt;MAX($I49:$J49)),AND(ISNUMBER($L49),$L49&lt;MAX($I49:$K49))),"Avance semanal decreciente"&amp;" · ","")&amp;IF(AND(ISNUMBER($AS49),$AS49&lt;FechaRef,IF($V49="Sub",1,N($M49))&lt;1),"Vencida"&amp;" · ","")&amp;IF(AND(ObsObligatoria="Sí",ISNUMBER($AS49),$AS49&lt;FechaRef,IF($V49="Sub",1,N($M49))&lt;1,$Q49=""),"Vencida sin observación"&amp;" · ",""))-3)))</f>
        <v/>
      </c>
      <c r="S49" s="64">
        <f>IF(NOT((COUNTA($B49:$D49)+COUNTA($G49:$H49)+COUNTA($Q49))&gt;0),"",IF(AND($V49="Sub",N($U49)&gt;0),IF(ISNUMBER(INDEX($AR$5:$AR$1000,$U49-4)),DATE(YEAR(INDEX($AR$5:$AR$1000,$U49-4)),MONTH(INDEX($AR$5:$AR$1000,$U49-4)),1),IF(ISNUMBER(INDEX($AS$5:$AS$1000,$U49-4)),DATE(YEAR(INDEX($AS$5:$AS$1000,$U49-4)),MONTH(INDEX($AS$5:$AS$1000,$U49-4)),1),MesCiclo)),IF(ISNUMBER($AR49),DATE(YEAR($AR49),MONTH($AR49),1),IF(ISNUMBER($AS49),DATE(YEAR($AS49),MONTH($AS49),1),MesCiclo))))</f>
        <v/>
      </c>
      <c r="T49" s="62">
        <f>IF(OR($S49="",$S49&lt;&gt;MesCiclo,$V49&lt;&gt;"Macro"),"",COUNTIFS($S$5:$S49,MesCiclo,$V$5:$V49,"Macro"))</f>
        <v/>
      </c>
      <c r="U49" s="62">
        <f>IF($V49="","",IF($V49="Macro",ROW(),IFERROR(LOOKUP(2,1/($V$5:$V49="Macro"),ROW($V$5:$V49)),0)))</f>
        <v/>
      </c>
      <c r="V49" s="62">
        <f>IF(NOT((COUNTA($B49:$D49)+COUNTA($G49:$H49)+COUNTA($Q49))&gt;0),"",IF($B49="Subactividad","Sub","Macro"))</f>
        <v/>
      </c>
      <c r="W49" s="62">
        <f>IF($V49="Macro",COUNTIFS($U$5:$U$1000,ROW(),$V$5:$V$1000,"Sub"),"")</f>
        <v/>
      </c>
      <c r="X49" s="62">
        <f>IF($V49&lt;&gt;"Sub","",IF(AND(ISNUMBER($H49),N($H49)&gt;0),$H49,IFERROR(MAX(0,1-SUMIFS($H$5:$H$1000,$U$5:$U$1000,$U49,$V$5:$V$1000,"Sub"))/(COUNTIFS($U$5:$U$1000,$U49,$V$5:$V$1000,"Sub")-COUNTIFS($U$5:$U$1000,$U49,$V$5:$V$1000,"Sub",$H$5:$H$1000,"&gt;0")),0)))</f>
        <v/>
      </c>
      <c r="Y49" s="62">
        <f>IF($V49="","",IF($V49="Sub",N($X49)*IF(ISNUMBER($G49),1,MIN(1,MAX(0,IFERROR(LOOKUP(2,1/ISNUMBER($I49:$L49),$I49:$L49),0)))),IF(ISNUMBER($G49),1,IFERROR(LOOKUP(2,1/($I49:$L49&lt;&gt;""),$I49:$L49),0))))</f>
        <v/>
      </c>
      <c r="Z49" s="62">
        <f>IF($V49="","",IF(AND(ISNUMBER($G49),$G49&lt;=IF($S49=MesCiclo,InicioCiclo,$S49+MOD(2-WEEKDAY($S49),7))+6),1,IF(ISNUMBER($I49),$I49,0)))</f>
        <v/>
      </c>
      <c r="AA49" s="62">
        <f>IF($V49="","",IF(AND(ISNUMBER($G49),$G49&lt;=IF($S49=MesCiclo,InicioCiclo,$S49+MOD(2-WEEKDAY($S49),7))+13),1,IF(ISNUMBER($J49),$J49,$Z49)))</f>
        <v/>
      </c>
      <c r="AB49" s="62">
        <f>IF($V49="","",IF(AND(ISNUMBER($G49),$G49&lt;=IF($S49=MesCiclo,InicioCiclo,$S49+MOD(2-WEEKDAY($S49),7))+20),1,IF(ISNUMBER($K49),$K49,$AA49)))</f>
        <v/>
      </c>
      <c r="AC49" s="62">
        <f>IF($V49="","",IF(AND(ISNUMBER($G49),$G49&lt;=IF($S49=MesCiclo,InicioCiclo,$S49+MOD(2-WEEKDAY($S49),7))+27),1,IF(ISNUMBER($L49),$L49,$AB49)))</f>
        <v/>
      </c>
      <c r="AD49" s="62">
        <f>IF($V49&lt;&gt;"Sub","",N($X49)*IF(AND(ISNUMBER($G49),$G49&lt;=IF($S49=MesCiclo,InicioCiclo,$S49+MOD(2-WEEKDAY($S49),7))+6),1,MIN(1,MAX(0,IF(ISNUMBER(OFFSET($A$1,ROW()-1,8)),OFFSET($A$1,ROW()-1,8),0)))))</f>
        <v/>
      </c>
      <c r="AE49" s="62">
        <f>IF($V49&lt;&gt;"Sub","",N($X49)*IF(AND(ISNUMBER($G49),$G49&lt;=IF($S49=MesCiclo,InicioCiclo,$S49+MOD(2-WEEKDAY($S49),7))+13),1,MIN(1,MAX(0,IF(ISNUMBER(OFFSET($A$1,ROW()-1,9)),OFFSET($A$1,ROW()-1,9),IF(ISNUMBER(OFFSET($A$1,ROW()-1,8)),OFFSET($A$1,ROW()-1,8),0))))))</f>
        <v/>
      </c>
      <c r="AF49" s="62">
        <f>IF($V49&lt;&gt;"Sub","",N($X49)*IF(AND(ISNUMBER($G49),$G49&lt;=IF($S49=MesCiclo,InicioCiclo,$S49+MOD(2-WEEKDAY($S49),7))+20),1,MIN(1,MAX(0,IF(ISNUMBER(OFFSET($A$1,ROW()-1,10)),OFFSET($A$1,ROW()-1,10),IF(ISNUMBER(OFFSET($A$1,ROW()-1,9)),OFFSET($A$1,ROW()-1,9),IF(ISNUMBER(OFFSET($A$1,ROW()-1,8)),OFFSET($A$1,ROW()-1,8),0)))))))</f>
        <v/>
      </c>
      <c r="AG49" s="62">
        <f>IF($V49&lt;&gt;"Sub","",N($X49)*IF(AND(ISNUMBER($G49),$G49&lt;=IF($S49=MesCiclo,InicioCiclo,$S49+MOD(2-WEEKDAY($S49),7))+27),1,MIN(1,MAX(0,IF(ISNUMBER(OFFSET($A$1,ROW()-1,11)),OFFSET($A$1,ROW()-1,11),IF(ISNUMBER(OFFSET($A$1,ROW()-1,10)),OFFSET($A$1,ROW()-1,10),IF(ISNUMBER(OFFSET($A$1,ROW()-1,9)),OFFSET($A$1,ROW()-1,9),IF(ISNUMBER(OFFSET($A$1,ROW()-1,8)),OFFSET($A$1,ROW()-1,8),0))))))))</f>
        <v/>
      </c>
      <c r="AH49" s="62">
        <f>IF($V49="","",IF(AND(ISNUMBER($G49),$G49&lt;=IF($S49=MesCiclo,InicioCiclo,$S49+MOD(2-WEEKDAY($S49),7))+6),1,IF(N($W49)&gt;0,MIN(1,SUMIFS($AD$5:$AD$1000,$U$5:$U$1000,ROW(),$V$5:$V$1000,"Sub")),$Z49)))</f>
        <v/>
      </c>
      <c r="AI49" s="62">
        <f>IF($V49="","",IF(AND(ISNUMBER($G49),$G49&lt;=IF($S49=MesCiclo,InicioCiclo,$S49+MOD(2-WEEKDAY($S49),7))+13),1,IF(N($W49)&gt;0,MIN(1,SUMIFS($AE$5:$AE$1000,$U$5:$U$1000,ROW(),$V$5:$V$1000,"Sub")),$AA49)))</f>
        <v/>
      </c>
      <c r="AJ49" s="62">
        <f>IF($V49="","",IF(AND(ISNUMBER($G49),$G49&lt;=IF($S49=MesCiclo,InicioCiclo,$S49+MOD(2-WEEKDAY($S49),7))+20),1,IF(N($W49)&gt;0,MIN(1,SUMIFS($AF$5:$AF$1000,$U$5:$U$1000,ROW(),$V$5:$V$1000,"Sub")),$AB49)))</f>
        <v/>
      </c>
      <c r="AK49" s="62">
        <f>IF($V49="","",IF(AND(ISNUMBER($G49),$G49&lt;=IF($S49=MesCiclo,InicioCiclo,$S49+MOD(2-WEEKDAY($S49),7))+27),1,IF(N($W49)&gt;0,MIN(1,SUMIFS($AG$5:$AG$1000,$U$5:$U$1000,ROW(),$V$5:$V$1000,"Sub")),$AC49)))</f>
        <v/>
      </c>
      <c r="AL49" s="62">
        <f>IF($V49&lt;&gt;"Macro","",IF(COUNTIFS($S$5:$S$1000,$S49,$V$5:$V$1000,"Macro",$H$5:$H$1000,"&gt;0")=0,1/COUNTIFS($S$5:$S$1000,$S49,$V$5:$V$1000,"Macro"),IF(AND(ISNUMBER($H49),N($H49)&gt;0),$H49,SUMIFS($H$5:$H$1000,$S$5:$S$1000,$S49,$V$5:$V$1000,"Macro")/COUNTIFS($S$5:$S$1000,$S49,$V$5:$V$1000,"Macro",$H$5:$H$1000,"&gt;0"))/(COUNTIFS($S$5:$S$1000,$S49,$V$5:$V$1000,"Macro")*SUMIFS($H$5:$H$1000,$S$5:$S$1000,$S49,$V$5:$V$1000,"Macro")/COUNTIFS($S$5:$S$1000,$S49,$V$5:$V$1000,"Macro",$H$5:$H$1000,"&gt;0"))))</f>
        <v/>
      </c>
      <c r="AM49" s="62" t="n"/>
      <c r="AN49" s="62" t="n"/>
      <c r="AO49" s="62" t="n"/>
      <c r="AP49" s="62" t="n"/>
      <c r="AQ49" s="62">
        <f>IF(LEFT($C49,11)="[Jefatura] ",IFERROR(MATCH("Asistente Técnico de Riesgo|"&amp;MID($C49,12,500),rDname_ADM,0),0),"")</f>
        <v/>
      </c>
      <c r="AR49" s="62">
        <f>IF(N($AQ49)&gt;0,INDEX(rIni_ADM,$AQ49),IF(ISNUMBER($E49),$E49,""))</f>
        <v/>
      </c>
      <c r="AS49" s="62">
        <f>IF(N($AQ49)&gt;0,INDEX(rLim_ADM,$AQ49),IF(ISNUMBER($F49),$F49,""))</f>
        <v/>
      </c>
    </row>
    <row r="50">
      <c r="A50" s="56">
        <f>IF(NOT((COUNTA($B50:$D50)+COUNTA($G50:$H50)+COUNTA($Q50))&gt;0),"",IF($V50="Macro",COUNTIFS($V$5:$V50,"Macro",$S$5:$S50,$S50),IF(N($U50)=0,"?",COUNTIFS(INDEX($V$5:$V$1000,1):INDEX($V$5:$V$1000,$U50-4),"Macro",INDEX($S$5:$S$1000,1):INDEX($S$5:$S$1000,$U50-4),INDEX($S$5:$S$1000,$U50-4))&amp;"."&amp;COUNTIFS($U$5:$U50,$U50,$V$5:$V50,"Sub"))))</f>
        <v/>
      </c>
      <c r="B50" s="57" t="n"/>
      <c r="C50" s="58" t="n"/>
      <c r="D50" s="58" t="n"/>
      <c r="E50" s="59">
        <f>IF(N($AQ50)&gt;0,INDEX(rIni_ADM,$AQ50),"")</f>
        <v/>
      </c>
      <c r="F50" s="59">
        <f>IF(N($AQ50)&gt;0,INDEX(rLim_ADM,$AQ50),"")</f>
        <v/>
      </c>
      <c r="G50" s="59" t="n"/>
      <c r="H50" s="60" t="n"/>
      <c r="I50" s="60">
        <f>IF(N($W50)=0,"",IF(AND($S50=MesCiclo,1&gt;SemanaActual),"",MIN(1,SUMIFS(OFFSET($A$1,ROW(),29,1000-ROW(),1),OFFSET($A$1,ROW(),20,1000-ROW(),1),ROW(),OFFSET($A$1,ROW(),21,1000-ROW(),1),"Sub"))))</f>
        <v/>
      </c>
      <c r="J50" s="60">
        <f>IF(N($W50)=0,"",IF(AND($S50=MesCiclo,2&gt;SemanaActual),"",MIN(1,SUMIFS(OFFSET($A$1,ROW(),30,1000-ROW(),1),OFFSET($A$1,ROW(),20,1000-ROW(),1),ROW(),OFFSET($A$1,ROW(),21,1000-ROW(),1),"Sub"))))</f>
        <v/>
      </c>
      <c r="K50" s="60">
        <f>IF(N($W50)=0,"",IF(AND($S50=MesCiclo,3&gt;SemanaActual),"",MIN(1,SUMIFS(OFFSET($A$1,ROW(),31,1000-ROW(),1),OFFSET($A$1,ROW(),20,1000-ROW(),1),ROW(),OFFSET($A$1,ROW(),21,1000-ROW(),1),"Sub"))))</f>
        <v/>
      </c>
      <c r="L50" s="60">
        <f>IF(N($W50)=0,"",IF(AND($S50=MesCiclo,4&gt;SemanaActual),"",MIN(1,SUMIFS(OFFSET($A$1,ROW(),32,1000-ROW(),1),OFFSET($A$1,ROW(),20,1000-ROW(),1),ROW(),OFFSET($A$1,ROW(),21,1000-ROW(),1),"Sub"))))</f>
        <v/>
      </c>
      <c r="M50" s="61">
        <f>IF(OR(NOT((COUNTA($B50:$D50)+COUNTA($G50:$H50)+COUNTA($Q50))&gt;0),$V50="Sub"),"",IF(ISNUMBER($G50),1,IF(N($W50)&gt;0,MIN(1,SUMIFS($Y$5:$Y$1000,$U$5:$U$1000,ROW(),$V$5:$V$1000,"Sub")),$Y50)))</f>
        <v/>
      </c>
      <c r="N50" s="56">
        <f>IF(OR($M50="",$V50="Sub"),"",IF($M50&gt;=1,"Completado",IF($M50&gt;0,"En curso","Pendiente")))</f>
        <v/>
      </c>
      <c r="O50" s="56">
        <f>IF(OR(NOT((COUNTA($B50:$D50)+COUNTA($G50:$H50)+COUNTA($Q50))&gt;0),$V50="Sub"),"",IF(ISNUMBER($G50),IF(AND(ISNUMBER($AS50),$G50&gt;$AS50),"Cumplida con "&amp;($G50-$AS50)&amp;IF($G50-$AS50=1," día"," días")&amp;" de retraso","Cumplida"),IF(N($M50)&gt;=1,"Cumplida",IF(NOT(ISNUMBER($AS50)),"Sin fecha límite",IF($AS50&lt;FechaRef,"Vencida hace "&amp;(FechaRef-$AS50)&amp;IF(FechaRef-$AS50=1," día"," días"),IF($AS50=FechaRef,"Vence hoy",IF($AS50-FechaRef&lt;=DiasAlerta,"Vence en "&amp;($AS50-FechaRef)&amp;IF($AS50-FechaRef=1," día"," días"),"En plazo")))))))</f>
        <v/>
      </c>
      <c r="P50" s="62" t="n"/>
      <c r="Q50" s="58" t="n"/>
      <c r="R50" s="63">
        <f>IF(NOT((COUNTA($B50:$D50)+COUNTA($G50:$H50)+COUNTA($Q50))&gt;0),"",IF((IF($C50="","Falta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 OK","⚠ "&amp;LEFT(IF($C50="","Falta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",""),LEN(IF($C50="","Falta el nombre de la actividad"&amp;" · ","")&amp;IF(AND($V50="Sub",N($U50)=0),"Subactividad sin macroactividad arriba"&amp;" · ","")&amp;IF(AND($V50="Macro",$AR50=""),"Sin fecha de inicio"&amp;" · ","")&amp;IF(AND($V50="Macro",$AS50=""),"Sin fecha límite"&amp;" · ","")&amp;IF(AND(LEFT($C50,11)="[Jefatura] ",N($AQ50)=0),"No se encuentra en la hoja de la jefatura (elíjala de nuevo en la lista)"&amp;" · ","")&amp;IF(OR(AND($E50&lt;&gt;"",NOT(ISNUMBER($E50))),AND($F50&lt;&gt;"",NOT(ISNUMBER($F50))),AND($G50&lt;&gt;"",NOT(ISNUMBER($G50)))),"Fecha no válida"&amp;" · ","")&amp;IF(AND(ISNUMBER($AR50),ISNUMBER($AS50),$AR50&gt;$AS50),"Inicio posterior a fecha límite"&amp;" · ","")&amp;IF(AND($V50="Macro",$H50&lt;&gt;"",OR(NOT(ISNUMBER($H50)),$H50&lt;0,$H50&gt;1)),"Peso fuera de rango"&amp;" · ","")&amp;IF(AND($V50="Sub",$H50&lt;&gt;"",OR(NOT(ISNUMBER($H50)),$H50&lt;0,$H50&gt;1)),"% de la subactividad fuera de rango 0-100%"&amp;" · ","")&amp;IF(AND(N($W50)&gt;0,SUMIFS($H$5:$H$1000,$U$5:$U$1000,ROW(),$V$5:$V$1000,"Sub")&gt;1.0001),"Las subactividades suman más de 100%"&amp;" · ","")&amp;IF(AND(N($W50)&gt;0,OR(IF(ISNUMBER($I50),ROUND($I50,6)&lt;&gt;ROUND(MIN(1,SUMIFS($AD$5:$AD$1000,$U$5:$U$1000,ROW(),$V$5:$V$1000,"Sub")),6),FALSE),IF(ISNUMBER($J50),ROUND($J50,6)&lt;&gt;ROUND(MIN(1,SUMIFS($AE$5:$AE$1000,$U$5:$U$1000,ROW(),$V$5:$V$1000,"Sub")),6),FALSE),IF(ISNUMBER($K50),ROUND($K50,6)&lt;&gt;ROUND(MIN(1,SUMIFS($AF$5:$AF$1000,$U$5:$U$1000,ROW(),$V$5:$V$1000,"Sub")),6),FALSE),IF(ISNUMBER($L50),ROUND($L50,6)&lt;&gt;ROUND(MIN(1,SUMIFS($AG$5:$AG$1000,$U$5:$U$1000,ROW(),$V$5:$V$1000,"Sub")),6),FALSE))),"Con subactividades: no escriba en las semanas (se llenan solas)"&amp;" · ","")&amp;IF((COUNTIF($I50:$L50,"&gt;1")+COUNTIF($I50:$L50,"&lt;0")+SUMPRODUCT((LEN($I50:$L50)&gt;0)*NOT(ISNUMBER($I50:$L50))))&gt;0,"Avance fuera de rango 0-100%"&amp;" · ","")&amp;IF(OR(AND(ISNUMBER($J50),$J50&lt;N($I50)),AND(ISNUMBER($K50),$K50&lt;MAX($I50:$J50)),AND(ISNUMBER($L50),$L50&lt;MAX($I50:$K50))),"Avance semanal decreciente"&amp;" · ","")&amp;IF(AND(ISNUMBER($AS50),$AS50&lt;FechaRef,IF($V50="Sub",1,N($M50))&lt;1),"Vencida"&amp;" · ","")&amp;IF(AND(ObsObligatoria="Sí",ISNUMBER($AS50),$AS50&lt;FechaRef,IF($V50="Sub",1,N($M50))&lt;1,$Q50=""),"Vencida sin observación"&amp;" · ",""))-3)))</f>
        <v/>
      </c>
      <c r="S50" s="64">
        <f>IF(NOT((COUNTA($B50:$D50)+COUNTA($G50:$H50)+COUNTA($Q50))&gt;0),"",IF(AND($V50="Sub",N($U50)&gt;0),IF(ISNUMBER(INDEX($AR$5:$AR$1000,$U50-4)),DATE(YEAR(INDEX($AR$5:$AR$1000,$U50-4)),MONTH(INDEX($AR$5:$AR$1000,$U50-4)),1),IF(ISNUMBER(INDEX($AS$5:$AS$1000,$U50-4)),DATE(YEAR(INDEX($AS$5:$AS$1000,$U50-4)),MONTH(INDEX($AS$5:$AS$1000,$U50-4)),1),MesCiclo)),IF(ISNUMBER($AR50),DATE(YEAR($AR50),MONTH($AR50),1),IF(ISNUMBER($AS50),DATE(YEAR($AS50),MONTH($AS50),1),MesCiclo))))</f>
        <v/>
      </c>
      <c r="T50" s="62">
        <f>IF(OR($S50="",$S50&lt;&gt;MesCiclo,$V50&lt;&gt;"Macro"),"",COUNTIFS($S$5:$S50,MesCiclo,$V$5:$V50,"Macro"))</f>
        <v/>
      </c>
      <c r="U50" s="62">
        <f>IF($V50="","",IF($V50="Macro",ROW(),IFERROR(LOOKUP(2,1/($V$5:$V50="Macro"),ROW($V$5:$V50)),0)))</f>
        <v/>
      </c>
      <c r="V50" s="62">
        <f>IF(NOT((COUNTA($B50:$D50)+COUNTA($G50:$H50)+COUNTA($Q50))&gt;0),"",IF($B50="Subactividad","Sub","Macro"))</f>
        <v/>
      </c>
      <c r="W50" s="62">
        <f>IF($V50="Macro",COUNTIFS($U$5:$U$1000,ROW(),$V$5:$V$1000,"Sub"),"")</f>
        <v/>
      </c>
      <c r="X50" s="62">
        <f>IF($V50&lt;&gt;"Sub","",IF(AND(ISNUMBER($H50),N($H50)&gt;0),$H50,IFERROR(MAX(0,1-SUMIFS($H$5:$H$1000,$U$5:$U$1000,$U50,$V$5:$V$1000,"Sub"))/(COUNTIFS($U$5:$U$1000,$U50,$V$5:$V$1000,"Sub")-COUNTIFS($U$5:$U$1000,$U50,$V$5:$V$1000,"Sub",$H$5:$H$1000,"&gt;0")),0)))</f>
        <v/>
      </c>
      <c r="Y50" s="62">
        <f>IF($V50="","",IF($V50="Sub",N($X50)*IF(ISNUMBER($G50),1,MIN(1,MAX(0,IFERROR(LOOKUP(2,1/ISNUMBER($I50:$L50),$I50:$L50),0)))),IF(ISNUMBER($G50),1,IFERROR(LOOKUP(2,1/($I50:$L50&lt;&gt;""),$I50:$L50),0))))</f>
        <v/>
      </c>
      <c r="Z50" s="62">
        <f>IF($V50="","",IF(AND(ISNUMBER($G50),$G50&lt;=IF($S50=MesCiclo,InicioCiclo,$S50+MOD(2-WEEKDAY($S50),7))+6),1,IF(ISNUMBER($I50),$I50,0)))</f>
        <v/>
      </c>
      <c r="AA50" s="62">
        <f>IF($V50="","",IF(AND(ISNUMBER($G50),$G50&lt;=IF($S50=MesCiclo,InicioCiclo,$S50+MOD(2-WEEKDAY($S50),7))+13),1,IF(ISNUMBER($J50),$J50,$Z50)))</f>
        <v/>
      </c>
      <c r="AB50" s="62">
        <f>IF($V50="","",IF(AND(ISNUMBER($G50),$G50&lt;=IF($S50=MesCiclo,InicioCiclo,$S50+MOD(2-WEEKDAY($S50),7))+20),1,IF(ISNUMBER($K50),$K50,$AA50)))</f>
        <v/>
      </c>
      <c r="AC50" s="62">
        <f>IF($V50="","",IF(AND(ISNUMBER($G50),$G50&lt;=IF($S50=MesCiclo,InicioCiclo,$S50+MOD(2-WEEKDAY($S50),7))+27),1,IF(ISNUMBER($L50),$L50,$AB50)))</f>
        <v/>
      </c>
      <c r="AD50" s="62">
        <f>IF($V50&lt;&gt;"Sub","",N($X50)*IF(AND(ISNUMBER($G50),$G50&lt;=IF($S50=MesCiclo,InicioCiclo,$S50+MOD(2-WEEKDAY($S50),7))+6),1,MIN(1,MAX(0,IF(ISNUMBER(OFFSET($A$1,ROW()-1,8)),OFFSET($A$1,ROW()-1,8),0)))))</f>
        <v/>
      </c>
      <c r="AE50" s="62">
        <f>IF($V50&lt;&gt;"Sub","",N($X50)*IF(AND(ISNUMBER($G50),$G50&lt;=IF($S50=MesCiclo,InicioCiclo,$S50+MOD(2-WEEKDAY($S50),7))+13),1,MIN(1,MAX(0,IF(ISNUMBER(OFFSET($A$1,ROW()-1,9)),OFFSET($A$1,ROW()-1,9),IF(ISNUMBER(OFFSET($A$1,ROW()-1,8)),OFFSET($A$1,ROW()-1,8),0))))))</f>
        <v/>
      </c>
      <c r="AF50" s="62">
        <f>IF($V50&lt;&gt;"Sub","",N($X50)*IF(AND(ISNUMBER($G50),$G50&lt;=IF($S50=MesCiclo,InicioCiclo,$S50+MOD(2-WEEKDAY($S50),7))+20),1,MIN(1,MAX(0,IF(ISNUMBER(OFFSET($A$1,ROW()-1,10)),OFFSET($A$1,ROW()-1,10),IF(ISNUMBER(OFFSET($A$1,ROW()-1,9)),OFFSET($A$1,ROW()-1,9),IF(ISNUMBER(OFFSET($A$1,ROW()-1,8)),OFFSET($A$1,ROW()-1,8),0)))))))</f>
        <v/>
      </c>
      <c r="AG50" s="62">
        <f>IF($V50&lt;&gt;"Sub","",N($X50)*IF(AND(ISNUMBER($G50),$G50&lt;=IF($S50=MesCiclo,InicioCiclo,$S50+MOD(2-WEEKDAY($S50),7))+27),1,MIN(1,MAX(0,IF(ISNUMBER(OFFSET($A$1,ROW()-1,11)),OFFSET($A$1,ROW()-1,11),IF(ISNUMBER(OFFSET($A$1,ROW()-1,10)),OFFSET($A$1,ROW()-1,10),IF(ISNUMBER(OFFSET($A$1,ROW()-1,9)),OFFSET($A$1,ROW()-1,9),IF(ISNUMBER(OFFSET($A$1,ROW()-1,8)),OFFSET($A$1,ROW()-1,8),0))))))))</f>
        <v/>
      </c>
      <c r="AH50" s="62">
        <f>IF($V50="","",IF(AND(ISNUMBER($G50),$G50&lt;=IF($S50=MesCiclo,InicioCiclo,$S50+MOD(2-WEEKDAY($S50),7))+6),1,IF(N($W50)&gt;0,MIN(1,SUMIFS($AD$5:$AD$1000,$U$5:$U$1000,ROW(),$V$5:$V$1000,"Sub")),$Z50)))</f>
        <v/>
      </c>
      <c r="AI50" s="62">
        <f>IF($V50="","",IF(AND(ISNUMBER($G50),$G50&lt;=IF($S50=MesCiclo,InicioCiclo,$S50+MOD(2-WEEKDAY($S50),7))+13),1,IF(N($W50)&gt;0,MIN(1,SUMIFS($AE$5:$AE$1000,$U$5:$U$1000,ROW(),$V$5:$V$1000,"Sub")),$AA50)))</f>
        <v/>
      </c>
      <c r="AJ50" s="62">
        <f>IF($V50="","",IF(AND(ISNUMBER($G50),$G50&lt;=IF($S50=MesCiclo,InicioCiclo,$S50+MOD(2-WEEKDAY($S50),7))+20),1,IF(N($W50)&gt;0,MIN(1,SUMIFS($AF$5:$AF$1000,$U$5:$U$1000,ROW(),$V$5:$V$1000,"Sub")),$AB50)))</f>
        <v/>
      </c>
      <c r="AK50" s="62">
        <f>IF($V50="","",IF(AND(ISNUMBER($G50),$G50&lt;=IF($S50=MesCiclo,InicioCiclo,$S50+MOD(2-WEEKDAY($S50),7))+27),1,IF(N($W50)&gt;0,MIN(1,SUMIFS($AG$5:$AG$1000,$U$5:$U$1000,ROW(),$V$5:$V$1000,"Sub")),$AC50)))</f>
        <v/>
      </c>
      <c r="AL50" s="62">
        <f>IF($V50&lt;&gt;"Macro","",IF(COUNTIFS($S$5:$S$1000,$S50,$V$5:$V$1000,"Macro",$H$5:$H$1000,"&gt;0")=0,1/COUNTIFS($S$5:$S$1000,$S50,$V$5:$V$1000,"Macro"),IF(AND(ISNUMBER($H50),N($H50)&gt;0),$H50,SUMIFS($H$5:$H$1000,$S$5:$S$1000,$S50,$V$5:$V$1000,"Macro")/COUNTIFS($S$5:$S$1000,$S50,$V$5:$V$1000,"Macro",$H$5:$H$1000,"&gt;0"))/(COUNTIFS($S$5:$S$1000,$S50,$V$5:$V$1000,"Macro")*SUMIFS($H$5:$H$1000,$S$5:$S$1000,$S50,$V$5:$V$1000,"Macro")/COUNTIFS($S$5:$S$1000,$S50,$V$5:$V$1000,"Macro",$H$5:$H$1000,"&gt;0"))))</f>
        <v/>
      </c>
      <c r="AM50" s="62" t="n"/>
      <c r="AN50" s="62" t="n"/>
      <c r="AO50" s="62" t="n"/>
      <c r="AP50" s="62" t="n"/>
      <c r="AQ50" s="62">
        <f>IF(LEFT($C50,11)="[Jefatura] ",IFERROR(MATCH("Asistente Técnico de Riesgo|"&amp;MID($C50,12,500),rDname_ADM,0),0),"")</f>
        <v/>
      </c>
      <c r="AR50" s="62">
        <f>IF(N($AQ50)&gt;0,INDEX(rIni_ADM,$AQ50),IF(ISNUMBER($E50),$E50,""))</f>
        <v/>
      </c>
      <c r="AS50" s="62">
        <f>IF(N($AQ50)&gt;0,INDEX(rLim_ADM,$AQ50),IF(ISNUMBER($F50),$F50,""))</f>
        <v/>
      </c>
    </row>
    <row r="51">
      <c r="A51" s="56">
        <f>IF(NOT((COUNTA($B51:$D51)+COUNTA($G51:$H51)+COUNTA($Q51))&gt;0),"",IF($V51="Macro",COUNTIFS($V$5:$V51,"Macro",$S$5:$S51,$S51),IF(N($U51)=0,"?",COUNTIFS(INDEX($V$5:$V$1000,1):INDEX($V$5:$V$1000,$U51-4),"Macro",INDEX($S$5:$S$1000,1):INDEX($S$5:$S$1000,$U51-4),INDEX($S$5:$S$1000,$U51-4))&amp;"."&amp;COUNTIFS($U$5:$U51,$U51,$V$5:$V51,"Sub"))))</f>
        <v/>
      </c>
      <c r="B51" s="57" t="n"/>
      <c r="C51" s="58" t="n"/>
      <c r="D51" s="58" t="n"/>
      <c r="E51" s="59">
        <f>IF(N($AQ51)&gt;0,INDEX(rIni_ADM,$AQ51),"")</f>
        <v/>
      </c>
      <c r="F51" s="59">
        <f>IF(N($AQ51)&gt;0,INDEX(rLim_ADM,$AQ51),"")</f>
        <v/>
      </c>
      <c r="G51" s="59" t="n"/>
      <c r="H51" s="60" t="n"/>
      <c r="I51" s="60">
        <f>IF(N($W51)=0,"",IF(AND($S51=MesCiclo,1&gt;SemanaActual),"",MIN(1,SUMIFS(OFFSET($A$1,ROW(),29,1000-ROW(),1),OFFSET($A$1,ROW(),20,1000-ROW(),1),ROW(),OFFSET($A$1,ROW(),21,1000-ROW(),1),"Sub"))))</f>
        <v/>
      </c>
      <c r="J51" s="60">
        <f>IF(N($W51)=0,"",IF(AND($S51=MesCiclo,2&gt;SemanaActual),"",MIN(1,SUMIFS(OFFSET($A$1,ROW(),30,1000-ROW(),1),OFFSET($A$1,ROW(),20,1000-ROW(),1),ROW(),OFFSET($A$1,ROW(),21,1000-ROW(),1),"Sub"))))</f>
        <v/>
      </c>
      <c r="K51" s="60">
        <f>IF(N($W51)=0,"",IF(AND($S51=MesCiclo,3&gt;SemanaActual),"",MIN(1,SUMIFS(OFFSET($A$1,ROW(),31,1000-ROW(),1),OFFSET($A$1,ROW(),20,1000-ROW(),1),ROW(),OFFSET($A$1,ROW(),21,1000-ROW(),1),"Sub"))))</f>
        <v/>
      </c>
      <c r="L51" s="60">
        <f>IF(N($W51)=0,"",IF(AND($S51=MesCiclo,4&gt;SemanaActual),"",MIN(1,SUMIFS(OFFSET($A$1,ROW(),32,1000-ROW(),1),OFFSET($A$1,ROW(),20,1000-ROW(),1),ROW(),OFFSET($A$1,ROW(),21,1000-ROW(),1),"Sub"))))</f>
        <v/>
      </c>
      <c r="M51" s="61">
        <f>IF(OR(NOT((COUNTA($B51:$D51)+COUNTA($G51:$H51)+COUNTA($Q51))&gt;0),$V51="Sub"),"",IF(ISNUMBER($G51),1,IF(N($W51)&gt;0,MIN(1,SUMIFS($Y$5:$Y$1000,$U$5:$U$1000,ROW(),$V$5:$V$1000,"Sub")),$Y51)))</f>
        <v/>
      </c>
      <c r="N51" s="56">
        <f>IF(OR($M51="",$V51="Sub"),"",IF($M51&gt;=1,"Completado",IF($M51&gt;0,"En curso","Pendiente")))</f>
        <v/>
      </c>
      <c r="O51" s="56">
        <f>IF(OR(NOT((COUNTA($B51:$D51)+COUNTA($G51:$H51)+COUNTA($Q51))&gt;0),$V51="Sub"),"",IF(ISNUMBER($G51),IF(AND(ISNUMBER($AS51),$G51&gt;$AS51),"Cumplida con "&amp;($G51-$AS51)&amp;IF($G51-$AS51=1," día"," días")&amp;" de retraso","Cumplida"),IF(N($M51)&gt;=1,"Cumplida",IF(NOT(ISNUMBER($AS51)),"Sin fecha límite",IF($AS51&lt;FechaRef,"Vencida hace "&amp;(FechaRef-$AS51)&amp;IF(FechaRef-$AS51=1," día"," días"),IF($AS51=FechaRef,"Vence hoy",IF($AS51-FechaRef&lt;=DiasAlerta,"Vence en "&amp;($AS51-FechaRef)&amp;IF($AS51-FechaRef=1," día"," días"),"En plazo")))))))</f>
        <v/>
      </c>
      <c r="P51" s="62" t="n"/>
      <c r="Q51" s="58" t="n"/>
      <c r="R51" s="63">
        <f>IF(NOT((COUNTA($B51:$D51)+COUNTA($G51:$H51)+COUNTA($Q51))&gt;0),"",IF((IF($C51="","Falta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 OK","⚠ "&amp;LEFT(IF($C51="","Falta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",""),LEN(IF($C51="","Falta el nombre de la actividad"&amp;" · ","")&amp;IF(AND($V51="Sub",N($U51)=0),"Subactividad sin macroactividad arriba"&amp;" · ","")&amp;IF(AND($V51="Macro",$AR51=""),"Sin fecha de inicio"&amp;" · ","")&amp;IF(AND($V51="Macro",$AS51=""),"Sin fecha límite"&amp;" · ","")&amp;IF(AND(LEFT($C51,11)="[Jefatura] ",N($AQ51)=0),"No se encuentra en la hoja de la jefatura (elíjala de nuevo en la lista)"&amp;" · ","")&amp;IF(OR(AND($E51&lt;&gt;"",NOT(ISNUMBER($E51))),AND($F51&lt;&gt;"",NOT(ISNUMBER($F51))),AND($G51&lt;&gt;"",NOT(ISNUMBER($G51)))),"Fecha no válida"&amp;" · ","")&amp;IF(AND(ISNUMBER($AR51),ISNUMBER($AS51),$AR51&gt;$AS51),"Inicio posterior a fecha límite"&amp;" · ","")&amp;IF(AND($V51="Macro",$H51&lt;&gt;"",OR(NOT(ISNUMBER($H51)),$H51&lt;0,$H51&gt;1)),"Peso fuera de rango"&amp;" · ","")&amp;IF(AND($V51="Sub",$H51&lt;&gt;"",OR(NOT(ISNUMBER($H51)),$H51&lt;0,$H51&gt;1)),"% de la subactividad fuera de rango 0-100%"&amp;" · ","")&amp;IF(AND(N($W51)&gt;0,SUMIFS($H$5:$H$1000,$U$5:$U$1000,ROW(),$V$5:$V$1000,"Sub")&gt;1.0001),"Las subactividades suman más de 100%"&amp;" · ","")&amp;IF(AND(N($W51)&gt;0,OR(IF(ISNUMBER($I51),ROUND($I51,6)&lt;&gt;ROUND(MIN(1,SUMIFS($AD$5:$AD$1000,$U$5:$U$1000,ROW(),$V$5:$V$1000,"Sub")),6),FALSE),IF(ISNUMBER($J51),ROUND($J51,6)&lt;&gt;ROUND(MIN(1,SUMIFS($AE$5:$AE$1000,$U$5:$U$1000,ROW(),$V$5:$V$1000,"Sub")),6),FALSE),IF(ISNUMBER($K51),ROUND($K51,6)&lt;&gt;ROUND(MIN(1,SUMIFS($AF$5:$AF$1000,$U$5:$U$1000,ROW(),$V$5:$V$1000,"Sub")),6),FALSE),IF(ISNUMBER($L51),ROUND($L51,6)&lt;&gt;ROUND(MIN(1,SUMIFS($AG$5:$AG$1000,$U$5:$U$1000,ROW(),$V$5:$V$1000,"Sub")),6),FALSE))),"Con subactividades: no escriba en las semanas (se llenan solas)"&amp;" · ","")&amp;IF((COUNTIF($I51:$L51,"&gt;1")+COUNTIF($I51:$L51,"&lt;0")+SUMPRODUCT((LEN($I51:$L51)&gt;0)*NOT(ISNUMBER($I51:$L51))))&gt;0,"Avance fuera de rango 0-100%"&amp;" · ","")&amp;IF(OR(AND(ISNUMBER($J51),$J51&lt;N($I51)),AND(ISNUMBER($K51),$K51&lt;MAX($I51:$J51)),AND(ISNUMBER($L51),$L51&lt;MAX($I51:$K51))),"Avance semanal decreciente"&amp;" · ","")&amp;IF(AND(ISNUMBER($AS51),$AS51&lt;FechaRef,IF($V51="Sub",1,N($M51))&lt;1),"Vencida"&amp;" · ","")&amp;IF(AND(ObsObligatoria="Sí",ISNUMBER($AS51),$AS51&lt;FechaRef,IF($V51="Sub",1,N($M51))&lt;1,$Q51=""),"Vencida sin observación"&amp;" · ",""))-3)))</f>
        <v/>
      </c>
      <c r="S51" s="64">
        <f>IF(NOT((COUNTA($B51:$D51)+COUNTA($G51:$H51)+COUNTA($Q51))&gt;0),"",IF(AND($V51="Sub",N($U51)&gt;0),IF(ISNUMBER(INDEX($AR$5:$AR$1000,$U51-4)),DATE(YEAR(INDEX($AR$5:$AR$1000,$U51-4)),MONTH(INDEX($AR$5:$AR$1000,$U51-4)),1),IF(ISNUMBER(INDEX($AS$5:$AS$1000,$U51-4)),DATE(YEAR(INDEX($AS$5:$AS$1000,$U51-4)),MONTH(INDEX($AS$5:$AS$1000,$U51-4)),1),MesCiclo)),IF(ISNUMBER($AR51),DATE(YEAR($AR51),MONTH($AR51),1),IF(ISNUMBER($AS51),DATE(YEAR($AS51),MONTH($AS51),1),MesCiclo))))</f>
        <v/>
      </c>
      <c r="T51" s="62">
        <f>IF(OR($S51="",$S51&lt;&gt;MesCiclo,$V51&lt;&gt;"Macro"),"",COUNTIFS($S$5:$S51,MesCiclo,$V$5:$V51,"Macro"))</f>
        <v/>
      </c>
      <c r="U51" s="62">
        <f>IF($V51="","",IF($V51="Macro",ROW(),IFERROR(LOOKUP(2,1/($V$5:$V51="Macro"),ROW($V$5:$V51)),0)))</f>
        <v/>
      </c>
      <c r="V51" s="62">
        <f>IF(NOT((COUNTA($B51:$D51)+COUNTA($G51:$H51)+COUNTA($Q51))&gt;0),"",IF($B51="Subactividad","Sub","Macro"))</f>
        <v/>
      </c>
      <c r="W51" s="62">
        <f>IF($V51="Macro",COUNTIFS($U$5:$U$1000,ROW(),$V$5:$V$1000,"Sub"),"")</f>
        <v/>
      </c>
      <c r="X51" s="62">
        <f>IF($V51&lt;&gt;"Sub","",IF(AND(ISNUMBER($H51),N($H51)&gt;0),$H51,IFERROR(MAX(0,1-SUMIFS($H$5:$H$1000,$U$5:$U$1000,$U51,$V$5:$V$1000,"Sub"))/(COUNTIFS($U$5:$U$1000,$U51,$V$5:$V$1000,"Sub")-COUNTIFS($U$5:$U$1000,$U51,$V$5:$V$1000,"Sub",$H$5:$H$1000,"&gt;0")),0)))</f>
        <v/>
      </c>
      <c r="Y51" s="62">
        <f>IF($V51="","",IF($V51="Sub",N($X51)*IF(ISNUMBER($G51),1,MIN(1,MAX(0,IFERROR(LOOKUP(2,1/ISNUMBER($I51:$L51),$I51:$L51),0)))),IF(ISNUMBER($G51),1,IFERROR(LOOKUP(2,1/($I51:$L51&lt;&gt;""),$I51:$L51),0))))</f>
        <v/>
      </c>
      <c r="Z51" s="62">
        <f>IF($V51="","",IF(AND(ISNUMBER($G51),$G51&lt;=IF($S51=MesCiclo,InicioCiclo,$S51+MOD(2-WEEKDAY($S51),7))+6),1,IF(ISNUMBER($I51),$I51,0)))</f>
        <v/>
      </c>
      <c r="AA51" s="62">
        <f>IF($V51="","",IF(AND(ISNUMBER($G51),$G51&lt;=IF($S51=MesCiclo,InicioCiclo,$S51+MOD(2-WEEKDAY($S51),7))+13),1,IF(ISNUMBER($J51),$J51,$Z51)))</f>
        <v/>
      </c>
      <c r="AB51" s="62">
        <f>IF($V51="","",IF(AND(ISNUMBER($G51),$G51&lt;=IF($S51=MesCiclo,InicioCiclo,$S51+MOD(2-WEEKDAY($S51),7))+20),1,IF(ISNUMBER($K51),$K51,$AA51)))</f>
        <v/>
      </c>
      <c r="AC51" s="62">
        <f>IF($V51="","",IF(AND(ISNUMBER($G51),$G51&lt;=IF($S51=MesCiclo,InicioCiclo,$S51+MOD(2-WEEKDAY($S51),7))+27),1,IF(ISNUMBER($L51),$L51,$AB51)))</f>
        <v/>
      </c>
      <c r="AD51" s="62">
        <f>IF($V51&lt;&gt;"Sub","",N($X51)*IF(AND(ISNUMBER($G51),$G51&lt;=IF($S51=MesCiclo,InicioCiclo,$S51+MOD(2-WEEKDAY($S51),7))+6),1,MIN(1,MAX(0,IF(ISNUMBER(OFFSET($A$1,ROW()-1,8)),OFFSET($A$1,ROW()-1,8),0)))))</f>
        <v/>
      </c>
      <c r="AE51" s="62">
        <f>IF($V51&lt;&gt;"Sub","",N($X51)*IF(AND(ISNUMBER($G51),$G51&lt;=IF($S51=MesCiclo,InicioCiclo,$S51+MOD(2-WEEKDAY($S51),7))+13),1,MIN(1,MAX(0,IF(ISNUMBER(OFFSET($A$1,ROW()-1,9)),OFFSET($A$1,ROW()-1,9),IF(ISNUMBER(OFFSET($A$1,ROW()-1,8)),OFFSET($A$1,ROW()-1,8),0))))))</f>
        <v/>
      </c>
      <c r="AF51" s="62">
        <f>IF($V51&lt;&gt;"Sub","",N($X51)*IF(AND(ISNUMBER($G51),$G51&lt;=IF($S51=MesCiclo,InicioCiclo,$S51+MOD(2-WEEKDAY($S51),7))+20),1,MIN(1,MAX(0,IF(ISNUMBER(OFFSET($A$1,ROW()-1,10)),OFFSET($A$1,ROW()-1,10),IF(ISNUMBER(OFFSET($A$1,ROW()-1,9)),OFFSET($A$1,ROW()-1,9),IF(ISNUMBER(OFFSET($A$1,ROW()-1,8)),OFFSET($A$1,ROW()-1,8),0)))))))</f>
        <v/>
      </c>
      <c r="AG51" s="62">
        <f>IF($V51&lt;&gt;"Sub","",N($X51)*IF(AND(ISNUMBER($G51),$G51&lt;=IF($S51=MesCiclo,InicioCiclo,$S51+MOD(2-WEEKDAY($S51),7))+27),1,MIN(1,MAX(0,IF(ISNUMBER(OFFSET($A$1,ROW()-1,11)),OFFSET($A$1,ROW()-1,11),IF(ISNUMBER(OFFSET($A$1,ROW()-1,10)),OFFSET($A$1,ROW()-1,10),IF(ISNUMBER(OFFSET($A$1,ROW()-1,9)),OFFSET($A$1,ROW()-1,9),IF(ISNUMBER(OFFSET($A$1,ROW()-1,8)),OFFSET($A$1,ROW()-1,8),0))))))))</f>
        <v/>
      </c>
      <c r="AH51" s="62">
        <f>IF($V51="","",IF(AND(ISNUMBER($G51),$G51&lt;=IF($S51=MesCiclo,InicioCiclo,$S51+MOD(2-WEEKDAY($S51),7))+6),1,IF(N($W51)&gt;0,MIN(1,SUMIFS($AD$5:$AD$1000,$U$5:$U$1000,ROW(),$V$5:$V$1000,"Sub")),$Z51)))</f>
        <v/>
      </c>
      <c r="AI51" s="62">
        <f>IF($V51="","",IF(AND(ISNUMBER($G51),$G51&lt;=IF($S51=MesCiclo,InicioCiclo,$S51+MOD(2-WEEKDAY($S51),7))+13),1,IF(N($W51)&gt;0,MIN(1,SUMIFS($AE$5:$AE$1000,$U$5:$U$1000,ROW(),$V$5:$V$1000,"Sub")),$AA51)))</f>
        <v/>
      </c>
      <c r="AJ51" s="62">
        <f>IF($V51="","",IF(AND(ISNUMBER($G51),$G51&lt;=IF($S51=MesCiclo,InicioCiclo,$S51+MOD(2-WEEKDAY($S51),7))+20),1,IF(N($W51)&gt;0,MIN(1,SUMIFS($AF$5:$AF$1000,$U$5:$U$1000,ROW(),$V$5:$V$1000,"Sub")),$AB51)))</f>
        <v/>
      </c>
      <c r="AK51" s="62">
        <f>IF($V51="","",IF(AND(ISNUMBER($G51),$G51&lt;=IF($S51=MesCiclo,InicioCiclo,$S51+MOD(2-WEEKDAY($S51),7))+27),1,IF(N($W51)&gt;0,MIN(1,SUMIFS($AG$5:$AG$1000,$U$5:$U$1000,ROW(),$V$5:$V$1000,"Sub")),$AC51)))</f>
        <v/>
      </c>
      <c r="AL51" s="62">
        <f>IF($V51&lt;&gt;"Macro","",IF(COUNTIFS($S$5:$S$1000,$S51,$V$5:$V$1000,"Macro",$H$5:$H$1000,"&gt;0")=0,1/COUNTIFS($S$5:$S$1000,$S51,$V$5:$V$1000,"Macro"),IF(AND(ISNUMBER($H51),N($H51)&gt;0),$H51,SUMIFS($H$5:$H$1000,$S$5:$S$1000,$S51,$V$5:$V$1000,"Macro")/COUNTIFS($S$5:$S$1000,$S51,$V$5:$V$1000,"Macro",$H$5:$H$1000,"&gt;0"))/(COUNTIFS($S$5:$S$1000,$S51,$V$5:$V$1000,"Macro")*SUMIFS($H$5:$H$1000,$S$5:$S$1000,$S51,$V$5:$V$1000,"Macro")/COUNTIFS($S$5:$S$1000,$S51,$V$5:$V$1000,"Macro",$H$5:$H$1000,"&gt;0"))))</f>
        <v/>
      </c>
      <c r="AM51" s="62" t="n"/>
      <c r="AN51" s="62" t="n"/>
      <c r="AO51" s="62" t="n"/>
      <c r="AP51" s="62" t="n"/>
      <c r="AQ51" s="62">
        <f>IF(LEFT($C51,11)="[Jefatura] ",IFERROR(MATCH("Asistente Técnico de Riesgo|"&amp;MID($C51,12,500),rDname_ADM,0),0),"")</f>
        <v/>
      </c>
      <c r="AR51" s="62">
        <f>IF(N($AQ51)&gt;0,INDEX(rIni_ADM,$AQ51),IF(ISNUMBER($E51),$E51,""))</f>
        <v/>
      </c>
      <c r="AS51" s="62">
        <f>IF(N($AQ51)&gt;0,INDEX(rLim_ADM,$AQ51),IF(ISNUMBER($F51),$F51,""))</f>
        <v/>
      </c>
    </row>
    <row r="52">
      <c r="A52" s="56">
        <f>IF(NOT((COUNTA($B52:$D52)+COUNTA($G52:$H52)+COUNTA($Q52))&gt;0),"",IF($V52="Macro",COUNTIFS($V$5:$V52,"Macro",$S$5:$S52,$S52),IF(N($U52)=0,"?",COUNTIFS(INDEX($V$5:$V$1000,1):INDEX($V$5:$V$1000,$U52-4),"Macro",INDEX($S$5:$S$1000,1):INDEX($S$5:$S$1000,$U52-4),INDEX($S$5:$S$1000,$U52-4))&amp;"."&amp;COUNTIFS($U$5:$U52,$U52,$V$5:$V52,"Sub"))))</f>
        <v/>
      </c>
      <c r="B52" s="57" t="n"/>
      <c r="C52" s="58" t="n"/>
      <c r="D52" s="58" t="n"/>
      <c r="E52" s="59">
        <f>IF(N($AQ52)&gt;0,INDEX(rIni_ADM,$AQ52),"")</f>
        <v/>
      </c>
      <c r="F52" s="59">
        <f>IF(N($AQ52)&gt;0,INDEX(rLim_ADM,$AQ52),"")</f>
        <v/>
      </c>
      <c r="G52" s="59" t="n"/>
      <c r="H52" s="60" t="n"/>
      <c r="I52" s="60">
        <f>IF(N($W52)=0,"",IF(AND($S52=MesCiclo,1&gt;SemanaActual),"",MIN(1,SUMIFS(OFFSET($A$1,ROW(),29,1000-ROW(),1),OFFSET($A$1,ROW(),20,1000-ROW(),1),ROW(),OFFSET($A$1,ROW(),21,1000-ROW(),1),"Sub"))))</f>
        <v/>
      </c>
      <c r="J52" s="60">
        <f>IF(N($W52)=0,"",IF(AND($S52=MesCiclo,2&gt;SemanaActual),"",MIN(1,SUMIFS(OFFSET($A$1,ROW(),30,1000-ROW(),1),OFFSET($A$1,ROW(),20,1000-ROW(),1),ROW(),OFFSET($A$1,ROW(),21,1000-ROW(),1),"Sub"))))</f>
        <v/>
      </c>
      <c r="K52" s="60">
        <f>IF(N($W52)=0,"",IF(AND($S52=MesCiclo,3&gt;SemanaActual),"",MIN(1,SUMIFS(OFFSET($A$1,ROW(),31,1000-ROW(),1),OFFSET($A$1,ROW(),20,1000-ROW(),1),ROW(),OFFSET($A$1,ROW(),21,1000-ROW(),1),"Sub"))))</f>
        <v/>
      </c>
      <c r="L52" s="60">
        <f>IF(N($W52)=0,"",IF(AND($S52=MesCiclo,4&gt;SemanaActual),"",MIN(1,SUMIFS(OFFSET($A$1,ROW(),32,1000-ROW(),1),OFFSET($A$1,ROW(),20,1000-ROW(),1),ROW(),OFFSET($A$1,ROW(),21,1000-ROW(),1),"Sub"))))</f>
        <v/>
      </c>
      <c r="M52" s="61">
        <f>IF(OR(NOT((COUNTA($B52:$D52)+COUNTA($G52:$H52)+COUNTA($Q52))&gt;0),$V52="Sub"),"",IF(ISNUMBER($G52),1,IF(N($W52)&gt;0,MIN(1,SUMIFS($Y$5:$Y$1000,$U$5:$U$1000,ROW(),$V$5:$V$1000,"Sub")),$Y52)))</f>
        <v/>
      </c>
      <c r="N52" s="56">
        <f>IF(OR($M52="",$V52="Sub"),"",IF($M52&gt;=1,"Completado",IF($M52&gt;0,"En curso","Pendiente")))</f>
        <v/>
      </c>
      <c r="O52" s="56">
        <f>IF(OR(NOT((COUNTA($B52:$D52)+COUNTA($G52:$H52)+COUNTA($Q52))&gt;0),$V52="Sub"),"",IF(ISNUMBER($G52),IF(AND(ISNUMBER($AS52),$G52&gt;$AS52),"Cumplida con "&amp;($G52-$AS52)&amp;IF($G52-$AS52=1," día"," días")&amp;" de retraso","Cumplida"),IF(N($M52)&gt;=1,"Cumplida",IF(NOT(ISNUMBER($AS52)),"Sin fecha límite",IF($AS52&lt;FechaRef,"Vencida hace "&amp;(FechaRef-$AS52)&amp;IF(FechaRef-$AS52=1," día"," días"),IF($AS52=FechaRef,"Vence hoy",IF($AS52-FechaRef&lt;=DiasAlerta,"Vence en "&amp;($AS52-FechaRef)&amp;IF($AS52-FechaRef=1," día"," días"),"En plazo")))))))</f>
        <v/>
      </c>
      <c r="P52" s="62" t="n"/>
      <c r="Q52" s="58" t="n"/>
      <c r="R52" s="63">
        <f>IF(NOT((COUNTA($B52:$D52)+COUNTA($G52:$H52)+COUNTA($Q52))&gt;0),"",IF((IF($C52="","Falta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 OK","⚠ "&amp;LEFT(IF($C52="","Falta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",""),LEN(IF($C52="","Falta el nombre de la actividad"&amp;" · ","")&amp;IF(AND($V52="Sub",N($U52)=0),"Subactividad sin macroactividad arriba"&amp;" · ","")&amp;IF(AND($V52="Macro",$AR52=""),"Sin fecha de inicio"&amp;" · ","")&amp;IF(AND($V52="Macro",$AS52=""),"Sin fecha límite"&amp;" · ","")&amp;IF(AND(LEFT($C52,11)="[Jefatura] ",N($AQ52)=0),"No se encuentra en la hoja de la jefatura (elíjala de nuevo en la lista)"&amp;" · ","")&amp;IF(OR(AND($E52&lt;&gt;"",NOT(ISNUMBER($E52))),AND($F52&lt;&gt;"",NOT(ISNUMBER($F52))),AND($G52&lt;&gt;"",NOT(ISNUMBER($G52)))),"Fecha no válida"&amp;" · ","")&amp;IF(AND(ISNUMBER($AR52),ISNUMBER($AS52),$AR52&gt;$AS52),"Inicio posterior a fecha límite"&amp;" · ","")&amp;IF(AND($V52="Macro",$H52&lt;&gt;"",OR(NOT(ISNUMBER($H52)),$H52&lt;0,$H52&gt;1)),"Peso fuera de rango"&amp;" · ","")&amp;IF(AND($V52="Sub",$H52&lt;&gt;"",OR(NOT(ISNUMBER($H52)),$H52&lt;0,$H52&gt;1)),"% de la subactividad fuera de rango 0-100%"&amp;" · ","")&amp;IF(AND(N($W52)&gt;0,SUMIFS($H$5:$H$1000,$U$5:$U$1000,ROW(),$V$5:$V$1000,"Sub")&gt;1.0001),"Las subactividades suman más de 100%"&amp;" · ","")&amp;IF(AND(N($W52)&gt;0,OR(IF(ISNUMBER($I52),ROUND($I52,6)&lt;&gt;ROUND(MIN(1,SUMIFS($AD$5:$AD$1000,$U$5:$U$1000,ROW(),$V$5:$V$1000,"Sub")),6),FALSE),IF(ISNUMBER($J52),ROUND($J52,6)&lt;&gt;ROUND(MIN(1,SUMIFS($AE$5:$AE$1000,$U$5:$U$1000,ROW(),$V$5:$V$1000,"Sub")),6),FALSE),IF(ISNUMBER($K52),ROUND($K52,6)&lt;&gt;ROUND(MIN(1,SUMIFS($AF$5:$AF$1000,$U$5:$U$1000,ROW(),$V$5:$V$1000,"Sub")),6),FALSE),IF(ISNUMBER($L52),ROUND($L52,6)&lt;&gt;ROUND(MIN(1,SUMIFS($AG$5:$AG$1000,$U$5:$U$1000,ROW(),$V$5:$V$1000,"Sub")),6),FALSE))),"Con subactividades: no escriba en las semanas (se llenan solas)"&amp;" · ","")&amp;IF((COUNTIF($I52:$L52,"&gt;1")+COUNTIF($I52:$L52,"&lt;0")+SUMPRODUCT((LEN($I52:$L52)&gt;0)*NOT(ISNUMBER($I52:$L52))))&gt;0,"Avance fuera de rango 0-100%"&amp;" · ","")&amp;IF(OR(AND(ISNUMBER($J52),$J52&lt;N($I52)),AND(ISNUMBER($K52),$K52&lt;MAX($I52:$J52)),AND(ISNUMBER($L52),$L52&lt;MAX($I52:$K52))),"Avance semanal decreciente"&amp;" · ","")&amp;IF(AND(ISNUMBER($AS52),$AS52&lt;FechaRef,IF($V52="Sub",1,N($M52))&lt;1),"Vencida"&amp;" · ","")&amp;IF(AND(ObsObligatoria="Sí",ISNUMBER($AS52),$AS52&lt;FechaRef,IF($V52="Sub",1,N($M52))&lt;1,$Q52=""),"Vencida sin observación"&amp;" · ",""))-3)))</f>
        <v/>
      </c>
      <c r="S52" s="64">
        <f>IF(NOT((COUNTA($B52:$D52)+COUNTA($G52:$H52)+COUNTA($Q52))&gt;0),"",IF(AND($V52="Sub",N($U52)&gt;0),IF(ISNUMBER(INDEX($AR$5:$AR$1000,$U52-4)),DATE(YEAR(INDEX($AR$5:$AR$1000,$U52-4)),MONTH(INDEX($AR$5:$AR$1000,$U52-4)),1),IF(ISNUMBER(INDEX($AS$5:$AS$1000,$U52-4)),DATE(YEAR(INDEX($AS$5:$AS$1000,$U52-4)),MONTH(INDEX($AS$5:$AS$1000,$U52-4)),1),MesCiclo)),IF(ISNUMBER($AR52),DATE(YEAR($AR52),MONTH($AR52),1),IF(ISNUMBER($AS52),DATE(YEAR($AS52),MONTH($AS52),1),MesCiclo))))</f>
        <v/>
      </c>
      <c r="T52" s="62">
        <f>IF(OR($S52="",$S52&lt;&gt;MesCiclo,$V52&lt;&gt;"Macro"),"",COUNTIFS($S$5:$S52,MesCiclo,$V$5:$V52,"Macro"))</f>
        <v/>
      </c>
      <c r="U52" s="62">
        <f>IF($V52="","",IF($V52="Macro",ROW(),IFERROR(LOOKUP(2,1/($V$5:$V52="Macro"),ROW($V$5:$V52)),0)))</f>
        <v/>
      </c>
      <c r="V52" s="62">
        <f>IF(NOT((COUNTA($B52:$D52)+COUNTA($G52:$H52)+COUNTA($Q52))&gt;0),"",IF($B52="Subactividad","Sub","Macro"))</f>
        <v/>
      </c>
      <c r="W52" s="62">
        <f>IF($V52="Macro",COUNTIFS($U$5:$U$1000,ROW(),$V$5:$V$1000,"Sub"),"")</f>
        <v/>
      </c>
      <c r="X52" s="62">
        <f>IF($V52&lt;&gt;"Sub","",IF(AND(ISNUMBER($H52),N($H52)&gt;0),$H52,IFERROR(MAX(0,1-SUMIFS($H$5:$H$1000,$U$5:$U$1000,$U52,$V$5:$V$1000,"Sub"))/(COUNTIFS($U$5:$U$1000,$U52,$V$5:$V$1000,"Sub")-COUNTIFS($U$5:$U$1000,$U52,$V$5:$V$1000,"Sub",$H$5:$H$1000,"&gt;0")),0)))</f>
        <v/>
      </c>
      <c r="Y52" s="62">
        <f>IF($V52="","",IF($V52="Sub",N($X52)*IF(ISNUMBER($G52),1,MIN(1,MAX(0,IFERROR(LOOKUP(2,1/ISNUMBER($I52:$L52),$I52:$L52),0)))),IF(ISNUMBER($G52),1,IFERROR(LOOKUP(2,1/($I52:$L52&lt;&gt;""),$I52:$L52),0))))</f>
        <v/>
      </c>
      <c r="Z52" s="62">
        <f>IF($V52="","",IF(AND(ISNUMBER($G52),$G52&lt;=IF($S52=MesCiclo,InicioCiclo,$S52+MOD(2-WEEKDAY($S52),7))+6),1,IF(ISNUMBER($I52),$I52,0)))</f>
        <v/>
      </c>
      <c r="AA52" s="62">
        <f>IF($V52="","",IF(AND(ISNUMBER($G52),$G52&lt;=IF($S52=MesCiclo,InicioCiclo,$S52+MOD(2-WEEKDAY($S52),7))+13),1,IF(ISNUMBER($J52),$J52,$Z52)))</f>
        <v/>
      </c>
      <c r="AB52" s="62">
        <f>IF($V52="","",IF(AND(ISNUMBER($G52),$G52&lt;=IF($S52=MesCiclo,InicioCiclo,$S52+MOD(2-WEEKDAY($S52),7))+20),1,IF(ISNUMBER($K52),$K52,$AA52)))</f>
        <v/>
      </c>
      <c r="AC52" s="62">
        <f>IF($V52="","",IF(AND(ISNUMBER($G52),$G52&lt;=IF($S52=MesCiclo,InicioCiclo,$S52+MOD(2-WEEKDAY($S52),7))+27),1,IF(ISNUMBER($L52),$L52,$AB52)))</f>
        <v/>
      </c>
      <c r="AD52" s="62">
        <f>IF($V52&lt;&gt;"Sub","",N($X52)*IF(AND(ISNUMBER($G52),$G52&lt;=IF($S52=MesCiclo,InicioCiclo,$S52+MOD(2-WEEKDAY($S52),7))+6),1,MIN(1,MAX(0,IF(ISNUMBER(OFFSET($A$1,ROW()-1,8)),OFFSET($A$1,ROW()-1,8),0)))))</f>
        <v/>
      </c>
      <c r="AE52" s="62">
        <f>IF($V52&lt;&gt;"Sub","",N($X52)*IF(AND(ISNUMBER($G52),$G52&lt;=IF($S52=MesCiclo,InicioCiclo,$S52+MOD(2-WEEKDAY($S52),7))+13),1,MIN(1,MAX(0,IF(ISNUMBER(OFFSET($A$1,ROW()-1,9)),OFFSET($A$1,ROW()-1,9),IF(ISNUMBER(OFFSET($A$1,ROW()-1,8)),OFFSET($A$1,ROW()-1,8),0))))))</f>
        <v/>
      </c>
      <c r="AF52" s="62">
        <f>IF($V52&lt;&gt;"Sub","",N($X52)*IF(AND(ISNUMBER($G52),$G52&lt;=IF($S52=MesCiclo,InicioCiclo,$S52+MOD(2-WEEKDAY($S52),7))+20),1,MIN(1,MAX(0,IF(ISNUMBER(OFFSET($A$1,ROW()-1,10)),OFFSET($A$1,ROW()-1,10),IF(ISNUMBER(OFFSET($A$1,ROW()-1,9)),OFFSET($A$1,ROW()-1,9),IF(ISNUMBER(OFFSET($A$1,ROW()-1,8)),OFFSET($A$1,ROW()-1,8),0)))))))</f>
        <v/>
      </c>
      <c r="AG52" s="62">
        <f>IF($V52&lt;&gt;"Sub","",N($X52)*IF(AND(ISNUMBER($G52),$G52&lt;=IF($S52=MesCiclo,InicioCiclo,$S52+MOD(2-WEEKDAY($S52),7))+27),1,MIN(1,MAX(0,IF(ISNUMBER(OFFSET($A$1,ROW()-1,11)),OFFSET($A$1,ROW()-1,11),IF(ISNUMBER(OFFSET($A$1,ROW()-1,10)),OFFSET($A$1,ROW()-1,10),IF(ISNUMBER(OFFSET($A$1,ROW()-1,9)),OFFSET($A$1,ROW()-1,9),IF(ISNUMBER(OFFSET($A$1,ROW()-1,8)),OFFSET($A$1,ROW()-1,8),0))))))))</f>
        <v/>
      </c>
      <c r="AH52" s="62">
        <f>IF($V52="","",IF(AND(ISNUMBER($G52),$G52&lt;=IF($S52=MesCiclo,InicioCiclo,$S52+MOD(2-WEEKDAY($S52),7))+6),1,IF(N($W52)&gt;0,MIN(1,SUMIFS($AD$5:$AD$1000,$U$5:$U$1000,ROW(),$V$5:$V$1000,"Sub")),$Z52)))</f>
        <v/>
      </c>
      <c r="AI52" s="62">
        <f>IF($V52="","",IF(AND(ISNUMBER($G52),$G52&lt;=IF($S52=MesCiclo,InicioCiclo,$S52+MOD(2-WEEKDAY($S52),7))+13),1,IF(N($W52)&gt;0,MIN(1,SUMIFS($AE$5:$AE$1000,$U$5:$U$1000,ROW(),$V$5:$V$1000,"Sub")),$AA52)))</f>
        <v/>
      </c>
      <c r="AJ52" s="62">
        <f>IF($V52="","",IF(AND(ISNUMBER($G52),$G52&lt;=IF($S52=MesCiclo,InicioCiclo,$S52+MOD(2-WEEKDAY($S52),7))+20),1,IF(N($W52)&gt;0,MIN(1,SUMIFS($AF$5:$AF$1000,$U$5:$U$1000,ROW(),$V$5:$V$1000,"Sub")),$AB52)))</f>
        <v/>
      </c>
      <c r="AK52" s="62">
        <f>IF($V52="","",IF(AND(ISNUMBER($G52),$G52&lt;=IF($S52=MesCiclo,InicioCiclo,$S52+MOD(2-WEEKDAY($S52),7))+27),1,IF(N($W52)&gt;0,MIN(1,SUMIFS($AG$5:$AG$1000,$U$5:$U$1000,ROW(),$V$5:$V$1000,"Sub")),$AC52)))</f>
        <v/>
      </c>
      <c r="AL52" s="62">
        <f>IF($V52&lt;&gt;"Macro","",IF(COUNTIFS($S$5:$S$1000,$S52,$V$5:$V$1000,"Macro",$H$5:$H$1000,"&gt;0")=0,1/COUNTIFS($S$5:$S$1000,$S52,$V$5:$V$1000,"Macro"),IF(AND(ISNUMBER($H52),N($H52)&gt;0),$H52,SUMIFS($H$5:$H$1000,$S$5:$S$1000,$S52,$V$5:$V$1000,"Macro")/COUNTIFS($S$5:$S$1000,$S52,$V$5:$V$1000,"Macro",$H$5:$H$1000,"&gt;0"))/(COUNTIFS($S$5:$S$1000,$S52,$V$5:$V$1000,"Macro")*SUMIFS($H$5:$H$1000,$S$5:$S$1000,$S52,$V$5:$V$1000,"Macro")/COUNTIFS($S$5:$S$1000,$S52,$V$5:$V$1000,"Macro",$H$5:$H$1000,"&gt;0"))))</f>
        <v/>
      </c>
      <c r="AM52" s="62" t="n"/>
      <c r="AN52" s="62" t="n"/>
      <c r="AO52" s="62" t="n"/>
      <c r="AP52" s="62" t="n"/>
      <c r="AQ52" s="62">
        <f>IF(LEFT($C52,11)="[Jefatura] ",IFERROR(MATCH("Asistente Técnico de Riesgo|"&amp;MID($C52,12,500),rDname_ADM,0),0),"")</f>
        <v/>
      </c>
      <c r="AR52" s="62">
        <f>IF(N($AQ52)&gt;0,INDEX(rIni_ADM,$AQ52),IF(ISNUMBER($E52),$E52,""))</f>
        <v/>
      </c>
      <c r="AS52" s="62">
        <f>IF(N($AQ52)&gt;0,INDEX(rLim_ADM,$AQ52),IF(ISNUMBER($F52),$F52,""))</f>
        <v/>
      </c>
    </row>
    <row r="53">
      <c r="A53" s="56">
        <f>IF(NOT((COUNTA($B53:$D53)+COUNTA($G53:$H53)+COUNTA($Q53))&gt;0),"",IF($V53="Macro",COUNTIFS($V$5:$V53,"Macro",$S$5:$S53,$S53),IF(N($U53)=0,"?",COUNTIFS(INDEX($V$5:$V$1000,1):INDEX($V$5:$V$1000,$U53-4),"Macro",INDEX($S$5:$S$1000,1):INDEX($S$5:$S$1000,$U53-4),INDEX($S$5:$S$1000,$U53-4))&amp;"."&amp;COUNTIFS($U$5:$U53,$U53,$V$5:$V53,"Sub"))))</f>
        <v/>
      </c>
      <c r="B53" s="57" t="n"/>
      <c r="C53" s="58" t="n"/>
      <c r="D53" s="58" t="n"/>
      <c r="E53" s="59">
        <f>IF(N($AQ53)&gt;0,INDEX(rIni_ADM,$AQ53),"")</f>
        <v/>
      </c>
      <c r="F53" s="59">
        <f>IF(N($AQ53)&gt;0,INDEX(rLim_ADM,$AQ53),"")</f>
        <v/>
      </c>
      <c r="G53" s="59" t="n"/>
      <c r="H53" s="60" t="n"/>
      <c r="I53" s="60">
        <f>IF(N($W53)=0,"",IF(AND($S53=MesCiclo,1&gt;SemanaActual),"",MIN(1,SUMIFS(OFFSET($A$1,ROW(),29,1000-ROW(),1),OFFSET($A$1,ROW(),20,1000-ROW(),1),ROW(),OFFSET($A$1,ROW(),21,1000-ROW(),1),"Sub"))))</f>
        <v/>
      </c>
      <c r="J53" s="60">
        <f>IF(N($W53)=0,"",IF(AND($S53=MesCiclo,2&gt;SemanaActual),"",MIN(1,SUMIFS(OFFSET($A$1,ROW(),30,1000-ROW(),1),OFFSET($A$1,ROW(),20,1000-ROW(),1),ROW(),OFFSET($A$1,ROW(),21,1000-ROW(),1),"Sub"))))</f>
        <v/>
      </c>
      <c r="K53" s="60">
        <f>IF(N($W53)=0,"",IF(AND($S53=MesCiclo,3&gt;SemanaActual),"",MIN(1,SUMIFS(OFFSET($A$1,ROW(),31,1000-ROW(),1),OFFSET($A$1,ROW(),20,1000-ROW(),1),ROW(),OFFSET($A$1,ROW(),21,1000-ROW(),1),"Sub"))))</f>
        <v/>
      </c>
      <c r="L53" s="60">
        <f>IF(N($W53)=0,"",IF(AND($S53=MesCiclo,4&gt;SemanaActual),"",MIN(1,SUMIFS(OFFSET($A$1,ROW(),32,1000-ROW(),1),OFFSET($A$1,ROW(),20,1000-ROW(),1),ROW(),OFFSET($A$1,ROW(),21,1000-ROW(),1),"Sub"))))</f>
        <v/>
      </c>
      <c r="M53" s="61">
        <f>IF(OR(NOT((COUNTA($B53:$D53)+COUNTA($G53:$H53)+COUNTA($Q53))&gt;0),$V53="Sub"),"",IF(ISNUMBER($G53),1,IF(N($W53)&gt;0,MIN(1,SUMIFS($Y$5:$Y$1000,$U$5:$U$1000,ROW(),$V$5:$V$1000,"Sub")),$Y53)))</f>
        <v/>
      </c>
      <c r="N53" s="56">
        <f>IF(OR($M53="",$V53="Sub"),"",IF($M53&gt;=1,"Completado",IF($M53&gt;0,"En curso","Pendiente")))</f>
        <v/>
      </c>
      <c r="O53" s="56">
        <f>IF(OR(NOT((COUNTA($B53:$D53)+COUNTA($G53:$H53)+COUNTA($Q53))&gt;0),$V53="Sub"),"",IF(ISNUMBER($G53),IF(AND(ISNUMBER($AS53),$G53&gt;$AS53),"Cumplida con "&amp;($G53-$AS53)&amp;IF($G53-$AS53=1," día"," días")&amp;" de retraso","Cumplida"),IF(N($M53)&gt;=1,"Cumplida",IF(NOT(ISNUMBER($AS53)),"Sin fecha límite",IF($AS53&lt;FechaRef,"Vencida hace "&amp;(FechaRef-$AS53)&amp;IF(FechaRef-$AS53=1," día"," días"),IF($AS53=FechaRef,"Vence hoy",IF($AS53-FechaRef&lt;=DiasAlerta,"Vence en "&amp;($AS53-FechaRef)&amp;IF($AS53-FechaRef=1," día"," días"),"En plazo")))))))</f>
        <v/>
      </c>
      <c r="P53" s="62" t="n"/>
      <c r="Q53" s="58" t="n"/>
      <c r="R53" s="63">
        <f>IF(NOT((COUNTA($B53:$D53)+COUNTA($G53:$H53)+COUNTA($Q53))&gt;0),"",IF((IF($C53="","Falta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 OK","⚠ "&amp;LEFT(IF($C53="","Falta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",""),LEN(IF($C53="","Falta el nombre de la actividad"&amp;" · ","")&amp;IF(AND($V53="Sub",N($U53)=0),"Subactividad sin macroactividad arriba"&amp;" · ","")&amp;IF(AND($V53="Macro",$AR53=""),"Sin fecha de inicio"&amp;" · ","")&amp;IF(AND($V53="Macro",$AS53=""),"Sin fecha límite"&amp;" · ","")&amp;IF(AND(LEFT($C53,11)="[Jefatura] ",N($AQ53)=0),"No se encuentra en la hoja de la jefatura (elíjala de nuevo en la lista)"&amp;" · ","")&amp;IF(OR(AND($E53&lt;&gt;"",NOT(ISNUMBER($E53))),AND($F53&lt;&gt;"",NOT(ISNUMBER($F53))),AND($G53&lt;&gt;"",NOT(ISNUMBER($G53)))),"Fecha no válida"&amp;" · ","")&amp;IF(AND(ISNUMBER($AR53),ISNUMBER($AS53),$AR53&gt;$AS53),"Inicio posterior a fecha límite"&amp;" · ","")&amp;IF(AND($V53="Macro",$H53&lt;&gt;"",OR(NOT(ISNUMBER($H53)),$H53&lt;0,$H53&gt;1)),"Peso fuera de rango"&amp;" · ","")&amp;IF(AND($V53="Sub",$H53&lt;&gt;"",OR(NOT(ISNUMBER($H53)),$H53&lt;0,$H53&gt;1)),"% de la subactividad fuera de rango 0-100%"&amp;" · ","")&amp;IF(AND(N($W53)&gt;0,SUMIFS($H$5:$H$1000,$U$5:$U$1000,ROW(),$V$5:$V$1000,"Sub")&gt;1.0001),"Las subactividades suman más de 100%"&amp;" · ","")&amp;IF(AND(N($W53)&gt;0,OR(IF(ISNUMBER($I53),ROUND($I53,6)&lt;&gt;ROUND(MIN(1,SUMIFS($AD$5:$AD$1000,$U$5:$U$1000,ROW(),$V$5:$V$1000,"Sub")),6),FALSE),IF(ISNUMBER($J53),ROUND($J53,6)&lt;&gt;ROUND(MIN(1,SUMIFS($AE$5:$AE$1000,$U$5:$U$1000,ROW(),$V$5:$V$1000,"Sub")),6),FALSE),IF(ISNUMBER($K53),ROUND($K53,6)&lt;&gt;ROUND(MIN(1,SUMIFS($AF$5:$AF$1000,$U$5:$U$1000,ROW(),$V$5:$V$1000,"Sub")),6),FALSE),IF(ISNUMBER($L53),ROUND($L53,6)&lt;&gt;ROUND(MIN(1,SUMIFS($AG$5:$AG$1000,$U$5:$U$1000,ROW(),$V$5:$V$1000,"Sub")),6),FALSE))),"Con subactividades: no escriba en las semanas (se llenan solas)"&amp;" · ","")&amp;IF((COUNTIF($I53:$L53,"&gt;1")+COUNTIF($I53:$L53,"&lt;0")+SUMPRODUCT((LEN($I53:$L53)&gt;0)*NOT(ISNUMBER($I53:$L53))))&gt;0,"Avance fuera de rango 0-100%"&amp;" · ","")&amp;IF(OR(AND(ISNUMBER($J53),$J53&lt;N($I53)),AND(ISNUMBER($K53),$K53&lt;MAX($I53:$J53)),AND(ISNUMBER($L53),$L53&lt;MAX($I53:$K53))),"Avance semanal decreciente"&amp;" · ","")&amp;IF(AND(ISNUMBER($AS53),$AS53&lt;FechaRef,IF($V53="Sub",1,N($M53))&lt;1),"Vencida"&amp;" · ","")&amp;IF(AND(ObsObligatoria="Sí",ISNUMBER($AS53),$AS53&lt;FechaRef,IF($V53="Sub",1,N($M53))&lt;1,$Q53=""),"Vencida sin observación"&amp;" · ",""))-3)))</f>
        <v/>
      </c>
      <c r="S53" s="64">
        <f>IF(NOT((COUNTA($B53:$D53)+COUNTA($G53:$H53)+COUNTA($Q53))&gt;0),"",IF(AND($V53="Sub",N($U53)&gt;0),IF(ISNUMBER(INDEX($AR$5:$AR$1000,$U53-4)),DATE(YEAR(INDEX($AR$5:$AR$1000,$U53-4)),MONTH(INDEX($AR$5:$AR$1000,$U53-4)),1),IF(ISNUMBER(INDEX($AS$5:$AS$1000,$U53-4)),DATE(YEAR(INDEX($AS$5:$AS$1000,$U53-4)),MONTH(INDEX($AS$5:$AS$1000,$U53-4)),1),MesCiclo)),IF(ISNUMBER($AR53),DATE(YEAR($AR53),MONTH($AR53),1),IF(ISNUMBER($AS53),DATE(YEAR($AS53),MONTH($AS53),1),MesCiclo))))</f>
        <v/>
      </c>
      <c r="T53" s="62">
        <f>IF(OR($S53="",$S53&lt;&gt;MesCiclo,$V53&lt;&gt;"Macro"),"",COUNTIFS($S$5:$S53,MesCiclo,$V$5:$V53,"Macro"))</f>
        <v/>
      </c>
      <c r="U53" s="62">
        <f>IF($V53="","",IF($V53="Macro",ROW(),IFERROR(LOOKUP(2,1/($V$5:$V53="Macro"),ROW($V$5:$V53)),0)))</f>
        <v/>
      </c>
      <c r="V53" s="62">
        <f>IF(NOT((COUNTA($B53:$D53)+COUNTA($G53:$H53)+COUNTA($Q53))&gt;0),"",IF($B53="Subactividad","Sub","Macro"))</f>
        <v/>
      </c>
      <c r="W53" s="62">
        <f>IF($V53="Macro",COUNTIFS($U$5:$U$1000,ROW(),$V$5:$V$1000,"Sub"),"")</f>
        <v/>
      </c>
      <c r="X53" s="62">
        <f>IF($V53&lt;&gt;"Sub","",IF(AND(ISNUMBER($H53),N($H53)&gt;0),$H53,IFERROR(MAX(0,1-SUMIFS($H$5:$H$1000,$U$5:$U$1000,$U53,$V$5:$V$1000,"Sub"))/(COUNTIFS($U$5:$U$1000,$U53,$V$5:$V$1000,"Sub")-COUNTIFS($U$5:$U$1000,$U53,$V$5:$V$1000,"Sub",$H$5:$H$1000,"&gt;0")),0)))</f>
        <v/>
      </c>
      <c r="Y53" s="62">
        <f>IF($V53="","",IF($V53="Sub",N($X53)*IF(ISNUMBER($G53),1,MIN(1,MAX(0,IFERROR(LOOKUP(2,1/ISNUMBER($I53:$L53),$I53:$L53),0)))),IF(ISNUMBER($G53),1,IFERROR(LOOKUP(2,1/($I53:$L53&lt;&gt;""),$I53:$L53),0))))</f>
        <v/>
      </c>
      <c r="Z53" s="62">
        <f>IF($V53="","",IF(AND(ISNUMBER($G53),$G53&lt;=IF($S53=MesCiclo,InicioCiclo,$S53+MOD(2-WEEKDAY($S53),7))+6),1,IF(ISNUMBER($I53),$I53,0)))</f>
        <v/>
      </c>
      <c r="AA53" s="62">
        <f>IF($V53="","",IF(AND(ISNUMBER($G53),$G53&lt;=IF($S53=MesCiclo,InicioCiclo,$S53+MOD(2-WEEKDAY($S53),7))+13),1,IF(ISNUMBER($J53),$J53,$Z53)))</f>
        <v/>
      </c>
      <c r="AB53" s="62">
        <f>IF($V53="","",IF(AND(ISNUMBER($G53),$G53&lt;=IF($S53=MesCiclo,InicioCiclo,$S53+MOD(2-WEEKDAY($S53),7))+20),1,IF(ISNUMBER($K53),$K53,$AA53)))</f>
        <v/>
      </c>
      <c r="AC53" s="62">
        <f>IF($V53="","",IF(AND(ISNUMBER($G53),$G53&lt;=IF($S53=MesCiclo,InicioCiclo,$S53+MOD(2-WEEKDAY($S53),7))+27),1,IF(ISNUMBER($L53),$L53,$AB53)))</f>
        <v/>
      </c>
      <c r="AD53" s="62">
        <f>IF($V53&lt;&gt;"Sub","",N($X53)*IF(AND(ISNUMBER($G53),$G53&lt;=IF($S53=MesCiclo,InicioCiclo,$S53+MOD(2-WEEKDAY($S53),7))+6),1,MIN(1,MAX(0,IF(ISNUMBER(OFFSET($A$1,ROW()-1,8)),OFFSET($A$1,ROW()-1,8),0)))))</f>
        <v/>
      </c>
      <c r="AE53" s="62">
        <f>IF($V53&lt;&gt;"Sub","",N($X53)*IF(AND(ISNUMBER($G53),$G53&lt;=IF($S53=MesCiclo,InicioCiclo,$S53+MOD(2-WEEKDAY($S53),7))+13),1,MIN(1,MAX(0,IF(ISNUMBER(OFFSET($A$1,ROW()-1,9)),OFFSET($A$1,ROW()-1,9),IF(ISNUMBER(OFFSET($A$1,ROW()-1,8)),OFFSET($A$1,ROW()-1,8),0))))))</f>
        <v/>
      </c>
      <c r="AF53" s="62">
        <f>IF($V53&lt;&gt;"Sub","",N($X53)*IF(AND(ISNUMBER($G53),$G53&lt;=IF($S53=MesCiclo,InicioCiclo,$S53+MOD(2-WEEKDAY($S53),7))+20),1,MIN(1,MAX(0,IF(ISNUMBER(OFFSET($A$1,ROW()-1,10)),OFFSET($A$1,ROW()-1,10),IF(ISNUMBER(OFFSET($A$1,ROW()-1,9)),OFFSET($A$1,ROW()-1,9),IF(ISNUMBER(OFFSET($A$1,ROW()-1,8)),OFFSET($A$1,ROW()-1,8),0)))))))</f>
        <v/>
      </c>
      <c r="AG53" s="62">
        <f>IF($V53&lt;&gt;"Sub","",N($X53)*IF(AND(ISNUMBER($G53),$G53&lt;=IF($S53=MesCiclo,InicioCiclo,$S53+MOD(2-WEEKDAY($S53),7))+27),1,MIN(1,MAX(0,IF(ISNUMBER(OFFSET($A$1,ROW()-1,11)),OFFSET($A$1,ROW()-1,11),IF(ISNUMBER(OFFSET($A$1,ROW()-1,10)),OFFSET($A$1,ROW()-1,10),IF(ISNUMBER(OFFSET($A$1,ROW()-1,9)),OFFSET($A$1,ROW()-1,9),IF(ISNUMBER(OFFSET($A$1,ROW()-1,8)),OFFSET($A$1,ROW()-1,8),0))))))))</f>
        <v/>
      </c>
      <c r="AH53" s="62">
        <f>IF($V53="","",IF(AND(ISNUMBER($G53),$G53&lt;=IF($S53=MesCiclo,InicioCiclo,$S53+MOD(2-WEEKDAY($S53),7))+6),1,IF(N($W53)&gt;0,MIN(1,SUMIFS($AD$5:$AD$1000,$U$5:$U$1000,ROW(),$V$5:$V$1000,"Sub")),$Z53)))</f>
        <v/>
      </c>
      <c r="AI53" s="62">
        <f>IF($V53="","",IF(AND(ISNUMBER($G53),$G53&lt;=IF($S53=MesCiclo,InicioCiclo,$S53+MOD(2-WEEKDAY($S53),7))+13),1,IF(N($W53)&gt;0,MIN(1,SUMIFS($AE$5:$AE$1000,$U$5:$U$1000,ROW(),$V$5:$V$1000,"Sub")),$AA53)))</f>
        <v/>
      </c>
      <c r="AJ53" s="62">
        <f>IF($V53="","",IF(AND(ISNUMBER($G53),$G53&lt;=IF($S53=MesCiclo,InicioCiclo,$S53+MOD(2-WEEKDAY($S53),7))+20),1,IF(N($W53)&gt;0,MIN(1,SUMIFS($AF$5:$AF$1000,$U$5:$U$1000,ROW(),$V$5:$V$1000,"Sub")),$AB53)))</f>
        <v/>
      </c>
      <c r="AK53" s="62">
        <f>IF($V53="","",IF(AND(ISNUMBER($G53),$G53&lt;=IF($S53=MesCiclo,InicioCiclo,$S53+MOD(2-WEEKDAY($S53),7))+27),1,IF(N($W53)&gt;0,MIN(1,SUMIFS($AG$5:$AG$1000,$U$5:$U$1000,ROW(),$V$5:$V$1000,"Sub")),$AC53)))</f>
        <v/>
      </c>
      <c r="AL53" s="62">
        <f>IF($V53&lt;&gt;"Macro","",IF(COUNTIFS($S$5:$S$1000,$S53,$V$5:$V$1000,"Macro",$H$5:$H$1000,"&gt;0")=0,1/COUNTIFS($S$5:$S$1000,$S53,$V$5:$V$1000,"Macro"),IF(AND(ISNUMBER($H53),N($H53)&gt;0),$H53,SUMIFS($H$5:$H$1000,$S$5:$S$1000,$S53,$V$5:$V$1000,"Macro")/COUNTIFS($S$5:$S$1000,$S53,$V$5:$V$1000,"Macro",$H$5:$H$1000,"&gt;0"))/(COUNTIFS($S$5:$S$1000,$S53,$V$5:$V$1000,"Macro")*SUMIFS($H$5:$H$1000,$S$5:$S$1000,$S53,$V$5:$V$1000,"Macro")/COUNTIFS($S$5:$S$1000,$S53,$V$5:$V$1000,"Macro",$H$5:$H$1000,"&gt;0"))))</f>
        <v/>
      </c>
      <c r="AM53" s="62" t="n"/>
      <c r="AN53" s="62" t="n"/>
      <c r="AO53" s="62" t="n"/>
      <c r="AP53" s="62" t="n"/>
      <c r="AQ53" s="62">
        <f>IF(LEFT($C53,11)="[Jefatura] ",IFERROR(MATCH("Asistente Técnico de Riesgo|"&amp;MID($C53,12,500),rDname_ADM,0),0),"")</f>
        <v/>
      </c>
      <c r="AR53" s="62">
        <f>IF(N($AQ53)&gt;0,INDEX(rIni_ADM,$AQ53),IF(ISNUMBER($E53),$E53,""))</f>
        <v/>
      </c>
      <c r="AS53" s="62">
        <f>IF(N($AQ53)&gt;0,INDEX(rLim_ADM,$AQ53),IF(ISNUMBER($F53),$F53,""))</f>
        <v/>
      </c>
    </row>
    <row r="54">
      <c r="A54" s="56">
        <f>IF(NOT((COUNTA($B54:$D54)+COUNTA($G54:$H54)+COUNTA($Q54))&gt;0),"",IF($V54="Macro",COUNTIFS($V$5:$V54,"Macro",$S$5:$S54,$S54),IF(N($U54)=0,"?",COUNTIFS(INDEX($V$5:$V$1000,1):INDEX($V$5:$V$1000,$U54-4),"Macro",INDEX($S$5:$S$1000,1):INDEX($S$5:$S$1000,$U54-4),INDEX($S$5:$S$1000,$U54-4))&amp;"."&amp;COUNTIFS($U$5:$U54,$U54,$V$5:$V54,"Sub"))))</f>
        <v/>
      </c>
      <c r="B54" s="57" t="n"/>
      <c r="C54" s="58" t="n"/>
      <c r="D54" s="58" t="n"/>
      <c r="E54" s="59">
        <f>IF(N($AQ54)&gt;0,INDEX(rIni_ADM,$AQ54),"")</f>
        <v/>
      </c>
      <c r="F54" s="59">
        <f>IF(N($AQ54)&gt;0,INDEX(rLim_ADM,$AQ54),"")</f>
        <v/>
      </c>
      <c r="G54" s="59" t="n"/>
      <c r="H54" s="60" t="n"/>
      <c r="I54" s="60">
        <f>IF(N($W54)=0,"",IF(AND($S54=MesCiclo,1&gt;SemanaActual),"",MIN(1,SUMIFS(OFFSET($A$1,ROW(),29,1000-ROW(),1),OFFSET($A$1,ROW(),20,1000-ROW(),1),ROW(),OFFSET($A$1,ROW(),21,1000-ROW(),1),"Sub"))))</f>
        <v/>
      </c>
      <c r="J54" s="60">
        <f>IF(N($W54)=0,"",IF(AND($S54=MesCiclo,2&gt;SemanaActual),"",MIN(1,SUMIFS(OFFSET($A$1,ROW(),30,1000-ROW(),1),OFFSET($A$1,ROW(),20,1000-ROW(),1),ROW(),OFFSET($A$1,ROW(),21,1000-ROW(),1),"Sub"))))</f>
        <v/>
      </c>
      <c r="K54" s="60">
        <f>IF(N($W54)=0,"",IF(AND($S54=MesCiclo,3&gt;SemanaActual),"",MIN(1,SUMIFS(OFFSET($A$1,ROW(),31,1000-ROW(),1),OFFSET($A$1,ROW(),20,1000-ROW(),1),ROW(),OFFSET($A$1,ROW(),21,1000-ROW(),1),"Sub"))))</f>
        <v/>
      </c>
      <c r="L54" s="60">
        <f>IF(N($W54)=0,"",IF(AND($S54=MesCiclo,4&gt;SemanaActual),"",MIN(1,SUMIFS(OFFSET($A$1,ROW(),32,1000-ROW(),1),OFFSET($A$1,ROW(),20,1000-ROW(),1),ROW(),OFFSET($A$1,ROW(),21,1000-ROW(),1),"Sub"))))</f>
        <v/>
      </c>
      <c r="M54" s="61">
        <f>IF(OR(NOT((COUNTA($B54:$D54)+COUNTA($G54:$H54)+COUNTA($Q54))&gt;0),$V54="Sub"),"",IF(ISNUMBER($G54),1,IF(N($W54)&gt;0,MIN(1,SUMIFS($Y$5:$Y$1000,$U$5:$U$1000,ROW(),$V$5:$V$1000,"Sub")),$Y54)))</f>
        <v/>
      </c>
      <c r="N54" s="56">
        <f>IF(OR($M54="",$V54="Sub"),"",IF($M54&gt;=1,"Completado",IF($M54&gt;0,"En curso","Pendiente")))</f>
        <v/>
      </c>
      <c r="O54" s="56">
        <f>IF(OR(NOT((COUNTA($B54:$D54)+COUNTA($G54:$H54)+COUNTA($Q54))&gt;0),$V54="Sub"),"",IF(ISNUMBER($G54),IF(AND(ISNUMBER($AS54),$G54&gt;$AS54),"Cumplida con "&amp;($G54-$AS54)&amp;IF($G54-$AS54=1," día"," días")&amp;" de retraso","Cumplida"),IF(N($M54)&gt;=1,"Cumplida",IF(NOT(ISNUMBER($AS54)),"Sin fecha límite",IF($AS54&lt;FechaRef,"Vencida hace "&amp;(FechaRef-$AS54)&amp;IF(FechaRef-$AS54=1," día"," días"),IF($AS54=FechaRef,"Vence hoy",IF($AS54-FechaRef&lt;=DiasAlerta,"Vence en "&amp;($AS54-FechaRef)&amp;IF($AS54-FechaRef=1," día"," días"),"En plazo")))))))</f>
        <v/>
      </c>
      <c r="P54" s="62" t="n"/>
      <c r="Q54" s="58" t="n"/>
      <c r="R54" s="63">
        <f>IF(NOT((COUNTA($B54:$D54)+COUNTA($G54:$H54)+COUNTA($Q54))&gt;0),"",IF((IF($C54="","Falta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 OK","⚠ "&amp;LEFT(IF($C54="","Falta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",""),LEN(IF($C54="","Falta el nombre de la actividad"&amp;" · ","")&amp;IF(AND($V54="Sub",N($U54)=0),"Subactividad sin macroactividad arriba"&amp;" · ","")&amp;IF(AND($V54="Macro",$AR54=""),"Sin fecha de inicio"&amp;" · ","")&amp;IF(AND($V54="Macro",$AS54=""),"Sin fecha límite"&amp;" · ","")&amp;IF(AND(LEFT($C54,11)="[Jefatura] ",N($AQ54)=0),"No se encuentra en la hoja de la jefatura (elíjala de nuevo en la lista)"&amp;" · ","")&amp;IF(OR(AND($E54&lt;&gt;"",NOT(ISNUMBER($E54))),AND($F54&lt;&gt;"",NOT(ISNUMBER($F54))),AND($G54&lt;&gt;"",NOT(ISNUMBER($G54)))),"Fecha no válida"&amp;" · ","")&amp;IF(AND(ISNUMBER($AR54),ISNUMBER($AS54),$AR54&gt;$AS54),"Inicio posterior a fecha límite"&amp;" · ","")&amp;IF(AND($V54="Macro",$H54&lt;&gt;"",OR(NOT(ISNUMBER($H54)),$H54&lt;0,$H54&gt;1)),"Peso fuera de rango"&amp;" · ","")&amp;IF(AND($V54="Sub",$H54&lt;&gt;"",OR(NOT(ISNUMBER($H54)),$H54&lt;0,$H54&gt;1)),"% de la subactividad fuera de rango 0-100%"&amp;" · ","")&amp;IF(AND(N($W54)&gt;0,SUMIFS($H$5:$H$1000,$U$5:$U$1000,ROW(),$V$5:$V$1000,"Sub")&gt;1.0001),"Las subactividades suman más de 100%"&amp;" · ","")&amp;IF(AND(N($W54)&gt;0,OR(IF(ISNUMBER($I54),ROUND($I54,6)&lt;&gt;ROUND(MIN(1,SUMIFS($AD$5:$AD$1000,$U$5:$U$1000,ROW(),$V$5:$V$1000,"Sub")),6),FALSE),IF(ISNUMBER($J54),ROUND($J54,6)&lt;&gt;ROUND(MIN(1,SUMIFS($AE$5:$AE$1000,$U$5:$U$1000,ROW(),$V$5:$V$1000,"Sub")),6),FALSE),IF(ISNUMBER($K54),ROUND($K54,6)&lt;&gt;ROUND(MIN(1,SUMIFS($AF$5:$AF$1000,$U$5:$U$1000,ROW(),$V$5:$V$1000,"Sub")),6),FALSE),IF(ISNUMBER($L54),ROUND($L54,6)&lt;&gt;ROUND(MIN(1,SUMIFS($AG$5:$AG$1000,$U$5:$U$1000,ROW(),$V$5:$V$1000,"Sub")),6),FALSE))),"Con subactividades: no escriba en las semanas (se llenan solas)"&amp;" · ","")&amp;IF((COUNTIF($I54:$L54,"&gt;1")+COUNTIF($I54:$L54,"&lt;0")+SUMPRODUCT((LEN($I54:$L54)&gt;0)*NOT(ISNUMBER($I54:$L54))))&gt;0,"Avance fuera de rango 0-100%"&amp;" · ","")&amp;IF(OR(AND(ISNUMBER($J54),$J54&lt;N($I54)),AND(ISNUMBER($K54),$K54&lt;MAX($I54:$J54)),AND(ISNUMBER($L54),$L54&lt;MAX($I54:$K54))),"Avance semanal decreciente"&amp;" · ","")&amp;IF(AND(ISNUMBER($AS54),$AS54&lt;FechaRef,IF($V54="Sub",1,N($M54))&lt;1),"Vencida"&amp;" · ","")&amp;IF(AND(ObsObligatoria="Sí",ISNUMBER($AS54),$AS54&lt;FechaRef,IF($V54="Sub",1,N($M54))&lt;1,$Q54=""),"Vencida sin observación"&amp;" · ",""))-3)))</f>
        <v/>
      </c>
      <c r="S54" s="64">
        <f>IF(NOT((COUNTA($B54:$D54)+COUNTA($G54:$H54)+COUNTA($Q54))&gt;0),"",IF(AND($V54="Sub",N($U54)&gt;0),IF(ISNUMBER(INDEX($AR$5:$AR$1000,$U54-4)),DATE(YEAR(INDEX($AR$5:$AR$1000,$U54-4)),MONTH(INDEX($AR$5:$AR$1000,$U54-4)),1),IF(ISNUMBER(INDEX($AS$5:$AS$1000,$U54-4)),DATE(YEAR(INDEX($AS$5:$AS$1000,$U54-4)),MONTH(INDEX($AS$5:$AS$1000,$U54-4)),1),MesCiclo)),IF(ISNUMBER($AR54),DATE(YEAR($AR54),MONTH($AR54),1),IF(ISNUMBER($AS54),DATE(YEAR($AS54),MONTH($AS54),1),MesCiclo))))</f>
        <v/>
      </c>
      <c r="T54" s="62">
        <f>IF(OR($S54="",$S54&lt;&gt;MesCiclo,$V54&lt;&gt;"Macro"),"",COUNTIFS($S$5:$S54,MesCiclo,$V$5:$V54,"Macro"))</f>
        <v/>
      </c>
      <c r="U54" s="62">
        <f>IF($V54="","",IF($V54="Macro",ROW(),IFERROR(LOOKUP(2,1/($V$5:$V54="Macro"),ROW($V$5:$V54)),0)))</f>
        <v/>
      </c>
      <c r="V54" s="62">
        <f>IF(NOT((COUNTA($B54:$D54)+COUNTA($G54:$H54)+COUNTA($Q54))&gt;0),"",IF($B54="Subactividad","Sub","Macro"))</f>
        <v/>
      </c>
      <c r="W54" s="62">
        <f>IF($V54="Macro",COUNTIFS($U$5:$U$1000,ROW(),$V$5:$V$1000,"Sub"),"")</f>
        <v/>
      </c>
      <c r="X54" s="62">
        <f>IF($V54&lt;&gt;"Sub","",IF(AND(ISNUMBER($H54),N($H54)&gt;0),$H54,IFERROR(MAX(0,1-SUMIFS($H$5:$H$1000,$U$5:$U$1000,$U54,$V$5:$V$1000,"Sub"))/(COUNTIFS($U$5:$U$1000,$U54,$V$5:$V$1000,"Sub")-COUNTIFS($U$5:$U$1000,$U54,$V$5:$V$1000,"Sub",$H$5:$H$1000,"&gt;0")),0)))</f>
        <v/>
      </c>
      <c r="Y54" s="62">
        <f>IF($V54="","",IF($V54="Sub",N($X54)*IF(ISNUMBER($G54),1,MIN(1,MAX(0,IFERROR(LOOKUP(2,1/ISNUMBER($I54:$L54),$I54:$L54),0)))),IF(ISNUMBER($G54),1,IFERROR(LOOKUP(2,1/($I54:$L54&lt;&gt;""),$I54:$L54),0))))</f>
        <v/>
      </c>
      <c r="Z54" s="62">
        <f>IF($V54="","",IF(AND(ISNUMBER($G54),$G54&lt;=IF($S54=MesCiclo,InicioCiclo,$S54+MOD(2-WEEKDAY($S54),7))+6),1,IF(ISNUMBER($I54),$I54,0)))</f>
        <v/>
      </c>
      <c r="AA54" s="62">
        <f>IF($V54="","",IF(AND(ISNUMBER($G54),$G54&lt;=IF($S54=MesCiclo,InicioCiclo,$S54+MOD(2-WEEKDAY($S54),7))+13),1,IF(ISNUMBER($J54),$J54,$Z54)))</f>
        <v/>
      </c>
      <c r="AB54" s="62">
        <f>IF($V54="","",IF(AND(ISNUMBER($G54),$G54&lt;=IF($S54=MesCiclo,InicioCiclo,$S54+MOD(2-WEEKDAY($S54),7))+20),1,IF(ISNUMBER($K54),$K54,$AA54)))</f>
        <v/>
      </c>
      <c r="AC54" s="62">
        <f>IF($V54="","",IF(AND(ISNUMBER($G54),$G54&lt;=IF($S54=MesCiclo,InicioCiclo,$S54+MOD(2-WEEKDAY($S54),7))+27),1,IF(ISNUMBER($L54),$L54,$AB54)))</f>
        <v/>
      </c>
      <c r="AD54" s="62">
        <f>IF($V54&lt;&gt;"Sub","",N($X54)*IF(AND(ISNUMBER($G54),$G54&lt;=IF($S54=MesCiclo,InicioCiclo,$S54+MOD(2-WEEKDAY($S54),7))+6),1,MIN(1,MAX(0,IF(ISNUMBER(OFFSET($A$1,ROW()-1,8)),OFFSET($A$1,ROW()-1,8),0)))))</f>
        <v/>
      </c>
      <c r="AE54" s="62">
        <f>IF($V54&lt;&gt;"Sub","",N($X54)*IF(AND(ISNUMBER($G54),$G54&lt;=IF($S54=MesCiclo,InicioCiclo,$S54+MOD(2-WEEKDAY($S54),7))+13),1,MIN(1,MAX(0,IF(ISNUMBER(OFFSET($A$1,ROW()-1,9)),OFFSET($A$1,ROW()-1,9),IF(ISNUMBER(OFFSET($A$1,ROW()-1,8)),OFFSET($A$1,ROW()-1,8),0))))))</f>
        <v/>
      </c>
      <c r="AF54" s="62">
        <f>IF($V54&lt;&gt;"Sub","",N($X54)*IF(AND(ISNUMBER($G54),$G54&lt;=IF($S54=MesCiclo,InicioCiclo,$S54+MOD(2-WEEKDAY($S54),7))+20),1,MIN(1,MAX(0,IF(ISNUMBER(OFFSET($A$1,ROW()-1,10)),OFFSET($A$1,ROW()-1,10),IF(ISNUMBER(OFFSET($A$1,ROW()-1,9)),OFFSET($A$1,ROW()-1,9),IF(ISNUMBER(OFFSET($A$1,ROW()-1,8)),OFFSET($A$1,ROW()-1,8),0)))))))</f>
        <v/>
      </c>
      <c r="AG54" s="62">
        <f>IF($V54&lt;&gt;"Sub","",N($X54)*IF(AND(ISNUMBER($G54),$G54&lt;=IF($S54=MesCiclo,InicioCiclo,$S54+MOD(2-WEEKDAY($S54),7))+27),1,MIN(1,MAX(0,IF(ISNUMBER(OFFSET($A$1,ROW()-1,11)),OFFSET($A$1,ROW()-1,11),IF(ISNUMBER(OFFSET($A$1,ROW()-1,10)),OFFSET($A$1,ROW()-1,10),IF(ISNUMBER(OFFSET($A$1,ROW()-1,9)),OFFSET($A$1,ROW()-1,9),IF(ISNUMBER(OFFSET($A$1,ROW()-1,8)),OFFSET($A$1,ROW()-1,8),0))))))))</f>
        <v/>
      </c>
      <c r="AH54" s="62">
        <f>IF($V54="","",IF(AND(ISNUMBER($G54),$G54&lt;=IF($S54=MesCiclo,InicioCiclo,$S54+MOD(2-WEEKDAY($S54),7))+6),1,IF(N($W54)&gt;0,MIN(1,SUMIFS($AD$5:$AD$1000,$U$5:$U$1000,ROW(),$V$5:$V$1000,"Sub")),$Z54)))</f>
        <v/>
      </c>
      <c r="AI54" s="62">
        <f>IF($V54="","",IF(AND(ISNUMBER($G54),$G54&lt;=IF($S54=MesCiclo,InicioCiclo,$S54+MOD(2-WEEKDAY($S54),7))+13),1,IF(N($W54)&gt;0,MIN(1,SUMIFS($AE$5:$AE$1000,$U$5:$U$1000,ROW(),$V$5:$V$1000,"Sub")),$AA54)))</f>
        <v/>
      </c>
      <c r="AJ54" s="62">
        <f>IF($V54="","",IF(AND(ISNUMBER($G54),$G54&lt;=IF($S54=MesCiclo,InicioCiclo,$S54+MOD(2-WEEKDAY($S54),7))+20),1,IF(N($W54)&gt;0,MIN(1,SUMIFS($AF$5:$AF$1000,$U$5:$U$1000,ROW(),$V$5:$V$1000,"Sub")),$AB54)))</f>
        <v/>
      </c>
      <c r="AK54" s="62">
        <f>IF($V54="","",IF(AND(ISNUMBER($G54),$G54&lt;=IF($S54=MesCiclo,InicioCiclo,$S54+MOD(2-WEEKDAY($S54),7))+27),1,IF(N($W54)&gt;0,MIN(1,SUMIFS($AG$5:$AG$1000,$U$5:$U$1000,ROW(),$V$5:$V$1000,"Sub")),$AC54)))</f>
        <v/>
      </c>
      <c r="AL54" s="62">
        <f>IF($V54&lt;&gt;"Macro","",IF(COUNTIFS($S$5:$S$1000,$S54,$V$5:$V$1000,"Macro",$H$5:$H$1000,"&gt;0")=0,1/COUNTIFS($S$5:$S$1000,$S54,$V$5:$V$1000,"Macro"),IF(AND(ISNUMBER($H54),N($H54)&gt;0),$H54,SUMIFS($H$5:$H$1000,$S$5:$S$1000,$S54,$V$5:$V$1000,"Macro")/COUNTIFS($S$5:$S$1000,$S54,$V$5:$V$1000,"Macro",$H$5:$H$1000,"&gt;0"))/(COUNTIFS($S$5:$S$1000,$S54,$V$5:$V$1000,"Macro")*SUMIFS($H$5:$H$1000,$S$5:$S$1000,$S54,$V$5:$V$1000,"Macro")/COUNTIFS($S$5:$S$1000,$S54,$V$5:$V$1000,"Macro",$H$5:$H$1000,"&gt;0"))))</f>
        <v/>
      </c>
      <c r="AM54" s="62" t="n"/>
      <c r="AN54" s="62" t="n"/>
      <c r="AO54" s="62" t="n"/>
      <c r="AP54" s="62" t="n"/>
      <c r="AQ54" s="62">
        <f>IF(LEFT($C54,11)="[Jefatura] ",IFERROR(MATCH("Asistente Técnico de Riesgo|"&amp;MID($C54,12,500),rDname_ADM,0),0),"")</f>
        <v/>
      </c>
      <c r="AR54" s="62">
        <f>IF(N($AQ54)&gt;0,INDEX(rIni_ADM,$AQ54),IF(ISNUMBER($E54),$E54,""))</f>
        <v/>
      </c>
      <c r="AS54" s="62">
        <f>IF(N($AQ54)&gt;0,INDEX(rLim_ADM,$AQ54),IF(ISNUMBER($F54),$F54,""))</f>
        <v/>
      </c>
    </row>
    <row r="55">
      <c r="A55" s="56">
        <f>IF(NOT((COUNTA($B55:$D55)+COUNTA($G55:$H55)+COUNTA($Q55))&gt;0),"",IF($V55="Macro",COUNTIFS($V$5:$V55,"Macro",$S$5:$S55,$S55),IF(N($U55)=0,"?",COUNTIFS(INDEX($V$5:$V$1000,1):INDEX($V$5:$V$1000,$U55-4),"Macro",INDEX($S$5:$S$1000,1):INDEX($S$5:$S$1000,$U55-4),INDEX($S$5:$S$1000,$U55-4))&amp;"."&amp;COUNTIFS($U$5:$U55,$U55,$V$5:$V55,"Sub"))))</f>
        <v/>
      </c>
      <c r="B55" s="57" t="n"/>
      <c r="C55" s="58" t="n"/>
      <c r="D55" s="58" t="n"/>
      <c r="E55" s="59">
        <f>IF(N($AQ55)&gt;0,INDEX(rIni_ADM,$AQ55),"")</f>
        <v/>
      </c>
      <c r="F55" s="59">
        <f>IF(N($AQ55)&gt;0,INDEX(rLim_ADM,$AQ55),"")</f>
        <v/>
      </c>
      <c r="G55" s="59" t="n"/>
      <c r="H55" s="60" t="n"/>
      <c r="I55" s="60">
        <f>IF(N($W55)=0,"",IF(AND($S55=MesCiclo,1&gt;SemanaActual),"",MIN(1,SUMIFS(OFFSET($A$1,ROW(),29,1000-ROW(),1),OFFSET($A$1,ROW(),20,1000-ROW(),1),ROW(),OFFSET($A$1,ROW(),21,1000-ROW(),1),"Sub"))))</f>
        <v/>
      </c>
      <c r="J55" s="60">
        <f>IF(N($W55)=0,"",IF(AND($S55=MesCiclo,2&gt;SemanaActual),"",MIN(1,SUMIFS(OFFSET($A$1,ROW(),30,1000-ROW(),1),OFFSET($A$1,ROW(),20,1000-ROW(),1),ROW(),OFFSET($A$1,ROW(),21,1000-ROW(),1),"Sub"))))</f>
        <v/>
      </c>
      <c r="K55" s="60">
        <f>IF(N($W55)=0,"",IF(AND($S55=MesCiclo,3&gt;SemanaActual),"",MIN(1,SUMIFS(OFFSET($A$1,ROW(),31,1000-ROW(),1),OFFSET($A$1,ROW(),20,1000-ROW(),1),ROW(),OFFSET($A$1,ROW(),21,1000-ROW(),1),"Sub"))))</f>
        <v/>
      </c>
      <c r="L55" s="60">
        <f>IF(N($W55)=0,"",IF(AND($S55=MesCiclo,4&gt;SemanaActual),"",MIN(1,SUMIFS(OFFSET($A$1,ROW(),32,1000-ROW(),1),OFFSET($A$1,ROW(),20,1000-ROW(),1),ROW(),OFFSET($A$1,ROW(),21,1000-ROW(),1),"Sub"))))</f>
        <v/>
      </c>
      <c r="M55" s="61">
        <f>IF(OR(NOT((COUNTA($B55:$D55)+COUNTA($G55:$H55)+COUNTA($Q55))&gt;0),$V55="Sub"),"",IF(ISNUMBER($G55),1,IF(N($W55)&gt;0,MIN(1,SUMIFS($Y$5:$Y$1000,$U$5:$U$1000,ROW(),$V$5:$V$1000,"Sub")),$Y55)))</f>
        <v/>
      </c>
      <c r="N55" s="56">
        <f>IF(OR($M55="",$V55="Sub"),"",IF($M55&gt;=1,"Completado",IF($M55&gt;0,"En curso","Pendiente")))</f>
        <v/>
      </c>
      <c r="O55" s="56">
        <f>IF(OR(NOT((COUNTA($B55:$D55)+COUNTA($G55:$H55)+COUNTA($Q55))&gt;0),$V55="Sub"),"",IF(ISNUMBER($G55),IF(AND(ISNUMBER($AS55),$G55&gt;$AS55),"Cumplida con "&amp;($G55-$AS55)&amp;IF($G55-$AS55=1," día"," días")&amp;" de retraso","Cumplida"),IF(N($M55)&gt;=1,"Cumplida",IF(NOT(ISNUMBER($AS55)),"Sin fecha límite",IF($AS55&lt;FechaRef,"Vencida hace "&amp;(FechaRef-$AS55)&amp;IF(FechaRef-$AS55=1," día"," días"),IF($AS55=FechaRef,"Vence hoy",IF($AS55-FechaRef&lt;=DiasAlerta,"Vence en "&amp;($AS55-FechaRef)&amp;IF($AS55-FechaRef=1," día"," días"),"En plazo")))))))</f>
        <v/>
      </c>
      <c r="P55" s="62" t="n"/>
      <c r="Q55" s="58" t="n"/>
      <c r="R55" s="63">
        <f>IF(NOT((COUNTA($B55:$D55)+COUNTA($G55:$H55)+COUNTA($Q55))&gt;0),"",IF((IF($C55="","Falta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 OK","⚠ "&amp;LEFT(IF($C55="","Falta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",""),LEN(IF($C55="","Falta el nombre de la actividad"&amp;" · ","")&amp;IF(AND($V55="Sub",N($U55)=0),"Subactividad sin macroactividad arriba"&amp;" · ","")&amp;IF(AND($V55="Macro",$AR55=""),"Sin fecha de inicio"&amp;" · ","")&amp;IF(AND($V55="Macro",$AS55=""),"Sin fecha límite"&amp;" · ","")&amp;IF(AND(LEFT($C55,11)="[Jefatura] ",N($AQ55)=0),"No se encuentra en la hoja de la jefatura (elíjala de nuevo en la lista)"&amp;" · ","")&amp;IF(OR(AND($E55&lt;&gt;"",NOT(ISNUMBER($E55))),AND($F55&lt;&gt;"",NOT(ISNUMBER($F55))),AND($G55&lt;&gt;"",NOT(ISNUMBER($G55)))),"Fecha no válida"&amp;" · ","")&amp;IF(AND(ISNUMBER($AR55),ISNUMBER($AS55),$AR55&gt;$AS55),"Inicio posterior a fecha límite"&amp;" · ","")&amp;IF(AND($V55="Macro",$H55&lt;&gt;"",OR(NOT(ISNUMBER($H55)),$H55&lt;0,$H55&gt;1)),"Peso fuera de rango"&amp;" · ","")&amp;IF(AND($V55="Sub",$H55&lt;&gt;"",OR(NOT(ISNUMBER($H55)),$H55&lt;0,$H55&gt;1)),"% de la subactividad fuera de rango 0-100%"&amp;" · ","")&amp;IF(AND(N($W55)&gt;0,SUMIFS($H$5:$H$1000,$U$5:$U$1000,ROW(),$V$5:$V$1000,"Sub")&gt;1.0001),"Las subactividades suman más de 100%"&amp;" · ","")&amp;IF(AND(N($W55)&gt;0,OR(IF(ISNUMBER($I55),ROUND($I55,6)&lt;&gt;ROUND(MIN(1,SUMIFS($AD$5:$AD$1000,$U$5:$U$1000,ROW(),$V$5:$V$1000,"Sub")),6),FALSE),IF(ISNUMBER($J55),ROUND($J55,6)&lt;&gt;ROUND(MIN(1,SUMIFS($AE$5:$AE$1000,$U$5:$U$1000,ROW(),$V$5:$V$1000,"Sub")),6),FALSE),IF(ISNUMBER($K55),ROUND($K55,6)&lt;&gt;ROUND(MIN(1,SUMIFS($AF$5:$AF$1000,$U$5:$U$1000,ROW(),$V$5:$V$1000,"Sub")),6),FALSE),IF(ISNUMBER($L55),ROUND($L55,6)&lt;&gt;ROUND(MIN(1,SUMIFS($AG$5:$AG$1000,$U$5:$U$1000,ROW(),$V$5:$V$1000,"Sub")),6),FALSE))),"Con subactividades: no escriba en las semanas (se llenan solas)"&amp;" · ","")&amp;IF((COUNTIF($I55:$L55,"&gt;1")+COUNTIF($I55:$L55,"&lt;0")+SUMPRODUCT((LEN($I55:$L55)&gt;0)*NOT(ISNUMBER($I55:$L55))))&gt;0,"Avance fuera de rango 0-100%"&amp;" · ","")&amp;IF(OR(AND(ISNUMBER($J55),$J55&lt;N($I55)),AND(ISNUMBER($K55),$K55&lt;MAX($I55:$J55)),AND(ISNUMBER($L55),$L55&lt;MAX($I55:$K55))),"Avance semanal decreciente"&amp;" · ","")&amp;IF(AND(ISNUMBER($AS55),$AS55&lt;FechaRef,IF($V55="Sub",1,N($M55))&lt;1),"Vencida"&amp;" · ","")&amp;IF(AND(ObsObligatoria="Sí",ISNUMBER($AS55),$AS55&lt;FechaRef,IF($V55="Sub",1,N($M55))&lt;1,$Q55=""),"Vencida sin observación"&amp;" · ",""))-3)))</f>
        <v/>
      </c>
      <c r="S55" s="64">
        <f>IF(NOT((COUNTA($B55:$D55)+COUNTA($G55:$H55)+COUNTA($Q55))&gt;0),"",IF(AND($V55="Sub",N($U55)&gt;0),IF(ISNUMBER(INDEX($AR$5:$AR$1000,$U55-4)),DATE(YEAR(INDEX($AR$5:$AR$1000,$U55-4)),MONTH(INDEX($AR$5:$AR$1000,$U55-4)),1),IF(ISNUMBER(INDEX($AS$5:$AS$1000,$U55-4)),DATE(YEAR(INDEX($AS$5:$AS$1000,$U55-4)),MONTH(INDEX($AS$5:$AS$1000,$U55-4)),1),MesCiclo)),IF(ISNUMBER($AR55),DATE(YEAR($AR55),MONTH($AR55),1),IF(ISNUMBER($AS55),DATE(YEAR($AS55),MONTH($AS55),1),MesCiclo))))</f>
        <v/>
      </c>
      <c r="T55" s="62">
        <f>IF(OR($S55="",$S55&lt;&gt;MesCiclo,$V55&lt;&gt;"Macro"),"",COUNTIFS($S$5:$S55,MesCiclo,$V$5:$V55,"Macro"))</f>
        <v/>
      </c>
      <c r="U55" s="62">
        <f>IF($V55="","",IF($V55="Macro",ROW(),IFERROR(LOOKUP(2,1/($V$5:$V55="Macro"),ROW($V$5:$V55)),0)))</f>
        <v/>
      </c>
      <c r="V55" s="62">
        <f>IF(NOT((COUNTA($B55:$D55)+COUNTA($G55:$H55)+COUNTA($Q55))&gt;0),"",IF($B55="Subactividad","Sub","Macro"))</f>
        <v/>
      </c>
      <c r="W55" s="62">
        <f>IF($V55="Macro",COUNTIFS($U$5:$U$1000,ROW(),$V$5:$V$1000,"Sub"),"")</f>
        <v/>
      </c>
      <c r="X55" s="62">
        <f>IF($V55&lt;&gt;"Sub","",IF(AND(ISNUMBER($H55),N($H55)&gt;0),$H55,IFERROR(MAX(0,1-SUMIFS($H$5:$H$1000,$U$5:$U$1000,$U55,$V$5:$V$1000,"Sub"))/(COUNTIFS($U$5:$U$1000,$U55,$V$5:$V$1000,"Sub")-COUNTIFS($U$5:$U$1000,$U55,$V$5:$V$1000,"Sub",$H$5:$H$1000,"&gt;0")),0)))</f>
        <v/>
      </c>
      <c r="Y55" s="62">
        <f>IF($V55="","",IF($V55="Sub",N($X55)*IF(ISNUMBER($G55),1,MIN(1,MAX(0,IFERROR(LOOKUP(2,1/ISNUMBER($I55:$L55),$I55:$L55),0)))),IF(ISNUMBER($G55),1,IFERROR(LOOKUP(2,1/($I55:$L55&lt;&gt;""),$I55:$L55),0))))</f>
        <v/>
      </c>
      <c r="Z55" s="62">
        <f>IF($V55="","",IF(AND(ISNUMBER($G55),$G55&lt;=IF($S55=MesCiclo,InicioCiclo,$S55+MOD(2-WEEKDAY($S55),7))+6),1,IF(ISNUMBER($I55),$I55,0)))</f>
        <v/>
      </c>
      <c r="AA55" s="62">
        <f>IF($V55="","",IF(AND(ISNUMBER($G55),$G55&lt;=IF($S55=MesCiclo,InicioCiclo,$S55+MOD(2-WEEKDAY($S55),7))+13),1,IF(ISNUMBER($J55),$J55,$Z55)))</f>
        <v/>
      </c>
      <c r="AB55" s="62">
        <f>IF($V55="","",IF(AND(ISNUMBER($G55),$G55&lt;=IF($S55=MesCiclo,InicioCiclo,$S55+MOD(2-WEEKDAY($S55),7))+20),1,IF(ISNUMBER($K55),$K55,$AA55)))</f>
        <v/>
      </c>
      <c r="AC55" s="62">
        <f>IF($V55="","",IF(AND(ISNUMBER($G55),$G55&lt;=IF($S55=MesCiclo,InicioCiclo,$S55+MOD(2-WEEKDAY($S55),7))+27),1,IF(ISNUMBER($L55),$L55,$AB55)))</f>
        <v/>
      </c>
      <c r="AD55" s="62">
        <f>IF($V55&lt;&gt;"Sub","",N($X55)*IF(AND(ISNUMBER($G55),$G55&lt;=IF($S55=MesCiclo,InicioCiclo,$S55+MOD(2-WEEKDAY($S55),7))+6),1,MIN(1,MAX(0,IF(ISNUMBER(OFFSET($A$1,ROW()-1,8)),OFFSET($A$1,ROW()-1,8),0)))))</f>
        <v/>
      </c>
      <c r="AE55" s="62">
        <f>IF($V55&lt;&gt;"Sub","",N($X55)*IF(AND(ISNUMBER($G55),$G55&lt;=IF($S55=MesCiclo,InicioCiclo,$S55+MOD(2-WEEKDAY($S55),7))+13),1,MIN(1,MAX(0,IF(ISNUMBER(OFFSET($A$1,ROW()-1,9)),OFFSET($A$1,ROW()-1,9),IF(ISNUMBER(OFFSET($A$1,ROW()-1,8)),OFFSET($A$1,ROW()-1,8),0))))))</f>
        <v/>
      </c>
      <c r="AF55" s="62">
        <f>IF($V55&lt;&gt;"Sub","",N($X55)*IF(AND(ISNUMBER($G55),$G55&lt;=IF($S55=MesCiclo,InicioCiclo,$S55+MOD(2-WEEKDAY($S55),7))+20),1,MIN(1,MAX(0,IF(ISNUMBER(OFFSET($A$1,ROW()-1,10)),OFFSET($A$1,ROW()-1,10),IF(ISNUMBER(OFFSET($A$1,ROW()-1,9)),OFFSET($A$1,ROW()-1,9),IF(ISNUMBER(OFFSET($A$1,ROW()-1,8)),OFFSET($A$1,ROW()-1,8),0)))))))</f>
        <v/>
      </c>
      <c r="AG55" s="62">
        <f>IF($V55&lt;&gt;"Sub","",N($X55)*IF(AND(ISNUMBER($G55),$G55&lt;=IF($S55=MesCiclo,InicioCiclo,$S55+MOD(2-WEEKDAY($S55),7))+27),1,MIN(1,MAX(0,IF(ISNUMBER(OFFSET($A$1,ROW()-1,11)),OFFSET($A$1,ROW()-1,11),IF(ISNUMBER(OFFSET($A$1,ROW()-1,10)),OFFSET($A$1,ROW()-1,10),IF(ISNUMBER(OFFSET($A$1,ROW()-1,9)),OFFSET($A$1,ROW()-1,9),IF(ISNUMBER(OFFSET($A$1,ROW()-1,8)),OFFSET($A$1,ROW()-1,8),0))))))))</f>
        <v/>
      </c>
      <c r="AH55" s="62">
        <f>IF($V55="","",IF(AND(ISNUMBER($G55),$G55&lt;=IF($S55=MesCiclo,InicioCiclo,$S55+MOD(2-WEEKDAY($S55),7))+6),1,IF(N($W55)&gt;0,MIN(1,SUMIFS($AD$5:$AD$1000,$U$5:$U$1000,ROW(),$V$5:$V$1000,"Sub")),$Z55)))</f>
        <v/>
      </c>
      <c r="AI55" s="62">
        <f>IF($V55="","",IF(AND(ISNUMBER($G55),$G55&lt;=IF($S55=MesCiclo,InicioCiclo,$S55+MOD(2-WEEKDAY($S55),7))+13),1,IF(N($W55)&gt;0,MIN(1,SUMIFS($AE$5:$AE$1000,$U$5:$U$1000,ROW(),$V$5:$V$1000,"Sub")),$AA55)))</f>
        <v/>
      </c>
      <c r="AJ55" s="62">
        <f>IF($V55="","",IF(AND(ISNUMBER($G55),$G55&lt;=IF($S55=MesCiclo,InicioCiclo,$S55+MOD(2-WEEKDAY($S55),7))+20),1,IF(N($W55)&gt;0,MIN(1,SUMIFS($AF$5:$AF$1000,$U$5:$U$1000,ROW(),$V$5:$V$1000,"Sub")),$AB55)))</f>
        <v/>
      </c>
      <c r="AK55" s="62">
        <f>IF($V55="","",IF(AND(ISNUMBER($G55),$G55&lt;=IF($S55=MesCiclo,InicioCiclo,$S55+MOD(2-WEEKDAY($S55),7))+27),1,IF(N($W55)&gt;0,MIN(1,SUMIFS($AG$5:$AG$1000,$U$5:$U$1000,ROW(),$V$5:$V$1000,"Sub")),$AC55)))</f>
        <v/>
      </c>
      <c r="AL55" s="62">
        <f>IF($V55&lt;&gt;"Macro","",IF(COUNTIFS($S$5:$S$1000,$S55,$V$5:$V$1000,"Macro",$H$5:$H$1000,"&gt;0")=0,1/COUNTIFS($S$5:$S$1000,$S55,$V$5:$V$1000,"Macro"),IF(AND(ISNUMBER($H55),N($H55)&gt;0),$H55,SUMIFS($H$5:$H$1000,$S$5:$S$1000,$S55,$V$5:$V$1000,"Macro")/COUNTIFS($S$5:$S$1000,$S55,$V$5:$V$1000,"Macro",$H$5:$H$1000,"&gt;0"))/(COUNTIFS($S$5:$S$1000,$S55,$V$5:$V$1000,"Macro")*SUMIFS($H$5:$H$1000,$S$5:$S$1000,$S55,$V$5:$V$1000,"Macro")/COUNTIFS($S$5:$S$1000,$S55,$V$5:$V$1000,"Macro",$H$5:$H$1000,"&gt;0"))))</f>
        <v/>
      </c>
      <c r="AM55" s="62" t="n"/>
      <c r="AN55" s="62" t="n"/>
      <c r="AO55" s="62" t="n"/>
      <c r="AP55" s="62" t="n"/>
      <c r="AQ55" s="62">
        <f>IF(LEFT($C55,11)="[Jefatura] ",IFERROR(MATCH("Asistente Técnico de Riesgo|"&amp;MID($C55,12,500),rDname_ADM,0),0),"")</f>
        <v/>
      </c>
      <c r="AR55" s="62">
        <f>IF(N($AQ55)&gt;0,INDEX(rIni_ADM,$AQ55),IF(ISNUMBER($E55),$E55,""))</f>
        <v/>
      </c>
      <c r="AS55" s="62">
        <f>IF(N($AQ55)&gt;0,INDEX(rLim_ADM,$AQ55),IF(ISNUMBER($F55),$F55,""))</f>
        <v/>
      </c>
    </row>
    <row r="56">
      <c r="A56" s="56">
        <f>IF(NOT((COUNTA($B56:$D56)+COUNTA($G56:$H56)+COUNTA($Q56))&gt;0),"",IF($V56="Macro",COUNTIFS($V$5:$V56,"Macro",$S$5:$S56,$S56),IF(N($U56)=0,"?",COUNTIFS(INDEX($V$5:$V$1000,1):INDEX($V$5:$V$1000,$U56-4),"Macro",INDEX($S$5:$S$1000,1):INDEX($S$5:$S$1000,$U56-4),INDEX($S$5:$S$1000,$U56-4))&amp;"."&amp;COUNTIFS($U$5:$U56,$U56,$V$5:$V56,"Sub"))))</f>
        <v/>
      </c>
      <c r="B56" s="57" t="n"/>
      <c r="C56" s="58" t="n"/>
      <c r="D56" s="58" t="n"/>
      <c r="E56" s="59">
        <f>IF(N($AQ56)&gt;0,INDEX(rIni_ADM,$AQ56),"")</f>
        <v/>
      </c>
      <c r="F56" s="59">
        <f>IF(N($AQ56)&gt;0,INDEX(rLim_ADM,$AQ56),"")</f>
        <v/>
      </c>
      <c r="G56" s="59" t="n"/>
      <c r="H56" s="60" t="n"/>
      <c r="I56" s="60">
        <f>IF(N($W56)=0,"",IF(AND($S56=MesCiclo,1&gt;SemanaActual),"",MIN(1,SUMIFS(OFFSET($A$1,ROW(),29,1000-ROW(),1),OFFSET($A$1,ROW(),20,1000-ROW(),1),ROW(),OFFSET($A$1,ROW(),21,1000-ROW(),1),"Sub"))))</f>
        <v/>
      </c>
      <c r="J56" s="60">
        <f>IF(N($W56)=0,"",IF(AND($S56=MesCiclo,2&gt;SemanaActual),"",MIN(1,SUMIFS(OFFSET($A$1,ROW(),30,1000-ROW(),1),OFFSET($A$1,ROW(),20,1000-ROW(),1),ROW(),OFFSET($A$1,ROW(),21,1000-ROW(),1),"Sub"))))</f>
        <v/>
      </c>
      <c r="K56" s="60">
        <f>IF(N($W56)=0,"",IF(AND($S56=MesCiclo,3&gt;SemanaActual),"",MIN(1,SUMIFS(OFFSET($A$1,ROW(),31,1000-ROW(),1),OFFSET($A$1,ROW(),20,1000-ROW(),1),ROW(),OFFSET($A$1,ROW(),21,1000-ROW(),1),"Sub"))))</f>
        <v/>
      </c>
      <c r="L56" s="60">
        <f>IF(N($W56)=0,"",IF(AND($S56=MesCiclo,4&gt;SemanaActual),"",MIN(1,SUMIFS(OFFSET($A$1,ROW(),32,1000-ROW(),1),OFFSET($A$1,ROW(),20,1000-ROW(),1),ROW(),OFFSET($A$1,ROW(),21,1000-ROW(),1),"Sub"))))</f>
        <v/>
      </c>
      <c r="M56" s="61">
        <f>IF(OR(NOT((COUNTA($B56:$D56)+COUNTA($G56:$H56)+COUNTA($Q56))&gt;0),$V56="Sub"),"",IF(ISNUMBER($G56),1,IF(N($W56)&gt;0,MIN(1,SUMIFS($Y$5:$Y$1000,$U$5:$U$1000,ROW(),$V$5:$V$1000,"Sub")),$Y56)))</f>
        <v/>
      </c>
      <c r="N56" s="56">
        <f>IF(OR($M56="",$V56="Sub"),"",IF($M56&gt;=1,"Completado",IF($M56&gt;0,"En curso","Pendiente")))</f>
        <v/>
      </c>
      <c r="O56" s="56">
        <f>IF(OR(NOT((COUNTA($B56:$D56)+COUNTA($G56:$H56)+COUNTA($Q56))&gt;0),$V56="Sub"),"",IF(ISNUMBER($G56),IF(AND(ISNUMBER($AS56),$G56&gt;$AS56),"Cumplida con "&amp;($G56-$AS56)&amp;IF($G56-$AS56=1," día"," días")&amp;" de retraso","Cumplida"),IF(N($M56)&gt;=1,"Cumplida",IF(NOT(ISNUMBER($AS56)),"Sin fecha límite",IF($AS56&lt;FechaRef,"Vencida hace "&amp;(FechaRef-$AS56)&amp;IF(FechaRef-$AS56=1," día"," días"),IF($AS56=FechaRef,"Vence hoy",IF($AS56-FechaRef&lt;=DiasAlerta,"Vence en "&amp;($AS56-FechaRef)&amp;IF($AS56-FechaRef=1," día"," días"),"En plazo")))))))</f>
        <v/>
      </c>
      <c r="P56" s="62" t="n"/>
      <c r="Q56" s="58" t="n"/>
      <c r="R56" s="63">
        <f>IF(NOT((COUNTA($B56:$D56)+COUNTA($G56:$H56)+COUNTA($Q56))&gt;0),"",IF((IF($C56="","Falta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 OK","⚠ "&amp;LEFT(IF($C56="","Falta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",""),LEN(IF($C56="","Falta el nombre de la actividad"&amp;" · ","")&amp;IF(AND($V56="Sub",N($U56)=0),"Subactividad sin macroactividad arriba"&amp;" · ","")&amp;IF(AND($V56="Macro",$AR56=""),"Sin fecha de inicio"&amp;" · ","")&amp;IF(AND($V56="Macro",$AS56=""),"Sin fecha límite"&amp;" · ","")&amp;IF(AND(LEFT($C56,11)="[Jefatura] ",N($AQ56)=0),"No se encuentra en la hoja de la jefatura (elíjala de nuevo en la lista)"&amp;" · ","")&amp;IF(OR(AND($E56&lt;&gt;"",NOT(ISNUMBER($E56))),AND($F56&lt;&gt;"",NOT(ISNUMBER($F56))),AND($G56&lt;&gt;"",NOT(ISNUMBER($G56)))),"Fecha no válida"&amp;" · ","")&amp;IF(AND(ISNUMBER($AR56),ISNUMBER($AS56),$AR56&gt;$AS56),"Inicio posterior a fecha límite"&amp;" · ","")&amp;IF(AND($V56="Macro",$H56&lt;&gt;"",OR(NOT(ISNUMBER($H56)),$H56&lt;0,$H56&gt;1)),"Peso fuera de rango"&amp;" · ","")&amp;IF(AND($V56="Sub",$H56&lt;&gt;"",OR(NOT(ISNUMBER($H56)),$H56&lt;0,$H56&gt;1)),"% de la subactividad fuera de rango 0-100%"&amp;" · ","")&amp;IF(AND(N($W56)&gt;0,SUMIFS($H$5:$H$1000,$U$5:$U$1000,ROW(),$V$5:$V$1000,"Sub")&gt;1.0001),"Las subactividades suman más de 100%"&amp;" · ","")&amp;IF(AND(N($W56)&gt;0,OR(IF(ISNUMBER($I56),ROUND($I56,6)&lt;&gt;ROUND(MIN(1,SUMIFS($AD$5:$AD$1000,$U$5:$U$1000,ROW(),$V$5:$V$1000,"Sub")),6),FALSE),IF(ISNUMBER($J56),ROUND($J56,6)&lt;&gt;ROUND(MIN(1,SUMIFS($AE$5:$AE$1000,$U$5:$U$1000,ROW(),$V$5:$V$1000,"Sub")),6),FALSE),IF(ISNUMBER($K56),ROUND($K56,6)&lt;&gt;ROUND(MIN(1,SUMIFS($AF$5:$AF$1000,$U$5:$U$1000,ROW(),$V$5:$V$1000,"Sub")),6),FALSE),IF(ISNUMBER($L56),ROUND($L56,6)&lt;&gt;ROUND(MIN(1,SUMIFS($AG$5:$AG$1000,$U$5:$U$1000,ROW(),$V$5:$V$1000,"Sub")),6),FALSE))),"Con subactividades: no escriba en las semanas (se llenan solas)"&amp;" · ","")&amp;IF((COUNTIF($I56:$L56,"&gt;1")+COUNTIF($I56:$L56,"&lt;0")+SUMPRODUCT((LEN($I56:$L56)&gt;0)*NOT(ISNUMBER($I56:$L56))))&gt;0,"Avance fuera de rango 0-100%"&amp;" · ","")&amp;IF(OR(AND(ISNUMBER($J56),$J56&lt;N($I56)),AND(ISNUMBER($K56),$K56&lt;MAX($I56:$J56)),AND(ISNUMBER($L56),$L56&lt;MAX($I56:$K56))),"Avance semanal decreciente"&amp;" · ","")&amp;IF(AND(ISNUMBER($AS56),$AS56&lt;FechaRef,IF($V56="Sub",1,N($M56))&lt;1),"Vencida"&amp;" · ","")&amp;IF(AND(ObsObligatoria="Sí",ISNUMBER($AS56),$AS56&lt;FechaRef,IF($V56="Sub",1,N($M56))&lt;1,$Q56=""),"Vencida sin observación"&amp;" · ",""))-3)))</f>
        <v/>
      </c>
      <c r="S56" s="64">
        <f>IF(NOT((COUNTA($B56:$D56)+COUNTA($G56:$H56)+COUNTA($Q56))&gt;0),"",IF(AND($V56="Sub",N($U56)&gt;0),IF(ISNUMBER(INDEX($AR$5:$AR$1000,$U56-4)),DATE(YEAR(INDEX($AR$5:$AR$1000,$U56-4)),MONTH(INDEX($AR$5:$AR$1000,$U56-4)),1),IF(ISNUMBER(INDEX($AS$5:$AS$1000,$U56-4)),DATE(YEAR(INDEX($AS$5:$AS$1000,$U56-4)),MONTH(INDEX($AS$5:$AS$1000,$U56-4)),1),MesCiclo)),IF(ISNUMBER($AR56),DATE(YEAR($AR56),MONTH($AR56),1),IF(ISNUMBER($AS56),DATE(YEAR($AS56),MONTH($AS56),1),MesCiclo))))</f>
        <v/>
      </c>
      <c r="T56" s="62">
        <f>IF(OR($S56="",$S56&lt;&gt;MesCiclo,$V56&lt;&gt;"Macro"),"",COUNTIFS($S$5:$S56,MesCiclo,$V$5:$V56,"Macro"))</f>
        <v/>
      </c>
      <c r="U56" s="62">
        <f>IF($V56="","",IF($V56="Macro",ROW(),IFERROR(LOOKUP(2,1/($V$5:$V56="Macro"),ROW($V$5:$V56)),0)))</f>
        <v/>
      </c>
      <c r="V56" s="62">
        <f>IF(NOT((COUNTA($B56:$D56)+COUNTA($G56:$H56)+COUNTA($Q56))&gt;0),"",IF($B56="Subactividad","Sub","Macro"))</f>
        <v/>
      </c>
      <c r="W56" s="62">
        <f>IF($V56="Macro",COUNTIFS($U$5:$U$1000,ROW(),$V$5:$V$1000,"Sub"),"")</f>
        <v/>
      </c>
      <c r="X56" s="62">
        <f>IF($V56&lt;&gt;"Sub","",IF(AND(ISNUMBER($H56),N($H56)&gt;0),$H56,IFERROR(MAX(0,1-SUMIFS($H$5:$H$1000,$U$5:$U$1000,$U56,$V$5:$V$1000,"Sub"))/(COUNTIFS($U$5:$U$1000,$U56,$V$5:$V$1000,"Sub")-COUNTIFS($U$5:$U$1000,$U56,$V$5:$V$1000,"Sub",$H$5:$H$1000,"&gt;0")),0)))</f>
        <v/>
      </c>
      <c r="Y56" s="62">
        <f>IF($V56="","",IF($V56="Sub",N($X56)*IF(ISNUMBER($G56),1,MIN(1,MAX(0,IFERROR(LOOKUP(2,1/ISNUMBER($I56:$L56),$I56:$L56),0)))),IF(ISNUMBER($G56),1,IFERROR(LOOKUP(2,1/($I56:$L56&lt;&gt;""),$I56:$L56),0))))</f>
        <v/>
      </c>
      <c r="Z56" s="62">
        <f>IF($V56="","",IF(AND(ISNUMBER($G56),$G56&lt;=IF($S56=MesCiclo,InicioCiclo,$S56+MOD(2-WEEKDAY($S56),7))+6),1,IF(ISNUMBER($I56),$I56,0)))</f>
        <v/>
      </c>
      <c r="AA56" s="62">
        <f>IF($V56="","",IF(AND(ISNUMBER($G56),$G56&lt;=IF($S56=MesCiclo,InicioCiclo,$S56+MOD(2-WEEKDAY($S56),7))+13),1,IF(ISNUMBER($J56),$J56,$Z56)))</f>
        <v/>
      </c>
      <c r="AB56" s="62">
        <f>IF($V56="","",IF(AND(ISNUMBER($G56),$G56&lt;=IF($S56=MesCiclo,InicioCiclo,$S56+MOD(2-WEEKDAY($S56),7))+20),1,IF(ISNUMBER($K56),$K56,$AA56)))</f>
        <v/>
      </c>
      <c r="AC56" s="62">
        <f>IF($V56="","",IF(AND(ISNUMBER($G56),$G56&lt;=IF($S56=MesCiclo,InicioCiclo,$S56+MOD(2-WEEKDAY($S56),7))+27),1,IF(ISNUMBER($L56),$L56,$AB56)))</f>
        <v/>
      </c>
      <c r="AD56" s="62">
        <f>IF($V56&lt;&gt;"Sub","",N($X56)*IF(AND(ISNUMBER($G56),$G56&lt;=IF($S56=MesCiclo,InicioCiclo,$S56+MOD(2-WEEKDAY($S56),7))+6),1,MIN(1,MAX(0,IF(ISNUMBER(OFFSET($A$1,ROW()-1,8)),OFFSET($A$1,ROW()-1,8),0)))))</f>
        <v/>
      </c>
      <c r="AE56" s="62">
        <f>IF($V56&lt;&gt;"Sub","",N($X56)*IF(AND(ISNUMBER($G56),$G56&lt;=IF($S56=MesCiclo,InicioCiclo,$S56+MOD(2-WEEKDAY($S56),7))+13),1,MIN(1,MAX(0,IF(ISNUMBER(OFFSET($A$1,ROW()-1,9)),OFFSET($A$1,ROW()-1,9),IF(ISNUMBER(OFFSET($A$1,ROW()-1,8)),OFFSET($A$1,ROW()-1,8),0))))))</f>
        <v/>
      </c>
      <c r="AF56" s="62">
        <f>IF($V56&lt;&gt;"Sub","",N($X56)*IF(AND(ISNUMBER($G56),$G56&lt;=IF($S56=MesCiclo,InicioCiclo,$S56+MOD(2-WEEKDAY($S56),7))+20),1,MIN(1,MAX(0,IF(ISNUMBER(OFFSET($A$1,ROW()-1,10)),OFFSET($A$1,ROW()-1,10),IF(ISNUMBER(OFFSET($A$1,ROW()-1,9)),OFFSET($A$1,ROW()-1,9),IF(ISNUMBER(OFFSET($A$1,ROW()-1,8)),OFFSET($A$1,ROW()-1,8),0)))))))</f>
        <v/>
      </c>
      <c r="AG56" s="62">
        <f>IF($V56&lt;&gt;"Sub","",N($X56)*IF(AND(ISNUMBER($G56),$G56&lt;=IF($S56=MesCiclo,InicioCiclo,$S56+MOD(2-WEEKDAY($S56),7))+27),1,MIN(1,MAX(0,IF(ISNUMBER(OFFSET($A$1,ROW()-1,11)),OFFSET($A$1,ROW()-1,11),IF(ISNUMBER(OFFSET($A$1,ROW()-1,10)),OFFSET($A$1,ROW()-1,10),IF(ISNUMBER(OFFSET($A$1,ROW()-1,9)),OFFSET($A$1,ROW()-1,9),IF(ISNUMBER(OFFSET($A$1,ROW()-1,8)),OFFSET($A$1,ROW()-1,8),0))))))))</f>
        <v/>
      </c>
      <c r="AH56" s="62">
        <f>IF($V56="","",IF(AND(ISNUMBER($G56),$G56&lt;=IF($S56=MesCiclo,InicioCiclo,$S56+MOD(2-WEEKDAY($S56),7))+6),1,IF(N($W56)&gt;0,MIN(1,SUMIFS($AD$5:$AD$1000,$U$5:$U$1000,ROW(),$V$5:$V$1000,"Sub")),$Z56)))</f>
        <v/>
      </c>
      <c r="AI56" s="62">
        <f>IF($V56="","",IF(AND(ISNUMBER($G56),$G56&lt;=IF($S56=MesCiclo,InicioCiclo,$S56+MOD(2-WEEKDAY($S56),7))+13),1,IF(N($W56)&gt;0,MIN(1,SUMIFS($AE$5:$AE$1000,$U$5:$U$1000,ROW(),$V$5:$V$1000,"Sub")),$AA56)))</f>
        <v/>
      </c>
      <c r="AJ56" s="62">
        <f>IF($V56="","",IF(AND(ISNUMBER($G56),$G56&lt;=IF($S56=MesCiclo,InicioCiclo,$S56+MOD(2-WEEKDAY($S56),7))+20),1,IF(N($W56)&gt;0,MIN(1,SUMIFS($AF$5:$AF$1000,$U$5:$U$1000,ROW(),$V$5:$V$1000,"Sub")),$AB56)))</f>
        <v/>
      </c>
      <c r="AK56" s="62">
        <f>IF($V56="","",IF(AND(ISNUMBER($G56),$G56&lt;=IF($S56=MesCiclo,InicioCiclo,$S56+MOD(2-WEEKDAY($S56),7))+27),1,IF(N($W56)&gt;0,MIN(1,SUMIFS($AG$5:$AG$1000,$U$5:$U$1000,ROW(),$V$5:$V$1000,"Sub")),$AC56)))</f>
        <v/>
      </c>
      <c r="AL56" s="62">
        <f>IF($V56&lt;&gt;"Macro","",IF(COUNTIFS($S$5:$S$1000,$S56,$V$5:$V$1000,"Macro",$H$5:$H$1000,"&gt;0")=0,1/COUNTIFS($S$5:$S$1000,$S56,$V$5:$V$1000,"Macro"),IF(AND(ISNUMBER($H56),N($H56)&gt;0),$H56,SUMIFS($H$5:$H$1000,$S$5:$S$1000,$S56,$V$5:$V$1000,"Macro")/COUNTIFS($S$5:$S$1000,$S56,$V$5:$V$1000,"Macro",$H$5:$H$1000,"&gt;0"))/(COUNTIFS($S$5:$S$1000,$S56,$V$5:$V$1000,"Macro")*SUMIFS($H$5:$H$1000,$S$5:$S$1000,$S56,$V$5:$V$1000,"Macro")/COUNTIFS($S$5:$S$1000,$S56,$V$5:$V$1000,"Macro",$H$5:$H$1000,"&gt;0"))))</f>
        <v/>
      </c>
      <c r="AM56" s="62" t="n"/>
      <c r="AN56" s="62" t="n"/>
      <c r="AO56" s="62" t="n"/>
      <c r="AP56" s="62" t="n"/>
      <c r="AQ56" s="62">
        <f>IF(LEFT($C56,11)="[Jefatura] ",IFERROR(MATCH("Asistente Técnico de Riesgo|"&amp;MID($C56,12,500),rDname_ADM,0),0),"")</f>
        <v/>
      </c>
      <c r="AR56" s="62">
        <f>IF(N($AQ56)&gt;0,INDEX(rIni_ADM,$AQ56),IF(ISNUMBER($E56),$E56,""))</f>
        <v/>
      </c>
      <c r="AS56" s="62">
        <f>IF(N($AQ56)&gt;0,INDEX(rLim_ADM,$AQ56),IF(ISNUMBER($F56),$F56,""))</f>
        <v/>
      </c>
    </row>
    <row r="57">
      <c r="A57" s="56">
        <f>IF(NOT((COUNTA($B57:$D57)+COUNTA($G57:$H57)+COUNTA($Q57))&gt;0),"",IF($V57="Macro",COUNTIFS($V$5:$V57,"Macro",$S$5:$S57,$S57),IF(N($U57)=0,"?",COUNTIFS(INDEX($V$5:$V$1000,1):INDEX($V$5:$V$1000,$U57-4),"Macro",INDEX($S$5:$S$1000,1):INDEX($S$5:$S$1000,$U57-4),INDEX($S$5:$S$1000,$U57-4))&amp;"."&amp;COUNTIFS($U$5:$U57,$U57,$V$5:$V57,"Sub"))))</f>
        <v/>
      </c>
      <c r="B57" s="57" t="n"/>
      <c r="C57" s="58" t="n"/>
      <c r="D57" s="58" t="n"/>
      <c r="E57" s="59">
        <f>IF(N($AQ57)&gt;0,INDEX(rIni_ADM,$AQ57),"")</f>
        <v/>
      </c>
      <c r="F57" s="59">
        <f>IF(N($AQ57)&gt;0,INDEX(rLim_ADM,$AQ57),"")</f>
        <v/>
      </c>
      <c r="G57" s="59" t="n"/>
      <c r="H57" s="60" t="n"/>
      <c r="I57" s="60">
        <f>IF(N($W57)=0,"",IF(AND($S57=MesCiclo,1&gt;SemanaActual),"",MIN(1,SUMIFS(OFFSET($A$1,ROW(),29,1000-ROW(),1),OFFSET($A$1,ROW(),20,1000-ROW(),1),ROW(),OFFSET($A$1,ROW(),21,1000-ROW(),1),"Sub"))))</f>
        <v/>
      </c>
      <c r="J57" s="60">
        <f>IF(N($W57)=0,"",IF(AND($S57=MesCiclo,2&gt;SemanaActual),"",MIN(1,SUMIFS(OFFSET($A$1,ROW(),30,1000-ROW(),1),OFFSET($A$1,ROW(),20,1000-ROW(),1),ROW(),OFFSET($A$1,ROW(),21,1000-ROW(),1),"Sub"))))</f>
        <v/>
      </c>
      <c r="K57" s="60">
        <f>IF(N($W57)=0,"",IF(AND($S57=MesCiclo,3&gt;SemanaActual),"",MIN(1,SUMIFS(OFFSET($A$1,ROW(),31,1000-ROW(),1),OFFSET($A$1,ROW(),20,1000-ROW(),1),ROW(),OFFSET($A$1,ROW(),21,1000-ROW(),1),"Sub"))))</f>
        <v/>
      </c>
      <c r="L57" s="60">
        <f>IF(N($W57)=0,"",IF(AND($S57=MesCiclo,4&gt;SemanaActual),"",MIN(1,SUMIFS(OFFSET($A$1,ROW(),32,1000-ROW(),1),OFFSET($A$1,ROW(),20,1000-ROW(),1),ROW(),OFFSET($A$1,ROW(),21,1000-ROW(),1),"Sub"))))</f>
        <v/>
      </c>
      <c r="M57" s="61">
        <f>IF(OR(NOT((COUNTA($B57:$D57)+COUNTA($G57:$H57)+COUNTA($Q57))&gt;0),$V57="Sub"),"",IF(ISNUMBER($G57),1,IF(N($W57)&gt;0,MIN(1,SUMIFS($Y$5:$Y$1000,$U$5:$U$1000,ROW(),$V$5:$V$1000,"Sub")),$Y57)))</f>
        <v/>
      </c>
      <c r="N57" s="56">
        <f>IF(OR($M57="",$V57="Sub"),"",IF($M57&gt;=1,"Completado",IF($M57&gt;0,"En curso","Pendiente")))</f>
        <v/>
      </c>
      <c r="O57" s="56">
        <f>IF(OR(NOT((COUNTA($B57:$D57)+COUNTA($G57:$H57)+COUNTA($Q57))&gt;0),$V57="Sub"),"",IF(ISNUMBER($G57),IF(AND(ISNUMBER($AS57),$G57&gt;$AS57),"Cumplida con "&amp;($G57-$AS57)&amp;IF($G57-$AS57=1," día"," días")&amp;" de retraso","Cumplida"),IF(N($M57)&gt;=1,"Cumplida",IF(NOT(ISNUMBER($AS57)),"Sin fecha límite",IF($AS57&lt;FechaRef,"Vencida hace "&amp;(FechaRef-$AS57)&amp;IF(FechaRef-$AS57=1," día"," días"),IF($AS57=FechaRef,"Vence hoy",IF($AS57-FechaRef&lt;=DiasAlerta,"Vence en "&amp;($AS57-FechaRef)&amp;IF($AS57-FechaRef=1," día"," días"),"En plazo")))))))</f>
        <v/>
      </c>
      <c r="P57" s="62" t="n"/>
      <c r="Q57" s="58" t="n"/>
      <c r="R57" s="63">
        <f>IF(NOT((COUNTA($B57:$D57)+COUNTA($G57:$H57)+COUNTA($Q57))&gt;0),"",IF((IF($C57="","Falta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 OK","⚠ "&amp;LEFT(IF($C57="","Falta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",""),LEN(IF($C57="","Falta el nombre de la actividad"&amp;" · ","")&amp;IF(AND($V57="Sub",N($U57)=0),"Subactividad sin macroactividad arriba"&amp;" · ","")&amp;IF(AND($V57="Macro",$AR57=""),"Sin fecha de inicio"&amp;" · ","")&amp;IF(AND($V57="Macro",$AS57=""),"Sin fecha límite"&amp;" · ","")&amp;IF(AND(LEFT($C57,11)="[Jefatura] ",N($AQ57)=0),"No se encuentra en la hoja de la jefatura (elíjala de nuevo en la lista)"&amp;" · ","")&amp;IF(OR(AND($E57&lt;&gt;"",NOT(ISNUMBER($E57))),AND($F57&lt;&gt;"",NOT(ISNUMBER($F57))),AND($G57&lt;&gt;"",NOT(ISNUMBER($G57)))),"Fecha no válida"&amp;" · ","")&amp;IF(AND(ISNUMBER($AR57),ISNUMBER($AS57),$AR57&gt;$AS57),"Inicio posterior a fecha límite"&amp;" · ","")&amp;IF(AND($V57="Macro",$H57&lt;&gt;"",OR(NOT(ISNUMBER($H57)),$H57&lt;0,$H57&gt;1)),"Peso fuera de rango"&amp;" · ","")&amp;IF(AND($V57="Sub",$H57&lt;&gt;"",OR(NOT(ISNUMBER($H57)),$H57&lt;0,$H57&gt;1)),"% de la subactividad fuera de rango 0-100%"&amp;" · ","")&amp;IF(AND(N($W57)&gt;0,SUMIFS($H$5:$H$1000,$U$5:$U$1000,ROW(),$V$5:$V$1000,"Sub")&gt;1.0001),"Las subactividades suman más de 100%"&amp;" · ","")&amp;IF(AND(N($W57)&gt;0,OR(IF(ISNUMBER($I57),ROUND($I57,6)&lt;&gt;ROUND(MIN(1,SUMIFS($AD$5:$AD$1000,$U$5:$U$1000,ROW(),$V$5:$V$1000,"Sub")),6),FALSE),IF(ISNUMBER($J57),ROUND($J57,6)&lt;&gt;ROUND(MIN(1,SUMIFS($AE$5:$AE$1000,$U$5:$U$1000,ROW(),$V$5:$V$1000,"Sub")),6),FALSE),IF(ISNUMBER($K57),ROUND($K57,6)&lt;&gt;ROUND(MIN(1,SUMIFS($AF$5:$AF$1000,$U$5:$U$1000,ROW(),$V$5:$V$1000,"Sub")),6),FALSE),IF(ISNUMBER($L57),ROUND($L57,6)&lt;&gt;ROUND(MIN(1,SUMIFS($AG$5:$AG$1000,$U$5:$U$1000,ROW(),$V$5:$V$1000,"Sub")),6),FALSE))),"Con subactividades: no escriba en las semanas (se llenan solas)"&amp;" · ","")&amp;IF((COUNTIF($I57:$L57,"&gt;1")+COUNTIF($I57:$L57,"&lt;0")+SUMPRODUCT((LEN($I57:$L57)&gt;0)*NOT(ISNUMBER($I57:$L57))))&gt;0,"Avance fuera de rango 0-100%"&amp;" · ","")&amp;IF(OR(AND(ISNUMBER($J57),$J57&lt;N($I57)),AND(ISNUMBER($K57),$K57&lt;MAX($I57:$J57)),AND(ISNUMBER($L57),$L57&lt;MAX($I57:$K57))),"Avance semanal decreciente"&amp;" · ","")&amp;IF(AND(ISNUMBER($AS57),$AS57&lt;FechaRef,IF($V57="Sub",1,N($M57))&lt;1),"Vencida"&amp;" · ","")&amp;IF(AND(ObsObligatoria="Sí",ISNUMBER($AS57),$AS57&lt;FechaRef,IF($V57="Sub",1,N($M57))&lt;1,$Q57=""),"Vencida sin observación"&amp;" · ",""))-3)))</f>
        <v/>
      </c>
      <c r="S57" s="64">
        <f>IF(NOT((COUNTA($B57:$D57)+COUNTA($G57:$H57)+COUNTA($Q57))&gt;0),"",IF(AND($V57="Sub",N($U57)&gt;0),IF(ISNUMBER(INDEX($AR$5:$AR$1000,$U57-4)),DATE(YEAR(INDEX($AR$5:$AR$1000,$U57-4)),MONTH(INDEX($AR$5:$AR$1000,$U57-4)),1),IF(ISNUMBER(INDEX($AS$5:$AS$1000,$U57-4)),DATE(YEAR(INDEX($AS$5:$AS$1000,$U57-4)),MONTH(INDEX($AS$5:$AS$1000,$U57-4)),1),MesCiclo)),IF(ISNUMBER($AR57),DATE(YEAR($AR57),MONTH($AR57),1),IF(ISNUMBER($AS57),DATE(YEAR($AS57),MONTH($AS57),1),MesCiclo))))</f>
        <v/>
      </c>
      <c r="T57" s="62">
        <f>IF(OR($S57="",$S57&lt;&gt;MesCiclo,$V57&lt;&gt;"Macro"),"",COUNTIFS($S$5:$S57,MesCiclo,$V$5:$V57,"Macro"))</f>
        <v/>
      </c>
      <c r="U57" s="62">
        <f>IF($V57="","",IF($V57="Macro",ROW(),IFERROR(LOOKUP(2,1/($V$5:$V57="Macro"),ROW($V$5:$V57)),0)))</f>
        <v/>
      </c>
      <c r="V57" s="62">
        <f>IF(NOT((COUNTA($B57:$D57)+COUNTA($G57:$H57)+COUNTA($Q57))&gt;0),"",IF($B57="Subactividad","Sub","Macro"))</f>
        <v/>
      </c>
      <c r="W57" s="62">
        <f>IF($V57="Macro",COUNTIFS($U$5:$U$1000,ROW(),$V$5:$V$1000,"Sub"),"")</f>
        <v/>
      </c>
      <c r="X57" s="62">
        <f>IF($V57&lt;&gt;"Sub","",IF(AND(ISNUMBER($H57),N($H57)&gt;0),$H57,IFERROR(MAX(0,1-SUMIFS($H$5:$H$1000,$U$5:$U$1000,$U57,$V$5:$V$1000,"Sub"))/(COUNTIFS($U$5:$U$1000,$U57,$V$5:$V$1000,"Sub")-COUNTIFS($U$5:$U$1000,$U57,$V$5:$V$1000,"Sub",$H$5:$H$1000,"&gt;0")),0)))</f>
        <v/>
      </c>
      <c r="Y57" s="62">
        <f>IF($V57="","",IF($V57="Sub",N($X57)*IF(ISNUMBER($G57),1,MIN(1,MAX(0,IFERROR(LOOKUP(2,1/ISNUMBER($I57:$L57),$I57:$L57),0)))),IF(ISNUMBER($G57),1,IFERROR(LOOKUP(2,1/($I57:$L57&lt;&gt;""),$I57:$L57),0))))</f>
        <v/>
      </c>
      <c r="Z57" s="62">
        <f>IF($V57="","",IF(AND(ISNUMBER($G57),$G57&lt;=IF($S57=MesCiclo,InicioCiclo,$S57+MOD(2-WEEKDAY($S57),7))+6),1,IF(ISNUMBER($I57),$I57,0)))</f>
        <v/>
      </c>
      <c r="AA57" s="62">
        <f>IF($V57="","",IF(AND(ISNUMBER($G57),$G57&lt;=IF($S57=MesCiclo,InicioCiclo,$S57+MOD(2-WEEKDAY($S57),7))+13),1,IF(ISNUMBER($J57),$J57,$Z57)))</f>
        <v/>
      </c>
      <c r="AB57" s="62">
        <f>IF($V57="","",IF(AND(ISNUMBER($G57),$G57&lt;=IF($S57=MesCiclo,InicioCiclo,$S57+MOD(2-WEEKDAY($S57),7))+20),1,IF(ISNUMBER($K57),$K57,$AA57)))</f>
        <v/>
      </c>
      <c r="AC57" s="62">
        <f>IF($V57="","",IF(AND(ISNUMBER($G57),$G57&lt;=IF($S57=MesCiclo,InicioCiclo,$S57+MOD(2-WEEKDAY($S57),7))+27),1,IF(ISNUMBER($L57),$L57,$AB57)))</f>
        <v/>
      </c>
      <c r="AD57" s="62">
        <f>IF($V57&lt;&gt;"Sub","",N($X57)*IF(AND(ISNUMBER($G57),$G57&lt;=IF($S57=MesCiclo,InicioCiclo,$S57+MOD(2-WEEKDAY($S57),7))+6),1,MIN(1,MAX(0,IF(ISNUMBER(OFFSET($A$1,ROW()-1,8)),OFFSET($A$1,ROW()-1,8),0)))))</f>
        <v/>
      </c>
      <c r="AE57" s="62">
        <f>IF($V57&lt;&gt;"Sub","",N($X57)*IF(AND(ISNUMBER($G57),$G57&lt;=IF($S57=MesCiclo,InicioCiclo,$S57+MOD(2-WEEKDAY($S57),7))+13),1,MIN(1,MAX(0,IF(ISNUMBER(OFFSET($A$1,ROW()-1,9)),OFFSET($A$1,ROW()-1,9),IF(ISNUMBER(OFFSET($A$1,ROW()-1,8)),OFFSET($A$1,ROW()-1,8),0))))))</f>
        <v/>
      </c>
      <c r="AF57" s="62">
        <f>IF($V57&lt;&gt;"Sub","",N($X57)*IF(AND(ISNUMBER($G57),$G57&lt;=IF($S57=MesCiclo,InicioCiclo,$S57+MOD(2-WEEKDAY($S57),7))+20),1,MIN(1,MAX(0,IF(ISNUMBER(OFFSET($A$1,ROW()-1,10)),OFFSET($A$1,ROW()-1,10),IF(ISNUMBER(OFFSET($A$1,ROW()-1,9)),OFFSET($A$1,ROW()-1,9),IF(ISNUMBER(OFFSET($A$1,ROW()-1,8)),OFFSET($A$1,ROW()-1,8),0)))))))</f>
        <v/>
      </c>
      <c r="AG57" s="62">
        <f>IF($V57&lt;&gt;"Sub","",N($X57)*IF(AND(ISNUMBER($G57),$G57&lt;=IF($S57=MesCiclo,InicioCiclo,$S57+MOD(2-WEEKDAY($S57),7))+27),1,MIN(1,MAX(0,IF(ISNUMBER(OFFSET($A$1,ROW()-1,11)),OFFSET($A$1,ROW()-1,11),IF(ISNUMBER(OFFSET($A$1,ROW()-1,10)),OFFSET($A$1,ROW()-1,10),IF(ISNUMBER(OFFSET($A$1,ROW()-1,9)),OFFSET($A$1,ROW()-1,9),IF(ISNUMBER(OFFSET($A$1,ROW()-1,8)),OFFSET($A$1,ROW()-1,8),0))))))))</f>
        <v/>
      </c>
      <c r="AH57" s="62">
        <f>IF($V57="","",IF(AND(ISNUMBER($G57),$G57&lt;=IF($S57=MesCiclo,InicioCiclo,$S57+MOD(2-WEEKDAY($S57),7))+6),1,IF(N($W57)&gt;0,MIN(1,SUMIFS($AD$5:$AD$1000,$U$5:$U$1000,ROW(),$V$5:$V$1000,"Sub")),$Z57)))</f>
        <v/>
      </c>
      <c r="AI57" s="62">
        <f>IF($V57="","",IF(AND(ISNUMBER($G57),$G57&lt;=IF($S57=MesCiclo,InicioCiclo,$S57+MOD(2-WEEKDAY($S57),7))+13),1,IF(N($W57)&gt;0,MIN(1,SUMIFS($AE$5:$AE$1000,$U$5:$U$1000,ROW(),$V$5:$V$1000,"Sub")),$AA57)))</f>
        <v/>
      </c>
      <c r="AJ57" s="62">
        <f>IF($V57="","",IF(AND(ISNUMBER($G57),$G57&lt;=IF($S57=MesCiclo,InicioCiclo,$S57+MOD(2-WEEKDAY($S57),7))+20),1,IF(N($W57)&gt;0,MIN(1,SUMIFS($AF$5:$AF$1000,$U$5:$U$1000,ROW(),$V$5:$V$1000,"Sub")),$AB57)))</f>
        <v/>
      </c>
      <c r="AK57" s="62">
        <f>IF($V57="","",IF(AND(ISNUMBER($G57),$G57&lt;=IF($S57=MesCiclo,InicioCiclo,$S57+MOD(2-WEEKDAY($S57),7))+27),1,IF(N($W57)&gt;0,MIN(1,SUMIFS($AG$5:$AG$1000,$U$5:$U$1000,ROW(),$V$5:$V$1000,"Sub")),$AC57)))</f>
        <v/>
      </c>
      <c r="AL57" s="62">
        <f>IF($V57&lt;&gt;"Macro","",IF(COUNTIFS($S$5:$S$1000,$S57,$V$5:$V$1000,"Macro",$H$5:$H$1000,"&gt;0")=0,1/COUNTIFS($S$5:$S$1000,$S57,$V$5:$V$1000,"Macro"),IF(AND(ISNUMBER($H57),N($H57)&gt;0),$H57,SUMIFS($H$5:$H$1000,$S$5:$S$1000,$S57,$V$5:$V$1000,"Macro")/COUNTIFS($S$5:$S$1000,$S57,$V$5:$V$1000,"Macro",$H$5:$H$1000,"&gt;0"))/(COUNTIFS($S$5:$S$1000,$S57,$V$5:$V$1000,"Macro")*SUMIFS($H$5:$H$1000,$S$5:$S$1000,$S57,$V$5:$V$1000,"Macro")/COUNTIFS($S$5:$S$1000,$S57,$V$5:$V$1000,"Macro",$H$5:$H$1000,"&gt;0"))))</f>
        <v/>
      </c>
      <c r="AM57" s="62" t="n"/>
      <c r="AN57" s="62" t="n"/>
      <c r="AO57" s="62" t="n"/>
      <c r="AP57" s="62" t="n"/>
      <c r="AQ57" s="62">
        <f>IF(LEFT($C57,11)="[Jefatura] ",IFERROR(MATCH("Asistente Técnico de Riesgo|"&amp;MID($C57,12,500),rDname_ADM,0),0),"")</f>
        <v/>
      </c>
      <c r="AR57" s="62">
        <f>IF(N($AQ57)&gt;0,INDEX(rIni_ADM,$AQ57),IF(ISNUMBER($E57),$E57,""))</f>
        <v/>
      </c>
      <c r="AS57" s="62">
        <f>IF(N($AQ57)&gt;0,INDEX(rLim_ADM,$AQ57),IF(ISNUMBER($F57),$F57,""))</f>
        <v/>
      </c>
    </row>
    <row r="58">
      <c r="A58" s="56">
        <f>IF(NOT((COUNTA($B58:$D58)+COUNTA($G58:$H58)+COUNTA($Q58))&gt;0),"",IF($V58="Macro",COUNTIFS($V$5:$V58,"Macro",$S$5:$S58,$S58),IF(N($U58)=0,"?",COUNTIFS(INDEX($V$5:$V$1000,1):INDEX($V$5:$V$1000,$U58-4),"Macro",INDEX($S$5:$S$1000,1):INDEX($S$5:$S$1000,$U58-4),INDEX($S$5:$S$1000,$U58-4))&amp;"."&amp;COUNTIFS($U$5:$U58,$U58,$V$5:$V58,"Sub"))))</f>
        <v/>
      </c>
      <c r="B58" s="57" t="n"/>
      <c r="C58" s="58" t="n"/>
      <c r="D58" s="58" t="n"/>
      <c r="E58" s="59">
        <f>IF(N($AQ58)&gt;0,INDEX(rIni_ADM,$AQ58),"")</f>
        <v/>
      </c>
      <c r="F58" s="59">
        <f>IF(N($AQ58)&gt;0,INDEX(rLim_ADM,$AQ58),"")</f>
        <v/>
      </c>
      <c r="G58" s="59" t="n"/>
      <c r="H58" s="60" t="n"/>
      <c r="I58" s="60">
        <f>IF(N($W58)=0,"",IF(AND($S58=MesCiclo,1&gt;SemanaActual),"",MIN(1,SUMIFS(OFFSET($A$1,ROW(),29,1000-ROW(),1),OFFSET($A$1,ROW(),20,1000-ROW(),1),ROW(),OFFSET($A$1,ROW(),21,1000-ROW(),1),"Sub"))))</f>
        <v/>
      </c>
      <c r="J58" s="60">
        <f>IF(N($W58)=0,"",IF(AND($S58=MesCiclo,2&gt;SemanaActual),"",MIN(1,SUMIFS(OFFSET($A$1,ROW(),30,1000-ROW(),1),OFFSET($A$1,ROW(),20,1000-ROW(),1),ROW(),OFFSET($A$1,ROW(),21,1000-ROW(),1),"Sub"))))</f>
        <v/>
      </c>
      <c r="K58" s="60">
        <f>IF(N($W58)=0,"",IF(AND($S58=MesCiclo,3&gt;SemanaActual),"",MIN(1,SUMIFS(OFFSET($A$1,ROW(),31,1000-ROW(),1),OFFSET($A$1,ROW(),20,1000-ROW(),1),ROW(),OFFSET($A$1,ROW(),21,1000-ROW(),1),"Sub"))))</f>
        <v/>
      </c>
      <c r="L58" s="60">
        <f>IF(N($W58)=0,"",IF(AND($S58=MesCiclo,4&gt;SemanaActual),"",MIN(1,SUMIFS(OFFSET($A$1,ROW(),32,1000-ROW(),1),OFFSET($A$1,ROW(),20,1000-ROW(),1),ROW(),OFFSET($A$1,ROW(),21,1000-ROW(),1),"Sub"))))</f>
        <v/>
      </c>
      <c r="M58" s="61">
        <f>IF(OR(NOT((COUNTA($B58:$D58)+COUNTA($G58:$H58)+COUNTA($Q58))&gt;0),$V58="Sub"),"",IF(ISNUMBER($G58),1,IF(N($W58)&gt;0,MIN(1,SUMIFS($Y$5:$Y$1000,$U$5:$U$1000,ROW(),$V$5:$V$1000,"Sub")),$Y58)))</f>
        <v/>
      </c>
      <c r="N58" s="56">
        <f>IF(OR($M58="",$V58="Sub"),"",IF($M58&gt;=1,"Completado",IF($M58&gt;0,"En curso","Pendiente")))</f>
        <v/>
      </c>
      <c r="O58" s="56">
        <f>IF(OR(NOT((COUNTA($B58:$D58)+COUNTA($G58:$H58)+COUNTA($Q58))&gt;0),$V58="Sub"),"",IF(ISNUMBER($G58),IF(AND(ISNUMBER($AS58),$G58&gt;$AS58),"Cumplida con "&amp;($G58-$AS58)&amp;IF($G58-$AS58=1," día"," días")&amp;" de retraso","Cumplida"),IF(N($M58)&gt;=1,"Cumplida",IF(NOT(ISNUMBER($AS58)),"Sin fecha límite",IF($AS58&lt;FechaRef,"Vencida hace "&amp;(FechaRef-$AS58)&amp;IF(FechaRef-$AS58=1," día"," días"),IF($AS58=FechaRef,"Vence hoy",IF($AS58-FechaRef&lt;=DiasAlerta,"Vence en "&amp;($AS58-FechaRef)&amp;IF($AS58-FechaRef=1," día"," días"),"En plazo")))))))</f>
        <v/>
      </c>
      <c r="P58" s="62" t="n"/>
      <c r="Q58" s="58" t="n"/>
      <c r="R58" s="63">
        <f>IF(NOT((COUNTA($B58:$D58)+COUNTA($G58:$H58)+COUNTA($Q58))&gt;0),"",IF((IF($C58="","Falta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 OK","⚠ "&amp;LEFT(IF($C58="","Falta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",""),LEN(IF($C58="","Falta el nombre de la actividad"&amp;" · ","")&amp;IF(AND($V58="Sub",N($U58)=0),"Subactividad sin macroactividad arriba"&amp;" · ","")&amp;IF(AND($V58="Macro",$AR58=""),"Sin fecha de inicio"&amp;" · ","")&amp;IF(AND($V58="Macro",$AS58=""),"Sin fecha límite"&amp;" · ","")&amp;IF(AND(LEFT($C58,11)="[Jefatura] ",N($AQ58)=0),"No se encuentra en la hoja de la jefatura (elíjala de nuevo en la lista)"&amp;" · ","")&amp;IF(OR(AND($E58&lt;&gt;"",NOT(ISNUMBER($E58))),AND($F58&lt;&gt;"",NOT(ISNUMBER($F58))),AND($G58&lt;&gt;"",NOT(ISNUMBER($G58)))),"Fecha no válida"&amp;" · ","")&amp;IF(AND(ISNUMBER($AR58),ISNUMBER($AS58),$AR58&gt;$AS58),"Inicio posterior a fecha límite"&amp;" · ","")&amp;IF(AND($V58="Macro",$H58&lt;&gt;"",OR(NOT(ISNUMBER($H58)),$H58&lt;0,$H58&gt;1)),"Peso fuera de rango"&amp;" · ","")&amp;IF(AND($V58="Sub",$H58&lt;&gt;"",OR(NOT(ISNUMBER($H58)),$H58&lt;0,$H58&gt;1)),"% de la subactividad fuera de rango 0-100%"&amp;" · ","")&amp;IF(AND(N($W58)&gt;0,SUMIFS($H$5:$H$1000,$U$5:$U$1000,ROW(),$V$5:$V$1000,"Sub")&gt;1.0001),"Las subactividades suman más de 100%"&amp;" · ","")&amp;IF(AND(N($W58)&gt;0,OR(IF(ISNUMBER($I58),ROUND($I58,6)&lt;&gt;ROUND(MIN(1,SUMIFS($AD$5:$AD$1000,$U$5:$U$1000,ROW(),$V$5:$V$1000,"Sub")),6),FALSE),IF(ISNUMBER($J58),ROUND($J58,6)&lt;&gt;ROUND(MIN(1,SUMIFS($AE$5:$AE$1000,$U$5:$U$1000,ROW(),$V$5:$V$1000,"Sub")),6),FALSE),IF(ISNUMBER($K58),ROUND($K58,6)&lt;&gt;ROUND(MIN(1,SUMIFS($AF$5:$AF$1000,$U$5:$U$1000,ROW(),$V$5:$V$1000,"Sub")),6),FALSE),IF(ISNUMBER($L58),ROUND($L58,6)&lt;&gt;ROUND(MIN(1,SUMIFS($AG$5:$AG$1000,$U$5:$U$1000,ROW(),$V$5:$V$1000,"Sub")),6),FALSE))),"Con subactividades: no escriba en las semanas (se llenan solas)"&amp;" · ","")&amp;IF((COUNTIF($I58:$L58,"&gt;1")+COUNTIF($I58:$L58,"&lt;0")+SUMPRODUCT((LEN($I58:$L58)&gt;0)*NOT(ISNUMBER($I58:$L58))))&gt;0,"Avance fuera de rango 0-100%"&amp;" · ","")&amp;IF(OR(AND(ISNUMBER($J58),$J58&lt;N($I58)),AND(ISNUMBER($K58),$K58&lt;MAX($I58:$J58)),AND(ISNUMBER($L58),$L58&lt;MAX($I58:$K58))),"Avance semanal decreciente"&amp;" · ","")&amp;IF(AND(ISNUMBER($AS58),$AS58&lt;FechaRef,IF($V58="Sub",1,N($M58))&lt;1),"Vencida"&amp;" · ","")&amp;IF(AND(ObsObligatoria="Sí",ISNUMBER($AS58),$AS58&lt;FechaRef,IF($V58="Sub",1,N($M58))&lt;1,$Q58=""),"Vencida sin observación"&amp;" · ",""))-3)))</f>
        <v/>
      </c>
      <c r="S58" s="64">
        <f>IF(NOT((COUNTA($B58:$D58)+COUNTA($G58:$H58)+COUNTA($Q58))&gt;0),"",IF(AND($V58="Sub",N($U58)&gt;0),IF(ISNUMBER(INDEX($AR$5:$AR$1000,$U58-4)),DATE(YEAR(INDEX($AR$5:$AR$1000,$U58-4)),MONTH(INDEX($AR$5:$AR$1000,$U58-4)),1),IF(ISNUMBER(INDEX($AS$5:$AS$1000,$U58-4)),DATE(YEAR(INDEX($AS$5:$AS$1000,$U58-4)),MONTH(INDEX($AS$5:$AS$1000,$U58-4)),1),MesCiclo)),IF(ISNUMBER($AR58),DATE(YEAR($AR58),MONTH($AR58),1),IF(ISNUMBER($AS58),DATE(YEAR($AS58),MONTH($AS58),1),MesCiclo))))</f>
        <v/>
      </c>
      <c r="T58" s="62">
        <f>IF(OR($S58="",$S58&lt;&gt;MesCiclo,$V58&lt;&gt;"Macro"),"",COUNTIFS($S$5:$S58,MesCiclo,$V$5:$V58,"Macro"))</f>
        <v/>
      </c>
      <c r="U58" s="62">
        <f>IF($V58="","",IF($V58="Macro",ROW(),IFERROR(LOOKUP(2,1/($V$5:$V58="Macro"),ROW($V$5:$V58)),0)))</f>
        <v/>
      </c>
      <c r="V58" s="62">
        <f>IF(NOT((COUNTA($B58:$D58)+COUNTA($G58:$H58)+COUNTA($Q58))&gt;0),"",IF($B58="Subactividad","Sub","Macro"))</f>
        <v/>
      </c>
      <c r="W58" s="62">
        <f>IF($V58="Macro",COUNTIFS($U$5:$U$1000,ROW(),$V$5:$V$1000,"Sub"),"")</f>
        <v/>
      </c>
      <c r="X58" s="62">
        <f>IF($V58&lt;&gt;"Sub","",IF(AND(ISNUMBER($H58),N($H58)&gt;0),$H58,IFERROR(MAX(0,1-SUMIFS($H$5:$H$1000,$U$5:$U$1000,$U58,$V$5:$V$1000,"Sub"))/(COUNTIFS($U$5:$U$1000,$U58,$V$5:$V$1000,"Sub")-COUNTIFS($U$5:$U$1000,$U58,$V$5:$V$1000,"Sub",$H$5:$H$1000,"&gt;0")),0)))</f>
        <v/>
      </c>
      <c r="Y58" s="62">
        <f>IF($V58="","",IF($V58="Sub",N($X58)*IF(ISNUMBER($G58),1,MIN(1,MAX(0,IFERROR(LOOKUP(2,1/ISNUMBER($I58:$L58),$I58:$L58),0)))),IF(ISNUMBER($G58),1,IFERROR(LOOKUP(2,1/($I58:$L58&lt;&gt;""),$I58:$L58),0))))</f>
        <v/>
      </c>
      <c r="Z58" s="62">
        <f>IF($V58="","",IF(AND(ISNUMBER($G58),$G58&lt;=IF($S58=MesCiclo,InicioCiclo,$S58+MOD(2-WEEKDAY($S58),7))+6),1,IF(ISNUMBER($I58),$I58,0)))</f>
        <v/>
      </c>
      <c r="AA58" s="62">
        <f>IF($V58="","",IF(AND(ISNUMBER($G58),$G58&lt;=IF($S58=MesCiclo,InicioCiclo,$S58+MOD(2-WEEKDAY($S58),7))+13),1,IF(ISNUMBER($J58),$J58,$Z58)))</f>
        <v/>
      </c>
      <c r="AB58" s="62">
        <f>IF($V58="","",IF(AND(ISNUMBER($G58),$G58&lt;=IF($S58=MesCiclo,InicioCiclo,$S58+MOD(2-WEEKDAY($S58),7))+20),1,IF(ISNUMBER($K58),$K58,$AA58)))</f>
        <v/>
      </c>
      <c r="AC58" s="62">
        <f>IF($V58="","",IF(AND(ISNUMBER($G58),$G58&lt;=IF($S58=MesCiclo,InicioCiclo,$S58+MOD(2-WEEKDAY($S58),7))+27),1,IF(ISNUMBER($L58),$L58,$AB58)))</f>
        <v/>
      </c>
      <c r="AD58" s="62">
        <f>IF($V58&lt;&gt;"Sub","",N($X58)*IF(AND(ISNUMBER($G58),$G58&lt;=IF($S58=MesCiclo,InicioCiclo,$S58+MOD(2-WEEKDAY($S58),7))+6),1,MIN(1,MAX(0,IF(ISNUMBER(OFFSET($A$1,ROW()-1,8)),OFFSET($A$1,ROW()-1,8),0)))))</f>
        <v/>
      </c>
      <c r="AE58" s="62">
        <f>IF($V58&lt;&gt;"Sub","",N($X58)*IF(AND(ISNUMBER($G58),$G58&lt;=IF($S58=MesCiclo,InicioCiclo,$S58+MOD(2-WEEKDAY($S58),7))+13),1,MIN(1,MAX(0,IF(ISNUMBER(OFFSET($A$1,ROW()-1,9)),OFFSET($A$1,ROW()-1,9),IF(ISNUMBER(OFFSET($A$1,ROW()-1,8)),OFFSET($A$1,ROW()-1,8),0))))))</f>
        <v/>
      </c>
      <c r="AF58" s="62">
        <f>IF($V58&lt;&gt;"Sub","",N($X58)*IF(AND(ISNUMBER($G58),$G58&lt;=IF($S58=MesCiclo,InicioCiclo,$S58+MOD(2-WEEKDAY($S58),7))+20),1,MIN(1,MAX(0,IF(ISNUMBER(OFFSET($A$1,ROW()-1,10)),OFFSET($A$1,ROW()-1,10),IF(ISNUMBER(OFFSET($A$1,ROW()-1,9)),OFFSET($A$1,ROW()-1,9),IF(ISNUMBER(OFFSET($A$1,ROW()-1,8)),OFFSET($A$1,ROW()-1,8),0)))))))</f>
        <v/>
      </c>
      <c r="AG58" s="62">
        <f>IF($V58&lt;&gt;"Sub","",N($X58)*IF(AND(ISNUMBER($G58),$G58&lt;=IF($S58=MesCiclo,InicioCiclo,$S58+MOD(2-WEEKDAY($S58),7))+27),1,MIN(1,MAX(0,IF(ISNUMBER(OFFSET($A$1,ROW()-1,11)),OFFSET($A$1,ROW()-1,11),IF(ISNUMBER(OFFSET($A$1,ROW()-1,10)),OFFSET($A$1,ROW()-1,10),IF(ISNUMBER(OFFSET($A$1,ROW()-1,9)),OFFSET($A$1,ROW()-1,9),IF(ISNUMBER(OFFSET($A$1,ROW()-1,8)),OFFSET($A$1,ROW()-1,8),0))))))))</f>
        <v/>
      </c>
      <c r="AH58" s="62">
        <f>IF($V58="","",IF(AND(ISNUMBER($G58),$G58&lt;=IF($S58=MesCiclo,InicioCiclo,$S58+MOD(2-WEEKDAY($S58),7))+6),1,IF(N($W58)&gt;0,MIN(1,SUMIFS($AD$5:$AD$1000,$U$5:$U$1000,ROW(),$V$5:$V$1000,"Sub")),$Z58)))</f>
        <v/>
      </c>
      <c r="AI58" s="62">
        <f>IF($V58="","",IF(AND(ISNUMBER($G58),$G58&lt;=IF($S58=MesCiclo,InicioCiclo,$S58+MOD(2-WEEKDAY($S58),7))+13),1,IF(N($W58)&gt;0,MIN(1,SUMIFS($AE$5:$AE$1000,$U$5:$U$1000,ROW(),$V$5:$V$1000,"Sub")),$AA58)))</f>
        <v/>
      </c>
      <c r="AJ58" s="62">
        <f>IF($V58="","",IF(AND(ISNUMBER($G58),$G58&lt;=IF($S58=MesCiclo,InicioCiclo,$S58+MOD(2-WEEKDAY($S58),7))+20),1,IF(N($W58)&gt;0,MIN(1,SUMIFS($AF$5:$AF$1000,$U$5:$U$1000,ROW(),$V$5:$V$1000,"Sub")),$AB58)))</f>
        <v/>
      </c>
      <c r="AK58" s="62">
        <f>IF($V58="","",IF(AND(ISNUMBER($G58),$G58&lt;=IF($S58=MesCiclo,InicioCiclo,$S58+MOD(2-WEEKDAY($S58),7))+27),1,IF(N($W58)&gt;0,MIN(1,SUMIFS($AG$5:$AG$1000,$U$5:$U$1000,ROW(),$V$5:$V$1000,"Sub")),$AC58)))</f>
        <v/>
      </c>
      <c r="AL58" s="62">
        <f>IF($V58&lt;&gt;"Macro","",IF(COUNTIFS($S$5:$S$1000,$S58,$V$5:$V$1000,"Macro",$H$5:$H$1000,"&gt;0")=0,1/COUNTIFS($S$5:$S$1000,$S58,$V$5:$V$1000,"Macro"),IF(AND(ISNUMBER($H58),N($H58)&gt;0),$H58,SUMIFS($H$5:$H$1000,$S$5:$S$1000,$S58,$V$5:$V$1000,"Macro")/COUNTIFS($S$5:$S$1000,$S58,$V$5:$V$1000,"Macro",$H$5:$H$1000,"&gt;0"))/(COUNTIFS($S$5:$S$1000,$S58,$V$5:$V$1000,"Macro")*SUMIFS($H$5:$H$1000,$S$5:$S$1000,$S58,$V$5:$V$1000,"Macro")/COUNTIFS($S$5:$S$1000,$S58,$V$5:$V$1000,"Macro",$H$5:$H$1000,"&gt;0"))))</f>
        <v/>
      </c>
      <c r="AM58" s="62" t="n"/>
      <c r="AN58" s="62" t="n"/>
      <c r="AO58" s="62" t="n"/>
      <c r="AP58" s="62" t="n"/>
      <c r="AQ58" s="62">
        <f>IF(LEFT($C58,11)="[Jefatura] ",IFERROR(MATCH("Asistente Técnico de Riesgo|"&amp;MID($C58,12,500),rDname_ADM,0),0),"")</f>
        <v/>
      </c>
      <c r="AR58" s="62">
        <f>IF(N($AQ58)&gt;0,INDEX(rIni_ADM,$AQ58),IF(ISNUMBER($E58),$E58,""))</f>
        <v/>
      </c>
      <c r="AS58" s="62">
        <f>IF(N($AQ58)&gt;0,INDEX(rLim_ADM,$AQ58),IF(ISNUMBER($F58),$F58,""))</f>
        <v/>
      </c>
    </row>
    <row r="59">
      <c r="A59" s="56">
        <f>IF(NOT((COUNTA($B59:$D59)+COUNTA($G59:$H59)+COUNTA($Q59))&gt;0),"",IF($V59="Macro",COUNTIFS($V$5:$V59,"Macro",$S$5:$S59,$S59),IF(N($U59)=0,"?",COUNTIFS(INDEX($V$5:$V$1000,1):INDEX($V$5:$V$1000,$U59-4),"Macro",INDEX($S$5:$S$1000,1):INDEX($S$5:$S$1000,$U59-4),INDEX($S$5:$S$1000,$U59-4))&amp;"."&amp;COUNTIFS($U$5:$U59,$U59,$V$5:$V59,"Sub"))))</f>
        <v/>
      </c>
      <c r="B59" s="57" t="n"/>
      <c r="C59" s="58" t="n"/>
      <c r="D59" s="58" t="n"/>
      <c r="E59" s="59">
        <f>IF(N($AQ59)&gt;0,INDEX(rIni_ADM,$AQ59),"")</f>
        <v/>
      </c>
      <c r="F59" s="59">
        <f>IF(N($AQ59)&gt;0,INDEX(rLim_ADM,$AQ59),"")</f>
        <v/>
      </c>
      <c r="G59" s="59" t="n"/>
      <c r="H59" s="60" t="n"/>
      <c r="I59" s="60">
        <f>IF(N($W59)=0,"",IF(AND($S59=MesCiclo,1&gt;SemanaActual),"",MIN(1,SUMIFS(OFFSET($A$1,ROW(),29,1000-ROW(),1),OFFSET($A$1,ROW(),20,1000-ROW(),1),ROW(),OFFSET($A$1,ROW(),21,1000-ROW(),1),"Sub"))))</f>
        <v/>
      </c>
      <c r="J59" s="60">
        <f>IF(N($W59)=0,"",IF(AND($S59=MesCiclo,2&gt;SemanaActual),"",MIN(1,SUMIFS(OFFSET($A$1,ROW(),30,1000-ROW(),1),OFFSET($A$1,ROW(),20,1000-ROW(),1),ROW(),OFFSET($A$1,ROW(),21,1000-ROW(),1),"Sub"))))</f>
        <v/>
      </c>
      <c r="K59" s="60">
        <f>IF(N($W59)=0,"",IF(AND($S59=MesCiclo,3&gt;SemanaActual),"",MIN(1,SUMIFS(OFFSET($A$1,ROW(),31,1000-ROW(),1),OFFSET($A$1,ROW(),20,1000-ROW(),1),ROW(),OFFSET($A$1,ROW(),21,1000-ROW(),1),"Sub"))))</f>
        <v/>
      </c>
      <c r="L59" s="60">
        <f>IF(N($W59)=0,"",IF(AND($S59=MesCiclo,4&gt;SemanaActual),"",MIN(1,SUMIFS(OFFSET($A$1,ROW(),32,1000-ROW(),1),OFFSET($A$1,ROW(),20,1000-ROW(),1),ROW(),OFFSET($A$1,ROW(),21,1000-ROW(),1),"Sub"))))</f>
        <v/>
      </c>
      <c r="M59" s="61">
        <f>IF(OR(NOT((COUNTA($B59:$D59)+COUNTA($G59:$H59)+COUNTA($Q59))&gt;0),$V59="Sub"),"",IF(ISNUMBER($G59),1,IF(N($W59)&gt;0,MIN(1,SUMIFS($Y$5:$Y$1000,$U$5:$U$1000,ROW(),$V$5:$V$1000,"Sub")),$Y59)))</f>
        <v/>
      </c>
      <c r="N59" s="56">
        <f>IF(OR($M59="",$V59="Sub"),"",IF($M59&gt;=1,"Completado",IF($M59&gt;0,"En curso","Pendiente")))</f>
        <v/>
      </c>
      <c r="O59" s="56">
        <f>IF(OR(NOT((COUNTA($B59:$D59)+COUNTA($G59:$H59)+COUNTA($Q59))&gt;0),$V59="Sub"),"",IF(ISNUMBER($G59),IF(AND(ISNUMBER($AS59),$G59&gt;$AS59),"Cumplida con "&amp;($G59-$AS59)&amp;IF($G59-$AS59=1," día"," días")&amp;" de retraso","Cumplida"),IF(N($M59)&gt;=1,"Cumplida",IF(NOT(ISNUMBER($AS59)),"Sin fecha límite",IF($AS59&lt;FechaRef,"Vencida hace "&amp;(FechaRef-$AS59)&amp;IF(FechaRef-$AS59=1," día"," días"),IF($AS59=FechaRef,"Vence hoy",IF($AS59-FechaRef&lt;=DiasAlerta,"Vence en "&amp;($AS59-FechaRef)&amp;IF($AS59-FechaRef=1," día"," días"),"En plazo")))))))</f>
        <v/>
      </c>
      <c r="P59" s="62" t="n"/>
      <c r="Q59" s="58" t="n"/>
      <c r="R59" s="63">
        <f>IF(NOT((COUNTA($B59:$D59)+COUNTA($G59:$H59)+COUNTA($Q59))&gt;0),"",IF((IF($C59="","Falta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 OK","⚠ "&amp;LEFT(IF($C59="","Falta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",""),LEN(IF($C59="","Falta el nombre de la actividad"&amp;" · ","")&amp;IF(AND($V59="Sub",N($U59)=0),"Subactividad sin macroactividad arriba"&amp;" · ","")&amp;IF(AND($V59="Macro",$AR59=""),"Sin fecha de inicio"&amp;" · ","")&amp;IF(AND($V59="Macro",$AS59=""),"Sin fecha límite"&amp;" · ","")&amp;IF(AND(LEFT($C59,11)="[Jefatura] ",N($AQ59)=0),"No se encuentra en la hoja de la jefatura (elíjala de nuevo en la lista)"&amp;" · ","")&amp;IF(OR(AND($E59&lt;&gt;"",NOT(ISNUMBER($E59))),AND($F59&lt;&gt;"",NOT(ISNUMBER($F59))),AND($G59&lt;&gt;"",NOT(ISNUMBER($G59)))),"Fecha no válida"&amp;" · ","")&amp;IF(AND(ISNUMBER($AR59),ISNUMBER($AS59),$AR59&gt;$AS59),"Inicio posterior a fecha límite"&amp;" · ","")&amp;IF(AND($V59="Macro",$H59&lt;&gt;"",OR(NOT(ISNUMBER($H59)),$H59&lt;0,$H59&gt;1)),"Peso fuera de rango"&amp;" · ","")&amp;IF(AND($V59="Sub",$H59&lt;&gt;"",OR(NOT(ISNUMBER($H59)),$H59&lt;0,$H59&gt;1)),"% de la subactividad fuera de rango 0-100%"&amp;" · ","")&amp;IF(AND(N($W59)&gt;0,SUMIFS($H$5:$H$1000,$U$5:$U$1000,ROW(),$V$5:$V$1000,"Sub")&gt;1.0001),"Las subactividades suman más de 100%"&amp;" · ","")&amp;IF(AND(N($W59)&gt;0,OR(IF(ISNUMBER($I59),ROUND($I59,6)&lt;&gt;ROUND(MIN(1,SUMIFS($AD$5:$AD$1000,$U$5:$U$1000,ROW(),$V$5:$V$1000,"Sub")),6),FALSE),IF(ISNUMBER($J59),ROUND($J59,6)&lt;&gt;ROUND(MIN(1,SUMIFS($AE$5:$AE$1000,$U$5:$U$1000,ROW(),$V$5:$V$1000,"Sub")),6),FALSE),IF(ISNUMBER($K59),ROUND($K59,6)&lt;&gt;ROUND(MIN(1,SUMIFS($AF$5:$AF$1000,$U$5:$U$1000,ROW(),$V$5:$V$1000,"Sub")),6),FALSE),IF(ISNUMBER($L59),ROUND($L59,6)&lt;&gt;ROUND(MIN(1,SUMIFS($AG$5:$AG$1000,$U$5:$U$1000,ROW(),$V$5:$V$1000,"Sub")),6),FALSE))),"Con subactividades: no escriba en las semanas (se llenan solas)"&amp;" · ","")&amp;IF((COUNTIF($I59:$L59,"&gt;1")+COUNTIF($I59:$L59,"&lt;0")+SUMPRODUCT((LEN($I59:$L59)&gt;0)*NOT(ISNUMBER($I59:$L59))))&gt;0,"Avance fuera de rango 0-100%"&amp;" · ","")&amp;IF(OR(AND(ISNUMBER($J59),$J59&lt;N($I59)),AND(ISNUMBER($K59),$K59&lt;MAX($I59:$J59)),AND(ISNUMBER($L59),$L59&lt;MAX($I59:$K59))),"Avance semanal decreciente"&amp;" · ","")&amp;IF(AND(ISNUMBER($AS59),$AS59&lt;FechaRef,IF($V59="Sub",1,N($M59))&lt;1),"Vencida"&amp;" · ","")&amp;IF(AND(ObsObligatoria="Sí",ISNUMBER($AS59),$AS59&lt;FechaRef,IF($V59="Sub",1,N($M59))&lt;1,$Q59=""),"Vencida sin observación"&amp;" · ",""))-3)))</f>
        <v/>
      </c>
      <c r="S59" s="64">
        <f>IF(NOT((COUNTA($B59:$D59)+COUNTA($G59:$H59)+COUNTA($Q59))&gt;0),"",IF(AND($V59="Sub",N($U59)&gt;0),IF(ISNUMBER(INDEX($AR$5:$AR$1000,$U59-4)),DATE(YEAR(INDEX($AR$5:$AR$1000,$U59-4)),MONTH(INDEX($AR$5:$AR$1000,$U59-4)),1),IF(ISNUMBER(INDEX($AS$5:$AS$1000,$U59-4)),DATE(YEAR(INDEX($AS$5:$AS$1000,$U59-4)),MONTH(INDEX($AS$5:$AS$1000,$U59-4)),1),MesCiclo)),IF(ISNUMBER($AR59),DATE(YEAR($AR59),MONTH($AR59),1),IF(ISNUMBER($AS59),DATE(YEAR($AS59),MONTH($AS59),1),MesCiclo))))</f>
        <v/>
      </c>
      <c r="T59" s="62">
        <f>IF(OR($S59="",$S59&lt;&gt;MesCiclo,$V59&lt;&gt;"Macro"),"",COUNTIFS($S$5:$S59,MesCiclo,$V$5:$V59,"Macro"))</f>
        <v/>
      </c>
      <c r="U59" s="62">
        <f>IF($V59="","",IF($V59="Macro",ROW(),IFERROR(LOOKUP(2,1/($V$5:$V59="Macro"),ROW($V$5:$V59)),0)))</f>
        <v/>
      </c>
      <c r="V59" s="62">
        <f>IF(NOT((COUNTA($B59:$D59)+COUNTA($G59:$H59)+COUNTA($Q59))&gt;0),"",IF($B59="Subactividad","Sub","Macro"))</f>
        <v/>
      </c>
      <c r="W59" s="62">
        <f>IF($V59="Macro",COUNTIFS($U$5:$U$1000,ROW(),$V$5:$V$1000,"Sub"),"")</f>
        <v/>
      </c>
      <c r="X59" s="62">
        <f>IF($V59&lt;&gt;"Sub","",IF(AND(ISNUMBER($H59),N($H59)&gt;0),$H59,IFERROR(MAX(0,1-SUMIFS($H$5:$H$1000,$U$5:$U$1000,$U59,$V$5:$V$1000,"Sub"))/(COUNTIFS($U$5:$U$1000,$U59,$V$5:$V$1000,"Sub")-COUNTIFS($U$5:$U$1000,$U59,$V$5:$V$1000,"Sub",$H$5:$H$1000,"&gt;0")),0)))</f>
        <v/>
      </c>
      <c r="Y59" s="62">
        <f>IF($V59="","",IF($V59="Sub",N($X59)*IF(ISNUMBER($G59),1,MIN(1,MAX(0,IFERROR(LOOKUP(2,1/ISNUMBER($I59:$L59),$I59:$L59),0)))),IF(ISNUMBER($G59),1,IFERROR(LOOKUP(2,1/($I59:$L59&lt;&gt;""),$I59:$L59),0))))</f>
        <v/>
      </c>
      <c r="Z59" s="62">
        <f>IF($V59="","",IF(AND(ISNUMBER($G59),$G59&lt;=IF($S59=MesCiclo,InicioCiclo,$S59+MOD(2-WEEKDAY($S59),7))+6),1,IF(ISNUMBER($I59),$I59,0)))</f>
        <v/>
      </c>
      <c r="AA59" s="62">
        <f>IF($V59="","",IF(AND(ISNUMBER($G59),$G59&lt;=IF($S59=MesCiclo,InicioCiclo,$S59+MOD(2-WEEKDAY($S59),7))+13),1,IF(ISNUMBER($J59),$J59,$Z59)))</f>
        <v/>
      </c>
      <c r="AB59" s="62">
        <f>IF($V59="","",IF(AND(ISNUMBER($G59),$G59&lt;=IF($S59=MesCiclo,InicioCiclo,$S59+MOD(2-WEEKDAY($S59),7))+20),1,IF(ISNUMBER($K59),$K59,$AA59)))</f>
        <v/>
      </c>
      <c r="AC59" s="62">
        <f>IF($V59="","",IF(AND(ISNUMBER($G59),$G59&lt;=IF($S59=MesCiclo,InicioCiclo,$S59+MOD(2-WEEKDAY($S59),7))+27),1,IF(ISNUMBER($L59),$L59,$AB59)))</f>
        <v/>
      </c>
      <c r="AD59" s="62">
        <f>IF($V59&lt;&gt;"Sub","",N($X59)*IF(AND(ISNUMBER($G59),$G59&lt;=IF($S59=MesCiclo,InicioCiclo,$S59+MOD(2-WEEKDAY($S59),7))+6),1,MIN(1,MAX(0,IF(ISNUMBER(OFFSET($A$1,ROW()-1,8)),OFFSET($A$1,ROW()-1,8),0)))))</f>
        <v/>
      </c>
      <c r="AE59" s="62">
        <f>IF($V59&lt;&gt;"Sub","",N($X59)*IF(AND(ISNUMBER($G59),$G59&lt;=IF($S59=MesCiclo,InicioCiclo,$S59+MOD(2-WEEKDAY($S59),7))+13),1,MIN(1,MAX(0,IF(ISNUMBER(OFFSET($A$1,ROW()-1,9)),OFFSET($A$1,ROW()-1,9),IF(ISNUMBER(OFFSET($A$1,ROW()-1,8)),OFFSET($A$1,ROW()-1,8),0))))))</f>
        <v/>
      </c>
      <c r="AF59" s="62">
        <f>IF($V59&lt;&gt;"Sub","",N($X59)*IF(AND(ISNUMBER($G59),$G59&lt;=IF($S59=MesCiclo,InicioCiclo,$S59+MOD(2-WEEKDAY($S59),7))+20),1,MIN(1,MAX(0,IF(ISNUMBER(OFFSET($A$1,ROW()-1,10)),OFFSET($A$1,ROW()-1,10),IF(ISNUMBER(OFFSET($A$1,ROW()-1,9)),OFFSET($A$1,ROW()-1,9),IF(ISNUMBER(OFFSET($A$1,ROW()-1,8)),OFFSET($A$1,ROW()-1,8),0)))))))</f>
        <v/>
      </c>
      <c r="AG59" s="62">
        <f>IF($V59&lt;&gt;"Sub","",N($X59)*IF(AND(ISNUMBER($G59),$G59&lt;=IF($S59=MesCiclo,InicioCiclo,$S59+MOD(2-WEEKDAY($S59),7))+27),1,MIN(1,MAX(0,IF(ISNUMBER(OFFSET($A$1,ROW()-1,11)),OFFSET($A$1,ROW()-1,11),IF(ISNUMBER(OFFSET($A$1,ROW()-1,10)),OFFSET($A$1,ROW()-1,10),IF(ISNUMBER(OFFSET($A$1,ROW()-1,9)),OFFSET($A$1,ROW()-1,9),IF(ISNUMBER(OFFSET($A$1,ROW()-1,8)),OFFSET($A$1,ROW()-1,8),0))))))))</f>
        <v/>
      </c>
      <c r="AH59" s="62">
        <f>IF($V59="","",IF(AND(ISNUMBER($G59),$G59&lt;=IF($S59=MesCiclo,InicioCiclo,$S59+MOD(2-WEEKDAY($S59),7))+6),1,IF(N($W59)&gt;0,MIN(1,SUMIFS($AD$5:$AD$1000,$U$5:$U$1000,ROW(),$V$5:$V$1000,"Sub")),$Z59)))</f>
        <v/>
      </c>
      <c r="AI59" s="62">
        <f>IF($V59="","",IF(AND(ISNUMBER($G59),$G59&lt;=IF($S59=MesCiclo,InicioCiclo,$S59+MOD(2-WEEKDAY($S59),7))+13),1,IF(N($W59)&gt;0,MIN(1,SUMIFS($AE$5:$AE$1000,$U$5:$U$1000,ROW(),$V$5:$V$1000,"Sub")),$AA59)))</f>
        <v/>
      </c>
      <c r="AJ59" s="62">
        <f>IF($V59="","",IF(AND(ISNUMBER($G59),$G59&lt;=IF($S59=MesCiclo,InicioCiclo,$S59+MOD(2-WEEKDAY($S59),7))+20),1,IF(N($W59)&gt;0,MIN(1,SUMIFS($AF$5:$AF$1000,$U$5:$U$1000,ROW(),$V$5:$V$1000,"Sub")),$AB59)))</f>
        <v/>
      </c>
      <c r="AK59" s="62">
        <f>IF($V59="","",IF(AND(ISNUMBER($G59),$G59&lt;=IF($S59=MesCiclo,InicioCiclo,$S59+MOD(2-WEEKDAY($S59),7))+27),1,IF(N($W59)&gt;0,MIN(1,SUMIFS($AG$5:$AG$1000,$U$5:$U$1000,ROW(),$V$5:$V$1000,"Sub")),$AC59)))</f>
        <v/>
      </c>
      <c r="AL59" s="62">
        <f>IF($V59&lt;&gt;"Macro","",IF(COUNTIFS($S$5:$S$1000,$S59,$V$5:$V$1000,"Macro",$H$5:$H$1000,"&gt;0")=0,1/COUNTIFS($S$5:$S$1000,$S59,$V$5:$V$1000,"Macro"),IF(AND(ISNUMBER($H59),N($H59)&gt;0),$H59,SUMIFS($H$5:$H$1000,$S$5:$S$1000,$S59,$V$5:$V$1000,"Macro")/COUNTIFS($S$5:$S$1000,$S59,$V$5:$V$1000,"Macro",$H$5:$H$1000,"&gt;0"))/(COUNTIFS($S$5:$S$1000,$S59,$V$5:$V$1000,"Macro")*SUMIFS($H$5:$H$1000,$S$5:$S$1000,$S59,$V$5:$V$1000,"Macro")/COUNTIFS($S$5:$S$1000,$S59,$V$5:$V$1000,"Macro",$H$5:$H$1000,"&gt;0"))))</f>
        <v/>
      </c>
      <c r="AM59" s="62" t="n"/>
      <c r="AN59" s="62" t="n"/>
      <c r="AO59" s="62" t="n"/>
      <c r="AP59" s="62" t="n"/>
      <c r="AQ59" s="62">
        <f>IF(LEFT($C59,11)="[Jefatura] ",IFERROR(MATCH("Asistente Técnico de Riesgo|"&amp;MID($C59,12,500),rDname_ADM,0),0),"")</f>
        <v/>
      </c>
      <c r="AR59" s="62">
        <f>IF(N($AQ59)&gt;0,INDEX(rIni_ADM,$AQ59),IF(ISNUMBER($E59),$E59,""))</f>
        <v/>
      </c>
      <c r="AS59" s="62">
        <f>IF(N($AQ59)&gt;0,INDEX(rLim_ADM,$AQ59),IF(ISNUMBER($F59),$F59,""))</f>
        <v/>
      </c>
    </row>
    <row r="60">
      <c r="A60" s="56">
        <f>IF(NOT((COUNTA($B60:$D60)+COUNTA($G60:$H60)+COUNTA($Q60))&gt;0),"",IF($V60="Macro",COUNTIFS($V$5:$V60,"Macro",$S$5:$S60,$S60),IF(N($U60)=0,"?",COUNTIFS(INDEX($V$5:$V$1000,1):INDEX($V$5:$V$1000,$U60-4),"Macro",INDEX($S$5:$S$1000,1):INDEX($S$5:$S$1000,$U60-4),INDEX($S$5:$S$1000,$U60-4))&amp;"."&amp;COUNTIFS($U$5:$U60,$U60,$V$5:$V60,"Sub"))))</f>
        <v/>
      </c>
      <c r="B60" s="57" t="n"/>
      <c r="C60" s="58" t="n"/>
      <c r="D60" s="58" t="n"/>
      <c r="E60" s="59">
        <f>IF(N($AQ60)&gt;0,INDEX(rIni_ADM,$AQ60),"")</f>
        <v/>
      </c>
      <c r="F60" s="59">
        <f>IF(N($AQ60)&gt;0,INDEX(rLim_ADM,$AQ60),"")</f>
        <v/>
      </c>
      <c r="G60" s="59" t="n"/>
      <c r="H60" s="60" t="n"/>
      <c r="I60" s="60">
        <f>IF(N($W60)=0,"",IF(AND($S60=MesCiclo,1&gt;SemanaActual),"",MIN(1,SUMIFS(OFFSET($A$1,ROW(),29,1000-ROW(),1),OFFSET($A$1,ROW(),20,1000-ROW(),1),ROW(),OFFSET($A$1,ROW(),21,1000-ROW(),1),"Sub"))))</f>
        <v/>
      </c>
      <c r="J60" s="60">
        <f>IF(N($W60)=0,"",IF(AND($S60=MesCiclo,2&gt;SemanaActual),"",MIN(1,SUMIFS(OFFSET($A$1,ROW(),30,1000-ROW(),1),OFFSET($A$1,ROW(),20,1000-ROW(),1),ROW(),OFFSET($A$1,ROW(),21,1000-ROW(),1),"Sub"))))</f>
        <v/>
      </c>
      <c r="K60" s="60">
        <f>IF(N($W60)=0,"",IF(AND($S60=MesCiclo,3&gt;SemanaActual),"",MIN(1,SUMIFS(OFFSET($A$1,ROW(),31,1000-ROW(),1),OFFSET($A$1,ROW(),20,1000-ROW(),1),ROW(),OFFSET($A$1,ROW(),21,1000-ROW(),1),"Sub"))))</f>
        <v/>
      </c>
      <c r="L60" s="60">
        <f>IF(N($W60)=0,"",IF(AND($S60=MesCiclo,4&gt;SemanaActual),"",MIN(1,SUMIFS(OFFSET($A$1,ROW(),32,1000-ROW(),1),OFFSET($A$1,ROW(),20,1000-ROW(),1),ROW(),OFFSET($A$1,ROW(),21,1000-ROW(),1),"Sub"))))</f>
        <v/>
      </c>
      <c r="M60" s="61">
        <f>IF(OR(NOT((COUNTA($B60:$D60)+COUNTA($G60:$H60)+COUNTA($Q60))&gt;0),$V60="Sub"),"",IF(ISNUMBER($G60),1,IF(N($W60)&gt;0,MIN(1,SUMIFS($Y$5:$Y$1000,$U$5:$U$1000,ROW(),$V$5:$V$1000,"Sub")),$Y60)))</f>
        <v/>
      </c>
      <c r="N60" s="56">
        <f>IF(OR($M60="",$V60="Sub"),"",IF($M60&gt;=1,"Completado",IF($M60&gt;0,"En curso","Pendiente")))</f>
        <v/>
      </c>
      <c r="O60" s="56">
        <f>IF(OR(NOT((COUNTA($B60:$D60)+COUNTA($G60:$H60)+COUNTA($Q60))&gt;0),$V60="Sub"),"",IF(ISNUMBER($G60),IF(AND(ISNUMBER($AS60),$G60&gt;$AS60),"Cumplida con "&amp;($G60-$AS60)&amp;IF($G60-$AS60=1," día"," días")&amp;" de retraso","Cumplida"),IF(N($M60)&gt;=1,"Cumplida",IF(NOT(ISNUMBER($AS60)),"Sin fecha límite",IF($AS60&lt;FechaRef,"Vencida hace "&amp;(FechaRef-$AS60)&amp;IF(FechaRef-$AS60=1," día"," días"),IF($AS60=FechaRef,"Vence hoy",IF($AS60-FechaRef&lt;=DiasAlerta,"Vence en "&amp;($AS60-FechaRef)&amp;IF($AS60-FechaRef=1," día"," días"),"En plazo")))))))</f>
        <v/>
      </c>
      <c r="P60" s="62" t="n"/>
      <c r="Q60" s="58" t="n"/>
      <c r="R60" s="63">
        <f>IF(NOT((COUNTA($B60:$D60)+COUNTA($G60:$H60)+COUNTA($Q60))&gt;0),"",IF((IF($C60="","Falta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 OK","⚠ "&amp;LEFT(IF($C60="","Falta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",""),LEN(IF($C60="","Falta el nombre de la actividad"&amp;" · ","")&amp;IF(AND($V60="Sub",N($U60)=0),"Subactividad sin macroactividad arriba"&amp;" · ","")&amp;IF(AND($V60="Macro",$AR60=""),"Sin fecha de inicio"&amp;" · ","")&amp;IF(AND($V60="Macro",$AS60=""),"Sin fecha límite"&amp;" · ","")&amp;IF(AND(LEFT($C60,11)="[Jefatura] ",N($AQ60)=0),"No se encuentra en la hoja de la jefatura (elíjala de nuevo en la lista)"&amp;" · ","")&amp;IF(OR(AND($E60&lt;&gt;"",NOT(ISNUMBER($E60))),AND($F60&lt;&gt;"",NOT(ISNUMBER($F60))),AND($G60&lt;&gt;"",NOT(ISNUMBER($G60)))),"Fecha no válida"&amp;" · ","")&amp;IF(AND(ISNUMBER($AR60),ISNUMBER($AS60),$AR60&gt;$AS60),"Inicio posterior a fecha límite"&amp;" · ","")&amp;IF(AND($V60="Macro",$H60&lt;&gt;"",OR(NOT(ISNUMBER($H60)),$H60&lt;0,$H60&gt;1)),"Peso fuera de rango"&amp;" · ","")&amp;IF(AND($V60="Sub",$H60&lt;&gt;"",OR(NOT(ISNUMBER($H60)),$H60&lt;0,$H60&gt;1)),"% de la subactividad fuera de rango 0-100%"&amp;" · ","")&amp;IF(AND(N($W60)&gt;0,SUMIFS($H$5:$H$1000,$U$5:$U$1000,ROW(),$V$5:$V$1000,"Sub")&gt;1.0001),"Las subactividades suman más de 100%"&amp;" · ","")&amp;IF(AND(N($W60)&gt;0,OR(IF(ISNUMBER($I60),ROUND($I60,6)&lt;&gt;ROUND(MIN(1,SUMIFS($AD$5:$AD$1000,$U$5:$U$1000,ROW(),$V$5:$V$1000,"Sub")),6),FALSE),IF(ISNUMBER($J60),ROUND($J60,6)&lt;&gt;ROUND(MIN(1,SUMIFS($AE$5:$AE$1000,$U$5:$U$1000,ROW(),$V$5:$V$1000,"Sub")),6),FALSE),IF(ISNUMBER($K60),ROUND($K60,6)&lt;&gt;ROUND(MIN(1,SUMIFS($AF$5:$AF$1000,$U$5:$U$1000,ROW(),$V$5:$V$1000,"Sub")),6),FALSE),IF(ISNUMBER($L60),ROUND($L60,6)&lt;&gt;ROUND(MIN(1,SUMIFS($AG$5:$AG$1000,$U$5:$U$1000,ROW(),$V$5:$V$1000,"Sub")),6),FALSE))),"Con subactividades: no escriba en las semanas (se llenan solas)"&amp;" · ","")&amp;IF((COUNTIF($I60:$L60,"&gt;1")+COUNTIF($I60:$L60,"&lt;0")+SUMPRODUCT((LEN($I60:$L60)&gt;0)*NOT(ISNUMBER($I60:$L60))))&gt;0,"Avance fuera de rango 0-100%"&amp;" · ","")&amp;IF(OR(AND(ISNUMBER($J60),$J60&lt;N($I60)),AND(ISNUMBER($K60),$K60&lt;MAX($I60:$J60)),AND(ISNUMBER($L60),$L60&lt;MAX($I60:$K60))),"Avance semanal decreciente"&amp;" · ","")&amp;IF(AND(ISNUMBER($AS60),$AS60&lt;FechaRef,IF($V60="Sub",1,N($M60))&lt;1),"Vencida"&amp;" · ","")&amp;IF(AND(ObsObligatoria="Sí",ISNUMBER($AS60),$AS60&lt;FechaRef,IF($V60="Sub",1,N($M60))&lt;1,$Q60=""),"Vencida sin observación"&amp;" · ",""))-3)))</f>
        <v/>
      </c>
      <c r="S60" s="64">
        <f>IF(NOT((COUNTA($B60:$D60)+COUNTA($G60:$H60)+COUNTA($Q60))&gt;0),"",IF(AND($V60="Sub",N($U60)&gt;0),IF(ISNUMBER(INDEX($AR$5:$AR$1000,$U60-4)),DATE(YEAR(INDEX($AR$5:$AR$1000,$U60-4)),MONTH(INDEX($AR$5:$AR$1000,$U60-4)),1),IF(ISNUMBER(INDEX($AS$5:$AS$1000,$U60-4)),DATE(YEAR(INDEX($AS$5:$AS$1000,$U60-4)),MONTH(INDEX($AS$5:$AS$1000,$U60-4)),1),MesCiclo)),IF(ISNUMBER($AR60),DATE(YEAR($AR60),MONTH($AR60),1),IF(ISNUMBER($AS60),DATE(YEAR($AS60),MONTH($AS60),1),MesCiclo))))</f>
        <v/>
      </c>
      <c r="T60" s="62">
        <f>IF(OR($S60="",$S60&lt;&gt;MesCiclo,$V60&lt;&gt;"Macro"),"",COUNTIFS($S$5:$S60,MesCiclo,$V$5:$V60,"Macro"))</f>
        <v/>
      </c>
      <c r="U60" s="62">
        <f>IF($V60="","",IF($V60="Macro",ROW(),IFERROR(LOOKUP(2,1/($V$5:$V60="Macro"),ROW($V$5:$V60)),0)))</f>
        <v/>
      </c>
      <c r="V60" s="62">
        <f>IF(NOT((COUNTA($B60:$D60)+COUNTA($G60:$H60)+COUNTA($Q60))&gt;0),"",IF($B60="Subactividad","Sub","Macro"))</f>
        <v/>
      </c>
      <c r="W60" s="62">
        <f>IF($V60="Macro",COUNTIFS($U$5:$U$1000,ROW(),$V$5:$V$1000,"Sub"),"")</f>
        <v/>
      </c>
      <c r="X60" s="62">
        <f>IF($V60&lt;&gt;"Sub","",IF(AND(ISNUMBER($H60),N($H60)&gt;0),$H60,IFERROR(MAX(0,1-SUMIFS($H$5:$H$1000,$U$5:$U$1000,$U60,$V$5:$V$1000,"Sub"))/(COUNTIFS($U$5:$U$1000,$U60,$V$5:$V$1000,"Sub")-COUNTIFS($U$5:$U$1000,$U60,$V$5:$V$1000,"Sub",$H$5:$H$1000,"&gt;0")),0)))</f>
        <v/>
      </c>
      <c r="Y60" s="62">
        <f>IF($V60="","",IF($V60="Sub",N($X60)*IF(ISNUMBER($G60),1,MIN(1,MAX(0,IFERROR(LOOKUP(2,1/ISNUMBER($I60:$L60),$I60:$L60),0)))),IF(ISNUMBER($G60),1,IFERROR(LOOKUP(2,1/($I60:$L60&lt;&gt;""),$I60:$L60),0))))</f>
        <v/>
      </c>
      <c r="Z60" s="62">
        <f>IF($V60="","",IF(AND(ISNUMBER($G60),$G60&lt;=IF($S60=MesCiclo,InicioCiclo,$S60+MOD(2-WEEKDAY($S60),7))+6),1,IF(ISNUMBER($I60),$I60,0)))</f>
        <v/>
      </c>
      <c r="AA60" s="62">
        <f>IF($V60="","",IF(AND(ISNUMBER($G60),$G60&lt;=IF($S60=MesCiclo,InicioCiclo,$S60+MOD(2-WEEKDAY($S60),7))+13),1,IF(ISNUMBER($J60),$J60,$Z60)))</f>
        <v/>
      </c>
      <c r="AB60" s="62">
        <f>IF($V60="","",IF(AND(ISNUMBER($G60),$G60&lt;=IF($S60=MesCiclo,InicioCiclo,$S60+MOD(2-WEEKDAY($S60),7))+20),1,IF(ISNUMBER($K60),$K60,$AA60)))</f>
        <v/>
      </c>
      <c r="AC60" s="62">
        <f>IF($V60="","",IF(AND(ISNUMBER($G60),$G60&lt;=IF($S60=MesCiclo,InicioCiclo,$S60+MOD(2-WEEKDAY($S60),7))+27),1,IF(ISNUMBER($L60),$L60,$AB60)))</f>
        <v/>
      </c>
      <c r="AD60" s="62">
        <f>IF($V60&lt;&gt;"Sub","",N($X60)*IF(AND(ISNUMBER($G60),$G60&lt;=IF($S60=MesCiclo,InicioCiclo,$S60+MOD(2-WEEKDAY($S60),7))+6),1,MIN(1,MAX(0,IF(ISNUMBER(OFFSET($A$1,ROW()-1,8)),OFFSET($A$1,ROW()-1,8),0)))))</f>
        <v/>
      </c>
      <c r="AE60" s="62">
        <f>IF($V60&lt;&gt;"Sub","",N($X60)*IF(AND(ISNUMBER($G60),$G60&lt;=IF($S60=MesCiclo,InicioCiclo,$S60+MOD(2-WEEKDAY($S60),7))+13),1,MIN(1,MAX(0,IF(ISNUMBER(OFFSET($A$1,ROW()-1,9)),OFFSET($A$1,ROW()-1,9),IF(ISNUMBER(OFFSET($A$1,ROW()-1,8)),OFFSET($A$1,ROW()-1,8),0))))))</f>
        <v/>
      </c>
      <c r="AF60" s="62">
        <f>IF($V60&lt;&gt;"Sub","",N($X60)*IF(AND(ISNUMBER($G60),$G60&lt;=IF($S60=MesCiclo,InicioCiclo,$S60+MOD(2-WEEKDAY($S60),7))+20),1,MIN(1,MAX(0,IF(ISNUMBER(OFFSET($A$1,ROW()-1,10)),OFFSET($A$1,ROW()-1,10),IF(ISNUMBER(OFFSET($A$1,ROW()-1,9)),OFFSET($A$1,ROW()-1,9),IF(ISNUMBER(OFFSET($A$1,ROW()-1,8)),OFFSET($A$1,ROW()-1,8),0)))))))</f>
        <v/>
      </c>
      <c r="AG60" s="62">
        <f>IF($V60&lt;&gt;"Sub","",N($X60)*IF(AND(ISNUMBER($G60),$G60&lt;=IF($S60=MesCiclo,InicioCiclo,$S60+MOD(2-WEEKDAY($S60),7))+27),1,MIN(1,MAX(0,IF(ISNUMBER(OFFSET($A$1,ROW()-1,11)),OFFSET($A$1,ROW()-1,11),IF(ISNUMBER(OFFSET($A$1,ROW()-1,10)),OFFSET($A$1,ROW()-1,10),IF(ISNUMBER(OFFSET($A$1,ROW()-1,9)),OFFSET($A$1,ROW()-1,9),IF(ISNUMBER(OFFSET($A$1,ROW()-1,8)),OFFSET($A$1,ROW()-1,8),0))))))))</f>
        <v/>
      </c>
      <c r="AH60" s="62">
        <f>IF($V60="","",IF(AND(ISNUMBER($G60),$G60&lt;=IF($S60=MesCiclo,InicioCiclo,$S60+MOD(2-WEEKDAY($S60),7))+6),1,IF(N($W60)&gt;0,MIN(1,SUMIFS($AD$5:$AD$1000,$U$5:$U$1000,ROW(),$V$5:$V$1000,"Sub")),$Z60)))</f>
        <v/>
      </c>
      <c r="AI60" s="62">
        <f>IF($V60="","",IF(AND(ISNUMBER($G60),$G60&lt;=IF($S60=MesCiclo,InicioCiclo,$S60+MOD(2-WEEKDAY($S60),7))+13),1,IF(N($W60)&gt;0,MIN(1,SUMIFS($AE$5:$AE$1000,$U$5:$U$1000,ROW(),$V$5:$V$1000,"Sub")),$AA60)))</f>
        <v/>
      </c>
      <c r="AJ60" s="62">
        <f>IF($V60="","",IF(AND(ISNUMBER($G60),$G60&lt;=IF($S60=MesCiclo,InicioCiclo,$S60+MOD(2-WEEKDAY($S60),7))+20),1,IF(N($W60)&gt;0,MIN(1,SUMIFS($AF$5:$AF$1000,$U$5:$U$1000,ROW(),$V$5:$V$1000,"Sub")),$AB60)))</f>
        <v/>
      </c>
      <c r="AK60" s="62">
        <f>IF($V60="","",IF(AND(ISNUMBER($G60),$G60&lt;=IF($S60=MesCiclo,InicioCiclo,$S60+MOD(2-WEEKDAY($S60),7))+27),1,IF(N($W60)&gt;0,MIN(1,SUMIFS($AG$5:$AG$1000,$U$5:$U$1000,ROW(),$V$5:$V$1000,"Sub")),$AC60)))</f>
        <v/>
      </c>
      <c r="AL60" s="62">
        <f>IF($V60&lt;&gt;"Macro","",IF(COUNTIFS($S$5:$S$1000,$S60,$V$5:$V$1000,"Macro",$H$5:$H$1000,"&gt;0")=0,1/COUNTIFS($S$5:$S$1000,$S60,$V$5:$V$1000,"Macro"),IF(AND(ISNUMBER($H60),N($H60)&gt;0),$H60,SUMIFS($H$5:$H$1000,$S$5:$S$1000,$S60,$V$5:$V$1000,"Macro")/COUNTIFS($S$5:$S$1000,$S60,$V$5:$V$1000,"Macro",$H$5:$H$1000,"&gt;0"))/(COUNTIFS($S$5:$S$1000,$S60,$V$5:$V$1000,"Macro")*SUMIFS($H$5:$H$1000,$S$5:$S$1000,$S60,$V$5:$V$1000,"Macro")/COUNTIFS($S$5:$S$1000,$S60,$V$5:$V$1000,"Macro",$H$5:$H$1000,"&gt;0"))))</f>
        <v/>
      </c>
      <c r="AM60" s="62" t="n"/>
      <c r="AN60" s="62" t="n"/>
      <c r="AO60" s="62" t="n"/>
      <c r="AP60" s="62" t="n"/>
      <c r="AQ60" s="62">
        <f>IF(LEFT($C60,11)="[Jefatura] ",IFERROR(MATCH("Asistente Técnico de Riesgo|"&amp;MID($C60,12,500),rDname_ADM,0),0),"")</f>
        <v/>
      </c>
      <c r="AR60" s="62">
        <f>IF(N($AQ60)&gt;0,INDEX(rIni_ADM,$AQ60),IF(ISNUMBER($E60),$E60,""))</f>
        <v/>
      </c>
      <c r="AS60" s="62">
        <f>IF(N($AQ60)&gt;0,INDEX(rLim_ADM,$AQ60),IF(ISNUMBER($F60),$F60,""))</f>
        <v/>
      </c>
    </row>
    <row r="61">
      <c r="A61" s="56">
        <f>IF(NOT((COUNTA($B61:$D61)+COUNTA($G61:$H61)+COUNTA($Q61))&gt;0),"",IF($V61="Macro",COUNTIFS($V$5:$V61,"Macro",$S$5:$S61,$S61),IF(N($U61)=0,"?",COUNTIFS(INDEX($V$5:$V$1000,1):INDEX($V$5:$V$1000,$U61-4),"Macro",INDEX($S$5:$S$1000,1):INDEX($S$5:$S$1000,$U61-4),INDEX($S$5:$S$1000,$U61-4))&amp;"."&amp;COUNTIFS($U$5:$U61,$U61,$V$5:$V61,"Sub"))))</f>
        <v/>
      </c>
      <c r="B61" s="57" t="n"/>
      <c r="C61" s="58" t="n"/>
      <c r="D61" s="58" t="n"/>
      <c r="E61" s="59">
        <f>IF(N($AQ61)&gt;0,INDEX(rIni_ADM,$AQ61),"")</f>
        <v/>
      </c>
      <c r="F61" s="59">
        <f>IF(N($AQ61)&gt;0,INDEX(rLim_ADM,$AQ61),"")</f>
        <v/>
      </c>
      <c r="G61" s="59" t="n"/>
      <c r="H61" s="60" t="n"/>
      <c r="I61" s="60">
        <f>IF(N($W61)=0,"",IF(AND($S61=MesCiclo,1&gt;SemanaActual),"",MIN(1,SUMIFS(OFFSET($A$1,ROW(),29,1000-ROW(),1),OFFSET($A$1,ROW(),20,1000-ROW(),1),ROW(),OFFSET($A$1,ROW(),21,1000-ROW(),1),"Sub"))))</f>
        <v/>
      </c>
      <c r="J61" s="60">
        <f>IF(N($W61)=0,"",IF(AND($S61=MesCiclo,2&gt;SemanaActual),"",MIN(1,SUMIFS(OFFSET($A$1,ROW(),30,1000-ROW(),1),OFFSET($A$1,ROW(),20,1000-ROW(),1),ROW(),OFFSET($A$1,ROW(),21,1000-ROW(),1),"Sub"))))</f>
        <v/>
      </c>
      <c r="K61" s="60">
        <f>IF(N($W61)=0,"",IF(AND($S61=MesCiclo,3&gt;SemanaActual),"",MIN(1,SUMIFS(OFFSET($A$1,ROW(),31,1000-ROW(),1),OFFSET($A$1,ROW(),20,1000-ROW(),1),ROW(),OFFSET($A$1,ROW(),21,1000-ROW(),1),"Sub"))))</f>
        <v/>
      </c>
      <c r="L61" s="60">
        <f>IF(N($W61)=0,"",IF(AND($S61=MesCiclo,4&gt;SemanaActual),"",MIN(1,SUMIFS(OFFSET($A$1,ROW(),32,1000-ROW(),1),OFFSET($A$1,ROW(),20,1000-ROW(),1),ROW(),OFFSET($A$1,ROW(),21,1000-ROW(),1),"Sub"))))</f>
        <v/>
      </c>
      <c r="M61" s="61">
        <f>IF(OR(NOT((COUNTA($B61:$D61)+COUNTA($G61:$H61)+COUNTA($Q61))&gt;0),$V61="Sub"),"",IF(ISNUMBER($G61),1,IF(N($W61)&gt;0,MIN(1,SUMIFS($Y$5:$Y$1000,$U$5:$U$1000,ROW(),$V$5:$V$1000,"Sub")),$Y61)))</f>
        <v/>
      </c>
      <c r="N61" s="56">
        <f>IF(OR($M61="",$V61="Sub"),"",IF($M61&gt;=1,"Completado",IF($M61&gt;0,"En curso","Pendiente")))</f>
        <v/>
      </c>
      <c r="O61" s="56">
        <f>IF(OR(NOT((COUNTA($B61:$D61)+COUNTA($G61:$H61)+COUNTA($Q61))&gt;0),$V61="Sub"),"",IF(ISNUMBER($G61),IF(AND(ISNUMBER($AS61),$G61&gt;$AS61),"Cumplida con "&amp;($G61-$AS61)&amp;IF($G61-$AS61=1," día"," días")&amp;" de retraso","Cumplida"),IF(N($M61)&gt;=1,"Cumplida",IF(NOT(ISNUMBER($AS61)),"Sin fecha límite",IF($AS61&lt;FechaRef,"Vencida hace "&amp;(FechaRef-$AS61)&amp;IF(FechaRef-$AS61=1," día"," días"),IF($AS61=FechaRef,"Vence hoy",IF($AS61-FechaRef&lt;=DiasAlerta,"Vence en "&amp;($AS61-FechaRef)&amp;IF($AS61-FechaRef=1," día"," días"),"En plazo")))))))</f>
        <v/>
      </c>
      <c r="P61" s="62" t="n"/>
      <c r="Q61" s="58" t="n"/>
      <c r="R61" s="63">
        <f>IF(NOT((COUNTA($B61:$D61)+COUNTA($G61:$H61)+COUNTA($Q61))&gt;0),"",IF((IF($C61="","Falta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 OK","⚠ "&amp;LEFT(IF($C61="","Falta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",""),LEN(IF($C61="","Falta el nombre de la actividad"&amp;" · ","")&amp;IF(AND($V61="Sub",N($U61)=0),"Subactividad sin macroactividad arriba"&amp;" · ","")&amp;IF(AND($V61="Macro",$AR61=""),"Sin fecha de inicio"&amp;" · ","")&amp;IF(AND($V61="Macro",$AS61=""),"Sin fecha límite"&amp;" · ","")&amp;IF(AND(LEFT($C61,11)="[Jefatura] ",N($AQ61)=0),"No se encuentra en la hoja de la jefatura (elíjala de nuevo en la lista)"&amp;" · ","")&amp;IF(OR(AND($E61&lt;&gt;"",NOT(ISNUMBER($E61))),AND($F61&lt;&gt;"",NOT(ISNUMBER($F61))),AND($G61&lt;&gt;"",NOT(ISNUMBER($G61)))),"Fecha no válida"&amp;" · ","")&amp;IF(AND(ISNUMBER($AR61),ISNUMBER($AS61),$AR61&gt;$AS61),"Inicio posterior a fecha límite"&amp;" · ","")&amp;IF(AND($V61="Macro",$H61&lt;&gt;"",OR(NOT(ISNUMBER($H61)),$H61&lt;0,$H61&gt;1)),"Peso fuera de rango"&amp;" · ","")&amp;IF(AND($V61="Sub",$H61&lt;&gt;"",OR(NOT(ISNUMBER($H61)),$H61&lt;0,$H61&gt;1)),"% de la subactividad fuera de rango 0-100%"&amp;" · ","")&amp;IF(AND(N($W61)&gt;0,SUMIFS($H$5:$H$1000,$U$5:$U$1000,ROW(),$V$5:$V$1000,"Sub")&gt;1.0001),"Las subactividades suman más de 100%"&amp;" · ","")&amp;IF(AND(N($W61)&gt;0,OR(IF(ISNUMBER($I61),ROUND($I61,6)&lt;&gt;ROUND(MIN(1,SUMIFS($AD$5:$AD$1000,$U$5:$U$1000,ROW(),$V$5:$V$1000,"Sub")),6),FALSE),IF(ISNUMBER($J61),ROUND($J61,6)&lt;&gt;ROUND(MIN(1,SUMIFS($AE$5:$AE$1000,$U$5:$U$1000,ROW(),$V$5:$V$1000,"Sub")),6),FALSE),IF(ISNUMBER($K61),ROUND($K61,6)&lt;&gt;ROUND(MIN(1,SUMIFS($AF$5:$AF$1000,$U$5:$U$1000,ROW(),$V$5:$V$1000,"Sub")),6),FALSE),IF(ISNUMBER($L61),ROUND($L61,6)&lt;&gt;ROUND(MIN(1,SUMIFS($AG$5:$AG$1000,$U$5:$U$1000,ROW(),$V$5:$V$1000,"Sub")),6),FALSE))),"Con subactividades: no escriba en las semanas (se llenan solas)"&amp;" · ","")&amp;IF((COUNTIF($I61:$L61,"&gt;1")+COUNTIF($I61:$L61,"&lt;0")+SUMPRODUCT((LEN($I61:$L61)&gt;0)*NOT(ISNUMBER($I61:$L61))))&gt;0,"Avance fuera de rango 0-100%"&amp;" · ","")&amp;IF(OR(AND(ISNUMBER($J61),$J61&lt;N($I61)),AND(ISNUMBER($K61),$K61&lt;MAX($I61:$J61)),AND(ISNUMBER($L61),$L61&lt;MAX($I61:$K61))),"Avance semanal decreciente"&amp;" · ","")&amp;IF(AND(ISNUMBER($AS61),$AS61&lt;FechaRef,IF($V61="Sub",1,N($M61))&lt;1),"Vencida"&amp;" · ","")&amp;IF(AND(ObsObligatoria="Sí",ISNUMBER($AS61),$AS61&lt;FechaRef,IF($V61="Sub",1,N($M61))&lt;1,$Q61=""),"Vencida sin observación"&amp;" · ",""))-3)))</f>
        <v/>
      </c>
      <c r="S61" s="64">
        <f>IF(NOT((COUNTA($B61:$D61)+COUNTA($G61:$H61)+COUNTA($Q61))&gt;0),"",IF(AND($V61="Sub",N($U61)&gt;0),IF(ISNUMBER(INDEX($AR$5:$AR$1000,$U61-4)),DATE(YEAR(INDEX($AR$5:$AR$1000,$U61-4)),MONTH(INDEX($AR$5:$AR$1000,$U61-4)),1),IF(ISNUMBER(INDEX($AS$5:$AS$1000,$U61-4)),DATE(YEAR(INDEX($AS$5:$AS$1000,$U61-4)),MONTH(INDEX($AS$5:$AS$1000,$U61-4)),1),MesCiclo)),IF(ISNUMBER($AR61),DATE(YEAR($AR61),MONTH($AR61),1),IF(ISNUMBER($AS61),DATE(YEAR($AS61),MONTH($AS61),1),MesCiclo))))</f>
        <v/>
      </c>
      <c r="T61" s="62">
        <f>IF(OR($S61="",$S61&lt;&gt;MesCiclo,$V61&lt;&gt;"Macro"),"",COUNTIFS($S$5:$S61,MesCiclo,$V$5:$V61,"Macro"))</f>
        <v/>
      </c>
      <c r="U61" s="62">
        <f>IF($V61="","",IF($V61="Macro",ROW(),IFERROR(LOOKUP(2,1/($V$5:$V61="Macro"),ROW($V$5:$V61)),0)))</f>
        <v/>
      </c>
      <c r="V61" s="62">
        <f>IF(NOT((COUNTA($B61:$D61)+COUNTA($G61:$H61)+COUNTA($Q61))&gt;0),"",IF($B61="Subactividad","Sub","Macro"))</f>
        <v/>
      </c>
      <c r="W61" s="62">
        <f>IF($V61="Macro",COUNTIFS($U$5:$U$1000,ROW(),$V$5:$V$1000,"Sub"),"")</f>
        <v/>
      </c>
      <c r="X61" s="62">
        <f>IF($V61&lt;&gt;"Sub","",IF(AND(ISNUMBER($H61),N($H61)&gt;0),$H61,IFERROR(MAX(0,1-SUMIFS($H$5:$H$1000,$U$5:$U$1000,$U61,$V$5:$V$1000,"Sub"))/(COUNTIFS($U$5:$U$1000,$U61,$V$5:$V$1000,"Sub")-COUNTIFS($U$5:$U$1000,$U61,$V$5:$V$1000,"Sub",$H$5:$H$1000,"&gt;0")),0)))</f>
        <v/>
      </c>
      <c r="Y61" s="62">
        <f>IF($V61="","",IF($V61="Sub",N($X61)*IF(ISNUMBER($G61),1,MIN(1,MAX(0,IFERROR(LOOKUP(2,1/ISNUMBER($I61:$L61),$I61:$L61),0)))),IF(ISNUMBER($G61),1,IFERROR(LOOKUP(2,1/($I61:$L61&lt;&gt;""),$I61:$L61),0))))</f>
        <v/>
      </c>
      <c r="Z61" s="62">
        <f>IF($V61="","",IF(AND(ISNUMBER($G61),$G61&lt;=IF($S61=MesCiclo,InicioCiclo,$S61+MOD(2-WEEKDAY($S61),7))+6),1,IF(ISNUMBER($I61),$I61,0)))</f>
        <v/>
      </c>
      <c r="AA61" s="62">
        <f>IF($V61="","",IF(AND(ISNUMBER($G61),$G61&lt;=IF($S61=MesCiclo,InicioCiclo,$S61+MOD(2-WEEKDAY($S61),7))+13),1,IF(ISNUMBER($J61),$J61,$Z61)))</f>
        <v/>
      </c>
      <c r="AB61" s="62">
        <f>IF($V61="","",IF(AND(ISNUMBER($G61),$G61&lt;=IF($S61=MesCiclo,InicioCiclo,$S61+MOD(2-WEEKDAY($S61),7))+20),1,IF(ISNUMBER($K61),$K61,$AA61)))</f>
        <v/>
      </c>
      <c r="AC61" s="62">
        <f>IF($V61="","",IF(AND(ISNUMBER($G61),$G61&lt;=IF($S61=MesCiclo,InicioCiclo,$S61+MOD(2-WEEKDAY($S61),7))+27),1,IF(ISNUMBER($L61),$L61,$AB61)))</f>
        <v/>
      </c>
      <c r="AD61" s="62">
        <f>IF($V61&lt;&gt;"Sub","",N($X61)*IF(AND(ISNUMBER($G61),$G61&lt;=IF($S61=MesCiclo,InicioCiclo,$S61+MOD(2-WEEKDAY($S61),7))+6),1,MIN(1,MAX(0,IF(ISNUMBER(OFFSET($A$1,ROW()-1,8)),OFFSET($A$1,ROW()-1,8),0)))))</f>
        <v/>
      </c>
      <c r="AE61" s="62">
        <f>IF($V61&lt;&gt;"Sub","",N($X61)*IF(AND(ISNUMBER($G61),$G61&lt;=IF($S61=MesCiclo,InicioCiclo,$S61+MOD(2-WEEKDAY($S61),7))+13),1,MIN(1,MAX(0,IF(ISNUMBER(OFFSET($A$1,ROW()-1,9)),OFFSET($A$1,ROW()-1,9),IF(ISNUMBER(OFFSET($A$1,ROW()-1,8)),OFFSET($A$1,ROW()-1,8),0))))))</f>
        <v/>
      </c>
      <c r="AF61" s="62">
        <f>IF($V61&lt;&gt;"Sub","",N($X61)*IF(AND(ISNUMBER($G61),$G61&lt;=IF($S61=MesCiclo,InicioCiclo,$S61+MOD(2-WEEKDAY($S61),7))+20),1,MIN(1,MAX(0,IF(ISNUMBER(OFFSET($A$1,ROW()-1,10)),OFFSET($A$1,ROW()-1,10),IF(ISNUMBER(OFFSET($A$1,ROW()-1,9)),OFFSET($A$1,ROW()-1,9),IF(ISNUMBER(OFFSET($A$1,ROW()-1,8)),OFFSET($A$1,ROW()-1,8),0)))))))</f>
        <v/>
      </c>
      <c r="AG61" s="62">
        <f>IF($V61&lt;&gt;"Sub","",N($X61)*IF(AND(ISNUMBER($G61),$G61&lt;=IF($S61=MesCiclo,InicioCiclo,$S61+MOD(2-WEEKDAY($S61),7))+27),1,MIN(1,MAX(0,IF(ISNUMBER(OFFSET($A$1,ROW()-1,11)),OFFSET($A$1,ROW()-1,11),IF(ISNUMBER(OFFSET($A$1,ROW()-1,10)),OFFSET($A$1,ROW()-1,10),IF(ISNUMBER(OFFSET($A$1,ROW()-1,9)),OFFSET($A$1,ROW()-1,9),IF(ISNUMBER(OFFSET($A$1,ROW()-1,8)),OFFSET($A$1,ROW()-1,8),0))))))))</f>
        <v/>
      </c>
      <c r="AH61" s="62">
        <f>IF($V61="","",IF(AND(ISNUMBER($G61),$G61&lt;=IF($S61=MesCiclo,InicioCiclo,$S61+MOD(2-WEEKDAY($S61),7))+6),1,IF(N($W61)&gt;0,MIN(1,SUMIFS($AD$5:$AD$1000,$U$5:$U$1000,ROW(),$V$5:$V$1000,"Sub")),$Z61)))</f>
        <v/>
      </c>
      <c r="AI61" s="62">
        <f>IF($V61="","",IF(AND(ISNUMBER($G61),$G61&lt;=IF($S61=MesCiclo,InicioCiclo,$S61+MOD(2-WEEKDAY($S61),7))+13),1,IF(N($W61)&gt;0,MIN(1,SUMIFS($AE$5:$AE$1000,$U$5:$U$1000,ROW(),$V$5:$V$1000,"Sub")),$AA61)))</f>
        <v/>
      </c>
      <c r="AJ61" s="62">
        <f>IF($V61="","",IF(AND(ISNUMBER($G61),$G61&lt;=IF($S61=MesCiclo,InicioCiclo,$S61+MOD(2-WEEKDAY($S61),7))+20),1,IF(N($W61)&gt;0,MIN(1,SUMIFS($AF$5:$AF$1000,$U$5:$U$1000,ROW(),$V$5:$V$1000,"Sub")),$AB61)))</f>
        <v/>
      </c>
      <c r="AK61" s="62">
        <f>IF($V61="","",IF(AND(ISNUMBER($G61),$G61&lt;=IF($S61=MesCiclo,InicioCiclo,$S61+MOD(2-WEEKDAY($S61),7))+27),1,IF(N($W61)&gt;0,MIN(1,SUMIFS($AG$5:$AG$1000,$U$5:$U$1000,ROW(),$V$5:$V$1000,"Sub")),$AC61)))</f>
        <v/>
      </c>
      <c r="AL61" s="62">
        <f>IF($V61&lt;&gt;"Macro","",IF(COUNTIFS($S$5:$S$1000,$S61,$V$5:$V$1000,"Macro",$H$5:$H$1000,"&gt;0")=0,1/COUNTIFS($S$5:$S$1000,$S61,$V$5:$V$1000,"Macro"),IF(AND(ISNUMBER($H61),N($H61)&gt;0),$H61,SUMIFS($H$5:$H$1000,$S$5:$S$1000,$S61,$V$5:$V$1000,"Macro")/COUNTIFS($S$5:$S$1000,$S61,$V$5:$V$1000,"Macro",$H$5:$H$1000,"&gt;0"))/(COUNTIFS($S$5:$S$1000,$S61,$V$5:$V$1000,"Macro")*SUMIFS($H$5:$H$1000,$S$5:$S$1000,$S61,$V$5:$V$1000,"Macro")/COUNTIFS($S$5:$S$1000,$S61,$V$5:$V$1000,"Macro",$H$5:$H$1000,"&gt;0"))))</f>
        <v/>
      </c>
      <c r="AM61" s="62" t="n"/>
      <c r="AN61" s="62" t="n"/>
      <c r="AO61" s="62" t="n"/>
      <c r="AP61" s="62" t="n"/>
      <c r="AQ61" s="62">
        <f>IF(LEFT($C61,11)="[Jefatura] ",IFERROR(MATCH("Asistente Técnico de Riesgo|"&amp;MID($C61,12,500),rDname_ADM,0),0),"")</f>
        <v/>
      </c>
      <c r="AR61" s="62">
        <f>IF(N($AQ61)&gt;0,INDEX(rIni_ADM,$AQ61),IF(ISNUMBER($E61),$E61,""))</f>
        <v/>
      </c>
      <c r="AS61" s="62">
        <f>IF(N($AQ61)&gt;0,INDEX(rLim_ADM,$AQ61),IF(ISNUMBER($F61),$F61,""))</f>
        <v/>
      </c>
    </row>
    <row r="62">
      <c r="A62" s="56">
        <f>IF(NOT((COUNTA($B62:$D62)+COUNTA($G62:$H62)+COUNTA($Q62))&gt;0),"",IF($V62="Macro",COUNTIFS($V$5:$V62,"Macro",$S$5:$S62,$S62),IF(N($U62)=0,"?",COUNTIFS(INDEX($V$5:$V$1000,1):INDEX($V$5:$V$1000,$U62-4),"Macro",INDEX($S$5:$S$1000,1):INDEX($S$5:$S$1000,$U62-4),INDEX($S$5:$S$1000,$U62-4))&amp;"."&amp;COUNTIFS($U$5:$U62,$U62,$V$5:$V62,"Sub"))))</f>
        <v/>
      </c>
      <c r="B62" s="57" t="n"/>
      <c r="C62" s="58" t="n"/>
      <c r="D62" s="58" t="n"/>
      <c r="E62" s="59">
        <f>IF(N($AQ62)&gt;0,INDEX(rIni_ADM,$AQ62),"")</f>
        <v/>
      </c>
      <c r="F62" s="59">
        <f>IF(N($AQ62)&gt;0,INDEX(rLim_ADM,$AQ62),"")</f>
        <v/>
      </c>
      <c r="G62" s="59" t="n"/>
      <c r="H62" s="60" t="n"/>
      <c r="I62" s="60">
        <f>IF(N($W62)=0,"",IF(AND($S62=MesCiclo,1&gt;SemanaActual),"",MIN(1,SUMIFS(OFFSET($A$1,ROW(),29,1000-ROW(),1),OFFSET($A$1,ROW(),20,1000-ROW(),1),ROW(),OFFSET($A$1,ROW(),21,1000-ROW(),1),"Sub"))))</f>
        <v/>
      </c>
      <c r="J62" s="60">
        <f>IF(N($W62)=0,"",IF(AND($S62=MesCiclo,2&gt;SemanaActual),"",MIN(1,SUMIFS(OFFSET($A$1,ROW(),30,1000-ROW(),1),OFFSET($A$1,ROW(),20,1000-ROW(),1),ROW(),OFFSET($A$1,ROW(),21,1000-ROW(),1),"Sub"))))</f>
        <v/>
      </c>
      <c r="K62" s="60">
        <f>IF(N($W62)=0,"",IF(AND($S62=MesCiclo,3&gt;SemanaActual),"",MIN(1,SUMIFS(OFFSET($A$1,ROW(),31,1000-ROW(),1),OFFSET($A$1,ROW(),20,1000-ROW(),1),ROW(),OFFSET($A$1,ROW(),21,1000-ROW(),1),"Sub"))))</f>
        <v/>
      </c>
      <c r="L62" s="60">
        <f>IF(N($W62)=0,"",IF(AND($S62=MesCiclo,4&gt;SemanaActual),"",MIN(1,SUMIFS(OFFSET($A$1,ROW(),32,1000-ROW(),1),OFFSET($A$1,ROW(),20,1000-ROW(),1),ROW(),OFFSET($A$1,ROW(),21,1000-ROW(),1),"Sub"))))</f>
        <v/>
      </c>
      <c r="M62" s="61">
        <f>IF(OR(NOT((COUNTA($B62:$D62)+COUNTA($G62:$H62)+COUNTA($Q62))&gt;0),$V62="Sub"),"",IF(ISNUMBER($G62),1,IF(N($W62)&gt;0,MIN(1,SUMIFS($Y$5:$Y$1000,$U$5:$U$1000,ROW(),$V$5:$V$1000,"Sub")),$Y62)))</f>
        <v/>
      </c>
      <c r="N62" s="56">
        <f>IF(OR($M62="",$V62="Sub"),"",IF($M62&gt;=1,"Completado",IF($M62&gt;0,"En curso","Pendiente")))</f>
        <v/>
      </c>
      <c r="O62" s="56">
        <f>IF(OR(NOT((COUNTA($B62:$D62)+COUNTA($G62:$H62)+COUNTA($Q62))&gt;0),$V62="Sub"),"",IF(ISNUMBER($G62),IF(AND(ISNUMBER($AS62),$G62&gt;$AS62),"Cumplida con "&amp;($G62-$AS62)&amp;IF($G62-$AS62=1," día"," días")&amp;" de retraso","Cumplida"),IF(N($M62)&gt;=1,"Cumplida",IF(NOT(ISNUMBER($AS62)),"Sin fecha límite",IF($AS62&lt;FechaRef,"Vencida hace "&amp;(FechaRef-$AS62)&amp;IF(FechaRef-$AS62=1," día"," días"),IF($AS62=FechaRef,"Vence hoy",IF($AS62-FechaRef&lt;=DiasAlerta,"Vence en "&amp;($AS62-FechaRef)&amp;IF($AS62-FechaRef=1," día"," días"),"En plazo")))))))</f>
        <v/>
      </c>
      <c r="P62" s="62" t="n"/>
      <c r="Q62" s="58" t="n"/>
      <c r="R62" s="63">
        <f>IF(NOT((COUNTA($B62:$D62)+COUNTA($G62:$H62)+COUNTA($Q62))&gt;0),"",IF((IF($C62="","Falta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 OK","⚠ "&amp;LEFT(IF($C62="","Falta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",""),LEN(IF($C62="","Falta el nombre de la actividad"&amp;" · ","")&amp;IF(AND($V62="Sub",N($U62)=0),"Subactividad sin macroactividad arriba"&amp;" · ","")&amp;IF(AND($V62="Macro",$AR62=""),"Sin fecha de inicio"&amp;" · ","")&amp;IF(AND($V62="Macro",$AS62=""),"Sin fecha límite"&amp;" · ","")&amp;IF(AND(LEFT($C62,11)="[Jefatura] ",N($AQ62)=0),"No se encuentra en la hoja de la jefatura (elíjala de nuevo en la lista)"&amp;" · ","")&amp;IF(OR(AND($E62&lt;&gt;"",NOT(ISNUMBER($E62))),AND($F62&lt;&gt;"",NOT(ISNUMBER($F62))),AND($G62&lt;&gt;"",NOT(ISNUMBER($G62)))),"Fecha no válida"&amp;" · ","")&amp;IF(AND(ISNUMBER($AR62),ISNUMBER($AS62),$AR62&gt;$AS62),"Inicio posterior a fecha límite"&amp;" · ","")&amp;IF(AND($V62="Macro",$H62&lt;&gt;"",OR(NOT(ISNUMBER($H62)),$H62&lt;0,$H62&gt;1)),"Peso fuera de rango"&amp;" · ","")&amp;IF(AND($V62="Sub",$H62&lt;&gt;"",OR(NOT(ISNUMBER($H62)),$H62&lt;0,$H62&gt;1)),"% de la subactividad fuera de rango 0-100%"&amp;" · ","")&amp;IF(AND(N($W62)&gt;0,SUMIFS($H$5:$H$1000,$U$5:$U$1000,ROW(),$V$5:$V$1000,"Sub")&gt;1.0001),"Las subactividades suman más de 100%"&amp;" · ","")&amp;IF(AND(N($W62)&gt;0,OR(IF(ISNUMBER($I62),ROUND($I62,6)&lt;&gt;ROUND(MIN(1,SUMIFS($AD$5:$AD$1000,$U$5:$U$1000,ROW(),$V$5:$V$1000,"Sub")),6),FALSE),IF(ISNUMBER($J62),ROUND($J62,6)&lt;&gt;ROUND(MIN(1,SUMIFS($AE$5:$AE$1000,$U$5:$U$1000,ROW(),$V$5:$V$1000,"Sub")),6),FALSE),IF(ISNUMBER($K62),ROUND($K62,6)&lt;&gt;ROUND(MIN(1,SUMIFS($AF$5:$AF$1000,$U$5:$U$1000,ROW(),$V$5:$V$1000,"Sub")),6),FALSE),IF(ISNUMBER($L62),ROUND($L62,6)&lt;&gt;ROUND(MIN(1,SUMIFS($AG$5:$AG$1000,$U$5:$U$1000,ROW(),$V$5:$V$1000,"Sub")),6),FALSE))),"Con subactividades: no escriba en las semanas (se llenan solas)"&amp;" · ","")&amp;IF((COUNTIF($I62:$L62,"&gt;1")+COUNTIF($I62:$L62,"&lt;0")+SUMPRODUCT((LEN($I62:$L62)&gt;0)*NOT(ISNUMBER($I62:$L62))))&gt;0,"Avance fuera de rango 0-100%"&amp;" · ","")&amp;IF(OR(AND(ISNUMBER($J62),$J62&lt;N($I62)),AND(ISNUMBER($K62),$K62&lt;MAX($I62:$J62)),AND(ISNUMBER($L62),$L62&lt;MAX($I62:$K62))),"Avance semanal decreciente"&amp;" · ","")&amp;IF(AND(ISNUMBER($AS62),$AS62&lt;FechaRef,IF($V62="Sub",1,N($M62))&lt;1),"Vencida"&amp;" · ","")&amp;IF(AND(ObsObligatoria="Sí",ISNUMBER($AS62),$AS62&lt;FechaRef,IF($V62="Sub",1,N($M62))&lt;1,$Q62=""),"Vencida sin observación"&amp;" · ",""))-3)))</f>
        <v/>
      </c>
      <c r="S62" s="64">
        <f>IF(NOT((COUNTA($B62:$D62)+COUNTA($G62:$H62)+COUNTA($Q62))&gt;0),"",IF(AND($V62="Sub",N($U62)&gt;0),IF(ISNUMBER(INDEX($AR$5:$AR$1000,$U62-4)),DATE(YEAR(INDEX($AR$5:$AR$1000,$U62-4)),MONTH(INDEX($AR$5:$AR$1000,$U62-4)),1),IF(ISNUMBER(INDEX($AS$5:$AS$1000,$U62-4)),DATE(YEAR(INDEX($AS$5:$AS$1000,$U62-4)),MONTH(INDEX($AS$5:$AS$1000,$U62-4)),1),MesCiclo)),IF(ISNUMBER($AR62),DATE(YEAR($AR62),MONTH($AR62),1),IF(ISNUMBER($AS62),DATE(YEAR($AS62),MONTH($AS62),1),MesCiclo))))</f>
        <v/>
      </c>
      <c r="T62" s="62">
        <f>IF(OR($S62="",$S62&lt;&gt;MesCiclo,$V62&lt;&gt;"Macro"),"",COUNTIFS($S$5:$S62,MesCiclo,$V$5:$V62,"Macro"))</f>
        <v/>
      </c>
      <c r="U62" s="62">
        <f>IF($V62="","",IF($V62="Macro",ROW(),IFERROR(LOOKUP(2,1/($V$5:$V62="Macro"),ROW($V$5:$V62)),0)))</f>
        <v/>
      </c>
      <c r="V62" s="62">
        <f>IF(NOT((COUNTA($B62:$D62)+COUNTA($G62:$H62)+COUNTA($Q62))&gt;0),"",IF($B62="Subactividad","Sub","Macro"))</f>
        <v/>
      </c>
      <c r="W62" s="62">
        <f>IF($V62="Macro",COUNTIFS($U$5:$U$1000,ROW(),$V$5:$V$1000,"Sub"),"")</f>
        <v/>
      </c>
      <c r="X62" s="62">
        <f>IF($V62&lt;&gt;"Sub","",IF(AND(ISNUMBER($H62),N($H62)&gt;0),$H62,IFERROR(MAX(0,1-SUMIFS($H$5:$H$1000,$U$5:$U$1000,$U62,$V$5:$V$1000,"Sub"))/(COUNTIFS($U$5:$U$1000,$U62,$V$5:$V$1000,"Sub")-COUNTIFS($U$5:$U$1000,$U62,$V$5:$V$1000,"Sub",$H$5:$H$1000,"&gt;0")),0)))</f>
        <v/>
      </c>
      <c r="Y62" s="62">
        <f>IF($V62="","",IF($V62="Sub",N($X62)*IF(ISNUMBER($G62),1,MIN(1,MAX(0,IFERROR(LOOKUP(2,1/ISNUMBER($I62:$L62),$I62:$L62),0)))),IF(ISNUMBER($G62),1,IFERROR(LOOKUP(2,1/($I62:$L62&lt;&gt;""),$I62:$L62),0))))</f>
        <v/>
      </c>
      <c r="Z62" s="62">
        <f>IF($V62="","",IF(AND(ISNUMBER($G62),$G62&lt;=IF($S62=MesCiclo,InicioCiclo,$S62+MOD(2-WEEKDAY($S62),7))+6),1,IF(ISNUMBER($I62),$I62,0)))</f>
        <v/>
      </c>
      <c r="AA62" s="62">
        <f>IF($V62="","",IF(AND(ISNUMBER($G62),$G62&lt;=IF($S62=MesCiclo,InicioCiclo,$S62+MOD(2-WEEKDAY($S62),7))+13),1,IF(ISNUMBER($J62),$J62,$Z62)))</f>
        <v/>
      </c>
      <c r="AB62" s="62">
        <f>IF($V62="","",IF(AND(ISNUMBER($G62),$G62&lt;=IF($S62=MesCiclo,InicioCiclo,$S62+MOD(2-WEEKDAY($S62),7))+20),1,IF(ISNUMBER($K62),$K62,$AA62)))</f>
        <v/>
      </c>
      <c r="AC62" s="62">
        <f>IF($V62="","",IF(AND(ISNUMBER($G62),$G62&lt;=IF($S62=MesCiclo,InicioCiclo,$S62+MOD(2-WEEKDAY($S62),7))+27),1,IF(ISNUMBER($L62),$L62,$AB62)))</f>
        <v/>
      </c>
      <c r="AD62" s="62">
        <f>IF($V62&lt;&gt;"Sub","",N($X62)*IF(AND(ISNUMBER($G62),$G62&lt;=IF($S62=MesCiclo,InicioCiclo,$S62+MOD(2-WEEKDAY($S62),7))+6),1,MIN(1,MAX(0,IF(ISNUMBER(OFFSET($A$1,ROW()-1,8)),OFFSET($A$1,ROW()-1,8),0)))))</f>
        <v/>
      </c>
      <c r="AE62" s="62">
        <f>IF($V62&lt;&gt;"Sub","",N($X62)*IF(AND(ISNUMBER($G62),$G62&lt;=IF($S62=MesCiclo,InicioCiclo,$S62+MOD(2-WEEKDAY($S62),7))+13),1,MIN(1,MAX(0,IF(ISNUMBER(OFFSET($A$1,ROW()-1,9)),OFFSET($A$1,ROW()-1,9),IF(ISNUMBER(OFFSET($A$1,ROW()-1,8)),OFFSET($A$1,ROW()-1,8),0))))))</f>
        <v/>
      </c>
      <c r="AF62" s="62">
        <f>IF($V62&lt;&gt;"Sub","",N($X62)*IF(AND(ISNUMBER($G62),$G62&lt;=IF($S62=MesCiclo,InicioCiclo,$S62+MOD(2-WEEKDAY($S62),7))+20),1,MIN(1,MAX(0,IF(ISNUMBER(OFFSET($A$1,ROW()-1,10)),OFFSET($A$1,ROW()-1,10),IF(ISNUMBER(OFFSET($A$1,ROW()-1,9)),OFFSET($A$1,ROW()-1,9),IF(ISNUMBER(OFFSET($A$1,ROW()-1,8)),OFFSET($A$1,ROW()-1,8),0)))))))</f>
        <v/>
      </c>
      <c r="AG62" s="62">
        <f>IF($V62&lt;&gt;"Sub","",N($X62)*IF(AND(ISNUMBER($G62),$G62&lt;=IF($S62=MesCiclo,InicioCiclo,$S62+MOD(2-WEEKDAY($S62),7))+27),1,MIN(1,MAX(0,IF(ISNUMBER(OFFSET($A$1,ROW()-1,11)),OFFSET($A$1,ROW()-1,11),IF(ISNUMBER(OFFSET($A$1,ROW()-1,10)),OFFSET($A$1,ROW()-1,10),IF(ISNUMBER(OFFSET($A$1,ROW()-1,9)),OFFSET($A$1,ROW()-1,9),IF(ISNUMBER(OFFSET($A$1,ROW()-1,8)),OFFSET($A$1,ROW()-1,8),0))))))))</f>
        <v/>
      </c>
      <c r="AH62" s="62">
        <f>IF($V62="","",IF(AND(ISNUMBER($G62),$G62&lt;=IF($S62=MesCiclo,InicioCiclo,$S62+MOD(2-WEEKDAY($S62),7))+6),1,IF(N($W62)&gt;0,MIN(1,SUMIFS($AD$5:$AD$1000,$U$5:$U$1000,ROW(),$V$5:$V$1000,"Sub")),$Z62)))</f>
        <v/>
      </c>
      <c r="AI62" s="62">
        <f>IF($V62="","",IF(AND(ISNUMBER($G62),$G62&lt;=IF($S62=MesCiclo,InicioCiclo,$S62+MOD(2-WEEKDAY($S62),7))+13),1,IF(N($W62)&gt;0,MIN(1,SUMIFS($AE$5:$AE$1000,$U$5:$U$1000,ROW(),$V$5:$V$1000,"Sub")),$AA62)))</f>
        <v/>
      </c>
      <c r="AJ62" s="62">
        <f>IF($V62="","",IF(AND(ISNUMBER($G62),$G62&lt;=IF($S62=MesCiclo,InicioCiclo,$S62+MOD(2-WEEKDAY($S62),7))+20),1,IF(N($W62)&gt;0,MIN(1,SUMIFS($AF$5:$AF$1000,$U$5:$U$1000,ROW(),$V$5:$V$1000,"Sub")),$AB62)))</f>
        <v/>
      </c>
      <c r="AK62" s="62">
        <f>IF($V62="","",IF(AND(ISNUMBER($G62),$G62&lt;=IF($S62=MesCiclo,InicioCiclo,$S62+MOD(2-WEEKDAY($S62),7))+27),1,IF(N($W62)&gt;0,MIN(1,SUMIFS($AG$5:$AG$1000,$U$5:$U$1000,ROW(),$V$5:$V$1000,"Sub")),$AC62)))</f>
        <v/>
      </c>
      <c r="AL62" s="62">
        <f>IF($V62&lt;&gt;"Macro","",IF(COUNTIFS($S$5:$S$1000,$S62,$V$5:$V$1000,"Macro",$H$5:$H$1000,"&gt;0")=0,1/COUNTIFS($S$5:$S$1000,$S62,$V$5:$V$1000,"Macro"),IF(AND(ISNUMBER($H62),N($H62)&gt;0),$H62,SUMIFS($H$5:$H$1000,$S$5:$S$1000,$S62,$V$5:$V$1000,"Macro")/COUNTIFS($S$5:$S$1000,$S62,$V$5:$V$1000,"Macro",$H$5:$H$1000,"&gt;0"))/(COUNTIFS($S$5:$S$1000,$S62,$V$5:$V$1000,"Macro")*SUMIFS($H$5:$H$1000,$S$5:$S$1000,$S62,$V$5:$V$1000,"Macro")/COUNTIFS($S$5:$S$1000,$S62,$V$5:$V$1000,"Macro",$H$5:$H$1000,"&gt;0"))))</f>
        <v/>
      </c>
      <c r="AM62" s="62" t="n"/>
      <c r="AN62" s="62" t="n"/>
      <c r="AO62" s="62" t="n"/>
      <c r="AP62" s="62" t="n"/>
      <c r="AQ62" s="62">
        <f>IF(LEFT($C62,11)="[Jefatura] ",IFERROR(MATCH("Asistente Técnico de Riesgo|"&amp;MID($C62,12,500),rDname_ADM,0),0),"")</f>
        <v/>
      </c>
      <c r="AR62" s="62">
        <f>IF(N($AQ62)&gt;0,INDEX(rIni_ADM,$AQ62),IF(ISNUMBER($E62),$E62,""))</f>
        <v/>
      </c>
      <c r="AS62" s="62">
        <f>IF(N($AQ62)&gt;0,INDEX(rLim_ADM,$AQ62),IF(ISNUMBER($F62),$F62,""))</f>
        <v/>
      </c>
    </row>
    <row r="63">
      <c r="A63" s="56">
        <f>IF(NOT((COUNTA($B63:$D63)+COUNTA($G63:$H63)+COUNTA($Q63))&gt;0),"",IF($V63="Macro",COUNTIFS($V$5:$V63,"Macro",$S$5:$S63,$S63),IF(N($U63)=0,"?",COUNTIFS(INDEX($V$5:$V$1000,1):INDEX($V$5:$V$1000,$U63-4),"Macro",INDEX($S$5:$S$1000,1):INDEX($S$5:$S$1000,$U63-4),INDEX($S$5:$S$1000,$U63-4))&amp;"."&amp;COUNTIFS($U$5:$U63,$U63,$V$5:$V63,"Sub"))))</f>
        <v/>
      </c>
      <c r="B63" s="57" t="n"/>
      <c r="C63" s="58" t="n"/>
      <c r="D63" s="58" t="n"/>
      <c r="E63" s="59">
        <f>IF(N($AQ63)&gt;0,INDEX(rIni_ADM,$AQ63),"")</f>
        <v/>
      </c>
      <c r="F63" s="59">
        <f>IF(N($AQ63)&gt;0,INDEX(rLim_ADM,$AQ63),"")</f>
        <v/>
      </c>
      <c r="G63" s="59" t="n"/>
      <c r="H63" s="60" t="n"/>
      <c r="I63" s="60">
        <f>IF(N($W63)=0,"",IF(AND($S63=MesCiclo,1&gt;SemanaActual),"",MIN(1,SUMIFS(OFFSET($A$1,ROW(),29,1000-ROW(),1),OFFSET($A$1,ROW(),20,1000-ROW(),1),ROW(),OFFSET($A$1,ROW(),21,1000-ROW(),1),"Sub"))))</f>
        <v/>
      </c>
      <c r="J63" s="60">
        <f>IF(N($W63)=0,"",IF(AND($S63=MesCiclo,2&gt;SemanaActual),"",MIN(1,SUMIFS(OFFSET($A$1,ROW(),30,1000-ROW(),1),OFFSET($A$1,ROW(),20,1000-ROW(),1),ROW(),OFFSET($A$1,ROW(),21,1000-ROW(),1),"Sub"))))</f>
        <v/>
      </c>
      <c r="K63" s="60">
        <f>IF(N($W63)=0,"",IF(AND($S63=MesCiclo,3&gt;SemanaActual),"",MIN(1,SUMIFS(OFFSET($A$1,ROW(),31,1000-ROW(),1),OFFSET($A$1,ROW(),20,1000-ROW(),1),ROW(),OFFSET($A$1,ROW(),21,1000-ROW(),1),"Sub"))))</f>
        <v/>
      </c>
      <c r="L63" s="60">
        <f>IF(N($W63)=0,"",IF(AND($S63=MesCiclo,4&gt;SemanaActual),"",MIN(1,SUMIFS(OFFSET($A$1,ROW(),32,1000-ROW(),1),OFFSET($A$1,ROW(),20,1000-ROW(),1),ROW(),OFFSET($A$1,ROW(),21,1000-ROW(),1),"Sub"))))</f>
        <v/>
      </c>
      <c r="M63" s="61">
        <f>IF(OR(NOT((COUNTA($B63:$D63)+COUNTA($G63:$H63)+COUNTA($Q63))&gt;0),$V63="Sub"),"",IF(ISNUMBER($G63),1,IF(N($W63)&gt;0,MIN(1,SUMIFS($Y$5:$Y$1000,$U$5:$U$1000,ROW(),$V$5:$V$1000,"Sub")),$Y63)))</f>
        <v/>
      </c>
      <c r="N63" s="56">
        <f>IF(OR($M63="",$V63="Sub"),"",IF($M63&gt;=1,"Completado",IF($M63&gt;0,"En curso","Pendiente")))</f>
        <v/>
      </c>
      <c r="O63" s="56">
        <f>IF(OR(NOT((COUNTA($B63:$D63)+COUNTA($G63:$H63)+COUNTA($Q63))&gt;0),$V63="Sub"),"",IF(ISNUMBER($G63),IF(AND(ISNUMBER($AS63),$G63&gt;$AS63),"Cumplida con "&amp;($G63-$AS63)&amp;IF($G63-$AS63=1," día"," días")&amp;" de retraso","Cumplida"),IF(N($M63)&gt;=1,"Cumplida",IF(NOT(ISNUMBER($AS63)),"Sin fecha límite",IF($AS63&lt;FechaRef,"Vencida hace "&amp;(FechaRef-$AS63)&amp;IF(FechaRef-$AS63=1," día"," días"),IF($AS63=FechaRef,"Vence hoy",IF($AS63-FechaRef&lt;=DiasAlerta,"Vence en "&amp;($AS63-FechaRef)&amp;IF($AS63-FechaRef=1," día"," días"),"En plazo")))))))</f>
        <v/>
      </c>
      <c r="P63" s="62" t="n"/>
      <c r="Q63" s="58" t="n"/>
      <c r="R63" s="63">
        <f>IF(NOT((COUNTA($B63:$D63)+COUNTA($G63:$H63)+COUNTA($Q63))&gt;0),"",IF((IF($C63="","Falta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 OK","⚠ "&amp;LEFT(IF($C63="","Falta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",""),LEN(IF($C63="","Falta el nombre de la actividad"&amp;" · ","")&amp;IF(AND($V63="Sub",N($U63)=0),"Subactividad sin macroactividad arriba"&amp;" · ","")&amp;IF(AND($V63="Macro",$AR63=""),"Sin fecha de inicio"&amp;" · ","")&amp;IF(AND($V63="Macro",$AS63=""),"Sin fecha límite"&amp;" · ","")&amp;IF(AND(LEFT($C63,11)="[Jefatura] ",N($AQ63)=0),"No se encuentra en la hoja de la jefatura (elíjala de nuevo en la lista)"&amp;" · ","")&amp;IF(OR(AND($E63&lt;&gt;"",NOT(ISNUMBER($E63))),AND($F63&lt;&gt;"",NOT(ISNUMBER($F63))),AND($G63&lt;&gt;"",NOT(ISNUMBER($G63)))),"Fecha no válida"&amp;" · ","")&amp;IF(AND(ISNUMBER($AR63),ISNUMBER($AS63),$AR63&gt;$AS63),"Inicio posterior a fecha límite"&amp;" · ","")&amp;IF(AND($V63="Macro",$H63&lt;&gt;"",OR(NOT(ISNUMBER($H63)),$H63&lt;0,$H63&gt;1)),"Peso fuera de rango"&amp;" · ","")&amp;IF(AND($V63="Sub",$H63&lt;&gt;"",OR(NOT(ISNUMBER($H63)),$H63&lt;0,$H63&gt;1)),"% de la subactividad fuera de rango 0-100%"&amp;" · ","")&amp;IF(AND(N($W63)&gt;0,SUMIFS($H$5:$H$1000,$U$5:$U$1000,ROW(),$V$5:$V$1000,"Sub")&gt;1.0001),"Las subactividades suman más de 100%"&amp;" · ","")&amp;IF(AND(N($W63)&gt;0,OR(IF(ISNUMBER($I63),ROUND($I63,6)&lt;&gt;ROUND(MIN(1,SUMIFS($AD$5:$AD$1000,$U$5:$U$1000,ROW(),$V$5:$V$1000,"Sub")),6),FALSE),IF(ISNUMBER($J63),ROUND($J63,6)&lt;&gt;ROUND(MIN(1,SUMIFS($AE$5:$AE$1000,$U$5:$U$1000,ROW(),$V$5:$V$1000,"Sub")),6),FALSE),IF(ISNUMBER($K63),ROUND($K63,6)&lt;&gt;ROUND(MIN(1,SUMIFS($AF$5:$AF$1000,$U$5:$U$1000,ROW(),$V$5:$V$1000,"Sub")),6),FALSE),IF(ISNUMBER($L63),ROUND($L63,6)&lt;&gt;ROUND(MIN(1,SUMIFS($AG$5:$AG$1000,$U$5:$U$1000,ROW(),$V$5:$V$1000,"Sub")),6),FALSE))),"Con subactividades: no escriba en las semanas (se llenan solas)"&amp;" · ","")&amp;IF((COUNTIF($I63:$L63,"&gt;1")+COUNTIF($I63:$L63,"&lt;0")+SUMPRODUCT((LEN($I63:$L63)&gt;0)*NOT(ISNUMBER($I63:$L63))))&gt;0,"Avance fuera de rango 0-100%"&amp;" · ","")&amp;IF(OR(AND(ISNUMBER($J63),$J63&lt;N($I63)),AND(ISNUMBER($K63),$K63&lt;MAX($I63:$J63)),AND(ISNUMBER($L63),$L63&lt;MAX($I63:$K63))),"Avance semanal decreciente"&amp;" · ","")&amp;IF(AND(ISNUMBER($AS63),$AS63&lt;FechaRef,IF($V63="Sub",1,N($M63))&lt;1),"Vencida"&amp;" · ","")&amp;IF(AND(ObsObligatoria="Sí",ISNUMBER($AS63),$AS63&lt;FechaRef,IF($V63="Sub",1,N($M63))&lt;1,$Q63=""),"Vencida sin observación"&amp;" · ",""))-3)))</f>
        <v/>
      </c>
      <c r="S63" s="64">
        <f>IF(NOT((COUNTA($B63:$D63)+COUNTA($G63:$H63)+COUNTA($Q63))&gt;0),"",IF(AND($V63="Sub",N($U63)&gt;0),IF(ISNUMBER(INDEX($AR$5:$AR$1000,$U63-4)),DATE(YEAR(INDEX($AR$5:$AR$1000,$U63-4)),MONTH(INDEX($AR$5:$AR$1000,$U63-4)),1),IF(ISNUMBER(INDEX($AS$5:$AS$1000,$U63-4)),DATE(YEAR(INDEX($AS$5:$AS$1000,$U63-4)),MONTH(INDEX($AS$5:$AS$1000,$U63-4)),1),MesCiclo)),IF(ISNUMBER($AR63),DATE(YEAR($AR63),MONTH($AR63),1),IF(ISNUMBER($AS63),DATE(YEAR($AS63),MONTH($AS63),1),MesCiclo))))</f>
        <v/>
      </c>
      <c r="T63" s="62">
        <f>IF(OR($S63="",$S63&lt;&gt;MesCiclo,$V63&lt;&gt;"Macro"),"",COUNTIFS($S$5:$S63,MesCiclo,$V$5:$V63,"Macro"))</f>
        <v/>
      </c>
      <c r="U63" s="62">
        <f>IF($V63="","",IF($V63="Macro",ROW(),IFERROR(LOOKUP(2,1/($V$5:$V63="Macro"),ROW($V$5:$V63)),0)))</f>
        <v/>
      </c>
      <c r="V63" s="62">
        <f>IF(NOT((COUNTA($B63:$D63)+COUNTA($G63:$H63)+COUNTA($Q63))&gt;0),"",IF($B63="Subactividad","Sub","Macro"))</f>
        <v/>
      </c>
      <c r="W63" s="62">
        <f>IF($V63="Macro",COUNTIFS($U$5:$U$1000,ROW(),$V$5:$V$1000,"Sub"),"")</f>
        <v/>
      </c>
      <c r="X63" s="62">
        <f>IF($V63&lt;&gt;"Sub","",IF(AND(ISNUMBER($H63),N($H63)&gt;0),$H63,IFERROR(MAX(0,1-SUMIFS($H$5:$H$1000,$U$5:$U$1000,$U63,$V$5:$V$1000,"Sub"))/(COUNTIFS($U$5:$U$1000,$U63,$V$5:$V$1000,"Sub")-COUNTIFS($U$5:$U$1000,$U63,$V$5:$V$1000,"Sub",$H$5:$H$1000,"&gt;0")),0)))</f>
        <v/>
      </c>
      <c r="Y63" s="62">
        <f>IF($V63="","",IF($V63="Sub",N($X63)*IF(ISNUMBER($G63),1,MIN(1,MAX(0,IFERROR(LOOKUP(2,1/ISNUMBER($I63:$L63),$I63:$L63),0)))),IF(ISNUMBER($G63),1,IFERROR(LOOKUP(2,1/($I63:$L63&lt;&gt;""),$I63:$L63),0))))</f>
        <v/>
      </c>
      <c r="Z63" s="62">
        <f>IF($V63="","",IF(AND(ISNUMBER($G63),$G63&lt;=IF($S63=MesCiclo,InicioCiclo,$S63+MOD(2-WEEKDAY($S63),7))+6),1,IF(ISNUMBER($I63),$I63,0)))</f>
        <v/>
      </c>
      <c r="AA63" s="62">
        <f>IF($V63="","",IF(AND(ISNUMBER($G63),$G63&lt;=IF($S63=MesCiclo,InicioCiclo,$S63+MOD(2-WEEKDAY($S63),7))+13),1,IF(ISNUMBER($J63),$J63,$Z63)))</f>
        <v/>
      </c>
      <c r="AB63" s="62">
        <f>IF($V63="","",IF(AND(ISNUMBER($G63),$G63&lt;=IF($S63=MesCiclo,InicioCiclo,$S63+MOD(2-WEEKDAY($S63),7))+20),1,IF(ISNUMBER($K63),$K63,$AA63)))</f>
        <v/>
      </c>
      <c r="AC63" s="62">
        <f>IF($V63="","",IF(AND(ISNUMBER($G63),$G63&lt;=IF($S63=MesCiclo,InicioCiclo,$S63+MOD(2-WEEKDAY($S63),7))+27),1,IF(ISNUMBER($L63),$L63,$AB63)))</f>
        <v/>
      </c>
      <c r="AD63" s="62">
        <f>IF($V63&lt;&gt;"Sub","",N($X63)*IF(AND(ISNUMBER($G63),$G63&lt;=IF($S63=MesCiclo,InicioCiclo,$S63+MOD(2-WEEKDAY($S63),7))+6),1,MIN(1,MAX(0,IF(ISNUMBER(OFFSET($A$1,ROW()-1,8)),OFFSET($A$1,ROW()-1,8),0)))))</f>
        <v/>
      </c>
      <c r="AE63" s="62">
        <f>IF($V63&lt;&gt;"Sub","",N($X63)*IF(AND(ISNUMBER($G63),$G63&lt;=IF($S63=MesCiclo,InicioCiclo,$S63+MOD(2-WEEKDAY($S63),7))+13),1,MIN(1,MAX(0,IF(ISNUMBER(OFFSET($A$1,ROW()-1,9)),OFFSET($A$1,ROW()-1,9),IF(ISNUMBER(OFFSET($A$1,ROW()-1,8)),OFFSET($A$1,ROW()-1,8),0))))))</f>
        <v/>
      </c>
      <c r="AF63" s="62">
        <f>IF($V63&lt;&gt;"Sub","",N($X63)*IF(AND(ISNUMBER($G63),$G63&lt;=IF($S63=MesCiclo,InicioCiclo,$S63+MOD(2-WEEKDAY($S63),7))+20),1,MIN(1,MAX(0,IF(ISNUMBER(OFFSET($A$1,ROW()-1,10)),OFFSET($A$1,ROW()-1,10),IF(ISNUMBER(OFFSET($A$1,ROW()-1,9)),OFFSET($A$1,ROW()-1,9),IF(ISNUMBER(OFFSET($A$1,ROW()-1,8)),OFFSET($A$1,ROW()-1,8),0)))))))</f>
        <v/>
      </c>
      <c r="AG63" s="62">
        <f>IF($V63&lt;&gt;"Sub","",N($X63)*IF(AND(ISNUMBER($G63),$G63&lt;=IF($S63=MesCiclo,InicioCiclo,$S63+MOD(2-WEEKDAY($S63),7))+27),1,MIN(1,MAX(0,IF(ISNUMBER(OFFSET($A$1,ROW()-1,11)),OFFSET($A$1,ROW()-1,11),IF(ISNUMBER(OFFSET($A$1,ROW()-1,10)),OFFSET($A$1,ROW()-1,10),IF(ISNUMBER(OFFSET($A$1,ROW()-1,9)),OFFSET($A$1,ROW()-1,9),IF(ISNUMBER(OFFSET($A$1,ROW()-1,8)),OFFSET($A$1,ROW()-1,8),0))))))))</f>
        <v/>
      </c>
      <c r="AH63" s="62">
        <f>IF($V63="","",IF(AND(ISNUMBER($G63),$G63&lt;=IF($S63=MesCiclo,InicioCiclo,$S63+MOD(2-WEEKDAY($S63),7))+6),1,IF(N($W63)&gt;0,MIN(1,SUMIFS($AD$5:$AD$1000,$U$5:$U$1000,ROW(),$V$5:$V$1000,"Sub")),$Z63)))</f>
        <v/>
      </c>
      <c r="AI63" s="62">
        <f>IF($V63="","",IF(AND(ISNUMBER($G63),$G63&lt;=IF($S63=MesCiclo,InicioCiclo,$S63+MOD(2-WEEKDAY($S63),7))+13),1,IF(N($W63)&gt;0,MIN(1,SUMIFS($AE$5:$AE$1000,$U$5:$U$1000,ROW(),$V$5:$V$1000,"Sub")),$AA63)))</f>
        <v/>
      </c>
      <c r="AJ63" s="62">
        <f>IF($V63="","",IF(AND(ISNUMBER($G63),$G63&lt;=IF($S63=MesCiclo,InicioCiclo,$S63+MOD(2-WEEKDAY($S63),7))+20),1,IF(N($W63)&gt;0,MIN(1,SUMIFS($AF$5:$AF$1000,$U$5:$U$1000,ROW(),$V$5:$V$1000,"Sub")),$AB63)))</f>
        <v/>
      </c>
      <c r="AK63" s="62">
        <f>IF($V63="","",IF(AND(ISNUMBER($G63),$G63&lt;=IF($S63=MesCiclo,InicioCiclo,$S63+MOD(2-WEEKDAY($S63),7))+27),1,IF(N($W63)&gt;0,MIN(1,SUMIFS($AG$5:$AG$1000,$U$5:$U$1000,ROW(),$V$5:$V$1000,"Sub")),$AC63)))</f>
        <v/>
      </c>
      <c r="AL63" s="62">
        <f>IF($V63&lt;&gt;"Macro","",IF(COUNTIFS($S$5:$S$1000,$S63,$V$5:$V$1000,"Macro",$H$5:$H$1000,"&gt;0")=0,1/COUNTIFS($S$5:$S$1000,$S63,$V$5:$V$1000,"Macro"),IF(AND(ISNUMBER($H63),N($H63)&gt;0),$H63,SUMIFS($H$5:$H$1000,$S$5:$S$1000,$S63,$V$5:$V$1000,"Macro")/COUNTIFS($S$5:$S$1000,$S63,$V$5:$V$1000,"Macro",$H$5:$H$1000,"&gt;0"))/(COUNTIFS($S$5:$S$1000,$S63,$V$5:$V$1000,"Macro")*SUMIFS($H$5:$H$1000,$S$5:$S$1000,$S63,$V$5:$V$1000,"Macro")/COUNTIFS($S$5:$S$1000,$S63,$V$5:$V$1000,"Macro",$H$5:$H$1000,"&gt;0"))))</f>
        <v/>
      </c>
      <c r="AM63" s="62" t="n"/>
      <c r="AN63" s="62" t="n"/>
      <c r="AO63" s="62" t="n"/>
      <c r="AP63" s="62" t="n"/>
      <c r="AQ63" s="62">
        <f>IF(LEFT($C63,11)="[Jefatura] ",IFERROR(MATCH("Asistente Técnico de Riesgo|"&amp;MID($C63,12,500),rDname_ADM,0),0),"")</f>
        <v/>
      </c>
      <c r="AR63" s="62">
        <f>IF(N($AQ63)&gt;0,INDEX(rIni_ADM,$AQ63),IF(ISNUMBER($E63),$E63,""))</f>
        <v/>
      </c>
      <c r="AS63" s="62">
        <f>IF(N($AQ63)&gt;0,INDEX(rLim_ADM,$AQ63),IF(ISNUMBER($F63),$F63,""))</f>
        <v/>
      </c>
    </row>
    <row r="64">
      <c r="A64" s="56">
        <f>IF(NOT((COUNTA($B64:$D64)+COUNTA($G64:$H64)+COUNTA($Q64))&gt;0),"",IF($V64="Macro",COUNTIFS($V$5:$V64,"Macro",$S$5:$S64,$S64),IF(N($U64)=0,"?",COUNTIFS(INDEX($V$5:$V$1000,1):INDEX($V$5:$V$1000,$U64-4),"Macro",INDEX($S$5:$S$1000,1):INDEX($S$5:$S$1000,$U64-4),INDEX($S$5:$S$1000,$U64-4))&amp;"."&amp;COUNTIFS($U$5:$U64,$U64,$V$5:$V64,"Sub"))))</f>
        <v/>
      </c>
      <c r="B64" s="57" t="n"/>
      <c r="C64" s="58" t="n"/>
      <c r="D64" s="58" t="n"/>
      <c r="E64" s="59">
        <f>IF(N($AQ64)&gt;0,INDEX(rIni_ADM,$AQ64),"")</f>
        <v/>
      </c>
      <c r="F64" s="59">
        <f>IF(N($AQ64)&gt;0,INDEX(rLim_ADM,$AQ64),"")</f>
        <v/>
      </c>
      <c r="G64" s="59" t="n"/>
      <c r="H64" s="60" t="n"/>
      <c r="I64" s="60">
        <f>IF(N($W64)=0,"",IF(AND($S64=MesCiclo,1&gt;SemanaActual),"",MIN(1,SUMIFS(OFFSET($A$1,ROW(),29,1000-ROW(),1),OFFSET($A$1,ROW(),20,1000-ROW(),1),ROW(),OFFSET($A$1,ROW(),21,1000-ROW(),1),"Sub"))))</f>
        <v/>
      </c>
      <c r="J64" s="60">
        <f>IF(N($W64)=0,"",IF(AND($S64=MesCiclo,2&gt;SemanaActual),"",MIN(1,SUMIFS(OFFSET($A$1,ROW(),30,1000-ROW(),1),OFFSET($A$1,ROW(),20,1000-ROW(),1),ROW(),OFFSET($A$1,ROW(),21,1000-ROW(),1),"Sub"))))</f>
        <v/>
      </c>
      <c r="K64" s="60">
        <f>IF(N($W64)=0,"",IF(AND($S64=MesCiclo,3&gt;SemanaActual),"",MIN(1,SUMIFS(OFFSET($A$1,ROW(),31,1000-ROW(),1),OFFSET($A$1,ROW(),20,1000-ROW(),1),ROW(),OFFSET($A$1,ROW(),21,1000-ROW(),1),"Sub"))))</f>
        <v/>
      </c>
      <c r="L64" s="60">
        <f>IF(N($W64)=0,"",IF(AND($S64=MesCiclo,4&gt;SemanaActual),"",MIN(1,SUMIFS(OFFSET($A$1,ROW(),32,1000-ROW(),1),OFFSET($A$1,ROW(),20,1000-ROW(),1),ROW(),OFFSET($A$1,ROW(),21,1000-ROW(),1),"Sub"))))</f>
        <v/>
      </c>
      <c r="M64" s="61">
        <f>IF(OR(NOT((COUNTA($B64:$D64)+COUNTA($G64:$H64)+COUNTA($Q64))&gt;0),$V64="Sub"),"",IF(ISNUMBER($G64),1,IF(N($W64)&gt;0,MIN(1,SUMIFS($Y$5:$Y$1000,$U$5:$U$1000,ROW(),$V$5:$V$1000,"Sub")),$Y64)))</f>
        <v/>
      </c>
      <c r="N64" s="56">
        <f>IF(OR($M64="",$V64="Sub"),"",IF($M64&gt;=1,"Completado",IF($M64&gt;0,"En curso","Pendiente")))</f>
        <v/>
      </c>
      <c r="O64" s="56">
        <f>IF(OR(NOT((COUNTA($B64:$D64)+COUNTA($G64:$H64)+COUNTA($Q64))&gt;0),$V64="Sub"),"",IF(ISNUMBER($G64),IF(AND(ISNUMBER($AS64),$G64&gt;$AS64),"Cumplida con "&amp;($G64-$AS64)&amp;IF($G64-$AS64=1," día"," días")&amp;" de retraso","Cumplida"),IF(N($M64)&gt;=1,"Cumplida",IF(NOT(ISNUMBER($AS64)),"Sin fecha límite",IF($AS64&lt;FechaRef,"Vencida hace "&amp;(FechaRef-$AS64)&amp;IF(FechaRef-$AS64=1," día"," días"),IF($AS64=FechaRef,"Vence hoy",IF($AS64-FechaRef&lt;=DiasAlerta,"Vence en "&amp;($AS64-FechaRef)&amp;IF($AS64-FechaRef=1," día"," días"),"En plazo")))))))</f>
        <v/>
      </c>
      <c r="P64" s="62" t="n"/>
      <c r="Q64" s="58" t="n"/>
      <c r="R64" s="63">
        <f>IF(NOT((COUNTA($B64:$D64)+COUNTA($G64:$H64)+COUNTA($Q64))&gt;0),"",IF((IF($C64="","Falta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 OK","⚠ "&amp;LEFT(IF($C64="","Falta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",""),LEN(IF($C64="","Falta el nombre de la actividad"&amp;" · ","")&amp;IF(AND($V64="Sub",N($U64)=0),"Subactividad sin macroactividad arriba"&amp;" · ","")&amp;IF(AND($V64="Macro",$AR64=""),"Sin fecha de inicio"&amp;" · ","")&amp;IF(AND($V64="Macro",$AS64=""),"Sin fecha límite"&amp;" · ","")&amp;IF(AND(LEFT($C64,11)="[Jefatura] ",N($AQ64)=0),"No se encuentra en la hoja de la jefatura (elíjala de nuevo en la lista)"&amp;" · ","")&amp;IF(OR(AND($E64&lt;&gt;"",NOT(ISNUMBER($E64))),AND($F64&lt;&gt;"",NOT(ISNUMBER($F64))),AND($G64&lt;&gt;"",NOT(ISNUMBER($G64)))),"Fecha no válida"&amp;" · ","")&amp;IF(AND(ISNUMBER($AR64),ISNUMBER($AS64),$AR64&gt;$AS64),"Inicio posterior a fecha límite"&amp;" · ","")&amp;IF(AND($V64="Macro",$H64&lt;&gt;"",OR(NOT(ISNUMBER($H64)),$H64&lt;0,$H64&gt;1)),"Peso fuera de rango"&amp;" · ","")&amp;IF(AND($V64="Sub",$H64&lt;&gt;"",OR(NOT(ISNUMBER($H64)),$H64&lt;0,$H64&gt;1)),"% de la subactividad fuera de rango 0-100%"&amp;" · ","")&amp;IF(AND(N($W64)&gt;0,SUMIFS($H$5:$H$1000,$U$5:$U$1000,ROW(),$V$5:$V$1000,"Sub")&gt;1.0001),"Las subactividades suman más de 100%"&amp;" · ","")&amp;IF(AND(N($W64)&gt;0,OR(IF(ISNUMBER($I64),ROUND($I64,6)&lt;&gt;ROUND(MIN(1,SUMIFS($AD$5:$AD$1000,$U$5:$U$1000,ROW(),$V$5:$V$1000,"Sub")),6),FALSE),IF(ISNUMBER($J64),ROUND($J64,6)&lt;&gt;ROUND(MIN(1,SUMIFS($AE$5:$AE$1000,$U$5:$U$1000,ROW(),$V$5:$V$1000,"Sub")),6),FALSE),IF(ISNUMBER($K64),ROUND($K64,6)&lt;&gt;ROUND(MIN(1,SUMIFS($AF$5:$AF$1000,$U$5:$U$1000,ROW(),$V$5:$V$1000,"Sub")),6),FALSE),IF(ISNUMBER($L64),ROUND($L64,6)&lt;&gt;ROUND(MIN(1,SUMIFS($AG$5:$AG$1000,$U$5:$U$1000,ROW(),$V$5:$V$1000,"Sub")),6),FALSE))),"Con subactividades: no escriba en las semanas (se llenan solas)"&amp;" · ","")&amp;IF((COUNTIF($I64:$L64,"&gt;1")+COUNTIF($I64:$L64,"&lt;0")+SUMPRODUCT((LEN($I64:$L64)&gt;0)*NOT(ISNUMBER($I64:$L64))))&gt;0,"Avance fuera de rango 0-100%"&amp;" · ","")&amp;IF(OR(AND(ISNUMBER($J64),$J64&lt;N($I64)),AND(ISNUMBER($K64),$K64&lt;MAX($I64:$J64)),AND(ISNUMBER($L64),$L64&lt;MAX($I64:$K64))),"Avance semanal decreciente"&amp;" · ","")&amp;IF(AND(ISNUMBER($AS64),$AS64&lt;FechaRef,IF($V64="Sub",1,N($M64))&lt;1),"Vencida"&amp;" · ","")&amp;IF(AND(ObsObligatoria="Sí",ISNUMBER($AS64),$AS64&lt;FechaRef,IF($V64="Sub",1,N($M64))&lt;1,$Q64=""),"Vencida sin observación"&amp;" · ",""))-3)))</f>
        <v/>
      </c>
      <c r="S64" s="64">
        <f>IF(NOT((COUNTA($B64:$D64)+COUNTA($G64:$H64)+COUNTA($Q64))&gt;0),"",IF(AND($V64="Sub",N($U64)&gt;0),IF(ISNUMBER(INDEX($AR$5:$AR$1000,$U64-4)),DATE(YEAR(INDEX($AR$5:$AR$1000,$U64-4)),MONTH(INDEX($AR$5:$AR$1000,$U64-4)),1),IF(ISNUMBER(INDEX($AS$5:$AS$1000,$U64-4)),DATE(YEAR(INDEX($AS$5:$AS$1000,$U64-4)),MONTH(INDEX($AS$5:$AS$1000,$U64-4)),1),MesCiclo)),IF(ISNUMBER($AR64),DATE(YEAR($AR64),MONTH($AR64),1),IF(ISNUMBER($AS64),DATE(YEAR($AS64),MONTH($AS64),1),MesCiclo))))</f>
        <v/>
      </c>
      <c r="T64" s="62">
        <f>IF(OR($S64="",$S64&lt;&gt;MesCiclo,$V64&lt;&gt;"Macro"),"",COUNTIFS($S$5:$S64,MesCiclo,$V$5:$V64,"Macro"))</f>
        <v/>
      </c>
      <c r="U64" s="62">
        <f>IF($V64="","",IF($V64="Macro",ROW(),IFERROR(LOOKUP(2,1/($V$5:$V64="Macro"),ROW($V$5:$V64)),0)))</f>
        <v/>
      </c>
      <c r="V64" s="62">
        <f>IF(NOT((COUNTA($B64:$D64)+COUNTA($G64:$H64)+COUNTA($Q64))&gt;0),"",IF($B64="Subactividad","Sub","Macro"))</f>
        <v/>
      </c>
      <c r="W64" s="62">
        <f>IF($V64="Macro",COUNTIFS($U$5:$U$1000,ROW(),$V$5:$V$1000,"Sub"),"")</f>
        <v/>
      </c>
      <c r="X64" s="62">
        <f>IF($V64&lt;&gt;"Sub","",IF(AND(ISNUMBER($H64),N($H64)&gt;0),$H64,IFERROR(MAX(0,1-SUMIFS($H$5:$H$1000,$U$5:$U$1000,$U64,$V$5:$V$1000,"Sub"))/(COUNTIFS($U$5:$U$1000,$U64,$V$5:$V$1000,"Sub")-COUNTIFS($U$5:$U$1000,$U64,$V$5:$V$1000,"Sub",$H$5:$H$1000,"&gt;0")),0)))</f>
        <v/>
      </c>
      <c r="Y64" s="62">
        <f>IF($V64="","",IF($V64="Sub",N($X64)*IF(ISNUMBER($G64),1,MIN(1,MAX(0,IFERROR(LOOKUP(2,1/ISNUMBER($I64:$L64),$I64:$L64),0)))),IF(ISNUMBER($G64),1,IFERROR(LOOKUP(2,1/($I64:$L64&lt;&gt;""),$I64:$L64),0))))</f>
        <v/>
      </c>
      <c r="Z64" s="62">
        <f>IF($V64="","",IF(AND(ISNUMBER($G64),$G64&lt;=IF($S64=MesCiclo,InicioCiclo,$S64+MOD(2-WEEKDAY($S64),7))+6),1,IF(ISNUMBER($I64),$I64,0)))</f>
        <v/>
      </c>
      <c r="AA64" s="62">
        <f>IF($V64="","",IF(AND(ISNUMBER($G64),$G64&lt;=IF($S64=MesCiclo,InicioCiclo,$S64+MOD(2-WEEKDAY($S64),7))+13),1,IF(ISNUMBER($J64),$J64,$Z64)))</f>
        <v/>
      </c>
      <c r="AB64" s="62">
        <f>IF($V64="","",IF(AND(ISNUMBER($G64),$G64&lt;=IF($S64=MesCiclo,InicioCiclo,$S64+MOD(2-WEEKDAY($S64),7))+20),1,IF(ISNUMBER($K64),$K64,$AA64)))</f>
        <v/>
      </c>
      <c r="AC64" s="62">
        <f>IF($V64="","",IF(AND(ISNUMBER($G64),$G64&lt;=IF($S64=MesCiclo,InicioCiclo,$S64+MOD(2-WEEKDAY($S64),7))+27),1,IF(ISNUMBER($L64),$L64,$AB64)))</f>
        <v/>
      </c>
      <c r="AD64" s="62">
        <f>IF($V64&lt;&gt;"Sub","",N($X64)*IF(AND(ISNUMBER($G64),$G64&lt;=IF($S64=MesCiclo,InicioCiclo,$S64+MOD(2-WEEKDAY($S64),7))+6),1,MIN(1,MAX(0,IF(ISNUMBER(OFFSET($A$1,ROW()-1,8)),OFFSET($A$1,ROW()-1,8),0)))))</f>
        <v/>
      </c>
      <c r="AE64" s="62">
        <f>IF($V64&lt;&gt;"Sub","",N($X64)*IF(AND(ISNUMBER($G64),$G64&lt;=IF($S64=MesCiclo,InicioCiclo,$S64+MOD(2-WEEKDAY($S64),7))+13),1,MIN(1,MAX(0,IF(ISNUMBER(OFFSET($A$1,ROW()-1,9)),OFFSET($A$1,ROW()-1,9),IF(ISNUMBER(OFFSET($A$1,ROW()-1,8)),OFFSET($A$1,ROW()-1,8),0))))))</f>
        <v/>
      </c>
      <c r="AF64" s="62">
        <f>IF($V64&lt;&gt;"Sub","",N($X64)*IF(AND(ISNUMBER($G64),$G64&lt;=IF($S64=MesCiclo,InicioCiclo,$S64+MOD(2-WEEKDAY($S64),7))+20),1,MIN(1,MAX(0,IF(ISNUMBER(OFFSET($A$1,ROW()-1,10)),OFFSET($A$1,ROW()-1,10),IF(ISNUMBER(OFFSET($A$1,ROW()-1,9)),OFFSET($A$1,ROW()-1,9),IF(ISNUMBER(OFFSET($A$1,ROW()-1,8)),OFFSET($A$1,ROW()-1,8),0)))))))</f>
        <v/>
      </c>
      <c r="AG64" s="62">
        <f>IF($V64&lt;&gt;"Sub","",N($X64)*IF(AND(ISNUMBER($G64),$G64&lt;=IF($S64=MesCiclo,InicioCiclo,$S64+MOD(2-WEEKDAY($S64),7))+27),1,MIN(1,MAX(0,IF(ISNUMBER(OFFSET($A$1,ROW()-1,11)),OFFSET($A$1,ROW()-1,11),IF(ISNUMBER(OFFSET($A$1,ROW()-1,10)),OFFSET($A$1,ROW()-1,10),IF(ISNUMBER(OFFSET($A$1,ROW()-1,9)),OFFSET($A$1,ROW()-1,9),IF(ISNUMBER(OFFSET($A$1,ROW()-1,8)),OFFSET($A$1,ROW()-1,8),0))))))))</f>
        <v/>
      </c>
      <c r="AH64" s="62">
        <f>IF($V64="","",IF(AND(ISNUMBER($G64),$G64&lt;=IF($S64=MesCiclo,InicioCiclo,$S64+MOD(2-WEEKDAY($S64),7))+6),1,IF(N($W64)&gt;0,MIN(1,SUMIFS($AD$5:$AD$1000,$U$5:$U$1000,ROW(),$V$5:$V$1000,"Sub")),$Z64)))</f>
        <v/>
      </c>
      <c r="AI64" s="62">
        <f>IF($V64="","",IF(AND(ISNUMBER($G64),$G64&lt;=IF($S64=MesCiclo,InicioCiclo,$S64+MOD(2-WEEKDAY($S64),7))+13),1,IF(N($W64)&gt;0,MIN(1,SUMIFS($AE$5:$AE$1000,$U$5:$U$1000,ROW(),$V$5:$V$1000,"Sub")),$AA64)))</f>
        <v/>
      </c>
      <c r="AJ64" s="62">
        <f>IF($V64="","",IF(AND(ISNUMBER($G64),$G64&lt;=IF($S64=MesCiclo,InicioCiclo,$S64+MOD(2-WEEKDAY($S64),7))+20),1,IF(N($W64)&gt;0,MIN(1,SUMIFS($AF$5:$AF$1000,$U$5:$U$1000,ROW(),$V$5:$V$1000,"Sub")),$AB64)))</f>
        <v/>
      </c>
      <c r="AK64" s="62">
        <f>IF($V64="","",IF(AND(ISNUMBER($G64),$G64&lt;=IF($S64=MesCiclo,InicioCiclo,$S64+MOD(2-WEEKDAY($S64),7))+27),1,IF(N($W64)&gt;0,MIN(1,SUMIFS($AG$5:$AG$1000,$U$5:$U$1000,ROW(),$V$5:$V$1000,"Sub")),$AC64)))</f>
        <v/>
      </c>
      <c r="AL64" s="62">
        <f>IF($V64&lt;&gt;"Macro","",IF(COUNTIFS($S$5:$S$1000,$S64,$V$5:$V$1000,"Macro",$H$5:$H$1000,"&gt;0")=0,1/COUNTIFS($S$5:$S$1000,$S64,$V$5:$V$1000,"Macro"),IF(AND(ISNUMBER($H64),N($H64)&gt;0),$H64,SUMIFS($H$5:$H$1000,$S$5:$S$1000,$S64,$V$5:$V$1000,"Macro")/COUNTIFS($S$5:$S$1000,$S64,$V$5:$V$1000,"Macro",$H$5:$H$1000,"&gt;0"))/(COUNTIFS($S$5:$S$1000,$S64,$V$5:$V$1000,"Macro")*SUMIFS($H$5:$H$1000,$S$5:$S$1000,$S64,$V$5:$V$1000,"Macro")/COUNTIFS($S$5:$S$1000,$S64,$V$5:$V$1000,"Macro",$H$5:$H$1000,"&gt;0"))))</f>
        <v/>
      </c>
      <c r="AM64" s="62" t="n"/>
      <c r="AN64" s="62" t="n"/>
      <c r="AO64" s="62" t="n"/>
      <c r="AP64" s="62" t="n"/>
      <c r="AQ64" s="62">
        <f>IF(LEFT($C64,11)="[Jefatura] ",IFERROR(MATCH("Asistente Técnico de Riesgo|"&amp;MID($C64,12,500),rDname_ADM,0),0),"")</f>
        <v/>
      </c>
      <c r="AR64" s="62">
        <f>IF(N($AQ64)&gt;0,INDEX(rIni_ADM,$AQ64),IF(ISNUMBER($E64),$E64,""))</f>
        <v/>
      </c>
      <c r="AS64" s="62">
        <f>IF(N($AQ64)&gt;0,INDEX(rLim_ADM,$AQ64),IF(ISNUMBER($F64),$F64,""))</f>
        <v/>
      </c>
    </row>
    <row r="65">
      <c r="A65" s="56">
        <f>IF(NOT((COUNTA($B65:$D65)+COUNTA($G65:$H65)+COUNTA($Q65))&gt;0),"",IF($V65="Macro",COUNTIFS($V$5:$V65,"Macro",$S$5:$S65,$S65),IF(N($U65)=0,"?",COUNTIFS(INDEX($V$5:$V$1000,1):INDEX($V$5:$V$1000,$U65-4),"Macro",INDEX($S$5:$S$1000,1):INDEX($S$5:$S$1000,$U65-4),INDEX($S$5:$S$1000,$U65-4))&amp;"."&amp;COUNTIFS($U$5:$U65,$U65,$V$5:$V65,"Sub"))))</f>
        <v/>
      </c>
      <c r="B65" s="57" t="n"/>
      <c r="C65" s="58" t="n"/>
      <c r="D65" s="58" t="n"/>
      <c r="E65" s="59">
        <f>IF(N($AQ65)&gt;0,INDEX(rIni_ADM,$AQ65),"")</f>
        <v/>
      </c>
      <c r="F65" s="59">
        <f>IF(N($AQ65)&gt;0,INDEX(rLim_ADM,$AQ65),"")</f>
        <v/>
      </c>
      <c r="G65" s="59" t="n"/>
      <c r="H65" s="60" t="n"/>
      <c r="I65" s="60">
        <f>IF(N($W65)=0,"",IF(AND($S65=MesCiclo,1&gt;SemanaActual),"",MIN(1,SUMIFS(OFFSET($A$1,ROW(),29,1000-ROW(),1),OFFSET($A$1,ROW(),20,1000-ROW(),1),ROW(),OFFSET($A$1,ROW(),21,1000-ROW(),1),"Sub"))))</f>
        <v/>
      </c>
      <c r="J65" s="60">
        <f>IF(N($W65)=0,"",IF(AND($S65=MesCiclo,2&gt;SemanaActual),"",MIN(1,SUMIFS(OFFSET($A$1,ROW(),30,1000-ROW(),1),OFFSET($A$1,ROW(),20,1000-ROW(),1),ROW(),OFFSET($A$1,ROW(),21,1000-ROW(),1),"Sub"))))</f>
        <v/>
      </c>
      <c r="K65" s="60">
        <f>IF(N($W65)=0,"",IF(AND($S65=MesCiclo,3&gt;SemanaActual),"",MIN(1,SUMIFS(OFFSET($A$1,ROW(),31,1000-ROW(),1),OFFSET($A$1,ROW(),20,1000-ROW(),1),ROW(),OFFSET($A$1,ROW(),21,1000-ROW(),1),"Sub"))))</f>
        <v/>
      </c>
      <c r="L65" s="60">
        <f>IF(N($W65)=0,"",IF(AND($S65=MesCiclo,4&gt;SemanaActual),"",MIN(1,SUMIFS(OFFSET($A$1,ROW(),32,1000-ROW(),1),OFFSET($A$1,ROW(),20,1000-ROW(),1),ROW(),OFFSET($A$1,ROW(),21,1000-ROW(),1),"Sub"))))</f>
        <v/>
      </c>
      <c r="M65" s="61">
        <f>IF(OR(NOT((COUNTA($B65:$D65)+COUNTA($G65:$H65)+COUNTA($Q65))&gt;0),$V65="Sub"),"",IF(ISNUMBER($G65),1,IF(N($W65)&gt;0,MIN(1,SUMIFS($Y$5:$Y$1000,$U$5:$U$1000,ROW(),$V$5:$V$1000,"Sub")),$Y65)))</f>
        <v/>
      </c>
      <c r="N65" s="56">
        <f>IF(OR($M65="",$V65="Sub"),"",IF($M65&gt;=1,"Completado",IF($M65&gt;0,"En curso","Pendiente")))</f>
        <v/>
      </c>
      <c r="O65" s="56">
        <f>IF(OR(NOT((COUNTA($B65:$D65)+COUNTA($G65:$H65)+COUNTA($Q65))&gt;0),$V65="Sub"),"",IF(ISNUMBER($G65),IF(AND(ISNUMBER($AS65),$G65&gt;$AS65),"Cumplida con "&amp;($G65-$AS65)&amp;IF($G65-$AS65=1," día"," días")&amp;" de retraso","Cumplida"),IF(N($M65)&gt;=1,"Cumplida",IF(NOT(ISNUMBER($AS65)),"Sin fecha límite",IF($AS65&lt;FechaRef,"Vencida hace "&amp;(FechaRef-$AS65)&amp;IF(FechaRef-$AS65=1," día"," días"),IF($AS65=FechaRef,"Vence hoy",IF($AS65-FechaRef&lt;=DiasAlerta,"Vence en "&amp;($AS65-FechaRef)&amp;IF($AS65-FechaRef=1," día"," días"),"En plazo")))))))</f>
        <v/>
      </c>
      <c r="P65" s="62" t="n"/>
      <c r="Q65" s="58" t="n"/>
      <c r="R65" s="63">
        <f>IF(NOT((COUNTA($B65:$D65)+COUNTA($G65:$H65)+COUNTA($Q65))&gt;0),"",IF((IF($C65="","Falta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 OK","⚠ "&amp;LEFT(IF($C65="","Falta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",""),LEN(IF($C65="","Falta el nombre de la actividad"&amp;" · ","")&amp;IF(AND($V65="Sub",N($U65)=0),"Subactividad sin macroactividad arriba"&amp;" · ","")&amp;IF(AND($V65="Macro",$AR65=""),"Sin fecha de inicio"&amp;" · ","")&amp;IF(AND($V65="Macro",$AS65=""),"Sin fecha límite"&amp;" · ","")&amp;IF(AND(LEFT($C65,11)="[Jefatura] ",N($AQ65)=0),"No se encuentra en la hoja de la jefatura (elíjala de nuevo en la lista)"&amp;" · ","")&amp;IF(OR(AND($E65&lt;&gt;"",NOT(ISNUMBER($E65))),AND($F65&lt;&gt;"",NOT(ISNUMBER($F65))),AND($G65&lt;&gt;"",NOT(ISNUMBER($G65)))),"Fecha no válida"&amp;" · ","")&amp;IF(AND(ISNUMBER($AR65),ISNUMBER($AS65),$AR65&gt;$AS65),"Inicio posterior a fecha límite"&amp;" · ","")&amp;IF(AND($V65="Macro",$H65&lt;&gt;"",OR(NOT(ISNUMBER($H65)),$H65&lt;0,$H65&gt;1)),"Peso fuera de rango"&amp;" · ","")&amp;IF(AND($V65="Sub",$H65&lt;&gt;"",OR(NOT(ISNUMBER($H65)),$H65&lt;0,$H65&gt;1)),"% de la subactividad fuera de rango 0-100%"&amp;" · ","")&amp;IF(AND(N($W65)&gt;0,SUMIFS($H$5:$H$1000,$U$5:$U$1000,ROW(),$V$5:$V$1000,"Sub")&gt;1.0001),"Las subactividades suman más de 100%"&amp;" · ","")&amp;IF(AND(N($W65)&gt;0,OR(IF(ISNUMBER($I65),ROUND($I65,6)&lt;&gt;ROUND(MIN(1,SUMIFS($AD$5:$AD$1000,$U$5:$U$1000,ROW(),$V$5:$V$1000,"Sub")),6),FALSE),IF(ISNUMBER($J65),ROUND($J65,6)&lt;&gt;ROUND(MIN(1,SUMIFS($AE$5:$AE$1000,$U$5:$U$1000,ROW(),$V$5:$V$1000,"Sub")),6),FALSE),IF(ISNUMBER($K65),ROUND($K65,6)&lt;&gt;ROUND(MIN(1,SUMIFS($AF$5:$AF$1000,$U$5:$U$1000,ROW(),$V$5:$V$1000,"Sub")),6),FALSE),IF(ISNUMBER($L65),ROUND($L65,6)&lt;&gt;ROUND(MIN(1,SUMIFS($AG$5:$AG$1000,$U$5:$U$1000,ROW(),$V$5:$V$1000,"Sub")),6),FALSE))),"Con subactividades: no escriba en las semanas (se llenan solas)"&amp;" · ","")&amp;IF((COUNTIF($I65:$L65,"&gt;1")+COUNTIF($I65:$L65,"&lt;0")+SUMPRODUCT((LEN($I65:$L65)&gt;0)*NOT(ISNUMBER($I65:$L65))))&gt;0,"Avance fuera de rango 0-100%"&amp;" · ","")&amp;IF(OR(AND(ISNUMBER($J65),$J65&lt;N($I65)),AND(ISNUMBER($K65),$K65&lt;MAX($I65:$J65)),AND(ISNUMBER($L65),$L65&lt;MAX($I65:$K65))),"Avance semanal decreciente"&amp;" · ","")&amp;IF(AND(ISNUMBER($AS65),$AS65&lt;FechaRef,IF($V65="Sub",1,N($M65))&lt;1),"Vencida"&amp;" · ","")&amp;IF(AND(ObsObligatoria="Sí",ISNUMBER($AS65),$AS65&lt;FechaRef,IF($V65="Sub",1,N($M65))&lt;1,$Q65=""),"Vencida sin observación"&amp;" · ",""))-3)))</f>
        <v/>
      </c>
      <c r="S65" s="64">
        <f>IF(NOT((COUNTA($B65:$D65)+COUNTA($G65:$H65)+COUNTA($Q65))&gt;0),"",IF(AND($V65="Sub",N($U65)&gt;0),IF(ISNUMBER(INDEX($AR$5:$AR$1000,$U65-4)),DATE(YEAR(INDEX($AR$5:$AR$1000,$U65-4)),MONTH(INDEX($AR$5:$AR$1000,$U65-4)),1),IF(ISNUMBER(INDEX($AS$5:$AS$1000,$U65-4)),DATE(YEAR(INDEX($AS$5:$AS$1000,$U65-4)),MONTH(INDEX($AS$5:$AS$1000,$U65-4)),1),MesCiclo)),IF(ISNUMBER($AR65),DATE(YEAR($AR65),MONTH($AR65),1),IF(ISNUMBER($AS65),DATE(YEAR($AS65),MONTH($AS65),1),MesCiclo))))</f>
        <v/>
      </c>
      <c r="T65" s="62">
        <f>IF(OR($S65="",$S65&lt;&gt;MesCiclo,$V65&lt;&gt;"Macro"),"",COUNTIFS($S$5:$S65,MesCiclo,$V$5:$V65,"Macro"))</f>
        <v/>
      </c>
      <c r="U65" s="62">
        <f>IF($V65="","",IF($V65="Macro",ROW(),IFERROR(LOOKUP(2,1/($V$5:$V65="Macro"),ROW($V$5:$V65)),0)))</f>
        <v/>
      </c>
      <c r="V65" s="62">
        <f>IF(NOT((COUNTA($B65:$D65)+COUNTA($G65:$H65)+COUNTA($Q65))&gt;0),"",IF($B65="Subactividad","Sub","Macro"))</f>
        <v/>
      </c>
      <c r="W65" s="62">
        <f>IF($V65="Macro",COUNTIFS($U$5:$U$1000,ROW(),$V$5:$V$1000,"Sub"),"")</f>
        <v/>
      </c>
      <c r="X65" s="62">
        <f>IF($V65&lt;&gt;"Sub","",IF(AND(ISNUMBER($H65),N($H65)&gt;0),$H65,IFERROR(MAX(0,1-SUMIFS($H$5:$H$1000,$U$5:$U$1000,$U65,$V$5:$V$1000,"Sub"))/(COUNTIFS($U$5:$U$1000,$U65,$V$5:$V$1000,"Sub")-COUNTIFS($U$5:$U$1000,$U65,$V$5:$V$1000,"Sub",$H$5:$H$1000,"&gt;0")),0)))</f>
        <v/>
      </c>
      <c r="Y65" s="62">
        <f>IF($V65="","",IF($V65="Sub",N($X65)*IF(ISNUMBER($G65),1,MIN(1,MAX(0,IFERROR(LOOKUP(2,1/ISNUMBER($I65:$L65),$I65:$L65),0)))),IF(ISNUMBER($G65),1,IFERROR(LOOKUP(2,1/($I65:$L65&lt;&gt;""),$I65:$L65),0))))</f>
        <v/>
      </c>
      <c r="Z65" s="62">
        <f>IF($V65="","",IF(AND(ISNUMBER($G65),$G65&lt;=IF($S65=MesCiclo,InicioCiclo,$S65+MOD(2-WEEKDAY($S65),7))+6),1,IF(ISNUMBER($I65),$I65,0)))</f>
        <v/>
      </c>
      <c r="AA65" s="62">
        <f>IF($V65="","",IF(AND(ISNUMBER($G65),$G65&lt;=IF($S65=MesCiclo,InicioCiclo,$S65+MOD(2-WEEKDAY($S65),7))+13),1,IF(ISNUMBER($J65),$J65,$Z65)))</f>
        <v/>
      </c>
      <c r="AB65" s="62">
        <f>IF($V65="","",IF(AND(ISNUMBER($G65),$G65&lt;=IF($S65=MesCiclo,InicioCiclo,$S65+MOD(2-WEEKDAY($S65),7))+20),1,IF(ISNUMBER($K65),$K65,$AA65)))</f>
        <v/>
      </c>
      <c r="AC65" s="62">
        <f>IF($V65="","",IF(AND(ISNUMBER($G65),$G65&lt;=IF($S65=MesCiclo,InicioCiclo,$S65+MOD(2-WEEKDAY($S65),7))+27),1,IF(ISNUMBER($L65),$L65,$AB65)))</f>
        <v/>
      </c>
      <c r="AD65" s="62">
        <f>IF($V65&lt;&gt;"Sub","",N($X65)*IF(AND(ISNUMBER($G65),$G65&lt;=IF($S65=MesCiclo,InicioCiclo,$S65+MOD(2-WEEKDAY($S65),7))+6),1,MIN(1,MAX(0,IF(ISNUMBER(OFFSET($A$1,ROW()-1,8)),OFFSET($A$1,ROW()-1,8),0)))))</f>
        <v/>
      </c>
      <c r="AE65" s="62">
        <f>IF($V65&lt;&gt;"Sub","",N($X65)*IF(AND(ISNUMBER($G65),$G65&lt;=IF($S65=MesCiclo,InicioCiclo,$S65+MOD(2-WEEKDAY($S65),7))+13),1,MIN(1,MAX(0,IF(ISNUMBER(OFFSET($A$1,ROW()-1,9)),OFFSET($A$1,ROW()-1,9),IF(ISNUMBER(OFFSET($A$1,ROW()-1,8)),OFFSET($A$1,ROW()-1,8),0))))))</f>
        <v/>
      </c>
      <c r="AF65" s="62">
        <f>IF($V65&lt;&gt;"Sub","",N($X65)*IF(AND(ISNUMBER($G65),$G65&lt;=IF($S65=MesCiclo,InicioCiclo,$S65+MOD(2-WEEKDAY($S65),7))+20),1,MIN(1,MAX(0,IF(ISNUMBER(OFFSET($A$1,ROW()-1,10)),OFFSET($A$1,ROW()-1,10),IF(ISNUMBER(OFFSET($A$1,ROW()-1,9)),OFFSET($A$1,ROW()-1,9),IF(ISNUMBER(OFFSET($A$1,ROW()-1,8)),OFFSET($A$1,ROW()-1,8),0)))))))</f>
        <v/>
      </c>
      <c r="AG65" s="62">
        <f>IF($V65&lt;&gt;"Sub","",N($X65)*IF(AND(ISNUMBER($G65),$G65&lt;=IF($S65=MesCiclo,InicioCiclo,$S65+MOD(2-WEEKDAY($S65),7))+27),1,MIN(1,MAX(0,IF(ISNUMBER(OFFSET($A$1,ROW()-1,11)),OFFSET($A$1,ROW()-1,11),IF(ISNUMBER(OFFSET($A$1,ROW()-1,10)),OFFSET($A$1,ROW()-1,10),IF(ISNUMBER(OFFSET($A$1,ROW()-1,9)),OFFSET($A$1,ROW()-1,9),IF(ISNUMBER(OFFSET($A$1,ROW()-1,8)),OFFSET($A$1,ROW()-1,8),0))))))))</f>
        <v/>
      </c>
      <c r="AH65" s="62">
        <f>IF($V65="","",IF(AND(ISNUMBER($G65),$G65&lt;=IF($S65=MesCiclo,InicioCiclo,$S65+MOD(2-WEEKDAY($S65),7))+6),1,IF(N($W65)&gt;0,MIN(1,SUMIFS($AD$5:$AD$1000,$U$5:$U$1000,ROW(),$V$5:$V$1000,"Sub")),$Z65)))</f>
        <v/>
      </c>
      <c r="AI65" s="62">
        <f>IF($V65="","",IF(AND(ISNUMBER($G65),$G65&lt;=IF($S65=MesCiclo,InicioCiclo,$S65+MOD(2-WEEKDAY($S65),7))+13),1,IF(N($W65)&gt;0,MIN(1,SUMIFS($AE$5:$AE$1000,$U$5:$U$1000,ROW(),$V$5:$V$1000,"Sub")),$AA65)))</f>
        <v/>
      </c>
      <c r="AJ65" s="62">
        <f>IF($V65="","",IF(AND(ISNUMBER($G65),$G65&lt;=IF($S65=MesCiclo,InicioCiclo,$S65+MOD(2-WEEKDAY($S65),7))+20),1,IF(N($W65)&gt;0,MIN(1,SUMIFS($AF$5:$AF$1000,$U$5:$U$1000,ROW(),$V$5:$V$1000,"Sub")),$AB65)))</f>
        <v/>
      </c>
      <c r="AK65" s="62">
        <f>IF($V65="","",IF(AND(ISNUMBER($G65),$G65&lt;=IF($S65=MesCiclo,InicioCiclo,$S65+MOD(2-WEEKDAY($S65),7))+27),1,IF(N($W65)&gt;0,MIN(1,SUMIFS($AG$5:$AG$1000,$U$5:$U$1000,ROW(),$V$5:$V$1000,"Sub")),$AC65)))</f>
        <v/>
      </c>
      <c r="AL65" s="62">
        <f>IF($V65&lt;&gt;"Macro","",IF(COUNTIFS($S$5:$S$1000,$S65,$V$5:$V$1000,"Macro",$H$5:$H$1000,"&gt;0")=0,1/COUNTIFS($S$5:$S$1000,$S65,$V$5:$V$1000,"Macro"),IF(AND(ISNUMBER($H65),N($H65)&gt;0),$H65,SUMIFS($H$5:$H$1000,$S$5:$S$1000,$S65,$V$5:$V$1000,"Macro")/COUNTIFS($S$5:$S$1000,$S65,$V$5:$V$1000,"Macro",$H$5:$H$1000,"&gt;0"))/(COUNTIFS($S$5:$S$1000,$S65,$V$5:$V$1000,"Macro")*SUMIFS($H$5:$H$1000,$S$5:$S$1000,$S65,$V$5:$V$1000,"Macro")/COUNTIFS($S$5:$S$1000,$S65,$V$5:$V$1000,"Macro",$H$5:$H$1000,"&gt;0"))))</f>
        <v/>
      </c>
      <c r="AM65" s="62" t="n"/>
      <c r="AN65" s="62" t="n"/>
      <c r="AO65" s="62" t="n"/>
      <c r="AP65" s="62" t="n"/>
      <c r="AQ65" s="62">
        <f>IF(LEFT($C65,11)="[Jefatura] ",IFERROR(MATCH("Asistente Técnico de Riesgo|"&amp;MID($C65,12,500),rDname_ADM,0),0),"")</f>
        <v/>
      </c>
      <c r="AR65" s="62">
        <f>IF(N($AQ65)&gt;0,INDEX(rIni_ADM,$AQ65),IF(ISNUMBER($E65),$E65,""))</f>
        <v/>
      </c>
      <c r="AS65" s="62">
        <f>IF(N($AQ65)&gt;0,INDEX(rLim_ADM,$AQ65),IF(ISNUMBER($F65),$F65,""))</f>
        <v/>
      </c>
    </row>
    <row r="66">
      <c r="A66" s="56">
        <f>IF(NOT((COUNTA($B66:$D66)+COUNTA($G66:$H66)+COUNTA($Q66))&gt;0),"",IF($V66="Macro",COUNTIFS($V$5:$V66,"Macro",$S$5:$S66,$S66),IF(N($U66)=0,"?",COUNTIFS(INDEX($V$5:$V$1000,1):INDEX($V$5:$V$1000,$U66-4),"Macro",INDEX($S$5:$S$1000,1):INDEX($S$5:$S$1000,$U66-4),INDEX($S$5:$S$1000,$U66-4))&amp;"."&amp;COUNTIFS($U$5:$U66,$U66,$V$5:$V66,"Sub"))))</f>
        <v/>
      </c>
      <c r="B66" s="57" t="n"/>
      <c r="C66" s="58" t="n"/>
      <c r="D66" s="58" t="n"/>
      <c r="E66" s="59">
        <f>IF(N($AQ66)&gt;0,INDEX(rIni_ADM,$AQ66),"")</f>
        <v/>
      </c>
      <c r="F66" s="59">
        <f>IF(N($AQ66)&gt;0,INDEX(rLim_ADM,$AQ66),"")</f>
        <v/>
      </c>
      <c r="G66" s="59" t="n"/>
      <c r="H66" s="60" t="n"/>
      <c r="I66" s="60">
        <f>IF(N($W66)=0,"",IF(AND($S66=MesCiclo,1&gt;SemanaActual),"",MIN(1,SUMIFS(OFFSET($A$1,ROW(),29,1000-ROW(),1),OFFSET($A$1,ROW(),20,1000-ROW(),1),ROW(),OFFSET($A$1,ROW(),21,1000-ROW(),1),"Sub"))))</f>
        <v/>
      </c>
      <c r="J66" s="60">
        <f>IF(N($W66)=0,"",IF(AND($S66=MesCiclo,2&gt;SemanaActual),"",MIN(1,SUMIFS(OFFSET($A$1,ROW(),30,1000-ROW(),1),OFFSET($A$1,ROW(),20,1000-ROW(),1),ROW(),OFFSET($A$1,ROW(),21,1000-ROW(),1),"Sub"))))</f>
        <v/>
      </c>
      <c r="K66" s="60">
        <f>IF(N($W66)=0,"",IF(AND($S66=MesCiclo,3&gt;SemanaActual),"",MIN(1,SUMIFS(OFFSET($A$1,ROW(),31,1000-ROW(),1),OFFSET($A$1,ROW(),20,1000-ROW(),1),ROW(),OFFSET($A$1,ROW(),21,1000-ROW(),1),"Sub"))))</f>
        <v/>
      </c>
      <c r="L66" s="60">
        <f>IF(N($W66)=0,"",IF(AND($S66=MesCiclo,4&gt;SemanaActual),"",MIN(1,SUMIFS(OFFSET($A$1,ROW(),32,1000-ROW(),1),OFFSET($A$1,ROW(),20,1000-ROW(),1),ROW(),OFFSET($A$1,ROW(),21,1000-ROW(),1),"Sub"))))</f>
        <v/>
      </c>
      <c r="M66" s="61">
        <f>IF(OR(NOT((COUNTA($B66:$D66)+COUNTA($G66:$H66)+COUNTA($Q66))&gt;0),$V66="Sub"),"",IF(ISNUMBER($G66),1,IF(N($W66)&gt;0,MIN(1,SUMIFS($Y$5:$Y$1000,$U$5:$U$1000,ROW(),$V$5:$V$1000,"Sub")),$Y66)))</f>
        <v/>
      </c>
      <c r="N66" s="56">
        <f>IF(OR($M66="",$V66="Sub"),"",IF($M66&gt;=1,"Completado",IF($M66&gt;0,"En curso","Pendiente")))</f>
        <v/>
      </c>
      <c r="O66" s="56">
        <f>IF(OR(NOT((COUNTA($B66:$D66)+COUNTA($G66:$H66)+COUNTA($Q66))&gt;0),$V66="Sub"),"",IF(ISNUMBER($G66),IF(AND(ISNUMBER($AS66),$G66&gt;$AS66),"Cumplida con "&amp;($G66-$AS66)&amp;IF($G66-$AS66=1," día"," días")&amp;" de retraso","Cumplida"),IF(N($M66)&gt;=1,"Cumplida",IF(NOT(ISNUMBER($AS66)),"Sin fecha límite",IF($AS66&lt;FechaRef,"Vencida hace "&amp;(FechaRef-$AS66)&amp;IF(FechaRef-$AS66=1," día"," días"),IF($AS66=FechaRef,"Vence hoy",IF($AS66-FechaRef&lt;=DiasAlerta,"Vence en "&amp;($AS66-FechaRef)&amp;IF($AS66-FechaRef=1," día"," días"),"En plazo")))))))</f>
        <v/>
      </c>
      <c r="P66" s="62" t="n"/>
      <c r="Q66" s="58" t="n"/>
      <c r="R66" s="63">
        <f>IF(NOT((COUNTA($B66:$D66)+COUNTA($G66:$H66)+COUNTA($Q66))&gt;0),"",IF((IF($C66="","Falta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 OK","⚠ "&amp;LEFT(IF($C66="","Falta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",""),LEN(IF($C66="","Falta el nombre de la actividad"&amp;" · ","")&amp;IF(AND($V66="Sub",N($U66)=0),"Subactividad sin macroactividad arriba"&amp;" · ","")&amp;IF(AND($V66="Macro",$AR66=""),"Sin fecha de inicio"&amp;" · ","")&amp;IF(AND($V66="Macro",$AS66=""),"Sin fecha límite"&amp;" · ","")&amp;IF(AND(LEFT($C66,11)="[Jefatura] ",N($AQ66)=0),"No se encuentra en la hoja de la jefatura (elíjala de nuevo en la lista)"&amp;" · ","")&amp;IF(OR(AND($E66&lt;&gt;"",NOT(ISNUMBER($E66))),AND($F66&lt;&gt;"",NOT(ISNUMBER($F66))),AND($G66&lt;&gt;"",NOT(ISNUMBER($G66)))),"Fecha no válida"&amp;" · ","")&amp;IF(AND(ISNUMBER($AR66),ISNUMBER($AS66),$AR66&gt;$AS66),"Inicio posterior a fecha límite"&amp;" · ","")&amp;IF(AND($V66="Macro",$H66&lt;&gt;"",OR(NOT(ISNUMBER($H66)),$H66&lt;0,$H66&gt;1)),"Peso fuera de rango"&amp;" · ","")&amp;IF(AND($V66="Sub",$H66&lt;&gt;"",OR(NOT(ISNUMBER($H66)),$H66&lt;0,$H66&gt;1)),"% de la subactividad fuera de rango 0-100%"&amp;" · ","")&amp;IF(AND(N($W66)&gt;0,SUMIFS($H$5:$H$1000,$U$5:$U$1000,ROW(),$V$5:$V$1000,"Sub")&gt;1.0001),"Las subactividades suman más de 100%"&amp;" · ","")&amp;IF(AND(N($W66)&gt;0,OR(IF(ISNUMBER($I66),ROUND($I66,6)&lt;&gt;ROUND(MIN(1,SUMIFS($AD$5:$AD$1000,$U$5:$U$1000,ROW(),$V$5:$V$1000,"Sub")),6),FALSE),IF(ISNUMBER($J66),ROUND($J66,6)&lt;&gt;ROUND(MIN(1,SUMIFS($AE$5:$AE$1000,$U$5:$U$1000,ROW(),$V$5:$V$1000,"Sub")),6),FALSE),IF(ISNUMBER($K66),ROUND($K66,6)&lt;&gt;ROUND(MIN(1,SUMIFS($AF$5:$AF$1000,$U$5:$U$1000,ROW(),$V$5:$V$1000,"Sub")),6),FALSE),IF(ISNUMBER($L66),ROUND($L66,6)&lt;&gt;ROUND(MIN(1,SUMIFS($AG$5:$AG$1000,$U$5:$U$1000,ROW(),$V$5:$V$1000,"Sub")),6),FALSE))),"Con subactividades: no escriba en las semanas (se llenan solas)"&amp;" · ","")&amp;IF((COUNTIF($I66:$L66,"&gt;1")+COUNTIF($I66:$L66,"&lt;0")+SUMPRODUCT((LEN($I66:$L66)&gt;0)*NOT(ISNUMBER($I66:$L66))))&gt;0,"Avance fuera de rango 0-100%"&amp;" · ","")&amp;IF(OR(AND(ISNUMBER($J66),$J66&lt;N($I66)),AND(ISNUMBER($K66),$K66&lt;MAX($I66:$J66)),AND(ISNUMBER($L66),$L66&lt;MAX($I66:$K66))),"Avance semanal decreciente"&amp;" · ","")&amp;IF(AND(ISNUMBER($AS66),$AS66&lt;FechaRef,IF($V66="Sub",1,N($M66))&lt;1),"Vencida"&amp;" · ","")&amp;IF(AND(ObsObligatoria="Sí",ISNUMBER($AS66),$AS66&lt;FechaRef,IF($V66="Sub",1,N($M66))&lt;1,$Q66=""),"Vencida sin observación"&amp;" · ",""))-3)))</f>
        <v/>
      </c>
      <c r="S66" s="64">
        <f>IF(NOT((COUNTA($B66:$D66)+COUNTA($G66:$H66)+COUNTA($Q66))&gt;0),"",IF(AND($V66="Sub",N($U66)&gt;0),IF(ISNUMBER(INDEX($AR$5:$AR$1000,$U66-4)),DATE(YEAR(INDEX($AR$5:$AR$1000,$U66-4)),MONTH(INDEX($AR$5:$AR$1000,$U66-4)),1),IF(ISNUMBER(INDEX($AS$5:$AS$1000,$U66-4)),DATE(YEAR(INDEX($AS$5:$AS$1000,$U66-4)),MONTH(INDEX($AS$5:$AS$1000,$U66-4)),1),MesCiclo)),IF(ISNUMBER($AR66),DATE(YEAR($AR66),MONTH($AR66),1),IF(ISNUMBER($AS66),DATE(YEAR($AS66),MONTH($AS66),1),MesCiclo))))</f>
        <v/>
      </c>
      <c r="T66" s="62">
        <f>IF(OR($S66="",$S66&lt;&gt;MesCiclo,$V66&lt;&gt;"Macro"),"",COUNTIFS($S$5:$S66,MesCiclo,$V$5:$V66,"Macro"))</f>
        <v/>
      </c>
      <c r="U66" s="62">
        <f>IF($V66="","",IF($V66="Macro",ROW(),IFERROR(LOOKUP(2,1/($V$5:$V66="Macro"),ROW($V$5:$V66)),0)))</f>
        <v/>
      </c>
      <c r="V66" s="62">
        <f>IF(NOT((COUNTA($B66:$D66)+COUNTA($G66:$H66)+COUNTA($Q66))&gt;0),"",IF($B66="Subactividad","Sub","Macro"))</f>
        <v/>
      </c>
      <c r="W66" s="62">
        <f>IF($V66="Macro",COUNTIFS($U$5:$U$1000,ROW(),$V$5:$V$1000,"Sub"),"")</f>
        <v/>
      </c>
      <c r="X66" s="62">
        <f>IF($V66&lt;&gt;"Sub","",IF(AND(ISNUMBER($H66),N($H66)&gt;0),$H66,IFERROR(MAX(0,1-SUMIFS($H$5:$H$1000,$U$5:$U$1000,$U66,$V$5:$V$1000,"Sub"))/(COUNTIFS($U$5:$U$1000,$U66,$V$5:$V$1000,"Sub")-COUNTIFS($U$5:$U$1000,$U66,$V$5:$V$1000,"Sub",$H$5:$H$1000,"&gt;0")),0)))</f>
        <v/>
      </c>
      <c r="Y66" s="62">
        <f>IF($V66="","",IF($V66="Sub",N($X66)*IF(ISNUMBER($G66),1,MIN(1,MAX(0,IFERROR(LOOKUP(2,1/ISNUMBER($I66:$L66),$I66:$L66),0)))),IF(ISNUMBER($G66),1,IFERROR(LOOKUP(2,1/($I66:$L66&lt;&gt;""),$I66:$L66),0))))</f>
        <v/>
      </c>
      <c r="Z66" s="62">
        <f>IF($V66="","",IF(AND(ISNUMBER($G66),$G66&lt;=IF($S66=MesCiclo,InicioCiclo,$S66+MOD(2-WEEKDAY($S66),7))+6),1,IF(ISNUMBER($I66),$I66,0)))</f>
        <v/>
      </c>
      <c r="AA66" s="62">
        <f>IF($V66="","",IF(AND(ISNUMBER($G66),$G66&lt;=IF($S66=MesCiclo,InicioCiclo,$S66+MOD(2-WEEKDAY($S66),7))+13),1,IF(ISNUMBER($J66),$J66,$Z66)))</f>
        <v/>
      </c>
      <c r="AB66" s="62">
        <f>IF($V66="","",IF(AND(ISNUMBER($G66),$G66&lt;=IF($S66=MesCiclo,InicioCiclo,$S66+MOD(2-WEEKDAY($S66),7))+20),1,IF(ISNUMBER($K66),$K66,$AA66)))</f>
        <v/>
      </c>
      <c r="AC66" s="62">
        <f>IF($V66="","",IF(AND(ISNUMBER($G66),$G66&lt;=IF($S66=MesCiclo,InicioCiclo,$S66+MOD(2-WEEKDAY($S66),7))+27),1,IF(ISNUMBER($L66),$L66,$AB66)))</f>
        <v/>
      </c>
      <c r="AD66" s="62">
        <f>IF($V66&lt;&gt;"Sub","",N($X66)*IF(AND(ISNUMBER($G66),$G66&lt;=IF($S66=MesCiclo,InicioCiclo,$S66+MOD(2-WEEKDAY($S66),7))+6),1,MIN(1,MAX(0,IF(ISNUMBER(OFFSET($A$1,ROW()-1,8)),OFFSET($A$1,ROW()-1,8),0)))))</f>
        <v/>
      </c>
      <c r="AE66" s="62">
        <f>IF($V66&lt;&gt;"Sub","",N($X66)*IF(AND(ISNUMBER($G66),$G66&lt;=IF($S66=MesCiclo,InicioCiclo,$S66+MOD(2-WEEKDAY($S66),7))+13),1,MIN(1,MAX(0,IF(ISNUMBER(OFFSET($A$1,ROW()-1,9)),OFFSET($A$1,ROW()-1,9),IF(ISNUMBER(OFFSET($A$1,ROW()-1,8)),OFFSET($A$1,ROW()-1,8),0))))))</f>
        <v/>
      </c>
      <c r="AF66" s="62">
        <f>IF($V66&lt;&gt;"Sub","",N($X66)*IF(AND(ISNUMBER($G66),$G66&lt;=IF($S66=MesCiclo,InicioCiclo,$S66+MOD(2-WEEKDAY($S66),7))+20),1,MIN(1,MAX(0,IF(ISNUMBER(OFFSET($A$1,ROW()-1,10)),OFFSET($A$1,ROW()-1,10),IF(ISNUMBER(OFFSET($A$1,ROW()-1,9)),OFFSET($A$1,ROW()-1,9),IF(ISNUMBER(OFFSET($A$1,ROW()-1,8)),OFFSET($A$1,ROW()-1,8),0)))))))</f>
        <v/>
      </c>
      <c r="AG66" s="62">
        <f>IF($V66&lt;&gt;"Sub","",N($X66)*IF(AND(ISNUMBER($G66),$G66&lt;=IF($S66=MesCiclo,InicioCiclo,$S66+MOD(2-WEEKDAY($S66),7))+27),1,MIN(1,MAX(0,IF(ISNUMBER(OFFSET($A$1,ROW()-1,11)),OFFSET($A$1,ROW()-1,11),IF(ISNUMBER(OFFSET($A$1,ROW()-1,10)),OFFSET($A$1,ROW()-1,10),IF(ISNUMBER(OFFSET($A$1,ROW()-1,9)),OFFSET($A$1,ROW()-1,9),IF(ISNUMBER(OFFSET($A$1,ROW()-1,8)),OFFSET($A$1,ROW()-1,8),0))))))))</f>
        <v/>
      </c>
      <c r="AH66" s="62">
        <f>IF($V66="","",IF(AND(ISNUMBER($G66),$G66&lt;=IF($S66=MesCiclo,InicioCiclo,$S66+MOD(2-WEEKDAY($S66),7))+6),1,IF(N($W66)&gt;0,MIN(1,SUMIFS($AD$5:$AD$1000,$U$5:$U$1000,ROW(),$V$5:$V$1000,"Sub")),$Z66)))</f>
        <v/>
      </c>
      <c r="AI66" s="62">
        <f>IF($V66="","",IF(AND(ISNUMBER($G66),$G66&lt;=IF($S66=MesCiclo,InicioCiclo,$S66+MOD(2-WEEKDAY($S66),7))+13),1,IF(N($W66)&gt;0,MIN(1,SUMIFS($AE$5:$AE$1000,$U$5:$U$1000,ROW(),$V$5:$V$1000,"Sub")),$AA66)))</f>
        <v/>
      </c>
      <c r="AJ66" s="62">
        <f>IF($V66="","",IF(AND(ISNUMBER($G66),$G66&lt;=IF($S66=MesCiclo,InicioCiclo,$S66+MOD(2-WEEKDAY($S66),7))+20),1,IF(N($W66)&gt;0,MIN(1,SUMIFS($AF$5:$AF$1000,$U$5:$U$1000,ROW(),$V$5:$V$1000,"Sub")),$AB66)))</f>
        <v/>
      </c>
      <c r="AK66" s="62">
        <f>IF($V66="","",IF(AND(ISNUMBER($G66),$G66&lt;=IF($S66=MesCiclo,InicioCiclo,$S66+MOD(2-WEEKDAY($S66),7))+27),1,IF(N($W66)&gt;0,MIN(1,SUMIFS($AG$5:$AG$1000,$U$5:$U$1000,ROW(),$V$5:$V$1000,"Sub")),$AC66)))</f>
        <v/>
      </c>
      <c r="AL66" s="62">
        <f>IF($V66&lt;&gt;"Macro","",IF(COUNTIFS($S$5:$S$1000,$S66,$V$5:$V$1000,"Macro",$H$5:$H$1000,"&gt;0")=0,1/COUNTIFS($S$5:$S$1000,$S66,$V$5:$V$1000,"Macro"),IF(AND(ISNUMBER($H66),N($H66)&gt;0),$H66,SUMIFS($H$5:$H$1000,$S$5:$S$1000,$S66,$V$5:$V$1000,"Macro")/COUNTIFS($S$5:$S$1000,$S66,$V$5:$V$1000,"Macro",$H$5:$H$1000,"&gt;0"))/(COUNTIFS($S$5:$S$1000,$S66,$V$5:$V$1000,"Macro")*SUMIFS($H$5:$H$1000,$S$5:$S$1000,$S66,$V$5:$V$1000,"Macro")/COUNTIFS($S$5:$S$1000,$S66,$V$5:$V$1000,"Macro",$H$5:$H$1000,"&gt;0"))))</f>
        <v/>
      </c>
      <c r="AM66" s="62" t="n"/>
      <c r="AN66" s="62" t="n"/>
      <c r="AO66" s="62" t="n"/>
      <c r="AP66" s="62" t="n"/>
      <c r="AQ66" s="62">
        <f>IF(LEFT($C66,11)="[Jefatura] ",IFERROR(MATCH("Asistente Técnico de Riesgo|"&amp;MID($C66,12,500),rDname_ADM,0),0),"")</f>
        <v/>
      </c>
      <c r="AR66" s="62">
        <f>IF(N($AQ66)&gt;0,INDEX(rIni_ADM,$AQ66),IF(ISNUMBER($E66),$E66,""))</f>
        <v/>
      </c>
      <c r="AS66" s="62">
        <f>IF(N($AQ66)&gt;0,INDEX(rLim_ADM,$AQ66),IF(ISNUMBER($F66),$F66,""))</f>
        <v/>
      </c>
    </row>
    <row r="67">
      <c r="A67" s="56">
        <f>IF(NOT((COUNTA($B67:$D67)+COUNTA($G67:$H67)+COUNTA($Q67))&gt;0),"",IF($V67="Macro",COUNTIFS($V$5:$V67,"Macro",$S$5:$S67,$S67),IF(N($U67)=0,"?",COUNTIFS(INDEX($V$5:$V$1000,1):INDEX($V$5:$V$1000,$U67-4),"Macro",INDEX($S$5:$S$1000,1):INDEX($S$5:$S$1000,$U67-4),INDEX($S$5:$S$1000,$U67-4))&amp;"."&amp;COUNTIFS($U$5:$U67,$U67,$V$5:$V67,"Sub"))))</f>
        <v/>
      </c>
      <c r="B67" s="57" t="n"/>
      <c r="C67" s="58" t="n"/>
      <c r="D67" s="58" t="n"/>
      <c r="E67" s="59">
        <f>IF(N($AQ67)&gt;0,INDEX(rIni_ADM,$AQ67),"")</f>
        <v/>
      </c>
      <c r="F67" s="59">
        <f>IF(N($AQ67)&gt;0,INDEX(rLim_ADM,$AQ67),"")</f>
        <v/>
      </c>
      <c r="G67" s="59" t="n"/>
      <c r="H67" s="60" t="n"/>
      <c r="I67" s="60">
        <f>IF(N($W67)=0,"",IF(AND($S67=MesCiclo,1&gt;SemanaActual),"",MIN(1,SUMIFS(OFFSET($A$1,ROW(),29,1000-ROW(),1),OFFSET($A$1,ROW(),20,1000-ROW(),1),ROW(),OFFSET($A$1,ROW(),21,1000-ROW(),1),"Sub"))))</f>
        <v/>
      </c>
      <c r="J67" s="60">
        <f>IF(N($W67)=0,"",IF(AND($S67=MesCiclo,2&gt;SemanaActual),"",MIN(1,SUMIFS(OFFSET($A$1,ROW(),30,1000-ROW(),1),OFFSET($A$1,ROW(),20,1000-ROW(),1),ROW(),OFFSET($A$1,ROW(),21,1000-ROW(),1),"Sub"))))</f>
        <v/>
      </c>
      <c r="K67" s="60">
        <f>IF(N($W67)=0,"",IF(AND($S67=MesCiclo,3&gt;SemanaActual),"",MIN(1,SUMIFS(OFFSET($A$1,ROW(),31,1000-ROW(),1),OFFSET($A$1,ROW(),20,1000-ROW(),1),ROW(),OFFSET($A$1,ROW(),21,1000-ROW(),1),"Sub"))))</f>
        <v/>
      </c>
      <c r="L67" s="60">
        <f>IF(N($W67)=0,"",IF(AND($S67=MesCiclo,4&gt;SemanaActual),"",MIN(1,SUMIFS(OFFSET($A$1,ROW(),32,1000-ROW(),1),OFFSET($A$1,ROW(),20,1000-ROW(),1),ROW(),OFFSET($A$1,ROW(),21,1000-ROW(),1),"Sub"))))</f>
        <v/>
      </c>
      <c r="M67" s="61">
        <f>IF(OR(NOT((COUNTA($B67:$D67)+COUNTA($G67:$H67)+COUNTA($Q67))&gt;0),$V67="Sub"),"",IF(ISNUMBER($G67),1,IF(N($W67)&gt;0,MIN(1,SUMIFS($Y$5:$Y$1000,$U$5:$U$1000,ROW(),$V$5:$V$1000,"Sub")),$Y67)))</f>
        <v/>
      </c>
      <c r="N67" s="56">
        <f>IF(OR($M67="",$V67="Sub"),"",IF($M67&gt;=1,"Completado",IF($M67&gt;0,"En curso","Pendiente")))</f>
        <v/>
      </c>
      <c r="O67" s="56">
        <f>IF(OR(NOT((COUNTA($B67:$D67)+COUNTA($G67:$H67)+COUNTA($Q67))&gt;0),$V67="Sub"),"",IF(ISNUMBER($G67),IF(AND(ISNUMBER($AS67),$G67&gt;$AS67),"Cumplida con "&amp;($G67-$AS67)&amp;IF($G67-$AS67=1," día"," días")&amp;" de retraso","Cumplida"),IF(N($M67)&gt;=1,"Cumplida",IF(NOT(ISNUMBER($AS67)),"Sin fecha límite",IF($AS67&lt;FechaRef,"Vencida hace "&amp;(FechaRef-$AS67)&amp;IF(FechaRef-$AS67=1," día"," días"),IF($AS67=FechaRef,"Vence hoy",IF($AS67-FechaRef&lt;=DiasAlerta,"Vence en "&amp;($AS67-FechaRef)&amp;IF($AS67-FechaRef=1," día"," días"),"En plazo")))))))</f>
        <v/>
      </c>
      <c r="P67" s="62" t="n"/>
      <c r="Q67" s="58" t="n"/>
      <c r="R67" s="63">
        <f>IF(NOT((COUNTA($B67:$D67)+COUNTA($G67:$H67)+COUNTA($Q67))&gt;0),"",IF((IF($C67="","Falta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 OK","⚠ "&amp;LEFT(IF($C67="","Falta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",""),LEN(IF($C67="","Falta el nombre de la actividad"&amp;" · ","")&amp;IF(AND($V67="Sub",N($U67)=0),"Subactividad sin macroactividad arriba"&amp;" · ","")&amp;IF(AND($V67="Macro",$AR67=""),"Sin fecha de inicio"&amp;" · ","")&amp;IF(AND($V67="Macro",$AS67=""),"Sin fecha límite"&amp;" · ","")&amp;IF(AND(LEFT($C67,11)="[Jefatura] ",N($AQ67)=0),"No se encuentra en la hoja de la jefatura (elíjala de nuevo en la lista)"&amp;" · ","")&amp;IF(OR(AND($E67&lt;&gt;"",NOT(ISNUMBER($E67))),AND($F67&lt;&gt;"",NOT(ISNUMBER($F67))),AND($G67&lt;&gt;"",NOT(ISNUMBER($G67)))),"Fecha no válida"&amp;" · ","")&amp;IF(AND(ISNUMBER($AR67),ISNUMBER($AS67),$AR67&gt;$AS67),"Inicio posterior a fecha límite"&amp;" · ","")&amp;IF(AND($V67="Macro",$H67&lt;&gt;"",OR(NOT(ISNUMBER($H67)),$H67&lt;0,$H67&gt;1)),"Peso fuera de rango"&amp;" · ","")&amp;IF(AND($V67="Sub",$H67&lt;&gt;"",OR(NOT(ISNUMBER($H67)),$H67&lt;0,$H67&gt;1)),"% de la subactividad fuera de rango 0-100%"&amp;" · ","")&amp;IF(AND(N($W67)&gt;0,SUMIFS($H$5:$H$1000,$U$5:$U$1000,ROW(),$V$5:$V$1000,"Sub")&gt;1.0001),"Las subactividades suman más de 100%"&amp;" · ","")&amp;IF(AND(N($W67)&gt;0,OR(IF(ISNUMBER($I67),ROUND($I67,6)&lt;&gt;ROUND(MIN(1,SUMIFS($AD$5:$AD$1000,$U$5:$U$1000,ROW(),$V$5:$V$1000,"Sub")),6),FALSE),IF(ISNUMBER($J67),ROUND($J67,6)&lt;&gt;ROUND(MIN(1,SUMIFS($AE$5:$AE$1000,$U$5:$U$1000,ROW(),$V$5:$V$1000,"Sub")),6),FALSE),IF(ISNUMBER($K67),ROUND($K67,6)&lt;&gt;ROUND(MIN(1,SUMIFS($AF$5:$AF$1000,$U$5:$U$1000,ROW(),$V$5:$V$1000,"Sub")),6),FALSE),IF(ISNUMBER($L67),ROUND($L67,6)&lt;&gt;ROUND(MIN(1,SUMIFS($AG$5:$AG$1000,$U$5:$U$1000,ROW(),$V$5:$V$1000,"Sub")),6),FALSE))),"Con subactividades: no escriba en las semanas (se llenan solas)"&amp;" · ","")&amp;IF((COUNTIF($I67:$L67,"&gt;1")+COUNTIF($I67:$L67,"&lt;0")+SUMPRODUCT((LEN($I67:$L67)&gt;0)*NOT(ISNUMBER($I67:$L67))))&gt;0,"Avance fuera de rango 0-100%"&amp;" · ","")&amp;IF(OR(AND(ISNUMBER($J67),$J67&lt;N($I67)),AND(ISNUMBER($K67),$K67&lt;MAX($I67:$J67)),AND(ISNUMBER($L67),$L67&lt;MAX($I67:$K67))),"Avance semanal decreciente"&amp;" · ","")&amp;IF(AND(ISNUMBER($AS67),$AS67&lt;FechaRef,IF($V67="Sub",1,N($M67))&lt;1),"Vencida"&amp;" · ","")&amp;IF(AND(ObsObligatoria="Sí",ISNUMBER($AS67),$AS67&lt;FechaRef,IF($V67="Sub",1,N($M67))&lt;1,$Q67=""),"Vencida sin observación"&amp;" · ",""))-3)))</f>
        <v/>
      </c>
      <c r="S67" s="64">
        <f>IF(NOT((COUNTA($B67:$D67)+COUNTA($G67:$H67)+COUNTA($Q67))&gt;0),"",IF(AND($V67="Sub",N($U67)&gt;0),IF(ISNUMBER(INDEX($AR$5:$AR$1000,$U67-4)),DATE(YEAR(INDEX($AR$5:$AR$1000,$U67-4)),MONTH(INDEX($AR$5:$AR$1000,$U67-4)),1),IF(ISNUMBER(INDEX($AS$5:$AS$1000,$U67-4)),DATE(YEAR(INDEX($AS$5:$AS$1000,$U67-4)),MONTH(INDEX($AS$5:$AS$1000,$U67-4)),1),MesCiclo)),IF(ISNUMBER($AR67),DATE(YEAR($AR67),MONTH($AR67),1),IF(ISNUMBER($AS67),DATE(YEAR($AS67),MONTH($AS67),1),MesCiclo))))</f>
        <v/>
      </c>
      <c r="T67" s="62">
        <f>IF(OR($S67="",$S67&lt;&gt;MesCiclo,$V67&lt;&gt;"Macro"),"",COUNTIFS($S$5:$S67,MesCiclo,$V$5:$V67,"Macro"))</f>
        <v/>
      </c>
      <c r="U67" s="62">
        <f>IF($V67="","",IF($V67="Macro",ROW(),IFERROR(LOOKUP(2,1/($V$5:$V67="Macro"),ROW($V$5:$V67)),0)))</f>
        <v/>
      </c>
      <c r="V67" s="62">
        <f>IF(NOT((COUNTA($B67:$D67)+COUNTA($G67:$H67)+COUNTA($Q67))&gt;0),"",IF($B67="Subactividad","Sub","Macro"))</f>
        <v/>
      </c>
      <c r="W67" s="62">
        <f>IF($V67="Macro",COUNTIFS($U$5:$U$1000,ROW(),$V$5:$V$1000,"Sub"),"")</f>
        <v/>
      </c>
      <c r="X67" s="62">
        <f>IF($V67&lt;&gt;"Sub","",IF(AND(ISNUMBER($H67),N($H67)&gt;0),$H67,IFERROR(MAX(0,1-SUMIFS($H$5:$H$1000,$U$5:$U$1000,$U67,$V$5:$V$1000,"Sub"))/(COUNTIFS($U$5:$U$1000,$U67,$V$5:$V$1000,"Sub")-COUNTIFS($U$5:$U$1000,$U67,$V$5:$V$1000,"Sub",$H$5:$H$1000,"&gt;0")),0)))</f>
        <v/>
      </c>
      <c r="Y67" s="62">
        <f>IF($V67="","",IF($V67="Sub",N($X67)*IF(ISNUMBER($G67),1,MIN(1,MAX(0,IFERROR(LOOKUP(2,1/ISNUMBER($I67:$L67),$I67:$L67),0)))),IF(ISNUMBER($G67),1,IFERROR(LOOKUP(2,1/($I67:$L67&lt;&gt;""),$I67:$L67),0))))</f>
        <v/>
      </c>
      <c r="Z67" s="62">
        <f>IF($V67="","",IF(AND(ISNUMBER($G67),$G67&lt;=IF($S67=MesCiclo,InicioCiclo,$S67+MOD(2-WEEKDAY($S67),7))+6),1,IF(ISNUMBER($I67),$I67,0)))</f>
        <v/>
      </c>
      <c r="AA67" s="62">
        <f>IF($V67="","",IF(AND(ISNUMBER($G67),$G67&lt;=IF($S67=MesCiclo,InicioCiclo,$S67+MOD(2-WEEKDAY($S67),7))+13),1,IF(ISNUMBER($J67),$J67,$Z67)))</f>
        <v/>
      </c>
      <c r="AB67" s="62">
        <f>IF($V67="","",IF(AND(ISNUMBER($G67),$G67&lt;=IF($S67=MesCiclo,InicioCiclo,$S67+MOD(2-WEEKDAY($S67),7))+20),1,IF(ISNUMBER($K67),$K67,$AA67)))</f>
        <v/>
      </c>
      <c r="AC67" s="62">
        <f>IF($V67="","",IF(AND(ISNUMBER($G67),$G67&lt;=IF($S67=MesCiclo,InicioCiclo,$S67+MOD(2-WEEKDAY($S67),7))+27),1,IF(ISNUMBER($L67),$L67,$AB67)))</f>
        <v/>
      </c>
      <c r="AD67" s="62">
        <f>IF($V67&lt;&gt;"Sub","",N($X67)*IF(AND(ISNUMBER($G67),$G67&lt;=IF($S67=MesCiclo,InicioCiclo,$S67+MOD(2-WEEKDAY($S67),7))+6),1,MIN(1,MAX(0,IF(ISNUMBER(OFFSET($A$1,ROW()-1,8)),OFFSET($A$1,ROW()-1,8),0)))))</f>
        <v/>
      </c>
      <c r="AE67" s="62">
        <f>IF($V67&lt;&gt;"Sub","",N($X67)*IF(AND(ISNUMBER($G67),$G67&lt;=IF($S67=MesCiclo,InicioCiclo,$S67+MOD(2-WEEKDAY($S67),7))+13),1,MIN(1,MAX(0,IF(ISNUMBER(OFFSET($A$1,ROW()-1,9)),OFFSET($A$1,ROW()-1,9),IF(ISNUMBER(OFFSET($A$1,ROW()-1,8)),OFFSET($A$1,ROW()-1,8),0))))))</f>
        <v/>
      </c>
      <c r="AF67" s="62">
        <f>IF($V67&lt;&gt;"Sub","",N($X67)*IF(AND(ISNUMBER($G67),$G67&lt;=IF($S67=MesCiclo,InicioCiclo,$S67+MOD(2-WEEKDAY($S67),7))+20),1,MIN(1,MAX(0,IF(ISNUMBER(OFFSET($A$1,ROW()-1,10)),OFFSET($A$1,ROW()-1,10),IF(ISNUMBER(OFFSET($A$1,ROW()-1,9)),OFFSET($A$1,ROW()-1,9),IF(ISNUMBER(OFFSET($A$1,ROW()-1,8)),OFFSET($A$1,ROW()-1,8),0)))))))</f>
        <v/>
      </c>
      <c r="AG67" s="62">
        <f>IF($V67&lt;&gt;"Sub","",N($X67)*IF(AND(ISNUMBER($G67),$G67&lt;=IF($S67=MesCiclo,InicioCiclo,$S67+MOD(2-WEEKDAY($S67),7))+27),1,MIN(1,MAX(0,IF(ISNUMBER(OFFSET($A$1,ROW()-1,11)),OFFSET($A$1,ROW()-1,11),IF(ISNUMBER(OFFSET($A$1,ROW()-1,10)),OFFSET($A$1,ROW()-1,10),IF(ISNUMBER(OFFSET($A$1,ROW()-1,9)),OFFSET($A$1,ROW()-1,9),IF(ISNUMBER(OFFSET($A$1,ROW()-1,8)),OFFSET($A$1,ROW()-1,8),0))))))))</f>
        <v/>
      </c>
      <c r="AH67" s="62">
        <f>IF($V67="","",IF(AND(ISNUMBER($G67),$G67&lt;=IF($S67=MesCiclo,InicioCiclo,$S67+MOD(2-WEEKDAY($S67),7))+6),1,IF(N($W67)&gt;0,MIN(1,SUMIFS($AD$5:$AD$1000,$U$5:$U$1000,ROW(),$V$5:$V$1000,"Sub")),$Z67)))</f>
        <v/>
      </c>
      <c r="AI67" s="62">
        <f>IF($V67="","",IF(AND(ISNUMBER($G67),$G67&lt;=IF($S67=MesCiclo,InicioCiclo,$S67+MOD(2-WEEKDAY($S67),7))+13),1,IF(N($W67)&gt;0,MIN(1,SUMIFS($AE$5:$AE$1000,$U$5:$U$1000,ROW(),$V$5:$V$1000,"Sub")),$AA67)))</f>
        <v/>
      </c>
      <c r="AJ67" s="62">
        <f>IF($V67="","",IF(AND(ISNUMBER($G67),$G67&lt;=IF($S67=MesCiclo,InicioCiclo,$S67+MOD(2-WEEKDAY($S67),7))+20),1,IF(N($W67)&gt;0,MIN(1,SUMIFS($AF$5:$AF$1000,$U$5:$U$1000,ROW(),$V$5:$V$1000,"Sub")),$AB67)))</f>
        <v/>
      </c>
      <c r="AK67" s="62">
        <f>IF($V67="","",IF(AND(ISNUMBER($G67),$G67&lt;=IF($S67=MesCiclo,InicioCiclo,$S67+MOD(2-WEEKDAY($S67),7))+27),1,IF(N($W67)&gt;0,MIN(1,SUMIFS($AG$5:$AG$1000,$U$5:$U$1000,ROW(),$V$5:$V$1000,"Sub")),$AC67)))</f>
        <v/>
      </c>
      <c r="AL67" s="62">
        <f>IF($V67&lt;&gt;"Macro","",IF(COUNTIFS($S$5:$S$1000,$S67,$V$5:$V$1000,"Macro",$H$5:$H$1000,"&gt;0")=0,1/COUNTIFS($S$5:$S$1000,$S67,$V$5:$V$1000,"Macro"),IF(AND(ISNUMBER($H67),N($H67)&gt;0),$H67,SUMIFS($H$5:$H$1000,$S$5:$S$1000,$S67,$V$5:$V$1000,"Macro")/COUNTIFS($S$5:$S$1000,$S67,$V$5:$V$1000,"Macro",$H$5:$H$1000,"&gt;0"))/(COUNTIFS($S$5:$S$1000,$S67,$V$5:$V$1000,"Macro")*SUMIFS($H$5:$H$1000,$S$5:$S$1000,$S67,$V$5:$V$1000,"Macro")/COUNTIFS($S$5:$S$1000,$S67,$V$5:$V$1000,"Macro",$H$5:$H$1000,"&gt;0"))))</f>
        <v/>
      </c>
      <c r="AM67" s="62" t="n"/>
      <c r="AN67" s="62" t="n"/>
      <c r="AO67" s="62" t="n"/>
      <c r="AP67" s="62" t="n"/>
      <c r="AQ67" s="62">
        <f>IF(LEFT($C67,11)="[Jefatura] ",IFERROR(MATCH("Asistente Técnico de Riesgo|"&amp;MID($C67,12,500),rDname_ADM,0),0),"")</f>
        <v/>
      </c>
      <c r="AR67" s="62">
        <f>IF(N($AQ67)&gt;0,INDEX(rIni_ADM,$AQ67),IF(ISNUMBER($E67),$E67,""))</f>
        <v/>
      </c>
      <c r="AS67" s="62">
        <f>IF(N($AQ67)&gt;0,INDEX(rLim_ADM,$AQ67),IF(ISNUMBER($F67),$F67,""))</f>
        <v/>
      </c>
    </row>
    <row r="68">
      <c r="A68" s="56">
        <f>IF(NOT((COUNTA($B68:$D68)+COUNTA($G68:$H68)+COUNTA($Q68))&gt;0),"",IF($V68="Macro",COUNTIFS($V$5:$V68,"Macro",$S$5:$S68,$S68),IF(N($U68)=0,"?",COUNTIFS(INDEX($V$5:$V$1000,1):INDEX($V$5:$V$1000,$U68-4),"Macro",INDEX($S$5:$S$1000,1):INDEX($S$5:$S$1000,$U68-4),INDEX($S$5:$S$1000,$U68-4))&amp;"."&amp;COUNTIFS($U$5:$U68,$U68,$V$5:$V68,"Sub"))))</f>
        <v/>
      </c>
      <c r="B68" s="57" t="n"/>
      <c r="C68" s="58" t="n"/>
      <c r="D68" s="58" t="n"/>
      <c r="E68" s="59">
        <f>IF(N($AQ68)&gt;0,INDEX(rIni_ADM,$AQ68),"")</f>
        <v/>
      </c>
      <c r="F68" s="59">
        <f>IF(N($AQ68)&gt;0,INDEX(rLim_ADM,$AQ68),"")</f>
        <v/>
      </c>
      <c r="G68" s="59" t="n"/>
      <c r="H68" s="60" t="n"/>
      <c r="I68" s="60">
        <f>IF(N($W68)=0,"",IF(AND($S68=MesCiclo,1&gt;SemanaActual),"",MIN(1,SUMIFS(OFFSET($A$1,ROW(),29,1000-ROW(),1),OFFSET($A$1,ROW(),20,1000-ROW(),1),ROW(),OFFSET($A$1,ROW(),21,1000-ROW(),1),"Sub"))))</f>
        <v/>
      </c>
      <c r="J68" s="60">
        <f>IF(N($W68)=0,"",IF(AND($S68=MesCiclo,2&gt;SemanaActual),"",MIN(1,SUMIFS(OFFSET($A$1,ROW(),30,1000-ROW(),1),OFFSET($A$1,ROW(),20,1000-ROW(),1),ROW(),OFFSET($A$1,ROW(),21,1000-ROW(),1),"Sub"))))</f>
        <v/>
      </c>
      <c r="K68" s="60">
        <f>IF(N($W68)=0,"",IF(AND($S68=MesCiclo,3&gt;SemanaActual),"",MIN(1,SUMIFS(OFFSET($A$1,ROW(),31,1000-ROW(),1),OFFSET($A$1,ROW(),20,1000-ROW(),1),ROW(),OFFSET($A$1,ROW(),21,1000-ROW(),1),"Sub"))))</f>
        <v/>
      </c>
      <c r="L68" s="60">
        <f>IF(N($W68)=0,"",IF(AND($S68=MesCiclo,4&gt;SemanaActual),"",MIN(1,SUMIFS(OFFSET($A$1,ROW(),32,1000-ROW(),1),OFFSET($A$1,ROW(),20,1000-ROW(),1),ROW(),OFFSET($A$1,ROW(),21,1000-ROW(),1),"Sub"))))</f>
        <v/>
      </c>
      <c r="M68" s="61">
        <f>IF(OR(NOT((COUNTA($B68:$D68)+COUNTA($G68:$H68)+COUNTA($Q68))&gt;0),$V68="Sub"),"",IF(ISNUMBER($G68),1,IF(N($W68)&gt;0,MIN(1,SUMIFS($Y$5:$Y$1000,$U$5:$U$1000,ROW(),$V$5:$V$1000,"Sub")),$Y68)))</f>
        <v/>
      </c>
      <c r="N68" s="56">
        <f>IF(OR($M68="",$V68="Sub"),"",IF($M68&gt;=1,"Completado",IF($M68&gt;0,"En curso","Pendiente")))</f>
        <v/>
      </c>
      <c r="O68" s="56">
        <f>IF(OR(NOT((COUNTA($B68:$D68)+COUNTA($G68:$H68)+COUNTA($Q68))&gt;0),$V68="Sub"),"",IF(ISNUMBER($G68),IF(AND(ISNUMBER($AS68),$G68&gt;$AS68),"Cumplida con "&amp;($G68-$AS68)&amp;IF($G68-$AS68=1," día"," días")&amp;" de retraso","Cumplida"),IF(N($M68)&gt;=1,"Cumplida",IF(NOT(ISNUMBER($AS68)),"Sin fecha límite",IF($AS68&lt;FechaRef,"Vencida hace "&amp;(FechaRef-$AS68)&amp;IF(FechaRef-$AS68=1," día"," días"),IF($AS68=FechaRef,"Vence hoy",IF($AS68-FechaRef&lt;=DiasAlerta,"Vence en "&amp;($AS68-FechaRef)&amp;IF($AS68-FechaRef=1," día"," días"),"En plazo")))))))</f>
        <v/>
      </c>
      <c r="P68" s="62" t="n"/>
      <c r="Q68" s="58" t="n"/>
      <c r="R68" s="63">
        <f>IF(NOT((COUNTA($B68:$D68)+COUNTA($G68:$H68)+COUNTA($Q68))&gt;0),"",IF((IF($C68="","Falta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 OK","⚠ "&amp;LEFT(IF($C68="","Falta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",""),LEN(IF($C68="","Falta el nombre de la actividad"&amp;" · ","")&amp;IF(AND($V68="Sub",N($U68)=0),"Subactividad sin macroactividad arriba"&amp;" · ","")&amp;IF(AND($V68="Macro",$AR68=""),"Sin fecha de inicio"&amp;" · ","")&amp;IF(AND($V68="Macro",$AS68=""),"Sin fecha límite"&amp;" · ","")&amp;IF(AND(LEFT($C68,11)="[Jefatura] ",N($AQ68)=0),"No se encuentra en la hoja de la jefatura (elíjala de nuevo en la lista)"&amp;" · ","")&amp;IF(OR(AND($E68&lt;&gt;"",NOT(ISNUMBER($E68))),AND($F68&lt;&gt;"",NOT(ISNUMBER($F68))),AND($G68&lt;&gt;"",NOT(ISNUMBER($G68)))),"Fecha no válida"&amp;" · ","")&amp;IF(AND(ISNUMBER($AR68),ISNUMBER($AS68),$AR68&gt;$AS68),"Inicio posterior a fecha límite"&amp;" · ","")&amp;IF(AND($V68="Macro",$H68&lt;&gt;"",OR(NOT(ISNUMBER($H68)),$H68&lt;0,$H68&gt;1)),"Peso fuera de rango"&amp;" · ","")&amp;IF(AND($V68="Sub",$H68&lt;&gt;"",OR(NOT(ISNUMBER($H68)),$H68&lt;0,$H68&gt;1)),"% de la subactividad fuera de rango 0-100%"&amp;" · ","")&amp;IF(AND(N($W68)&gt;0,SUMIFS($H$5:$H$1000,$U$5:$U$1000,ROW(),$V$5:$V$1000,"Sub")&gt;1.0001),"Las subactividades suman más de 100%"&amp;" · ","")&amp;IF(AND(N($W68)&gt;0,OR(IF(ISNUMBER($I68),ROUND($I68,6)&lt;&gt;ROUND(MIN(1,SUMIFS($AD$5:$AD$1000,$U$5:$U$1000,ROW(),$V$5:$V$1000,"Sub")),6),FALSE),IF(ISNUMBER($J68),ROUND($J68,6)&lt;&gt;ROUND(MIN(1,SUMIFS($AE$5:$AE$1000,$U$5:$U$1000,ROW(),$V$5:$V$1000,"Sub")),6),FALSE),IF(ISNUMBER($K68),ROUND($K68,6)&lt;&gt;ROUND(MIN(1,SUMIFS($AF$5:$AF$1000,$U$5:$U$1000,ROW(),$V$5:$V$1000,"Sub")),6),FALSE),IF(ISNUMBER($L68),ROUND($L68,6)&lt;&gt;ROUND(MIN(1,SUMIFS($AG$5:$AG$1000,$U$5:$U$1000,ROW(),$V$5:$V$1000,"Sub")),6),FALSE))),"Con subactividades: no escriba en las semanas (se llenan solas)"&amp;" · ","")&amp;IF((COUNTIF($I68:$L68,"&gt;1")+COUNTIF($I68:$L68,"&lt;0")+SUMPRODUCT((LEN($I68:$L68)&gt;0)*NOT(ISNUMBER($I68:$L68))))&gt;0,"Avance fuera de rango 0-100%"&amp;" · ","")&amp;IF(OR(AND(ISNUMBER($J68),$J68&lt;N($I68)),AND(ISNUMBER($K68),$K68&lt;MAX($I68:$J68)),AND(ISNUMBER($L68),$L68&lt;MAX($I68:$K68))),"Avance semanal decreciente"&amp;" · ","")&amp;IF(AND(ISNUMBER($AS68),$AS68&lt;FechaRef,IF($V68="Sub",1,N($M68))&lt;1),"Vencida"&amp;" · ","")&amp;IF(AND(ObsObligatoria="Sí",ISNUMBER($AS68),$AS68&lt;FechaRef,IF($V68="Sub",1,N($M68))&lt;1,$Q68=""),"Vencida sin observación"&amp;" · ",""))-3)))</f>
        <v/>
      </c>
      <c r="S68" s="64">
        <f>IF(NOT((COUNTA($B68:$D68)+COUNTA($G68:$H68)+COUNTA($Q68))&gt;0),"",IF(AND($V68="Sub",N($U68)&gt;0),IF(ISNUMBER(INDEX($AR$5:$AR$1000,$U68-4)),DATE(YEAR(INDEX($AR$5:$AR$1000,$U68-4)),MONTH(INDEX($AR$5:$AR$1000,$U68-4)),1),IF(ISNUMBER(INDEX($AS$5:$AS$1000,$U68-4)),DATE(YEAR(INDEX($AS$5:$AS$1000,$U68-4)),MONTH(INDEX($AS$5:$AS$1000,$U68-4)),1),MesCiclo)),IF(ISNUMBER($AR68),DATE(YEAR($AR68),MONTH($AR68),1),IF(ISNUMBER($AS68),DATE(YEAR($AS68),MONTH($AS68),1),MesCiclo))))</f>
        <v/>
      </c>
      <c r="T68" s="62">
        <f>IF(OR($S68="",$S68&lt;&gt;MesCiclo,$V68&lt;&gt;"Macro"),"",COUNTIFS($S$5:$S68,MesCiclo,$V$5:$V68,"Macro"))</f>
        <v/>
      </c>
      <c r="U68" s="62">
        <f>IF($V68="","",IF($V68="Macro",ROW(),IFERROR(LOOKUP(2,1/($V$5:$V68="Macro"),ROW($V$5:$V68)),0)))</f>
        <v/>
      </c>
      <c r="V68" s="62">
        <f>IF(NOT((COUNTA($B68:$D68)+COUNTA($G68:$H68)+COUNTA($Q68))&gt;0),"",IF($B68="Subactividad","Sub","Macro"))</f>
        <v/>
      </c>
      <c r="W68" s="62">
        <f>IF($V68="Macro",COUNTIFS($U$5:$U$1000,ROW(),$V$5:$V$1000,"Sub"),"")</f>
        <v/>
      </c>
      <c r="X68" s="62">
        <f>IF($V68&lt;&gt;"Sub","",IF(AND(ISNUMBER($H68),N($H68)&gt;0),$H68,IFERROR(MAX(0,1-SUMIFS($H$5:$H$1000,$U$5:$U$1000,$U68,$V$5:$V$1000,"Sub"))/(COUNTIFS($U$5:$U$1000,$U68,$V$5:$V$1000,"Sub")-COUNTIFS($U$5:$U$1000,$U68,$V$5:$V$1000,"Sub",$H$5:$H$1000,"&gt;0")),0)))</f>
        <v/>
      </c>
      <c r="Y68" s="62">
        <f>IF($V68="","",IF($V68="Sub",N($X68)*IF(ISNUMBER($G68),1,MIN(1,MAX(0,IFERROR(LOOKUP(2,1/ISNUMBER($I68:$L68),$I68:$L68),0)))),IF(ISNUMBER($G68),1,IFERROR(LOOKUP(2,1/($I68:$L68&lt;&gt;""),$I68:$L68),0))))</f>
        <v/>
      </c>
      <c r="Z68" s="62">
        <f>IF($V68="","",IF(AND(ISNUMBER($G68),$G68&lt;=IF($S68=MesCiclo,InicioCiclo,$S68+MOD(2-WEEKDAY($S68),7))+6),1,IF(ISNUMBER($I68),$I68,0)))</f>
        <v/>
      </c>
      <c r="AA68" s="62">
        <f>IF($V68="","",IF(AND(ISNUMBER($G68),$G68&lt;=IF($S68=MesCiclo,InicioCiclo,$S68+MOD(2-WEEKDAY($S68),7))+13),1,IF(ISNUMBER($J68),$J68,$Z68)))</f>
        <v/>
      </c>
      <c r="AB68" s="62">
        <f>IF($V68="","",IF(AND(ISNUMBER($G68),$G68&lt;=IF($S68=MesCiclo,InicioCiclo,$S68+MOD(2-WEEKDAY($S68),7))+20),1,IF(ISNUMBER($K68),$K68,$AA68)))</f>
        <v/>
      </c>
      <c r="AC68" s="62">
        <f>IF($V68="","",IF(AND(ISNUMBER($G68),$G68&lt;=IF($S68=MesCiclo,InicioCiclo,$S68+MOD(2-WEEKDAY($S68),7))+27),1,IF(ISNUMBER($L68),$L68,$AB68)))</f>
        <v/>
      </c>
      <c r="AD68" s="62">
        <f>IF($V68&lt;&gt;"Sub","",N($X68)*IF(AND(ISNUMBER($G68),$G68&lt;=IF($S68=MesCiclo,InicioCiclo,$S68+MOD(2-WEEKDAY($S68),7))+6),1,MIN(1,MAX(0,IF(ISNUMBER(OFFSET($A$1,ROW()-1,8)),OFFSET($A$1,ROW()-1,8),0)))))</f>
        <v/>
      </c>
      <c r="AE68" s="62">
        <f>IF($V68&lt;&gt;"Sub","",N($X68)*IF(AND(ISNUMBER($G68),$G68&lt;=IF($S68=MesCiclo,InicioCiclo,$S68+MOD(2-WEEKDAY($S68),7))+13),1,MIN(1,MAX(0,IF(ISNUMBER(OFFSET($A$1,ROW()-1,9)),OFFSET($A$1,ROW()-1,9),IF(ISNUMBER(OFFSET($A$1,ROW()-1,8)),OFFSET($A$1,ROW()-1,8),0))))))</f>
        <v/>
      </c>
      <c r="AF68" s="62">
        <f>IF($V68&lt;&gt;"Sub","",N($X68)*IF(AND(ISNUMBER($G68),$G68&lt;=IF($S68=MesCiclo,InicioCiclo,$S68+MOD(2-WEEKDAY($S68),7))+20),1,MIN(1,MAX(0,IF(ISNUMBER(OFFSET($A$1,ROW()-1,10)),OFFSET($A$1,ROW()-1,10),IF(ISNUMBER(OFFSET($A$1,ROW()-1,9)),OFFSET($A$1,ROW()-1,9),IF(ISNUMBER(OFFSET($A$1,ROW()-1,8)),OFFSET($A$1,ROW()-1,8),0)))))))</f>
        <v/>
      </c>
      <c r="AG68" s="62">
        <f>IF($V68&lt;&gt;"Sub","",N($X68)*IF(AND(ISNUMBER($G68),$G68&lt;=IF($S68=MesCiclo,InicioCiclo,$S68+MOD(2-WEEKDAY($S68),7))+27),1,MIN(1,MAX(0,IF(ISNUMBER(OFFSET($A$1,ROW()-1,11)),OFFSET($A$1,ROW()-1,11),IF(ISNUMBER(OFFSET($A$1,ROW()-1,10)),OFFSET($A$1,ROW()-1,10),IF(ISNUMBER(OFFSET($A$1,ROW()-1,9)),OFFSET($A$1,ROW()-1,9),IF(ISNUMBER(OFFSET($A$1,ROW()-1,8)),OFFSET($A$1,ROW()-1,8),0))))))))</f>
        <v/>
      </c>
      <c r="AH68" s="62">
        <f>IF($V68="","",IF(AND(ISNUMBER($G68),$G68&lt;=IF($S68=MesCiclo,InicioCiclo,$S68+MOD(2-WEEKDAY($S68),7))+6),1,IF(N($W68)&gt;0,MIN(1,SUMIFS($AD$5:$AD$1000,$U$5:$U$1000,ROW(),$V$5:$V$1000,"Sub")),$Z68)))</f>
        <v/>
      </c>
      <c r="AI68" s="62">
        <f>IF($V68="","",IF(AND(ISNUMBER($G68),$G68&lt;=IF($S68=MesCiclo,InicioCiclo,$S68+MOD(2-WEEKDAY($S68),7))+13),1,IF(N($W68)&gt;0,MIN(1,SUMIFS($AE$5:$AE$1000,$U$5:$U$1000,ROW(),$V$5:$V$1000,"Sub")),$AA68)))</f>
        <v/>
      </c>
      <c r="AJ68" s="62">
        <f>IF($V68="","",IF(AND(ISNUMBER($G68),$G68&lt;=IF($S68=MesCiclo,InicioCiclo,$S68+MOD(2-WEEKDAY($S68),7))+20),1,IF(N($W68)&gt;0,MIN(1,SUMIFS($AF$5:$AF$1000,$U$5:$U$1000,ROW(),$V$5:$V$1000,"Sub")),$AB68)))</f>
        <v/>
      </c>
      <c r="AK68" s="62">
        <f>IF($V68="","",IF(AND(ISNUMBER($G68),$G68&lt;=IF($S68=MesCiclo,InicioCiclo,$S68+MOD(2-WEEKDAY($S68),7))+27),1,IF(N($W68)&gt;0,MIN(1,SUMIFS($AG$5:$AG$1000,$U$5:$U$1000,ROW(),$V$5:$V$1000,"Sub")),$AC68)))</f>
        <v/>
      </c>
      <c r="AL68" s="62">
        <f>IF($V68&lt;&gt;"Macro","",IF(COUNTIFS($S$5:$S$1000,$S68,$V$5:$V$1000,"Macro",$H$5:$H$1000,"&gt;0")=0,1/COUNTIFS($S$5:$S$1000,$S68,$V$5:$V$1000,"Macro"),IF(AND(ISNUMBER($H68),N($H68)&gt;0),$H68,SUMIFS($H$5:$H$1000,$S$5:$S$1000,$S68,$V$5:$V$1000,"Macro")/COUNTIFS($S$5:$S$1000,$S68,$V$5:$V$1000,"Macro",$H$5:$H$1000,"&gt;0"))/(COUNTIFS($S$5:$S$1000,$S68,$V$5:$V$1000,"Macro")*SUMIFS($H$5:$H$1000,$S$5:$S$1000,$S68,$V$5:$V$1000,"Macro")/COUNTIFS($S$5:$S$1000,$S68,$V$5:$V$1000,"Macro",$H$5:$H$1000,"&gt;0"))))</f>
        <v/>
      </c>
      <c r="AM68" s="62" t="n"/>
      <c r="AN68" s="62" t="n"/>
      <c r="AO68" s="62" t="n"/>
      <c r="AP68" s="62" t="n"/>
      <c r="AQ68" s="62">
        <f>IF(LEFT($C68,11)="[Jefatura] ",IFERROR(MATCH("Asistente Técnico de Riesgo|"&amp;MID($C68,12,500),rDname_ADM,0),0),"")</f>
        <v/>
      </c>
      <c r="AR68" s="62">
        <f>IF(N($AQ68)&gt;0,INDEX(rIni_ADM,$AQ68),IF(ISNUMBER($E68),$E68,""))</f>
        <v/>
      </c>
      <c r="AS68" s="62">
        <f>IF(N($AQ68)&gt;0,INDEX(rLim_ADM,$AQ68),IF(ISNUMBER($F68),$F68,""))</f>
        <v/>
      </c>
    </row>
    <row r="69">
      <c r="A69" s="56">
        <f>IF(NOT((COUNTA($B69:$D69)+COUNTA($G69:$H69)+COUNTA($Q69))&gt;0),"",IF($V69="Macro",COUNTIFS($V$5:$V69,"Macro",$S$5:$S69,$S69),IF(N($U69)=0,"?",COUNTIFS(INDEX($V$5:$V$1000,1):INDEX($V$5:$V$1000,$U69-4),"Macro",INDEX($S$5:$S$1000,1):INDEX($S$5:$S$1000,$U69-4),INDEX($S$5:$S$1000,$U69-4))&amp;"."&amp;COUNTIFS($U$5:$U69,$U69,$V$5:$V69,"Sub"))))</f>
        <v/>
      </c>
      <c r="B69" s="57" t="n"/>
      <c r="C69" s="58" t="n"/>
      <c r="D69" s="58" t="n"/>
      <c r="E69" s="59">
        <f>IF(N($AQ69)&gt;0,INDEX(rIni_ADM,$AQ69),"")</f>
        <v/>
      </c>
      <c r="F69" s="59">
        <f>IF(N($AQ69)&gt;0,INDEX(rLim_ADM,$AQ69),"")</f>
        <v/>
      </c>
      <c r="G69" s="59" t="n"/>
      <c r="H69" s="60" t="n"/>
      <c r="I69" s="60">
        <f>IF(N($W69)=0,"",IF(AND($S69=MesCiclo,1&gt;SemanaActual),"",MIN(1,SUMIFS(OFFSET($A$1,ROW(),29,1000-ROW(),1),OFFSET($A$1,ROW(),20,1000-ROW(),1),ROW(),OFFSET($A$1,ROW(),21,1000-ROW(),1),"Sub"))))</f>
        <v/>
      </c>
      <c r="J69" s="60">
        <f>IF(N($W69)=0,"",IF(AND($S69=MesCiclo,2&gt;SemanaActual),"",MIN(1,SUMIFS(OFFSET($A$1,ROW(),30,1000-ROW(),1),OFFSET($A$1,ROW(),20,1000-ROW(),1),ROW(),OFFSET($A$1,ROW(),21,1000-ROW(),1),"Sub"))))</f>
        <v/>
      </c>
      <c r="K69" s="60">
        <f>IF(N($W69)=0,"",IF(AND($S69=MesCiclo,3&gt;SemanaActual),"",MIN(1,SUMIFS(OFFSET($A$1,ROW(),31,1000-ROW(),1),OFFSET($A$1,ROW(),20,1000-ROW(),1),ROW(),OFFSET($A$1,ROW(),21,1000-ROW(),1),"Sub"))))</f>
        <v/>
      </c>
      <c r="L69" s="60">
        <f>IF(N($W69)=0,"",IF(AND($S69=MesCiclo,4&gt;SemanaActual),"",MIN(1,SUMIFS(OFFSET($A$1,ROW(),32,1000-ROW(),1),OFFSET($A$1,ROW(),20,1000-ROW(),1),ROW(),OFFSET($A$1,ROW(),21,1000-ROW(),1),"Sub"))))</f>
        <v/>
      </c>
      <c r="M69" s="61">
        <f>IF(OR(NOT((COUNTA($B69:$D69)+COUNTA($G69:$H69)+COUNTA($Q69))&gt;0),$V69="Sub"),"",IF(ISNUMBER($G69),1,IF(N($W69)&gt;0,MIN(1,SUMIFS($Y$5:$Y$1000,$U$5:$U$1000,ROW(),$V$5:$V$1000,"Sub")),$Y69)))</f>
        <v/>
      </c>
      <c r="N69" s="56">
        <f>IF(OR($M69="",$V69="Sub"),"",IF($M69&gt;=1,"Completado",IF($M69&gt;0,"En curso","Pendiente")))</f>
        <v/>
      </c>
      <c r="O69" s="56">
        <f>IF(OR(NOT((COUNTA($B69:$D69)+COUNTA($G69:$H69)+COUNTA($Q69))&gt;0),$V69="Sub"),"",IF(ISNUMBER($G69),IF(AND(ISNUMBER($AS69),$G69&gt;$AS69),"Cumplida con "&amp;($G69-$AS69)&amp;IF($G69-$AS69=1," día"," días")&amp;" de retraso","Cumplida"),IF(N($M69)&gt;=1,"Cumplida",IF(NOT(ISNUMBER($AS69)),"Sin fecha límite",IF($AS69&lt;FechaRef,"Vencida hace "&amp;(FechaRef-$AS69)&amp;IF(FechaRef-$AS69=1," día"," días"),IF($AS69=FechaRef,"Vence hoy",IF($AS69-FechaRef&lt;=DiasAlerta,"Vence en "&amp;($AS69-FechaRef)&amp;IF($AS69-FechaRef=1," día"," días"),"En plazo")))))))</f>
        <v/>
      </c>
      <c r="P69" s="62" t="n"/>
      <c r="Q69" s="58" t="n"/>
      <c r="R69" s="63">
        <f>IF(NOT((COUNTA($B69:$D69)+COUNTA($G69:$H69)+COUNTA($Q69))&gt;0),"",IF((IF($C69="","Falta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 OK","⚠ "&amp;LEFT(IF($C69="","Falta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",""),LEN(IF($C69="","Falta el nombre de la actividad"&amp;" · ","")&amp;IF(AND($V69="Sub",N($U69)=0),"Subactividad sin macroactividad arriba"&amp;" · ","")&amp;IF(AND($V69="Macro",$AR69=""),"Sin fecha de inicio"&amp;" · ","")&amp;IF(AND($V69="Macro",$AS69=""),"Sin fecha límite"&amp;" · ","")&amp;IF(AND(LEFT($C69,11)="[Jefatura] ",N($AQ69)=0),"No se encuentra en la hoja de la jefatura (elíjala de nuevo en la lista)"&amp;" · ","")&amp;IF(OR(AND($E69&lt;&gt;"",NOT(ISNUMBER($E69))),AND($F69&lt;&gt;"",NOT(ISNUMBER($F69))),AND($G69&lt;&gt;"",NOT(ISNUMBER($G69)))),"Fecha no válida"&amp;" · ","")&amp;IF(AND(ISNUMBER($AR69),ISNUMBER($AS69),$AR69&gt;$AS69),"Inicio posterior a fecha límite"&amp;" · ","")&amp;IF(AND($V69="Macro",$H69&lt;&gt;"",OR(NOT(ISNUMBER($H69)),$H69&lt;0,$H69&gt;1)),"Peso fuera de rango"&amp;" · ","")&amp;IF(AND($V69="Sub",$H69&lt;&gt;"",OR(NOT(ISNUMBER($H69)),$H69&lt;0,$H69&gt;1)),"% de la subactividad fuera de rango 0-100%"&amp;" · ","")&amp;IF(AND(N($W69)&gt;0,SUMIFS($H$5:$H$1000,$U$5:$U$1000,ROW(),$V$5:$V$1000,"Sub")&gt;1.0001),"Las subactividades suman más de 100%"&amp;" · ","")&amp;IF(AND(N($W69)&gt;0,OR(IF(ISNUMBER($I69),ROUND($I69,6)&lt;&gt;ROUND(MIN(1,SUMIFS($AD$5:$AD$1000,$U$5:$U$1000,ROW(),$V$5:$V$1000,"Sub")),6),FALSE),IF(ISNUMBER($J69),ROUND($J69,6)&lt;&gt;ROUND(MIN(1,SUMIFS($AE$5:$AE$1000,$U$5:$U$1000,ROW(),$V$5:$V$1000,"Sub")),6),FALSE),IF(ISNUMBER($K69),ROUND($K69,6)&lt;&gt;ROUND(MIN(1,SUMIFS($AF$5:$AF$1000,$U$5:$U$1000,ROW(),$V$5:$V$1000,"Sub")),6),FALSE),IF(ISNUMBER($L69),ROUND($L69,6)&lt;&gt;ROUND(MIN(1,SUMIFS($AG$5:$AG$1000,$U$5:$U$1000,ROW(),$V$5:$V$1000,"Sub")),6),FALSE))),"Con subactividades: no escriba en las semanas (se llenan solas)"&amp;" · ","")&amp;IF((COUNTIF($I69:$L69,"&gt;1")+COUNTIF($I69:$L69,"&lt;0")+SUMPRODUCT((LEN($I69:$L69)&gt;0)*NOT(ISNUMBER($I69:$L69))))&gt;0,"Avance fuera de rango 0-100%"&amp;" · ","")&amp;IF(OR(AND(ISNUMBER($J69),$J69&lt;N($I69)),AND(ISNUMBER($K69),$K69&lt;MAX($I69:$J69)),AND(ISNUMBER($L69),$L69&lt;MAX($I69:$K69))),"Avance semanal decreciente"&amp;" · ","")&amp;IF(AND(ISNUMBER($AS69),$AS69&lt;FechaRef,IF($V69="Sub",1,N($M69))&lt;1),"Vencida"&amp;" · ","")&amp;IF(AND(ObsObligatoria="Sí",ISNUMBER($AS69),$AS69&lt;FechaRef,IF($V69="Sub",1,N($M69))&lt;1,$Q69=""),"Vencida sin observación"&amp;" · ",""))-3)))</f>
        <v/>
      </c>
      <c r="S69" s="64">
        <f>IF(NOT((COUNTA($B69:$D69)+COUNTA($G69:$H69)+COUNTA($Q69))&gt;0),"",IF(AND($V69="Sub",N($U69)&gt;0),IF(ISNUMBER(INDEX($AR$5:$AR$1000,$U69-4)),DATE(YEAR(INDEX($AR$5:$AR$1000,$U69-4)),MONTH(INDEX($AR$5:$AR$1000,$U69-4)),1),IF(ISNUMBER(INDEX($AS$5:$AS$1000,$U69-4)),DATE(YEAR(INDEX($AS$5:$AS$1000,$U69-4)),MONTH(INDEX($AS$5:$AS$1000,$U69-4)),1),MesCiclo)),IF(ISNUMBER($AR69),DATE(YEAR($AR69),MONTH($AR69),1),IF(ISNUMBER($AS69),DATE(YEAR($AS69),MONTH($AS69),1),MesCiclo))))</f>
        <v/>
      </c>
      <c r="T69" s="62">
        <f>IF(OR($S69="",$S69&lt;&gt;MesCiclo,$V69&lt;&gt;"Macro"),"",COUNTIFS($S$5:$S69,MesCiclo,$V$5:$V69,"Macro"))</f>
        <v/>
      </c>
      <c r="U69" s="62">
        <f>IF($V69="","",IF($V69="Macro",ROW(),IFERROR(LOOKUP(2,1/($V$5:$V69="Macro"),ROW($V$5:$V69)),0)))</f>
        <v/>
      </c>
      <c r="V69" s="62">
        <f>IF(NOT((COUNTA($B69:$D69)+COUNTA($G69:$H69)+COUNTA($Q69))&gt;0),"",IF($B69="Subactividad","Sub","Macro"))</f>
        <v/>
      </c>
      <c r="W69" s="62">
        <f>IF($V69="Macro",COUNTIFS($U$5:$U$1000,ROW(),$V$5:$V$1000,"Sub"),"")</f>
        <v/>
      </c>
      <c r="X69" s="62">
        <f>IF($V69&lt;&gt;"Sub","",IF(AND(ISNUMBER($H69),N($H69)&gt;0),$H69,IFERROR(MAX(0,1-SUMIFS($H$5:$H$1000,$U$5:$U$1000,$U69,$V$5:$V$1000,"Sub"))/(COUNTIFS($U$5:$U$1000,$U69,$V$5:$V$1000,"Sub")-COUNTIFS($U$5:$U$1000,$U69,$V$5:$V$1000,"Sub",$H$5:$H$1000,"&gt;0")),0)))</f>
        <v/>
      </c>
      <c r="Y69" s="62">
        <f>IF($V69="","",IF($V69="Sub",N($X69)*IF(ISNUMBER($G69),1,MIN(1,MAX(0,IFERROR(LOOKUP(2,1/ISNUMBER($I69:$L69),$I69:$L69),0)))),IF(ISNUMBER($G69),1,IFERROR(LOOKUP(2,1/($I69:$L69&lt;&gt;""),$I69:$L69),0))))</f>
        <v/>
      </c>
      <c r="Z69" s="62">
        <f>IF($V69="","",IF(AND(ISNUMBER($G69),$G69&lt;=IF($S69=MesCiclo,InicioCiclo,$S69+MOD(2-WEEKDAY($S69),7))+6),1,IF(ISNUMBER($I69),$I69,0)))</f>
        <v/>
      </c>
      <c r="AA69" s="62">
        <f>IF($V69="","",IF(AND(ISNUMBER($G69),$G69&lt;=IF($S69=MesCiclo,InicioCiclo,$S69+MOD(2-WEEKDAY($S69),7))+13),1,IF(ISNUMBER($J69),$J69,$Z69)))</f>
        <v/>
      </c>
      <c r="AB69" s="62">
        <f>IF($V69="","",IF(AND(ISNUMBER($G69),$G69&lt;=IF($S69=MesCiclo,InicioCiclo,$S69+MOD(2-WEEKDAY($S69),7))+20),1,IF(ISNUMBER($K69),$K69,$AA69)))</f>
        <v/>
      </c>
      <c r="AC69" s="62">
        <f>IF($V69="","",IF(AND(ISNUMBER($G69),$G69&lt;=IF($S69=MesCiclo,InicioCiclo,$S69+MOD(2-WEEKDAY($S69),7))+27),1,IF(ISNUMBER($L69),$L69,$AB69)))</f>
        <v/>
      </c>
      <c r="AD69" s="62">
        <f>IF($V69&lt;&gt;"Sub","",N($X69)*IF(AND(ISNUMBER($G69),$G69&lt;=IF($S69=MesCiclo,InicioCiclo,$S69+MOD(2-WEEKDAY($S69),7))+6),1,MIN(1,MAX(0,IF(ISNUMBER(OFFSET($A$1,ROW()-1,8)),OFFSET($A$1,ROW()-1,8),0)))))</f>
        <v/>
      </c>
      <c r="AE69" s="62">
        <f>IF($V69&lt;&gt;"Sub","",N($X69)*IF(AND(ISNUMBER($G69),$G69&lt;=IF($S69=MesCiclo,InicioCiclo,$S69+MOD(2-WEEKDAY($S69),7))+13),1,MIN(1,MAX(0,IF(ISNUMBER(OFFSET($A$1,ROW()-1,9)),OFFSET($A$1,ROW()-1,9),IF(ISNUMBER(OFFSET($A$1,ROW()-1,8)),OFFSET($A$1,ROW()-1,8),0))))))</f>
        <v/>
      </c>
      <c r="AF69" s="62">
        <f>IF($V69&lt;&gt;"Sub","",N($X69)*IF(AND(ISNUMBER($G69),$G69&lt;=IF($S69=MesCiclo,InicioCiclo,$S69+MOD(2-WEEKDAY($S69),7))+20),1,MIN(1,MAX(0,IF(ISNUMBER(OFFSET($A$1,ROW()-1,10)),OFFSET($A$1,ROW()-1,10),IF(ISNUMBER(OFFSET($A$1,ROW()-1,9)),OFFSET($A$1,ROW()-1,9),IF(ISNUMBER(OFFSET($A$1,ROW()-1,8)),OFFSET($A$1,ROW()-1,8),0)))))))</f>
        <v/>
      </c>
      <c r="AG69" s="62">
        <f>IF($V69&lt;&gt;"Sub","",N($X69)*IF(AND(ISNUMBER($G69),$G69&lt;=IF($S69=MesCiclo,InicioCiclo,$S69+MOD(2-WEEKDAY($S69),7))+27),1,MIN(1,MAX(0,IF(ISNUMBER(OFFSET($A$1,ROW()-1,11)),OFFSET($A$1,ROW()-1,11),IF(ISNUMBER(OFFSET($A$1,ROW()-1,10)),OFFSET($A$1,ROW()-1,10),IF(ISNUMBER(OFFSET($A$1,ROW()-1,9)),OFFSET($A$1,ROW()-1,9),IF(ISNUMBER(OFFSET($A$1,ROW()-1,8)),OFFSET($A$1,ROW()-1,8),0))))))))</f>
        <v/>
      </c>
      <c r="AH69" s="62">
        <f>IF($V69="","",IF(AND(ISNUMBER($G69),$G69&lt;=IF($S69=MesCiclo,InicioCiclo,$S69+MOD(2-WEEKDAY($S69),7))+6),1,IF(N($W69)&gt;0,MIN(1,SUMIFS($AD$5:$AD$1000,$U$5:$U$1000,ROW(),$V$5:$V$1000,"Sub")),$Z69)))</f>
        <v/>
      </c>
      <c r="AI69" s="62">
        <f>IF($V69="","",IF(AND(ISNUMBER($G69),$G69&lt;=IF($S69=MesCiclo,InicioCiclo,$S69+MOD(2-WEEKDAY($S69),7))+13),1,IF(N($W69)&gt;0,MIN(1,SUMIFS($AE$5:$AE$1000,$U$5:$U$1000,ROW(),$V$5:$V$1000,"Sub")),$AA69)))</f>
        <v/>
      </c>
      <c r="AJ69" s="62">
        <f>IF($V69="","",IF(AND(ISNUMBER($G69),$G69&lt;=IF($S69=MesCiclo,InicioCiclo,$S69+MOD(2-WEEKDAY($S69),7))+20),1,IF(N($W69)&gt;0,MIN(1,SUMIFS($AF$5:$AF$1000,$U$5:$U$1000,ROW(),$V$5:$V$1000,"Sub")),$AB69)))</f>
        <v/>
      </c>
      <c r="AK69" s="62">
        <f>IF($V69="","",IF(AND(ISNUMBER($G69),$G69&lt;=IF($S69=MesCiclo,InicioCiclo,$S69+MOD(2-WEEKDAY($S69),7))+27),1,IF(N($W69)&gt;0,MIN(1,SUMIFS($AG$5:$AG$1000,$U$5:$U$1000,ROW(),$V$5:$V$1000,"Sub")),$AC69)))</f>
        <v/>
      </c>
      <c r="AL69" s="62">
        <f>IF($V69&lt;&gt;"Macro","",IF(COUNTIFS($S$5:$S$1000,$S69,$V$5:$V$1000,"Macro",$H$5:$H$1000,"&gt;0")=0,1/COUNTIFS($S$5:$S$1000,$S69,$V$5:$V$1000,"Macro"),IF(AND(ISNUMBER($H69),N($H69)&gt;0),$H69,SUMIFS($H$5:$H$1000,$S$5:$S$1000,$S69,$V$5:$V$1000,"Macro")/COUNTIFS($S$5:$S$1000,$S69,$V$5:$V$1000,"Macro",$H$5:$H$1000,"&gt;0"))/(COUNTIFS($S$5:$S$1000,$S69,$V$5:$V$1000,"Macro")*SUMIFS($H$5:$H$1000,$S$5:$S$1000,$S69,$V$5:$V$1000,"Macro")/COUNTIFS($S$5:$S$1000,$S69,$V$5:$V$1000,"Macro",$H$5:$H$1000,"&gt;0"))))</f>
        <v/>
      </c>
      <c r="AM69" s="62" t="n"/>
      <c r="AN69" s="62" t="n"/>
      <c r="AO69" s="62" t="n"/>
      <c r="AP69" s="62" t="n"/>
      <c r="AQ69" s="62">
        <f>IF(LEFT($C69,11)="[Jefatura] ",IFERROR(MATCH("Asistente Técnico de Riesgo|"&amp;MID($C69,12,500),rDname_ADM,0),0),"")</f>
        <v/>
      </c>
      <c r="AR69" s="62">
        <f>IF(N($AQ69)&gt;0,INDEX(rIni_ADM,$AQ69),IF(ISNUMBER($E69),$E69,""))</f>
        <v/>
      </c>
      <c r="AS69" s="62">
        <f>IF(N($AQ69)&gt;0,INDEX(rLim_ADM,$AQ69),IF(ISNUMBER($F69),$F69,""))</f>
        <v/>
      </c>
    </row>
    <row r="70">
      <c r="A70" s="56">
        <f>IF(NOT((COUNTA($B70:$D70)+COUNTA($G70:$H70)+COUNTA($Q70))&gt;0),"",IF($V70="Macro",COUNTIFS($V$5:$V70,"Macro",$S$5:$S70,$S70),IF(N($U70)=0,"?",COUNTIFS(INDEX($V$5:$V$1000,1):INDEX($V$5:$V$1000,$U70-4),"Macro",INDEX($S$5:$S$1000,1):INDEX($S$5:$S$1000,$U70-4),INDEX($S$5:$S$1000,$U70-4))&amp;"."&amp;COUNTIFS($U$5:$U70,$U70,$V$5:$V70,"Sub"))))</f>
        <v/>
      </c>
      <c r="B70" s="57" t="n"/>
      <c r="C70" s="58" t="n"/>
      <c r="D70" s="58" t="n"/>
      <c r="E70" s="59">
        <f>IF(N($AQ70)&gt;0,INDEX(rIni_ADM,$AQ70),"")</f>
        <v/>
      </c>
      <c r="F70" s="59">
        <f>IF(N($AQ70)&gt;0,INDEX(rLim_ADM,$AQ70),"")</f>
        <v/>
      </c>
      <c r="G70" s="59" t="n"/>
      <c r="H70" s="60" t="n"/>
      <c r="I70" s="60">
        <f>IF(N($W70)=0,"",IF(AND($S70=MesCiclo,1&gt;SemanaActual),"",MIN(1,SUMIFS(OFFSET($A$1,ROW(),29,1000-ROW(),1),OFFSET($A$1,ROW(),20,1000-ROW(),1),ROW(),OFFSET($A$1,ROW(),21,1000-ROW(),1),"Sub"))))</f>
        <v/>
      </c>
      <c r="J70" s="60">
        <f>IF(N($W70)=0,"",IF(AND($S70=MesCiclo,2&gt;SemanaActual),"",MIN(1,SUMIFS(OFFSET($A$1,ROW(),30,1000-ROW(),1),OFFSET($A$1,ROW(),20,1000-ROW(),1),ROW(),OFFSET($A$1,ROW(),21,1000-ROW(),1),"Sub"))))</f>
        <v/>
      </c>
      <c r="K70" s="60">
        <f>IF(N($W70)=0,"",IF(AND($S70=MesCiclo,3&gt;SemanaActual),"",MIN(1,SUMIFS(OFFSET($A$1,ROW(),31,1000-ROW(),1),OFFSET($A$1,ROW(),20,1000-ROW(),1),ROW(),OFFSET($A$1,ROW(),21,1000-ROW(),1),"Sub"))))</f>
        <v/>
      </c>
      <c r="L70" s="60">
        <f>IF(N($W70)=0,"",IF(AND($S70=MesCiclo,4&gt;SemanaActual),"",MIN(1,SUMIFS(OFFSET($A$1,ROW(),32,1000-ROW(),1),OFFSET($A$1,ROW(),20,1000-ROW(),1),ROW(),OFFSET($A$1,ROW(),21,1000-ROW(),1),"Sub"))))</f>
        <v/>
      </c>
      <c r="M70" s="61">
        <f>IF(OR(NOT((COUNTA($B70:$D70)+COUNTA($G70:$H70)+COUNTA($Q70))&gt;0),$V70="Sub"),"",IF(ISNUMBER($G70),1,IF(N($W70)&gt;0,MIN(1,SUMIFS($Y$5:$Y$1000,$U$5:$U$1000,ROW(),$V$5:$V$1000,"Sub")),$Y70)))</f>
        <v/>
      </c>
      <c r="N70" s="56">
        <f>IF(OR($M70="",$V70="Sub"),"",IF($M70&gt;=1,"Completado",IF($M70&gt;0,"En curso","Pendiente")))</f>
        <v/>
      </c>
      <c r="O70" s="56">
        <f>IF(OR(NOT((COUNTA($B70:$D70)+COUNTA($G70:$H70)+COUNTA($Q70))&gt;0),$V70="Sub"),"",IF(ISNUMBER($G70),IF(AND(ISNUMBER($AS70),$G70&gt;$AS70),"Cumplida con "&amp;($G70-$AS70)&amp;IF($G70-$AS70=1," día"," días")&amp;" de retraso","Cumplida"),IF(N($M70)&gt;=1,"Cumplida",IF(NOT(ISNUMBER($AS70)),"Sin fecha límite",IF($AS70&lt;FechaRef,"Vencida hace "&amp;(FechaRef-$AS70)&amp;IF(FechaRef-$AS70=1," día"," días"),IF($AS70=FechaRef,"Vence hoy",IF($AS70-FechaRef&lt;=DiasAlerta,"Vence en "&amp;($AS70-FechaRef)&amp;IF($AS70-FechaRef=1," día"," días"),"En plazo")))))))</f>
        <v/>
      </c>
      <c r="P70" s="62" t="n"/>
      <c r="Q70" s="58" t="n"/>
      <c r="R70" s="63">
        <f>IF(NOT((COUNTA($B70:$D70)+COUNTA($G70:$H70)+COUNTA($Q70))&gt;0),"",IF((IF($C70="","Falta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 OK","⚠ "&amp;LEFT(IF($C70="","Falta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",""),LEN(IF($C70="","Falta el nombre de la actividad"&amp;" · ","")&amp;IF(AND($V70="Sub",N($U70)=0),"Subactividad sin macroactividad arriba"&amp;" · ","")&amp;IF(AND($V70="Macro",$AR70=""),"Sin fecha de inicio"&amp;" · ","")&amp;IF(AND($V70="Macro",$AS70=""),"Sin fecha límite"&amp;" · ","")&amp;IF(AND(LEFT($C70,11)="[Jefatura] ",N($AQ70)=0),"No se encuentra en la hoja de la jefatura (elíjala de nuevo en la lista)"&amp;" · ","")&amp;IF(OR(AND($E70&lt;&gt;"",NOT(ISNUMBER($E70))),AND($F70&lt;&gt;"",NOT(ISNUMBER($F70))),AND($G70&lt;&gt;"",NOT(ISNUMBER($G70)))),"Fecha no válida"&amp;" · ","")&amp;IF(AND(ISNUMBER($AR70),ISNUMBER($AS70),$AR70&gt;$AS70),"Inicio posterior a fecha límite"&amp;" · ","")&amp;IF(AND($V70="Macro",$H70&lt;&gt;"",OR(NOT(ISNUMBER($H70)),$H70&lt;0,$H70&gt;1)),"Peso fuera de rango"&amp;" · ","")&amp;IF(AND($V70="Sub",$H70&lt;&gt;"",OR(NOT(ISNUMBER($H70)),$H70&lt;0,$H70&gt;1)),"% de la subactividad fuera de rango 0-100%"&amp;" · ","")&amp;IF(AND(N($W70)&gt;0,SUMIFS($H$5:$H$1000,$U$5:$U$1000,ROW(),$V$5:$V$1000,"Sub")&gt;1.0001),"Las subactividades suman más de 100%"&amp;" · ","")&amp;IF(AND(N($W70)&gt;0,OR(IF(ISNUMBER($I70),ROUND($I70,6)&lt;&gt;ROUND(MIN(1,SUMIFS($AD$5:$AD$1000,$U$5:$U$1000,ROW(),$V$5:$V$1000,"Sub")),6),FALSE),IF(ISNUMBER($J70),ROUND($J70,6)&lt;&gt;ROUND(MIN(1,SUMIFS($AE$5:$AE$1000,$U$5:$U$1000,ROW(),$V$5:$V$1000,"Sub")),6),FALSE),IF(ISNUMBER($K70),ROUND($K70,6)&lt;&gt;ROUND(MIN(1,SUMIFS($AF$5:$AF$1000,$U$5:$U$1000,ROW(),$V$5:$V$1000,"Sub")),6),FALSE),IF(ISNUMBER($L70),ROUND($L70,6)&lt;&gt;ROUND(MIN(1,SUMIFS($AG$5:$AG$1000,$U$5:$U$1000,ROW(),$V$5:$V$1000,"Sub")),6),FALSE))),"Con subactividades: no escriba en las semanas (se llenan solas)"&amp;" · ","")&amp;IF((COUNTIF($I70:$L70,"&gt;1")+COUNTIF($I70:$L70,"&lt;0")+SUMPRODUCT((LEN($I70:$L70)&gt;0)*NOT(ISNUMBER($I70:$L70))))&gt;0,"Avance fuera de rango 0-100%"&amp;" · ","")&amp;IF(OR(AND(ISNUMBER($J70),$J70&lt;N($I70)),AND(ISNUMBER($K70),$K70&lt;MAX($I70:$J70)),AND(ISNUMBER($L70),$L70&lt;MAX($I70:$K70))),"Avance semanal decreciente"&amp;" · ","")&amp;IF(AND(ISNUMBER($AS70),$AS70&lt;FechaRef,IF($V70="Sub",1,N($M70))&lt;1),"Vencida"&amp;" · ","")&amp;IF(AND(ObsObligatoria="Sí",ISNUMBER($AS70),$AS70&lt;FechaRef,IF($V70="Sub",1,N($M70))&lt;1,$Q70=""),"Vencida sin observación"&amp;" · ",""))-3)))</f>
        <v/>
      </c>
      <c r="S70" s="64">
        <f>IF(NOT((COUNTA($B70:$D70)+COUNTA($G70:$H70)+COUNTA($Q70))&gt;0),"",IF(AND($V70="Sub",N($U70)&gt;0),IF(ISNUMBER(INDEX($AR$5:$AR$1000,$U70-4)),DATE(YEAR(INDEX($AR$5:$AR$1000,$U70-4)),MONTH(INDEX($AR$5:$AR$1000,$U70-4)),1),IF(ISNUMBER(INDEX($AS$5:$AS$1000,$U70-4)),DATE(YEAR(INDEX($AS$5:$AS$1000,$U70-4)),MONTH(INDEX($AS$5:$AS$1000,$U70-4)),1),MesCiclo)),IF(ISNUMBER($AR70),DATE(YEAR($AR70),MONTH($AR70),1),IF(ISNUMBER($AS70),DATE(YEAR($AS70),MONTH($AS70),1),MesCiclo))))</f>
        <v/>
      </c>
      <c r="T70" s="62">
        <f>IF(OR($S70="",$S70&lt;&gt;MesCiclo,$V70&lt;&gt;"Macro"),"",COUNTIFS($S$5:$S70,MesCiclo,$V$5:$V70,"Macro"))</f>
        <v/>
      </c>
      <c r="U70" s="62">
        <f>IF($V70="","",IF($V70="Macro",ROW(),IFERROR(LOOKUP(2,1/($V$5:$V70="Macro"),ROW($V$5:$V70)),0)))</f>
        <v/>
      </c>
      <c r="V70" s="62">
        <f>IF(NOT((COUNTA($B70:$D70)+COUNTA($G70:$H70)+COUNTA($Q70))&gt;0),"",IF($B70="Subactividad","Sub","Macro"))</f>
        <v/>
      </c>
      <c r="W70" s="62">
        <f>IF($V70="Macro",COUNTIFS($U$5:$U$1000,ROW(),$V$5:$V$1000,"Sub"),"")</f>
        <v/>
      </c>
      <c r="X70" s="62">
        <f>IF($V70&lt;&gt;"Sub","",IF(AND(ISNUMBER($H70),N($H70)&gt;0),$H70,IFERROR(MAX(0,1-SUMIFS($H$5:$H$1000,$U$5:$U$1000,$U70,$V$5:$V$1000,"Sub"))/(COUNTIFS($U$5:$U$1000,$U70,$V$5:$V$1000,"Sub")-COUNTIFS($U$5:$U$1000,$U70,$V$5:$V$1000,"Sub",$H$5:$H$1000,"&gt;0")),0)))</f>
        <v/>
      </c>
      <c r="Y70" s="62">
        <f>IF($V70="","",IF($V70="Sub",N($X70)*IF(ISNUMBER($G70),1,MIN(1,MAX(0,IFERROR(LOOKUP(2,1/ISNUMBER($I70:$L70),$I70:$L70),0)))),IF(ISNUMBER($G70),1,IFERROR(LOOKUP(2,1/($I70:$L70&lt;&gt;""),$I70:$L70),0))))</f>
        <v/>
      </c>
      <c r="Z70" s="62">
        <f>IF($V70="","",IF(AND(ISNUMBER($G70),$G70&lt;=IF($S70=MesCiclo,InicioCiclo,$S70+MOD(2-WEEKDAY($S70),7))+6),1,IF(ISNUMBER($I70),$I70,0)))</f>
        <v/>
      </c>
      <c r="AA70" s="62">
        <f>IF($V70="","",IF(AND(ISNUMBER($G70),$G70&lt;=IF($S70=MesCiclo,InicioCiclo,$S70+MOD(2-WEEKDAY($S70),7))+13),1,IF(ISNUMBER($J70),$J70,$Z70)))</f>
        <v/>
      </c>
      <c r="AB70" s="62">
        <f>IF($V70="","",IF(AND(ISNUMBER($G70),$G70&lt;=IF($S70=MesCiclo,InicioCiclo,$S70+MOD(2-WEEKDAY($S70),7))+20),1,IF(ISNUMBER($K70),$K70,$AA70)))</f>
        <v/>
      </c>
      <c r="AC70" s="62">
        <f>IF($V70="","",IF(AND(ISNUMBER($G70),$G70&lt;=IF($S70=MesCiclo,InicioCiclo,$S70+MOD(2-WEEKDAY($S70),7))+27),1,IF(ISNUMBER($L70),$L70,$AB70)))</f>
        <v/>
      </c>
      <c r="AD70" s="62">
        <f>IF($V70&lt;&gt;"Sub","",N($X70)*IF(AND(ISNUMBER($G70),$G70&lt;=IF($S70=MesCiclo,InicioCiclo,$S70+MOD(2-WEEKDAY($S70),7))+6),1,MIN(1,MAX(0,IF(ISNUMBER(OFFSET($A$1,ROW()-1,8)),OFFSET($A$1,ROW()-1,8),0)))))</f>
        <v/>
      </c>
      <c r="AE70" s="62">
        <f>IF($V70&lt;&gt;"Sub","",N($X70)*IF(AND(ISNUMBER($G70),$G70&lt;=IF($S70=MesCiclo,InicioCiclo,$S70+MOD(2-WEEKDAY($S70),7))+13),1,MIN(1,MAX(0,IF(ISNUMBER(OFFSET($A$1,ROW()-1,9)),OFFSET($A$1,ROW()-1,9),IF(ISNUMBER(OFFSET($A$1,ROW()-1,8)),OFFSET($A$1,ROW()-1,8),0))))))</f>
        <v/>
      </c>
      <c r="AF70" s="62">
        <f>IF($V70&lt;&gt;"Sub","",N($X70)*IF(AND(ISNUMBER($G70),$G70&lt;=IF($S70=MesCiclo,InicioCiclo,$S70+MOD(2-WEEKDAY($S70),7))+20),1,MIN(1,MAX(0,IF(ISNUMBER(OFFSET($A$1,ROW()-1,10)),OFFSET($A$1,ROW()-1,10),IF(ISNUMBER(OFFSET($A$1,ROW()-1,9)),OFFSET($A$1,ROW()-1,9),IF(ISNUMBER(OFFSET($A$1,ROW()-1,8)),OFFSET($A$1,ROW()-1,8),0)))))))</f>
        <v/>
      </c>
      <c r="AG70" s="62">
        <f>IF($V70&lt;&gt;"Sub","",N($X70)*IF(AND(ISNUMBER($G70),$G70&lt;=IF($S70=MesCiclo,InicioCiclo,$S70+MOD(2-WEEKDAY($S70),7))+27),1,MIN(1,MAX(0,IF(ISNUMBER(OFFSET($A$1,ROW()-1,11)),OFFSET($A$1,ROW()-1,11),IF(ISNUMBER(OFFSET($A$1,ROW()-1,10)),OFFSET($A$1,ROW()-1,10),IF(ISNUMBER(OFFSET($A$1,ROW()-1,9)),OFFSET($A$1,ROW()-1,9),IF(ISNUMBER(OFFSET($A$1,ROW()-1,8)),OFFSET($A$1,ROW()-1,8),0))))))))</f>
        <v/>
      </c>
      <c r="AH70" s="62">
        <f>IF($V70="","",IF(AND(ISNUMBER($G70),$G70&lt;=IF($S70=MesCiclo,InicioCiclo,$S70+MOD(2-WEEKDAY($S70),7))+6),1,IF(N($W70)&gt;0,MIN(1,SUMIFS($AD$5:$AD$1000,$U$5:$U$1000,ROW(),$V$5:$V$1000,"Sub")),$Z70)))</f>
        <v/>
      </c>
      <c r="AI70" s="62">
        <f>IF($V70="","",IF(AND(ISNUMBER($G70),$G70&lt;=IF($S70=MesCiclo,InicioCiclo,$S70+MOD(2-WEEKDAY($S70),7))+13),1,IF(N($W70)&gt;0,MIN(1,SUMIFS($AE$5:$AE$1000,$U$5:$U$1000,ROW(),$V$5:$V$1000,"Sub")),$AA70)))</f>
        <v/>
      </c>
      <c r="AJ70" s="62">
        <f>IF($V70="","",IF(AND(ISNUMBER($G70),$G70&lt;=IF($S70=MesCiclo,InicioCiclo,$S70+MOD(2-WEEKDAY($S70),7))+20),1,IF(N($W70)&gt;0,MIN(1,SUMIFS($AF$5:$AF$1000,$U$5:$U$1000,ROW(),$V$5:$V$1000,"Sub")),$AB70)))</f>
        <v/>
      </c>
      <c r="AK70" s="62">
        <f>IF($V70="","",IF(AND(ISNUMBER($G70),$G70&lt;=IF($S70=MesCiclo,InicioCiclo,$S70+MOD(2-WEEKDAY($S70),7))+27),1,IF(N($W70)&gt;0,MIN(1,SUMIFS($AG$5:$AG$1000,$U$5:$U$1000,ROW(),$V$5:$V$1000,"Sub")),$AC70)))</f>
        <v/>
      </c>
      <c r="AL70" s="62">
        <f>IF($V70&lt;&gt;"Macro","",IF(COUNTIFS($S$5:$S$1000,$S70,$V$5:$V$1000,"Macro",$H$5:$H$1000,"&gt;0")=0,1/COUNTIFS($S$5:$S$1000,$S70,$V$5:$V$1000,"Macro"),IF(AND(ISNUMBER($H70),N($H70)&gt;0),$H70,SUMIFS($H$5:$H$1000,$S$5:$S$1000,$S70,$V$5:$V$1000,"Macro")/COUNTIFS($S$5:$S$1000,$S70,$V$5:$V$1000,"Macro",$H$5:$H$1000,"&gt;0"))/(COUNTIFS($S$5:$S$1000,$S70,$V$5:$V$1000,"Macro")*SUMIFS($H$5:$H$1000,$S$5:$S$1000,$S70,$V$5:$V$1000,"Macro")/COUNTIFS($S$5:$S$1000,$S70,$V$5:$V$1000,"Macro",$H$5:$H$1000,"&gt;0"))))</f>
        <v/>
      </c>
      <c r="AM70" s="62" t="n"/>
      <c r="AN70" s="62" t="n"/>
      <c r="AO70" s="62" t="n"/>
      <c r="AP70" s="62" t="n"/>
      <c r="AQ70" s="62">
        <f>IF(LEFT($C70,11)="[Jefatura] ",IFERROR(MATCH("Asistente Técnico de Riesgo|"&amp;MID($C70,12,500),rDname_ADM,0),0),"")</f>
        <v/>
      </c>
      <c r="AR70" s="62">
        <f>IF(N($AQ70)&gt;0,INDEX(rIni_ADM,$AQ70),IF(ISNUMBER($E70),$E70,""))</f>
        <v/>
      </c>
      <c r="AS70" s="62">
        <f>IF(N($AQ70)&gt;0,INDEX(rLim_ADM,$AQ70),IF(ISNUMBER($F70),$F70,""))</f>
        <v/>
      </c>
    </row>
    <row r="71">
      <c r="A71" s="56">
        <f>IF(NOT((COUNTA($B71:$D71)+COUNTA($G71:$H71)+COUNTA($Q71))&gt;0),"",IF($V71="Macro",COUNTIFS($V$5:$V71,"Macro",$S$5:$S71,$S71),IF(N($U71)=0,"?",COUNTIFS(INDEX($V$5:$V$1000,1):INDEX($V$5:$V$1000,$U71-4),"Macro",INDEX($S$5:$S$1000,1):INDEX($S$5:$S$1000,$U71-4),INDEX($S$5:$S$1000,$U71-4))&amp;"."&amp;COUNTIFS($U$5:$U71,$U71,$V$5:$V71,"Sub"))))</f>
        <v/>
      </c>
      <c r="B71" s="57" t="n"/>
      <c r="C71" s="58" t="n"/>
      <c r="D71" s="58" t="n"/>
      <c r="E71" s="59">
        <f>IF(N($AQ71)&gt;0,INDEX(rIni_ADM,$AQ71),"")</f>
        <v/>
      </c>
      <c r="F71" s="59">
        <f>IF(N($AQ71)&gt;0,INDEX(rLim_ADM,$AQ71),"")</f>
        <v/>
      </c>
      <c r="G71" s="59" t="n"/>
      <c r="H71" s="60" t="n"/>
      <c r="I71" s="60">
        <f>IF(N($W71)=0,"",IF(AND($S71=MesCiclo,1&gt;SemanaActual),"",MIN(1,SUMIFS(OFFSET($A$1,ROW(),29,1000-ROW(),1),OFFSET($A$1,ROW(),20,1000-ROW(),1),ROW(),OFFSET($A$1,ROW(),21,1000-ROW(),1),"Sub"))))</f>
        <v/>
      </c>
      <c r="J71" s="60">
        <f>IF(N($W71)=0,"",IF(AND($S71=MesCiclo,2&gt;SemanaActual),"",MIN(1,SUMIFS(OFFSET($A$1,ROW(),30,1000-ROW(),1),OFFSET($A$1,ROW(),20,1000-ROW(),1),ROW(),OFFSET($A$1,ROW(),21,1000-ROW(),1),"Sub"))))</f>
        <v/>
      </c>
      <c r="K71" s="60">
        <f>IF(N($W71)=0,"",IF(AND($S71=MesCiclo,3&gt;SemanaActual),"",MIN(1,SUMIFS(OFFSET($A$1,ROW(),31,1000-ROW(),1),OFFSET($A$1,ROW(),20,1000-ROW(),1),ROW(),OFFSET($A$1,ROW(),21,1000-ROW(),1),"Sub"))))</f>
        <v/>
      </c>
      <c r="L71" s="60">
        <f>IF(N($W71)=0,"",IF(AND($S71=MesCiclo,4&gt;SemanaActual),"",MIN(1,SUMIFS(OFFSET($A$1,ROW(),32,1000-ROW(),1),OFFSET($A$1,ROW(),20,1000-ROW(),1),ROW(),OFFSET($A$1,ROW(),21,1000-ROW(),1),"Sub"))))</f>
        <v/>
      </c>
      <c r="M71" s="61">
        <f>IF(OR(NOT((COUNTA($B71:$D71)+COUNTA($G71:$H71)+COUNTA($Q71))&gt;0),$V71="Sub"),"",IF(ISNUMBER($G71),1,IF(N($W71)&gt;0,MIN(1,SUMIFS($Y$5:$Y$1000,$U$5:$U$1000,ROW(),$V$5:$V$1000,"Sub")),$Y71)))</f>
        <v/>
      </c>
      <c r="N71" s="56">
        <f>IF(OR($M71="",$V71="Sub"),"",IF($M71&gt;=1,"Completado",IF($M71&gt;0,"En curso","Pendiente")))</f>
        <v/>
      </c>
      <c r="O71" s="56">
        <f>IF(OR(NOT((COUNTA($B71:$D71)+COUNTA($G71:$H71)+COUNTA($Q71))&gt;0),$V71="Sub"),"",IF(ISNUMBER($G71),IF(AND(ISNUMBER($AS71),$G71&gt;$AS71),"Cumplida con "&amp;($G71-$AS71)&amp;IF($G71-$AS71=1," día"," días")&amp;" de retraso","Cumplida"),IF(N($M71)&gt;=1,"Cumplida",IF(NOT(ISNUMBER($AS71)),"Sin fecha límite",IF($AS71&lt;FechaRef,"Vencida hace "&amp;(FechaRef-$AS71)&amp;IF(FechaRef-$AS71=1," día"," días"),IF($AS71=FechaRef,"Vence hoy",IF($AS71-FechaRef&lt;=DiasAlerta,"Vence en "&amp;($AS71-FechaRef)&amp;IF($AS71-FechaRef=1," día"," días"),"En plazo")))))))</f>
        <v/>
      </c>
      <c r="P71" s="62" t="n"/>
      <c r="Q71" s="58" t="n"/>
      <c r="R71" s="63">
        <f>IF(NOT((COUNTA($B71:$D71)+COUNTA($G71:$H71)+COUNTA($Q71))&gt;0),"",IF((IF($C71="","Falta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 OK","⚠ "&amp;LEFT(IF($C71="","Falta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",""),LEN(IF($C71="","Falta el nombre de la actividad"&amp;" · ","")&amp;IF(AND($V71="Sub",N($U71)=0),"Subactividad sin macroactividad arriba"&amp;" · ","")&amp;IF(AND($V71="Macro",$AR71=""),"Sin fecha de inicio"&amp;" · ","")&amp;IF(AND($V71="Macro",$AS71=""),"Sin fecha límite"&amp;" · ","")&amp;IF(AND(LEFT($C71,11)="[Jefatura] ",N($AQ71)=0),"No se encuentra en la hoja de la jefatura (elíjala de nuevo en la lista)"&amp;" · ","")&amp;IF(OR(AND($E71&lt;&gt;"",NOT(ISNUMBER($E71))),AND($F71&lt;&gt;"",NOT(ISNUMBER($F71))),AND($G71&lt;&gt;"",NOT(ISNUMBER($G71)))),"Fecha no válida"&amp;" · ","")&amp;IF(AND(ISNUMBER($AR71),ISNUMBER($AS71),$AR71&gt;$AS71),"Inicio posterior a fecha límite"&amp;" · ","")&amp;IF(AND($V71="Macro",$H71&lt;&gt;"",OR(NOT(ISNUMBER($H71)),$H71&lt;0,$H71&gt;1)),"Peso fuera de rango"&amp;" · ","")&amp;IF(AND($V71="Sub",$H71&lt;&gt;"",OR(NOT(ISNUMBER($H71)),$H71&lt;0,$H71&gt;1)),"% de la subactividad fuera de rango 0-100%"&amp;" · ","")&amp;IF(AND(N($W71)&gt;0,SUMIFS($H$5:$H$1000,$U$5:$U$1000,ROW(),$V$5:$V$1000,"Sub")&gt;1.0001),"Las subactividades suman más de 100%"&amp;" · ","")&amp;IF(AND(N($W71)&gt;0,OR(IF(ISNUMBER($I71),ROUND($I71,6)&lt;&gt;ROUND(MIN(1,SUMIFS($AD$5:$AD$1000,$U$5:$U$1000,ROW(),$V$5:$V$1000,"Sub")),6),FALSE),IF(ISNUMBER($J71),ROUND($J71,6)&lt;&gt;ROUND(MIN(1,SUMIFS($AE$5:$AE$1000,$U$5:$U$1000,ROW(),$V$5:$V$1000,"Sub")),6),FALSE),IF(ISNUMBER($K71),ROUND($K71,6)&lt;&gt;ROUND(MIN(1,SUMIFS($AF$5:$AF$1000,$U$5:$U$1000,ROW(),$V$5:$V$1000,"Sub")),6),FALSE),IF(ISNUMBER($L71),ROUND($L71,6)&lt;&gt;ROUND(MIN(1,SUMIFS($AG$5:$AG$1000,$U$5:$U$1000,ROW(),$V$5:$V$1000,"Sub")),6),FALSE))),"Con subactividades: no escriba en las semanas (se llenan solas)"&amp;" · ","")&amp;IF((COUNTIF($I71:$L71,"&gt;1")+COUNTIF($I71:$L71,"&lt;0")+SUMPRODUCT((LEN($I71:$L71)&gt;0)*NOT(ISNUMBER($I71:$L71))))&gt;0,"Avance fuera de rango 0-100%"&amp;" · ","")&amp;IF(OR(AND(ISNUMBER($J71),$J71&lt;N($I71)),AND(ISNUMBER($K71),$K71&lt;MAX($I71:$J71)),AND(ISNUMBER($L71),$L71&lt;MAX($I71:$K71))),"Avance semanal decreciente"&amp;" · ","")&amp;IF(AND(ISNUMBER($AS71),$AS71&lt;FechaRef,IF($V71="Sub",1,N($M71))&lt;1),"Vencida"&amp;" · ","")&amp;IF(AND(ObsObligatoria="Sí",ISNUMBER($AS71),$AS71&lt;FechaRef,IF($V71="Sub",1,N($M71))&lt;1,$Q71=""),"Vencida sin observación"&amp;" · ",""))-3)))</f>
        <v/>
      </c>
      <c r="S71" s="64">
        <f>IF(NOT((COUNTA($B71:$D71)+COUNTA($G71:$H71)+COUNTA($Q71))&gt;0),"",IF(AND($V71="Sub",N($U71)&gt;0),IF(ISNUMBER(INDEX($AR$5:$AR$1000,$U71-4)),DATE(YEAR(INDEX($AR$5:$AR$1000,$U71-4)),MONTH(INDEX($AR$5:$AR$1000,$U71-4)),1),IF(ISNUMBER(INDEX($AS$5:$AS$1000,$U71-4)),DATE(YEAR(INDEX($AS$5:$AS$1000,$U71-4)),MONTH(INDEX($AS$5:$AS$1000,$U71-4)),1),MesCiclo)),IF(ISNUMBER($AR71),DATE(YEAR($AR71),MONTH($AR71),1),IF(ISNUMBER($AS71),DATE(YEAR($AS71),MONTH($AS71),1),MesCiclo))))</f>
        <v/>
      </c>
      <c r="T71" s="62">
        <f>IF(OR($S71="",$S71&lt;&gt;MesCiclo,$V71&lt;&gt;"Macro"),"",COUNTIFS($S$5:$S71,MesCiclo,$V$5:$V71,"Macro"))</f>
        <v/>
      </c>
      <c r="U71" s="62">
        <f>IF($V71="","",IF($V71="Macro",ROW(),IFERROR(LOOKUP(2,1/($V$5:$V71="Macro"),ROW($V$5:$V71)),0)))</f>
        <v/>
      </c>
      <c r="V71" s="62">
        <f>IF(NOT((COUNTA($B71:$D71)+COUNTA($G71:$H71)+COUNTA($Q71))&gt;0),"",IF($B71="Subactividad","Sub","Macro"))</f>
        <v/>
      </c>
      <c r="W71" s="62">
        <f>IF($V71="Macro",COUNTIFS($U$5:$U$1000,ROW(),$V$5:$V$1000,"Sub"),"")</f>
        <v/>
      </c>
      <c r="X71" s="62">
        <f>IF($V71&lt;&gt;"Sub","",IF(AND(ISNUMBER($H71),N($H71)&gt;0),$H71,IFERROR(MAX(0,1-SUMIFS($H$5:$H$1000,$U$5:$U$1000,$U71,$V$5:$V$1000,"Sub"))/(COUNTIFS($U$5:$U$1000,$U71,$V$5:$V$1000,"Sub")-COUNTIFS($U$5:$U$1000,$U71,$V$5:$V$1000,"Sub",$H$5:$H$1000,"&gt;0")),0)))</f>
        <v/>
      </c>
      <c r="Y71" s="62">
        <f>IF($V71="","",IF($V71="Sub",N($X71)*IF(ISNUMBER($G71),1,MIN(1,MAX(0,IFERROR(LOOKUP(2,1/ISNUMBER($I71:$L71),$I71:$L71),0)))),IF(ISNUMBER($G71),1,IFERROR(LOOKUP(2,1/($I71:$L71&lt;&gt;""),$I71:$L71),0))))</f>
        <v/>
      </c>
      <c r="Z71" s="62">
        <f>IF($V71="","",IF(AND(ISNUMBER($G71),$G71&lt;=IF($S71=MesCiclo,InicioCiclo,$S71+MOD(2-WEEKDAY($S71),7))+6),1,IF(ISNUMBER($I71),$I71,0)))</f>
        <v/>
      </c>
      <c r="AA71" s="62">
        <f>IF($V71="","",IF(AND(ISNUMBER($G71),$G71&lt;=IF($S71=MesCiclo,InicioCiclo,$S71+MOD(2-WEEKDAY($S71),7))+13),1,IF(ISNUMBER($J71),$J71,$Z71)))</f>
        <v/>
      </c>
      <c r="AB71" s="62">
        <f>IF($V71="","",IF(AND(ISNUMBER($G71),$G71&lt;=IF($S71=MesCiclo,InicioCiclo,$S71+MOD(2-WEEKDAY($S71),7))+20),1,IF(ISNUMBER($K71),$K71,$AA71)))</f>
        <v/>
      </c>
      <c r="AC71" s="62">
        <f>IF($V71="","",IF(AND(ISNUMBER($G71),$G71&lt;=IF($S71=MesCiclo,InicioCiclo,$S71+MOD(2-WEEKDAY($S71),7))+27),1,IF(ISNUMBER($L71),$L71,$AB71)))</f>
        <v/>
      </c>
      <c r="AD71" s="62">
        <f>IF($V71&lt;&gt;"Sub","",N($X71)*IF(AND(ISNUMBER($G71),$G71&lt;=IF($S71=MesCiclo,InicioCiclo,$S71+MOD(2-WEEKDAY($S71),7))+6),1,MIN(1,MAX(0,IF(ISNUMBER(OFFSET($A$1,ROW()-1,8)),OFFSET($A$1,ROW()-1,8),0)))))</f>
        <v/>
      </c>
      <c r="AE71" s="62">
        <f>IF($V71&lt;&gt;"Sub","",N($X71)*IF(AND(ISNUMBER($G71),$G71&lt;=IF($S71=MesCiclo,InicioCiclo,$S71+MOD(2-WEEKDAY($S71),7))+13),1,MIN(1,MAX(0,IF(ISNUMBER(OFFSET($A$1,ROW()-1,9)),OFFSET($A$1,ROW()-1,9),IF(ISNUMBER(OFFSET($A$1,ROW()-1,8)),OFFSET($A$1,ROW()-1,8),0))))))</f>
        <v/>
      </c>
      <c r="AF71" s="62">
        <f>IF($V71&lt;&gt;"Sub","",N($X71)*IF(AND(ISNUMBER($G71),$G71&lt;=IF($S71=MesCiclo,InicioCiclo,$S71+MOD(2-WEEKDAY($S71),7))+20),1,MIN(1,MAX(0,IF(ISNUMBER(OFFSET($A$1,ROW()-1,10)),OFFSET($A$1,ROW()-1,10),IF(ISNUMBER(OFFSET($A$1,ROW()-1,9)),OFFSET($A$1,ROW()-1,9),IF(ISNUMBER(OFFSET($A$1,ROW()-1,8)),OFFSET($A$1,ROW()-1,8),0)))))))</f>
        <v/>
      </c>
      <c r="AG71" s="62">
        <f>IF($V71&lt;&gt;"Sub","",N($X71)*IF(AND(ISNUMBER($G71),$G71&lt;=IF($S71=MesCiclo,InicioCiclo,$S71+MOD(2-WEEKDAY($S71),7))+27),1,MIN(1,MAX(0,IF(ISNUMBER(OFFSET($A$1,ROW()-1,11)),OFFSET($A$1,ROW()-1,11),IF(ISNUMBER(OFFSET($A$1,ROW()-1,10)),OFFSET($A$1,ROW()-1,10),IF(ISNUMBER(OFFSET($A$1,ROW()-1,9)),OFFSET($A$1,ROW()-1,9),IF(ISNUMBER(OFFSET($A$1,ROW()-1,8)),OFFSET($A$1,ROW()-1,8),0))))))))</f>
        <v/>
      </c>
      <c r="AH71" s="62">
        <f>IF($V71="","",IF(AND(ISNUMBER($G71),$G71&lt;=IF($S71=MesCiclo,InicioCiclo,$S71+MOD(2-WEEKDAY($S71),7))+6),1,IF(N($W71)&gt;0,MIN(1,SUMIFS($AD$5:$AD$1000,$U$5:$U$1000,ROW(),$V$5:$V$1000,"Sub")),$Z71)))</f>
        <v/>
      </c>
      <c r="AI71" s="62">
        <f>IF($V71="","",IF(AND(ISNUMBER($G71),$G71&lt;=IF($S71=MesCiclo,InicioCiclo,$S71+MOD(2-WEEKDAY($S71),7))+13),1,IF(N($W71)&gt;0,MIN(1,SUMIFS($AE$5:$AE$1000,$U$5:$U$1000,ROW(),$V$5:$V$1000,"Sub")),$AA71)))</f>
        <v/>
      </c>
      <c r="AJ71" s="62">
        <f>IF($V71="","",IF(AND(ISNUMBER($G71),$G71&lt;=IF($S71=MesCiclo,InicioCiclo,$S71+MOD(2-WEEKDAY($S71),7))+20),1,IF(N($W71)&gt;0,MIN(1,SUMIFS($AF$5:$AF$1000,$U$5:$U$1000,ROW(),$V$5:$V$1000,"Sub")),$AB71)))</f>
        <v/>
      </c>
      <c r="AK71" s="62">
        <f>IF($V71="","",IF(AND(ISNUMBER($G71),$G71&lt;=IF($S71=MesCiclo,InicioCiclo,$S71+MOD(2-WEEKDAY($S71),7))+27),1,IF(N($W71)&gt;0,MIN(1,SUMIFS($AG$5:$AG$1000,$U$5:$U$1000,ROW(),$V$5:$V$1000,"Sub")),$AC71)))</f>
        <v/>
      </c>
      <c r="AL71" s="62">
        <f>IF($V71&lt;&gt;"Macro","",IF(COUNTIFS($S$5:$S$1000,$S71,$V$5:$V$1000,"Macro",$H$5:$H$1000,"&gt;0")=0,1/COUNTIFS($S$5:$S$1000,$S71,$V$5:$V$1000,"Macro"),IF(AND(ISNUMBER($H71),N($H71)&gt;0),$H71,SUMIFS($H$5:$H$1000,$S$5:$S$1000,$S71,$V$5:$V$1000,"Macro")/COUNTIFS($S$5:$S$1000,$S71,$V$5:$V$1000,"Macro",$H$5:$H$1000,"&gt;0"))/(COUNTIFS($S$5:$S$1000,$S71,$V$5:$V$1000,"Macro")*SUMIFS($H$5:$H$1000,$S$5:$S$1000,$S71,$V$5:$V$1000,"Macro")/COUNTIFS($S$5:$S$1000,$S71,$V$5:$V$1000,"Macro",$H$5:$H$1000,"&gt;0"))))</f>
        <v/>
      </c>
      <c r="AM71" s="62" t="n"/>
      <c r="AN71" s="62" t="n"/>
      <c r="AO71" s="62" t="n"/>
      <c r="AP71" s="62" t="n"/>
      <c r="AQ71" s="62">
        <f>IF(LEFT($C71,11)="[Jefatura] ",IFERROR(MATCH("Asistente Técnico de Riesgo|"&amp;MID($C71,12,500),rDname_ADM,0),0),"")</f>
        <v/>
      </c>
      <c r="AR71" s="62">
        <f>IF(N($AQ71)&gt;0,INDEX(rIni_ADM,$AQ71),IF(ISNUMBER($E71),$E71,""))</f>
        <v/>
      </c>
      <c r="AS71" s="62">
        <f>IF(N($AQ71)&gt;0,INDEX(rLim_ADM,$AQ71),IF(ISNUMBER($F71),$F71,""))</f>
        <v/>
      </c>
    </row>
    <row r="72">
      <c r="A72" s="56">
        <f>IF(NOT((COUNTA($B72:$D72)+COUNTA($G72:$H72)+COUNTA($Q72))&gt;0),"",IF($V72="Macro",COUNTIFS($V$5:$V72,"Macro",$S$5:$S72,$S72),IF(N($U72)=0,"?",COUNTIFS(INDEX($V$5:$V$1000,1):INDEX($V$5:$V$1000,$U72-4),"Macro",INDEX($S$5:$S$1000,1):INDEX($S$5:$S$1000,$U72-4),INDEX($S$5:$S$1000,$U72-4))&amp;"."&amp;COUNTIFS($U$5:$U72,$U72,$V$5:$V72,"Sub"))))</f>
        <v/>
      </c>
      <c r="B72" s="57" t="n"/>
      <c r="C72" s="58" t="n"/>
      <c r="D72" s="58" t="n"/>
      <c r="E72" s="59">
        <f>IF(N($AQ72)&gt;0,INDEX(rIni_ADM,$AQ72),"")</f>
        <v/>
      </c>
      <c r="F72" s="59">
        <f>IF(N($AQ72)&gt;0,INDEX(rLim_ADM,$AQ72),"")</f>
        <v/>
      </c>
      <c r="G72" s="59" t="n"/>
      <c r="H72" s="60" t="n"/>
      <c r="I72" s="60">
        <f>IF(N($W72)=0,"",IF(AND($S72=MesCiclo,1&gt;SemanaActual),"",MIN(1,SUMIFS(OFFSET($A$1,ROW(),29,1000-ROW(),1),OFFSET($A$1,ROW(),20,1000-ROW(),1),ROW(),OFFSET($A$1,ROW(),21,1000-ROW(),1),"Sub"))))</f>
        <v/>
      </c>
      <c r="J72" s="60">
        <f>IF(N($W72)=0,"",IF(AND($S72=MesCiclo,2&gt;SemanaActual),"",MIN(1,SUMIFS(OFFSET($A$1,ROW(),30,1000-ROW(),1),OFFSET($A$1,ROW(),20,1000-ROW(),1),ROW(),OFFSET($A$1,ROW(),21,1000-ROW(),1),"Sub"))))</f>
        <v/>
      </c>
      <c r="K72" s="60">
        <f>IF(N($W72)=0,"",IF(AND($S72=MesCiclo,3&gt;SemanaActual),"",MIN(1,SUMIFS(OFFSET($A$1,ROW(),31,1000-ROW(),1),OFFSET($A$1,ROW(),20,1000-ROW(),1),ROW(),OFFSET($A$1,ROW(),21,1000-ROW(),1),"Sub"))))</f>
        <v/>
      </c>
      <c r="L72" s="60">
        <f>IF(N($W72)=0,"",IF(AND($S72=MesCiclo,4&gt;SemanaActual),"",MIN(1,SUMIFS(OFFSET($A$1,ROW(),32,1000-ROW(),1),OFFSET($A$1,ROW(),20,1000-ROW(),1),ROW(),OFFSET($A$1,ROW(),21,1000-ROW(),1),"Sub"))))</f>
        <v/>
      </c>
      <c r="M72" s="61">
        <f>IF(OR(NOT((COUNTA($B72:$D72)+COUNTA($G72:$H72)+COUNTA($Q72))&gt;0),$V72="Sub"),"",IF(ISNUMBER($G72),1,IF(N($W72)&gt;0,MIN(1,SUMIFS($Y$5:$Y$1000,$U$5:$U$1000,ROW(),$V$5:$V$1000,"Sub")),$Y72)))</f>
        <v/>
      </c>
      <c r="N72" s="56">
        <f>IF(OR($M72="",$V72="Sub"),"",IF($M72&gt;=1,"Completado",IF($M72&gt;0,"En curso","Pendiente")))</f>
        <v/>
      </c>
      <c r="O72" s="56">
        <f>IF(OR(NOT((COUNTA($B72:$D72)+COUNTA($G72:$H72)+COUNTA($Q72))&gt;0),$V72="Sub"),"",IF(ISNUMBER($G72),IF(AND(ISNUMBER($AS72),$G72&gt;$AS72),"Cumplida con "&amp;($G72-$AS72)&amp;IF($G72-$AS72=1," día"," días")&amp;" de retraso","Cumplida"),IF(N($M72)&gt;=1,"Cumplida",IF(NOT(ISNUMBER($AS72)),"Sin fecha límite",IF($AS72&lt;FechaRef,"Vencida hace "&amp;(FechaRef-$AS72)&amp;IF(FechaRef-$AS72=1," día"," días"),IF($AS72=FechaRef,"Vence hoy",IF($AS72-FechaRef&lt;=DiasAlerta,"Vence en "&amp;($AS72-FechaRef)&amp;IF($AS72-FechaRef=1," día"," días"),"En plazo")))))))</f>
        <v/>
      </c>
      <c r="P72" s="62" t="n"/>
      <c r="Q72" s="58" t="n"/>
      <c r="R72" s="63">
        <f>IF(NOT((COUNTA($B72:$D72)+COUNTA($G72:$H72)+COUNTA($Q72))&gt;0),"",IF((IF($C72="","Falta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 OK","⚠ "&amp;LEFT(IF($C72="","Falta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",""),LEN(IF($C72="","Falta el nombre de la actividad"&amp;" · ","")&amp;IF(AND($V72="Sub",N($U72)=0),"Subactividad sin macroactividad arriba"&amp;" · ","")&amp;IF(AND($V72="Macro",$AR72=""),"Sin fecha de inicio"&amp;" · ","")&amp;IF(AND($V72="Macro",$AS72=""),"Sin fecha límite"&amp;" · ","")&amp;IF(AND(LEFT($C72,11)="[Jefatura] ",N($AQ72)=0),"No se encuentra en la hoja de la jefatura (elíjala de nuevo en la lista)"&amp;" · ","")&amp;IF(OR(AND($E72&lt;&gt;"",NOT(ISNUMBER($E72))),AND($F72&lt;&gt;"",NOT(ISNUMBER($F72))),AND($G72&lt;&gt;"",NOT(ISNUMBER($G72)))),"Fecha no válida"&amp;" · ","")&amp;IF(AND(ISNUMBER($AR72),ISNUMBER($AS72),$AR72&gt;$AS72),"Inicio posterior a fecha límite"&amp;" · ","")&amp;IF(AND($V72="Macro",$H72&lt;&gt;"",OR(NOT(ISNUMBER($H72)),$H72&lt;0,$H72&gt;1)),"Peso fuera de rango"&amp;" · ","")&amp;IF(AND($V72="Sub",$H72&lt;&gt;"",OR(NOT(ISNUMBER($H72)),$H72&lt;0,$H72&gt;1)),"% de la subactividad fuera de rango 0-100%"&amp;" · ","")&amp;IF(AND(N($W72)&gt;0,SUMIFS($H$5:$H$1000,$U$5:$U$1000,ROW(),$V$5:$V$1000,"Sub")&gt;1.0001),"Las subactividades suman más de 100%"&amp;" · ","")&amp;IF(AND(N($W72)&gt;0,OR(IF(ISNUMBER($I72),ROUND($I72,6)&lt;&gt;ROUND(MIN(1,SUMIFS($AD$5:$AD$1000,$U$5:$U$1000,ROW(),$V$5:$V$1000,"Sub")),6),FALSE),IF(ISNUMBER($J72),ROUND($J72,6)&lt;&gt;ROUND(MIN(1,SUMIFS($AE$5:$AE$1000,$U$5:$U$1000,ROW(),$V$5:$V$1000,"Sub")),6),FALSE),IF(ISNUMBER($K72),ROUND($K72,6)&lt;&gt;ROUND(MIN(1,SUMIFS($AF$5:$AF$1000,$U$5:$U$1000,ROW(),$V$5:$V$1000,"Sub")),6),FALSE),IF(ISNUMBER($L72),ROUND($L72,6)&lt;&gt;ROUND(MIN(1,SUMIFS($AG$5:$AG$1000,$U$5:$U$1000,ROW(),$V$5:$V$1000,"Sub")),6),FALSE))),"Con subactividades: no escriba en las semanas (se llenan solas)"&amp;" · ","")&amp;IF((COUNTIF($I72:$L72,"&gt;1")+COUNTIF($I72:$L72,"&lt;0")+SUMPRODUCT((LEN($I72:$L72)&gt;0)*NOT(ISNUMBER($I72:$L72))))&gt;0,"Avance fuera de rango 0-100%"&amp;" · ","")&amp;IF(OR(AND(ISNUMBER($J72),$J72&lt;N($I72)),AND(ISNUMBER($K72),$K72&lt;MAX($I72:$J72)),AND(ISNUMBER($L72),$L72&lt;MAX($I72:$K72))),"Avance semanal decreciente"&amp;" · ","")&amp;IF(AND(ISNUMBER($AS72),$AS72&lt;FechaRef,IF($V72="Sub",1,N($M72))&lt;1),"Vencida"&amp;" · ","")&amp;IF(AND(ObsObligatoria="Sí",ISNUMBER($AS72),$AS72&lt;FechaRef,IF($V72="Sub",1,N($M72))&lt;1,$Q72=""),"Vencida sin observación"&amp;" · ",""))-3)))</f>
        <v/>
      </c>
      <c r="S72" s="64">
        <f>IF(NOT((COUNTA($B72:$D72)+COUNTA($G72:$H72)+COUNTA($Q72))&gt;0),"",IF(AND($V72="Sub",N($U72)&gt;0),IF(ISNUMBER(INDEX($AR$5:$AR$1000,$U72-4)),DATE(YEAR(INDEX($AR$5:$AR$1000,$U72-4)),MONTH(INDEX($AR$5:$AR$1000,$U72-4)),1),IF(ISNUMBER(INDEX($AS$5:$AS$1000,$U72-4)),DATE(YEAR(INDEX($AS$5:$AS$1000,$U72-4)),MONTH(INDEX($AS$5:$AS$1000,$U72-4)),1),MesCiclo)),IF(ISNUMBER($AR72),DATE(YEAR($AR72),MONTH($AR72),1),IF(ISNUMBER($AS72),DATE(YEAR($AS72),MONTH($AS72),1),MesCiclo))))</f>
        <v/>
      </c>
      <c r="T72" s="62">
        <f>IF(OR($S72="",$S72&lt;&gt;MesCiclo,$V72&lt;&gt;"Macro"),"",COUNTIFS($S$5:$S72,MesCiclo,$V$5:$V72,"Macro"))</f>
        <v/>
      </c>
      <c r="U72" s="62">
        <f>IF($V72="","",IF($V72="Macro",ROW(),IFERROR(LOOKUP(2,1/($V$5:$V72="Macro"),ROW($V$5:$V72)),0)))</f>
        <v/>
      </c>
      <c r="V72" s="62">
        <f>IF(NOT((COUNTA($B72:$D72)+COUNTA($G72:$H72)+COUNTA($Q72))&gt;0),"",IF($B72="Subactividad","Sub","Macro"))</f>
        <v/>
      </c>
      <c r="W72" s="62">
        <f>IF($V72="Macro",COUNTIFS($U$5:$U$1000,ROW(),$V$5:$V$1000,"Sub"),"")</f>
        <v/>
      </c>
      <c r="X72" s="62">
        <f>IF($V72&lt;&gt;"Sub","",IF(AND(ISNUMBER($H72),N($H72)&gt;0),$H72,IFERROR(MAX(0,1-SUMIFS($H$5:$H$1000,$U$5:$U$1000,$U72,$V$5:$V$1000,"Sub"))/(COUNTIFS($U$5:$U$1000,$U72,$V$5:$V$1000,"Sub")-COUNTIFS($U$5:$U$1000,$U72,$V$5:$V$1000,"Sub",$H$5:$H$1000,"&gt;0")),0)))</f>
        <v/>
      </c>
      <c r="Y72" s="62">
        <f>IF($V72="","",IF($V72="Sub",N($X72)*IF(ISNUMBER($G72),1,MIN(1,MAX(0,IFERROR(LOOKUP(2,1/ISNUMBER($I72:$L72),$I72:$L72),0)))),IF(ISNUMBER($G72),1,IFERROR(LOOKUP(2,1/($I72:$L72&lt;&gt;""),$I72:$L72),0))))</f>
        <v/>
      </c>
      <c r="Z72" s="62">
        <f>IF($V72="","",IF(AND(ISNUMBER($G72),$G72&lt;=IF($S72=MesCiclo,InicioCiclo,$S72+MOD(2-WEEKDAY($S72),7))+6),1,IF(ISNUMBER($I72),$I72,0)))</f>
        <v/>
      </c>
      <c r="AA72" s="62">
        <f>IF($V72="","",IF(AND(ISNUMBER($G72),$G72&lt;=IF($S72=MesCiclo,InicioCiclo,$S72+MOD(2-WEEKDAY($S72),7))+13),1,IF(ISNUMBER($J72),$J72,$Z72)))</f>
        <v/>
      </c>
      <c r="AB72" s="62">
        <f>IF($V72="","",IF(AND(ISNUMBER($G72),$G72&lt;=IF($S72=MesCiclo,InicioCiclo,$S72+MOD(2-WEEKDAY($S72),7))+20),1,IF(ISNUMBER($K72),$K72,$AA72)))</f>
        <v/>
      </c>
      <c r="AC72" s="62">
        <f>IF($V72="","",IF(AND(ISNUMBER($G72),$G72&lt;=IF($S72=MesCiclo,InicioCiclo,$S72+MOD(2-WEEKDAY($S72),7))+27),1,IF(ISNUMBER($L72),$L72,$AB72)))</f>
        <v/>
      </c>
      <c r="AD72" s="62">
        <f>IF($V72&lt;&gt;"Sub","",N($X72)*IF(AND(ISNUMBER($G72),$G72&lt;=IF($S72=MesCiclo,InicioCiclo,$S72+MOD(2-WEEKDAY($S72),7))+6),1,MIN(1,MAX(0,IF(ISNUMBER(OFFSET($A$1,ROW()-1,8)),OFFSET($A$1,ROW()-1,8),0)))))</f>
        <v/>
      </c>
      <c r="AE72" s="62">
        <f>IF($V72&lt;&gt;"Sub","",N($X72)*IF(AND(ISNUMBER($G72),$G72&lt;=IF($S72=MesCiclo,InicioCiclo,$S72+MOD(2-WEEKDAY($S72),7))+13),1,MIN(1,MAX(0,IF(ISNUMBER(OFFSET($A$1,ROW()-1,9)),OFFSET($A$1,ROW()-1,9),IF(ISNUMBER(OFFSET($A$1,ROW()-1,8)),OFFSET($A$1,ROW()-1,8),0))))))</f>
        <v/>
      </c>
      <c r="AF72" s="62">
        <f>IF($V72&lt;&gt;"Sub","",N($X72)*IF(AND(ISNUMBER($G72),$G72&lt;=IF($S72=MesCiclo,InicioCiclo,$S72+MOD(2-WEEKDAY($S72),7))+20),1,MIN(1,MAX(0,IF(ISNUMBER(OFFSET($A$1,ROW()-1,10)),OFFSET($A$1,ROW()-1,10),IF(ISNUMBER(OFFSET($A$1,ROW()-1,9)),OFFSET($A$1,ROW()-1,9),IF(ISNUMBER(OFFSET($A$1,ROW()-1,8)),OFFSET($A$1,ROW()-1,8),0)))))))</f>
        <v/>
      </c>
      <c r="AG72" s="62">
        <f>IF($V72&lt;&gt;"Sub","",N($X72)*IF(AND(ISNUMBER($G72),$G72&lt;=IF($S72=MesCiclo,InicioCiclo,$S72+MOD(2-WEEKDAY($S72),7))+27),1,MIN(1,MAX(0,IF(ISNUMBER(OFFSET($A$1,ROW()-1,11)),OFFSET($A$1,ROW()-1,11),IF(ISNUMBER(OFFSET($A$1,ROW()-1,10)),OFFSET($A$1,ROW()-1,10),IF(ISNUMBER(OFFSET($A$1,ROW()-1,9)),OFFSET($A$1,ROW()-1,9),IF(ISNUMBER(OFFSET($A$1,ROW()-1,8)),OFFSET($A$1,ROW()-1,8),0))))))))</f>
        <v/>
      </c>
      <c r="AH72" s="62">
        <f>IF($V72="","",IF(AND(ISNUMBER($G72),$G72&lt;=IF($S72=MesCiclo,InicioCiclo,$S72+MOD(2-WEEKDAY($S72),7))+6),1,IF(N($W72)&gt;0,MIN(1,SUMIFS($AD$5:$AD$1000,$U$5:$U$1000,ROW(),$V$5:$V$1000,"Sub")),$Z72)))</f>
        <v/>
      </c>
      <c r="AI72" s="62">
        <f>IF($V72="","",IF(AND(ISNUMBER($G72),$G72&lt;=IF($S72=MesCiclo,InicioCiclo,$S72+MOD(2-WEEKDAY($S72),7))+13),1,IF(N($W72)&gt;0,MIN(1,SUMIFS($AE$5:$AE$1000,$U$5:$U$1000,ROW(),$V$5:$V$1000,"Sub")),$AA72)))</f>
        <v/>
      </c>
      <c r="AJ72" s="62">
        <f>IF($V72="","",IF(AND(ISNUMBER($G72),$G72&lt;=IF($S72=MesCiclo,InicioCiclo,$S72+MOD(2-WEEKDAY($S72),7))+20),1,IF(N($W72)&gt;0,MIN(1,SUMIFS($AF$5:$AF$1000,$U$5:$U$1000,ROW(),$V$5:$V$1000,"Sub")),$AB72)))</f>
        <v/>
      </c>
      <c r="AK72" s="62">
        <f>IF($V72="","",IF(AND(ISNUMBER($G72),$G72&lt;=IF($S72=MesCiclo,InicioCiclo,$S72+MOD(2-WEEKDAY($S72),7))+27),1,IF(N($W72)&gt;0,MIN(1,SUMIFS($AG$5:$AG$1000,$U$5:$U$1000,ROW(),$V$5:$V$1000,"Sub")),$AC72)))</f>
        <v/>
      </c>
      <c r="AL72" s="62">
        <f>IF($V72&lt;&gt;"Macro","",IF(COUNTIFS($S$5:$S$1000,$S72,$V$5:$V$1000,"Macro",$H$5:$H$1000,"&gt;0")=0,1/COUNTIFS($S$5:$S$1000,$S72,$V$5:$V$1000,"Macro"),IF(AND(ISNUMBER($H72),N($H72)&gt;0),$H72,SUMIFS($H$5:$H$1000,$S$5:$S$1000,$S72,$V$5:$V$1000,"Macro")/COUNTIFS($S$5:$S$1000,$S72,$V$5:$V$1000,"Macro",$H$5:$H$1000,"&gt;0"))/(COUNTIFS($S$5:$S$1000,$S72,$V$5:$V$1000,"Macro")*SUMIFS($H$5:$H$1000,$S$5:$S$1000,$S72,$V$5:$V$1000,"Macro")/COUNTIFS($S$5:$S$1000,$S72,$V$5:$V$1000,"Macro",$H$5:$H$1000,"&gt;0"))))</f>
        <v/>
      </c>
      <c r="AM72" s="62" t="n"/>
      <c r="AN72" s="62" t="n"/>
      <c r="AO72" s="62" t="n"/>
      <c r="AP72" s="62" t="n"/>
      <c r="AQ72" s="62">
        <f>IF(LEFT($C72,11)="[Jefatura] ",IFERROR(MATCH("Asistente Técnico de Riesgo|"&amp;MID($C72,12,500),rDname_ADM,0),0),"")</f>
        <v/>
      </c>
      <c r="AR72" s="62">
        <f>IF(N($AQ72)&gt;0,INDEX(rIni_ADM,$AQ72),IF(ISNUMBER($E72),$E72,""))</f>
        <v/>
      </c>
      <c r="AS72" s="62">
        <f>IF(N($AQ72)&gt;0,INDEX(rLim_ADM,$AQ72),IF(ISNUMBER($F72),$F72,""))</f>
        <v/>
      </c>
    </row>
    <row r="73">
      <c r="A73" s="56">
        <f>IF(NOT((COUNTA($B73:$D73)+COUNTA($G73:$H73)+COUNTA($Q73))&gt;0),"",IF($V73="Macro",COUNTIFS($V$5:$V73,"Macro",$S$5:$S73,$S73),IF(N($U73)=0,"?",COUNTIFS(INDEX($V$5:$V$1000,1):INDEX($V$5:$V$1000,$U73-4),"Macro",INDEX($S$5:$S$1000,1):INDEX($S$5:$S$1000,$U73-4),INDEX($S$5:$S$1000,$U73-4))&amp;"."&amp;COUNTIFS($U$5:$U73,$U73,$V$5:$V73,"Sub"))))</f>
        <v/>
      </c>
      <c r="B73" s="57" t="n"/>
      <c r="C73" s="58" t="n"/>
      <c r="D73" s="58" t="n"/>
      <c r="E73" s="59">
        <f>IF(N($AQ73)&gt;0,INDEX(rIni_ADM,$AQ73),"")</f>
        <v/>
      </c>
      <c r="F73" s="59">
        <f>IF(N($AQ73)&gt;0,INDEX(rLim_ADM,$AQ73),"")</f>
        <v/>
      </c>
      <c r="G73" s="59" t="n"/>
      <c r="H73" s="60" t="n"/>
      <c r="I73" s="60">
        <f>IF(N($W73)=0,"",IF(AND($S73=MesCiclo,1&gt;SemanaActual),"",MIN(1,SUMIFS(OFFSET($A$1,ROW(),29,1000-ROW(),1),OFFSET($A$1,ROW(),20,1000-ROW(),1),ROW(),OFFSET($A$1,ROW(),21,1000-ROW(),1),"Sub"))))</f>
        <v/>
      </c>
      <c r="J73" s="60">
        <f>IF(N($W73)=0,"",IF(AND($S73=MesCiclo,2&gt;SemanaActual),"",MIN(1,SUMIFS(OFFSET($A$1,ROW(),30,1000-ROW(),1),OFFSET($A$1,ROW(),20,1000-ROW(),1),ROW(),OFFSET($A$1,ROW(),21,1000-ROW(),1),"Sub"))))</f>
        <v/>
      </c>
      <c r="K73" s="60">
        <f>IF(N($W73)=0,"",IF(AND($S73=MesCiclo,3&gt;SemanaActual),"",MIN(1,SUMIFS(OFFSET($A$1,ROW(),31,1000-ROW(),1),OFFSET($A$1,ROW(),20,1000-ROW(),1),ROW(),OFFSET($A$1,ROW(),21,1000-ROW(),1),"Sub"))))</f>
        <v/>
      </c>
      <c r="L73" s="60">
        <f>IF(N($W73)=0,"",IF(AND($S73=MesCiclo,4&gt;SemanaActual),"",MIN(1,SUMIFS(OFFSET($A$1,ROW(),32,1000-ROW(),1),OFFSET($A$1,ROW(),20,1000-ROW(),1),ROW(),OFFSET($A$1,ROW(),21,1000-ROW(),1),"Sub"))))</f>
        <v/>
      </c>
      <c r="M73" s="61">
        <f>IF(OR(NOT((COUNTA($B73:$D73)+COUNTA($G73:$H73)+COUNTA($Q73))&gt;0),$V73="Sub"),"",IF(ISNUMBER($G73),1,IF(N($W73)&gt;0,MIN(1,SUMIFS($Y$5:$Y$1000,$U$5:$U$1000,ROW(),$V$5:$V$1000,"Sub")),$Y73)))</f>
        <v/>
      </c>
      <c r="N73" s="56">
        <f>IF(OR($M73="",$V73="Sub"),"",IF($M73&gt;=1,"Completado",IF($M73&gt;0,"En curso","Pendiente")))</f>
        <v/>
      </c>
      <c r="O73" s="56">
        <f>IF(OR(NOT((COUNTA($B73:$D73)+COUNTA($G73:$H73)+COUNTA($Q73))&gt;0),$V73="Sub"),"",IF(ISNUMBER($G73),IF(AND(ISNUMBER($AS73),$G73&gt;$AS73),"Cumplida con "&amp;($G73-$AS73)&amp;IF($G73-$AS73=1," día"," días")&amp;" de retraso","Cumplida"),IF(N($M73)&gt;=1,"Cumplida",IF(NOT(ISNUMBER($AS73)),"Sin fecha límite",IF($AS73&lt;FechaRef,"Vencida hace "&amp;(FechaRef-$AS73)&amp;IF(FechaRef-$AS73=1," día"," días"),IF($AS73=FechaRef,"Vence hoy",IF($AS73-FechaRef&lt;=DiasAlerta,"Vence en "&amp;($AS73-FechaRef)&amp;IF($AS73-FechaRef=1," día"," días"),"En plazo")))))))</f>
        <v/>
      </c>
      <c r="P73" s="62" t="n"/>
      <c r="Q73" s="58" t="n"/>
      <c r="R73" s="63">
        <f>IF(NOT((COUNTA($B73:$D73)+COUNTA($G73:$H73)+COUNTA($Q73))&gt;0),"",IF((IF($C73="","Falta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 OK","⚠ "&amp;LEFT(IF($C73="","Falta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",""),LEN(IF($C73="","Falta el nombre de la actividad"&amp;" · ","")&amp;IF(AND($V73="Sub",N($U73)=0),"Subactividad sin macroactividad arriba"&amp;" · ","")&amp;IF(AND($V73="Macro",$AR73=""),"Sin fecha de inicio"&amp;" · ","")&amp;IF(AND($V73="Macro",$AS73=""),"Sin fecha límite"&amp;" · ","")&amp;IF(AND(LEFT($C73,11)="[Jefatura] ",N($AQ73)=0),"No se encuentra en la hoja de la jefatura (elíjala de nuevo en la lista)"&amp;" · ","")&amp;IF(OR(AND($E73&lt;&gt;"",NOT(ISNUMBER($E73))),AND($F73&lt;&gt;"",NOT(ISNUMBER($F73))),AND($G73&lt;&gt;"",NOT(ISNUMBER($G73)))),"Fecha no válida"&amp;" · ","")&amp;IF(AND(ISNUMBER($AR73),ISNUMBER($AS73),$AR73&gt;$AS73),"Inicio posterior a fecha límite"&amp;" · ","")&amp;IF(AND($V73="Macro",$H73&lt;&gt;"",OR(NOT(ISNUMBER($H73)),$H73&lt;0,$H73&gt;1)),"Peso fuera de rango"&amp;" · ","")&amp;IF(AND($V73="Sub",$H73&lt;&gt;"",OR(NOT(ISNUMBER($H73)),$H73&lt;0,$H73&gt;1)),"% de la subactividad fuera de rango 0-100%"&amp;" · ","")&amp;IF(AND(N($W73)&gt;0,SUMIFS($H$5:$H$1000,$U$5:$U$1000,ROW(),$V$5:$V$1000,"Sub")&gt;1.0001),"Las subactividades suman más de 100%"&amp;" · ","")&amp;IF(AND(N($W73)&gt;0,OR(IF(ISNUMBER($I73),ROUND($I73,6)&lt;&gt;ROUND(MIN(1,SUMIFS($AD$5:$AD$1000,$U$5:$U$1000,ROW(),$V$5:$V$1000,"Sub")),6),FALSE),IF(ISNUMBER($J73),ROUND($J73,6)&lt;&gt;ROUND(MIN(1,SUMIFS($AE$5:$AE$1000,$U$5:$U$1000,ROW(),$V$5:$V$1000,"Sub")),6),FALSE),IF(ISNUMBER($K73),ROUND($K73,6)&lt;&gt;ROUND(MIN(1,SUMIFS($AF$5:$AF$1000,$U$5:$U$1000,ROW(),$V$5:$V$1000,"Sub")),6),FALSE),IF(ISNUMBER($L73),ROUND($L73,6)&lt;&gt;ROUND(MIN(1,SUMIFS($AG$5:$AG$1000,$U$5:$U$1000,ROW(),$V$5:$V$1000,"Sub")),6),FALSE))),"Con subactividades: no escriba en las semanas (se llenan solas)"&amp;" · ","")&amp;IF((COUNTIF($I73:$L73,"&gt;1")+COUNTIF($I73:$L73,"&lt;0")+SUMPRODUCT((LEN($I73:$L73)&gt;0)*NOT(ISNUMBER($I73:$L73))))&gt;0,"Avance fuera de rango 0-100%"&amp;" · ","")&amp;IF(OR(AND(ISNUMBER($J73),$J73&lt;N($I73)),AND(ISNUMBER($K73),$K73&lt;MAX($I73:$J73)),AND(ISNUMBER($L73),$L73&lt;MAX($I73:$K73))),"Avance semanal decreciente"&amp;" · ","")&amp;IF(AND(ISNUMBER($AS73),$AS73&lt;FechaRef,IF($V73="Sub",1,N($M73))&lt;1),"Vencida"&amp;" · ","")&amp;IF(AND(ObsObligatoria="Sí",ISNUMBER($AS73),$AS73&lt;FechaRef,IF($V73="Sub",1,N($M73))&lt;1,$Q73=""),"Vencida sin observación"&amp;" · ",""))-3)))</f>
        <v/>
      </c>
      <c r="S73" s="64">
        <f>IF(NOT((COUNTA($B73:$D73)+COUNTA($G73:$H73)+COUNTA($Q73))&gt;0),"",IF(AND($V73="Sub",N($U73)&gt;0),IF(ISNUMBER(INDEX($AR$5:$AR$1000,$U73-4)),DATE(YEAR(INDEX($AR$5:$AR$1000,$U73-4)),MONTH(INDEX($AR$5:$AR$1000,$U73-4)),1),IF(ISNUMBER(INDEX($AS$5:$AS$1000,$U73-4)),DATE(YEAR(INDEX($AS$5:$AS$1000,$U73-4)),MONTH(INDEX($AS$5:$AS$1000,$U73-4)),1),MesCiclo)),IF(ISNUMBER($AR73),DATE(YEAR($AR73),MONTH($AR73),1),IF(ISNUMBER($AS73),DATE(YEAR($AS73),MONTH($AS73),1),MesCiclo))))</f>
        <v/>
      </c>
      <c r="T73" s="62">
        <f>IF(OR($S73="",$S73&lt;&gt;MesCiclo,$V73&lt;&gt;"Macro"),"",COUNTIFS($S$5:$S73,MesCiclo,$V$5:$V73,"Macro"))</f>
        <v/>
      </c>
      <c r="U73" s="62">
        <f>IF($V73="","",IF($V73="Macro",ROW(),IFERROR(LOOKUP(2,1/($V$5:$V73="Macro"),ROW($V$5:$V73)),0)))</f>
        <v/>
      </c>
      <c r="V73" s="62">
        <f>IF(NOT((COUNTA($B73:$D73)+COUNTA($G73:$H73)+COUNTA($Q73))&gt;0),"",IF($B73="Subactividad","Sub","Macro"))</f>
        <v/>
      </c>
      <c r="W73" s="62">
        <f>IF($V73="Macro",COUNTIFS($U$5:$U$1000,ROW(),$V$5:$V$1000,"Sub"),"")</f>
        <v/>
      </c>
      <c r="X73" s="62">
        <f>IF($V73&lt;&gt;"Sub","",IF(AND(ISNUMBER($H73),N($H73)&gt;0),$H73,IFERROR(MAX(0,1-SUMIFS($H$5:$H$1000,$U$5:$U$1000,$U73,$V$5:$V$1000,"Sub"))/(COUNTIFS($U$5:$U$1000,$U73,$V$5:$V$1000,"Sub")-COUNTIFS($U$5:$U$1000,$U73,$V$5:$V$1000,"Sub",$H$5:$H$1000,"&gt;0")),0)))</f>
        <v/>
      </c>
      <c r="Y73" s="62">
        <f>IF($V73="","",IF($V73="Sub",N($X73)*IF(ISNUMBER($G73),1,MIN(1,MAX(0,IFERROR(LOOKUP(2,1/ISNUMBER($I73:$L73),$I73:$L73),0)))),IF(ISNUMBER($G73),1,IFERROR(LOOKUP(2,1/($I73:$L73&lt;&gt;""),$I73:$L73),0))))</f>
        <v/>
      </c>
      <c r="Z73" s="62">
        <f>IF($V73="","",IF(AND(ISNUMBER($G73),$G73&lt;=IF($S73=MesCiclo,InicioCiclo,$S73+MOD(2-WEEKDAY($S73),7))+6),1,IF(ISNUMBER($I73),$I73,0)))</f>
        <v/>
      </c>
      <c r="AA73" s="62">
        <f>IF($V73="","",IF(AND(ISNUMBER($G73),$G73&lt;=IF($S73=MesCiclo,InicioCiclo,$S73+MOD(2-WEEKDAY($S73),7))+13),1,IF(ISNUMBER($J73),$J73,$Z73)))</f>
        <v/>
      </c>
      <c r="AB73" s="62">
        <f>IF($V73="","",IF(AND(ISNUMBER($G73),$G73&lt;=IF($S73=MesCiclo,InicioCiclo,$S73+MOD(2-WEEKDAY($S73),7))+20),1,IF(ISNUMBER($K73),$K73,$AA73)))</f>
        <v/>
      </c>
      <c r="AC73" s="62">
        <f>IF($V73="","",IF(AND(ISNUMBER($G73),$G73&lt;=IF($S73=MesCiclo,InicioCiclo,$S73+MOD(2-WEEKDAY($S73),7))+27),1,IF(ISNUMBER($L73),$L73,$AB73)))</f>
        <v/>
      </c>
      <c r="AD73" s="62">
        <f>IF($V73&lt;&gt;"Sub","",N($X73)*IF(AND(ISNUMBER($G73),$G73&lt;=IF($S73=MesCiclo,InicioCiclo,$S73+MOD(2-WEEKDAY($S73),7))+6),1,MIN(1,MAX(0,IF(ISNUMBER(OFFSET($A$1,ROW()-1,8)),OFFSET($A$1,ROW()-1,8),0)))))</f>
        <v/>
      </c>
      <c r="AE73" s="62">
        <f>IF($V73&lt;&gt;"Sub","",N($X73)*IF(AND(ISNUMBER($G73),$G73&lt;=IF($S73=MesCiclo,InicioCiclo,$S73+MOD(2-WEEKDAY($S73),7))+13),1,MIN(1,MAX(0,IF(ISNUMBER(OFFSET($A$1,ROW()-1,9)),OFFSET($A$1,ROW()-1,9),IF(ISNUMBER(OFFSET($A$1,ROW()-1,8)),OFFSET($A$1,ROW()-1,8),0))))))</f>
        <v/>
      </c>
      <c r="AF73" s="62">
        <f>IF($V73&lt;&gt;"Sub","",N($X73)*IF(AND(ISNUMBER($G73),$G73&lt;=IF($S73=MesCiclo,InicioCiclo,$S73+MOD(2-WEEKDAY($S73),7))+20),1,MIN(1,MAX(0,IF(ISNUMBER(OFFSET($A$1,ROW()-1,10)),OFFSET($A$1,ROW()-1,10),IF(ISNUMBER(OFFSET($A$1,ROW()-1,9)),OFFSET($A$1,ROW()-1,9),IF(ISNUMBER(OFFSET($A$1,ROW()-1,8)),OFFSET($A$1,ROW()-1,8),0)))))))</f>
        <v/>
      </c>
      <c r="AG73" s="62">
        <f>IF($V73&lt;&gt;"Sub","",N($X73)*IF(AND(ISNUMBER($G73),$G73&lt;=IF($S73=MesCiclo,InicioCiclo,$S73+MOD(2-WEEKDAY($S73),7))+27),1,MIN(1,MAX(0,IF(ISNUMBER(OFFSET($A$1,ROW()-1,11)),OFFSET($A$1,ROW()-1,11),IF(ISNUMBER(OFFSET($A$1,ROW()-1,10)),OFFSET($A$1,ROW()-1,10),IF(ISNUMBER(OFFSET($A$1,ROW()-1,9)),OFFSET($A$1,ROW()-1,9),IF(ISNUMBER(OFFSET($A$1,ROW()-1,8)),OFFSET($A$1,ROW()-1,8),0))))))))</f>
        <v/>
      </c>
      <c r="AH73" s="62">
        <f>IF($V73="","",IF(AND(ISNUMBER($G73),$G73&lt;=IF($S73=MesCiclo,InicioCiclo,$S73+MOD(2-WEEKDAY($S73),7))+6),1,IF(N($W73)&gt;0,MIN(1,SUMIFS($AD$5:$AD$1000,$U$5:$U$1000,ROW(),$V$5:$V$1000,"Sub")),$Z73)))</f>
        <v/>
      </c>
      <c r="AI73" s="62">
        <f>IF($V73="","",IF(AND(ISNUMBER($G73),$G73&lt;=IF($S73=MesCiclo,InicioCiclo,$S73+MOD(2-WEEKDAY($S73),7))+13),1,IF(N($W73)&gt;0,MIN(1,SUMIFS($AE$5:$AE$1000,$U$5:$U$1000,ROW(),$V$5:$V$1000,"Sub")),$AA73)))</f>
        <v/>
      </c>
      <c r="AJ73" s="62">
        <f>IF($V73="","",IF(AND(ISNUMBER($G73),$G73&lt;=IF($S73=MesCiclo,InicioCiclo,$S73+MOD(2-WEEKDAY($S73),7))+20),1,IF(N($W73)&gt;0,MIN(1,SUMIFS($AF$5:$AF$1000,$U$5:$U$1000,ROW(),$V$5:$V$1000,"Sub")),$AB73)))</f>
        <v/>
      </c>
      <c r="AK73" s="62">
        <f>IF($V73="","",IF(AND(ISNUMBER($G73),$G73&lt;=IF($S73=MesCiclo,InicioCiclo,$S73+MOD(2-WEEKDAY($S73),7))+27),1,IF(N($W73)&gt;0,MIN(1,SUMIFS($AG$5:$AG$1000,$U$5:$U$1000,ROW(),$V$5:$V$1000,"Sub")),$AC73)))</f>
        <v/>
      </c>
      <c r="AL73" s="62">
        <f>IF($V73&lt;&gt;"Macro","",IF(COUNTIFS($S$5:$S$1000,$S73,$V$5:$V$1000,"Macro",$H$5:$H$1000,"&gt;0")=0,1/COUNTIFS($S$5:$S$1000,$S73,$V$5:$V$1000,"Macro"),IF(AND(ISNUMBER($H73),N($H73)&gt;0),$H73,SUMIFS($H$5:$H$1000,$S$5:$S$1000,$S73,$V$5:$V$1000,"Macro")/COUNTIFS($S$5:$S$1000,$S73,$V$5:$V$1000,"Macro",$H$5:$H$1000,"&gt;0"))/(COUNTIFS($S$5:$S$1000,$S73,$V$5:$V$1000,"Macro")*SUMIFS($H$5:$H$1000,$S$5:$S$1000,$S73,$V$5:$V$1000,"Macro")/COUNTIFS($S$5:$S$1000,$S73,$V$5:$V$1000,"Macro",$H$5:$H$1000,"&gt;0"))))</f>
        <v/>
      </c>
      <c r="AM73" s="62" t="n"/>
      <c r="AN73" s="62" t="n"/>
      <c r="AO73" s="62" t="n"/>
      <c r="AP73" s="62" t="n"/>
      <c r="AQ73" s="62">
        <f>IF(LEFT($C73,11)="[Jefatura] ",IFERROR(MATCH("Asistente Técnico de Riesgo|"&amp;MID($C73,12,500),rDname_ADM,0),0),"")</f>
        <v/>
      </c>
      <c r="AR73" s="62">
        <f>IF(N($AQ73)&gt;0,INDEX(rIni_ADM,$AQ73),IF(ISNUMBER($E73),$E73,""))</f>
        <v/>
      </c>
      <c r="AS73" s="62">
        <f>IF(N($AQ73)&gt;0,INDEX(rLim_ADM,$AQ73),IF(ISNUMBER($F73),$F73,""))</f>
        <v/>
      </c>
    </row>
    <row r="74">
      <c r="A74" s="56">
        <f>IF(NOT((COUNTA($B74:$D74)+COUNTA($G74:$H74)+COUNTA($Q74))&gt;0),"",IF($V74="Macro",COUNTIFS($V$5:$V74,"Macro",$S$5:$S74,$S74),IF(N($U74)=0,"?",COUNTIFS(INDEX($V$5:$V$1000,1):INDEX($V$5:$V$1000,$U74-4),"Macro",INDEX($S$5:$S$1000,1):INDEX($S$5:$S$1000,$U74-4),INDEX($S$5:$S$1000,$U74-4))&amp;"."&amp;COUNTIFS($U$5:$U74,$U74,$V$5:$V74,"Sub"))))</f>
        <v/>
      </c>
      <c r="B74" s="57" t="n"/>
      <c r="C74" s="58" t="n"/>
      <c r="D74" s="58" t="n"/>
      <c r="E74" s="59">
        <f>IF(N($AQ74)&gt;0,INDEX(rIni_ADM,$AQ74),"")</f>
        <v/>
      </c>
      <c r="F74" s="59">
        <f>IF(N($AQ74)&gt;0,INDEX(rLim_ADM,$AQ74),"")</f>
        <v/>
      </c>
      <c r="G74" s="59" t="n"/>
      <c r="H74" s="60" t="n"/>
      <c r="I74" s="60">
        <f>IF(N($W74)=0,"",IF(AND($S74=MesCiclo,1&gt;SemanaActual),"",MIN(1,SUMIFS(OFFSET($A$1,ROW(),29,1000-ROW(),1),OFFSET($A$1,ROW(),20,1000-ROW(),1),ROW(),OFFSET($A$1,ROW(),21,1000-ROW(),1),"Sub"))))</f>
        <v/>
      </c>
      <c r="J74" s="60">
        <f>IF(N($W74)=0,"",IF(AND($S74=MesCiclo,2&gt;SemanaActual),"",MIN(1,SUMIFS(OFFSET($A$1,ROW(),30,1000-ROW(),1),OFFSET($A$1,ROW(),20,1000-ROW(),1),ROW(),OFFSET($A$1,ROW(),21,1000-ROW(),1),"Sub"))))</f>
        <v/>
      </c>
      <c r="K74" s="60">
        <f>IF(N($W74)=0,"",IF(AND($S74=MesCiclo,3&gt;SemanaActual),"",MIN(1,SUMIFS(OFFSET($A$1,ROW(),31,1000-ROW(),1),OFFSET($A$1,ROW(),20,1000-ROW(),1),ROW(),OFFSET($A$1,ROW(),21,1000-ROW(),1),"Sub"))))</f>
        <v/>
      </c>
      <c r="L74" s="60">
        <f>IF(N($W74)=0,"",IF(AND($S74=MesCiclo,4&gt;SemanaActual),"",MIN(1,SUMIFS(OFFSET($A$1,ROW(),32,1000-ROW(),1),OFFSET($A$1,ROW(),20,1000-ROW(),1),ROW(),OFFSET($A$1,ROW(),21,1000-ROW(),1),"Sub"))))</f>
        <v/>
      </c>
      <c r="M74" s="61">
        <f>IF(OR(NOT((COUNTA($B74:$D74)+COUNTA($G74:$H74)+COUNTA($Q74))&gt;0),$V74="Sub"),"",IF(ISNUMBER($G74),1,IF(N($W74)&gt;0,MIN(1,SUMIFS($Y$5:$Y$1000,$U$5:$U$1000,ROW(),$V$5:$V$1000,"Sub")),$Y74)))</f>
        <v/>
      </c>
      <c r="N74" s="56">
        <f>IF(OR($M74="",$V74="Sub"),"",IF($M74&gt;=1,"Completado",IF($M74&gt;0,"En curso","Pendiente")))</f>
        <v/>
      </c>
      <c r="O74" s="56">
        <f>IF(OR(NOT((COUNTA($B74:$D74)+COUNTA($G74:$H74)+COUNTA($Q74))&gt;0),$V74="Sub"),"",IF(ISNUMBER($G74),IF(AND(ISNUMBER($AS74),$G74&gt;$AS74),"Cumplida con "&amp;($G74-$AS74)&amp;IF($G74-$AS74=1," día"," días")&amp;" de retraso","Cumplida"),IF(N($M74)&gt;=1,"Cumplida",IF(NOT(ISNUMBER($AS74)),"Sin fecha límite",IF($AS74&lt;FechaRef,"Vencida hace "&amp;(FechaRef-$AS74)&amp;IF(FechaRef-$AS74=1," día"," días"),IF($AS74=FechaRef,"Vence hoy",IF($AS74-FechaRef&lt;=DiasAlerta,"Vence en "&amp;($AS74-FechaRef)&amp;IF($AS74-FechaRef=1," día"," días"),"En plazo")))))))</f>
        <v/>
      </c>
      <c r="P74" s="62" t="n"/>
      <c r="Q74" s="58" t="n"/>
      <c r="R74" s="63">
        <f>IF(NOT((COUNTA($B74:$D74)+COUNTA($G74:$H74)+COUNTA($Q74))&gt;0),"",IF((IF($C74="","Falta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 OK","⚠ "&amp;LEFT(IF($C74="","Falta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",""),LEN(IF($C74="","Falta el nombre de la actividad"&amp;" · ","")&amp;IF(AND($V74="Sub",N($U74)=0),"Subactividad sin macroactividad arriba"&amp;" · ","")&amp;IF(AND($V74="Macro",$AR74=""),"Sin fecha de inicio"&amp;" · ","")&amp;IF(AND($V74="Macro",$AS74=""),"Sin fecha límite"&amp;" · ","")&amp;IF(AND(LEFT($C74,11)="[Jefatura] ",N($AQ74)=0),"No se encuentra en la hoja de la jefatura (elíjala de nuevo en la lista)"&amp;" · ","")&amp;IF(OR(AND($E74&lt;&gt;"",NOT(ISNUMBER($E74))),AND($F74&lt;&gt;"",NOT(ISNUMBER($F74))),AND($G74&lt;&gt;"",NOT(ISNUMBER($G74)))),"Fecha no válida"&amp;" · ","")&amp;IF(AND(ISNUMBER($AR74),ISNUMBER($AS74),$AR74&gt;$AS74),"Inicio posterior a fecha límite"&amp;" · ","")&amp;IF(AND($V74="Macro",$H74&lt;&gt;"",OR(NOT(ISNUMBER($H74)),$H74&lt;0,$H74&gt;1)),"Peso fuera de rango"&amp;" · ","")&amp;IF(AND($V74="Sub",$H74&lt;&gt;"",OR(NOT(ISNUMBER($H74)),$H74&lt;0,$H74&gt;1)),"% de la subactividad fuera de rango 0-100%"&amp;" · ","")&amp;IF(AND(N($W74)&gt;0,SUMIFS($H$5:$H$1000,$U$5:$U$1000,ROW(),$V$5:$V$1000,"Sub")&gt;1.0001),"Las subactividades suman más de 100%"&amp;" · ","")&amp;IF(AND(N($W74)&gt;0,OR(IF(ISNUMBER($I74),ROUND($I74,6)&lt;&gt;ROUND(MIN(1,SUMIFS($AD$5:$AD$1000,$U$5:$U$1000,ROW(),$V$5:$V$1000,"Sub")),6),FALSE),IF(ISNUMBER($J74),ROUND($J74,6)&lt;&gt;ROUND(MIN(1,SUMIFS($AE$5:$AE$1000,$U$5:$U$1000,ROW(),$V$5:$V$1000,"Sub")),6),FALSE),IF(ISNUMBER($K74),ROUND($K74,6)&lt;&gt;ROUND(MIN(1,SUMIFS($AF$5:$AF$1000,$U$5:$U$1000,ROW(),$V$5:$V$1000,"Sub")),6),FALSE),IF(ISNUMBER($L74),ROUND($L74,6)&lt;&gt;ROUND(MIN(1,SUMIFS($AG$5:$AG$1000,$U$5:$U$1000,ROW(),$V$5:$V$1000,"Sub")),6),FALSE))),"Con subactividades: no escriba en las semanas (se llenan solas)"&amp;" · ","")&amp;IF((COUNTIF($I74:$L74,"&gt;1")+COUNTIF($I74:$L74,"&lt;0")+SUMPRODUCT((LEN($I74:$L74)&gt;0)*NOT(ISNUMBER($I74:$L74))))&gt;0,"Avance fuera de rango 0-100%"&amp;" · ","")&amp;IF(OR(AND(ISNUMBER($J74),$J74&lt;N($I74)),AND(ISNUMBER($K74),$K74&lt;MAX($I74:$J74)),AND(ISNUMBER($L74),$L74&lt;MAX($I74:$K74))),"Avance semanal decreciente"&amp;" · ","")&amp;IF(AND(ISNUMBER($AS74),$AS74&lt;FechaRef,IF($V74="Sub",1,N($M74))&lt;1),"Vencida"&amp;" · ","")&amp;IF(AND(ObsObligatoria="Sí",ISNUMBER($AS74),$AS74&lt;FechaRef,IF($V74="Sub",1,N($M74))&lt;1,$Q74=""),"Vencida sin observación"&amp;" · ",""))-3)))</f>
        <v/>
      </c>
      <c r="S74" s="64">
        <f>IF(NOT((COUNTA($B74:$D74)+COUNTA($G74:$H74)+COUNTA($Q74))&gt;0),"",IF(AND($V74="Sub",N($U74)&gt;0),IF(ISNUMBER(INDEX($AR$5:$AR$1000,$U74-4)),DATE(YEAR(INDEX($AR$5:$AR$1000,$U74-4)),MONTH(INDEX($AR$5:$AR$1000,$U74-4)),1),IF(ISNUMBER(INDEX($AS$5:$AS$1000,$U74-4)),DATE(YEAR(INDEX($AS$5:$AS$1000,$U74-4)),MONTH(INDEX($AS$5:$AS$1000,$U74-4)),1),MesCiclo)),IF(ISNUMBER($AR74),DATE(YEAR($AR74),MONTH($AR74),1),IF(ISNUMBER($AS74),DATE(YEAR($AS74),MONTH($AS74),1),MesCiclo))))</f>
        <v/>
      </c>
      <c r="T74" s="62">
        <f>IF(OR($S74="",$S74&lt;&gt;MesCiclo,$V74&lt;&gt;"Macro"),"",COUNTIFS($S$5:$S74,MesCiclo,$V$5:$V74,"Macro"))</f>
        <v/>
      </c>
      <c r="U74" s="62">
        <f>IF($V74="","",IF($V74="Macro",ROW(),IFERROR(LOOKUP(2,1/($V$5:$V74="Macro"),ROW($V$5:$V74)),0)))</f>
        <v/>
      </c>
      <c r="V74" s="62">
        <f>IF(NOT((COUNTA($B74:$D74)+COUNTA($G74:$H74)+COUNTA($Q74))&gt;0),"",IF($B74="Subactividad","Sub","Macro"))</f>
        <v/>
      </c>
      <c r="W74" s="62">
        <f>IF($V74="Macro",COUNTIFS($U$5:$U$1000,ROW(),$V$5:$V$1000,"Sub"),"")</f>
        <v/>
      </c>
      <c r="X74" s="62">
        <f>IF($V74&lt;&gt;"Sub","",IF(AND(ISNUMBER($H74),N($H74)&gt;0),$H74,IFERROR(MAX(0,1-SUMIFS($H$5:$H$1000,$U$5:$U$1000,$U74,$V$5:$V$1000,"Sub"))/(COUNTIFS($U$5:$U$1000,$U74,$V$5:$V$1000,"Sub")-COUNTIFS($U$5:$U$1000,$U74,$V$5:$V$1000,"Sub",$H$5:$H$1000,"&gt;0")),0)))</f>
        <v/>
      </c>
      <c r="Y74" s="62">
        <f>IF($V74="","",IF($V74="Sub",N($X74)*IF(ISNUMBER($G74),1,MIN(1,MAX(0,IFERROR(LOOKUP(2,1/ISNUMBER($I74:$L74),$I74:$L74),0)))),IF(ISNUMBER($G74),1,IFERROR(LOOKUP(2,1/($I74:$L74&lt;&gt;""),$I74:$L74),0))))</f>
        <v/>
      </c>
      <c r="Z74" s="62">
        <f>IF($V74="","",IF(AND(ISNUMBER($G74),$G74&lt;=IF($S74=MesCiclo,InicioCiclo,$S74+MOD(2-WEEKDAY($S74),7))+6),1,IF(ISNUMBER($I74),$I74,0)))</f>
        <v/>
      </c>
      <c r="AA74" s="62">
        <f>IF($V74="","",IF(AND(ISNUMBER($G74),$G74&lt;=IF($S74=MesCiclo,InicioCiclo,$S74+MOD(2-WEEKDAY($S74),7))+13),1,IF(ISNUMBER($J74),$J74,$Z74)))</f>
        <v/>
      </c>
      <c r="AB74" s="62">
        <f>IF($V74="","",IF(AND(ISNUMBER($G74),$G74&lt;=IF($S74=MesCiclo,InicioCiclo,$S74+MOD(2-WEEKDAY($S74),7))+20),1,IF(ISNUMBER($K74),$K74,$AA74)))</f>
        <v/>
      </c>
      <c r="AC74" s="62">
        <f>IF($V74="","",IF(AND(ISNUMBER($G74),$G74&lt;=IF($S74=MesCiclo,InicioCiclo,$S74+MOD(2-WEEKDAY($S74),7))+27),1,IF(ISNUMBER($L74),$L74,$AB74)))</f>
        <v/>
      </c>
      <c r="AD74" s="62">
        <f>IF($V74&lt;&gt;"Sub","",N($X74)*IF(AND(ISNUMBER($G74),$G74&lt;=IF($S74=MesCiclo,InicioCiclo,$S74+MOD(2-WEEKDAY($S74),7))+6),1,MIN(1,MAX(0,IF(ISNUMBER(OFFSET($A$1,ROW()-1,8)),OFFSET($A$1,ROW()-1,8),0)))))</f>
        <v/>
      </c>
      <c r="AE74" s="62">
        <f>IF($V74&lt;&gt;"Sub","",N($X74)*IF(AND(ISNUMBER($G74),$G74&lt;=IF($S74=MesCiclo,InicioCiclo,$S74+MOD(2-WEEKDAY($S74),7))+13),1,MIN(1,MAX(0,IF(ISNUMBER(OFFSET($A$1,ROW()-1,9)),OFFSET($A$1,ROW()-1,9),IF(ISNUMBER(OFFSET($A$1,ROW()-1,8)),OFFSET($A$1,ROW()-1,8),0))))))</f>
        <v/>
      </c>
      <c r="AF74" s="62">
        <f>IF($V74&lt;&gt;"Sub","",N($X74)*IF(AND(ISNUMBER($G74),$G74&lt;=IF($S74=MesCiclo,InicioCiclo,$S74+MOD(2-WEEKDAY($S74),7))+20),1,MIN(1,MAX(0,IF(ISNUMBER(OFFSET($A$1,ROW()-1,10)),OFFSET($A$1,ROW()-1,10),IF(ISNUMBER(OFFSET($A$1,ROW()-1,9)),OFFSET($A$1,ROW()-1,9),IF(ISNUMBER(OFFSET($A$1,ROW()-1,8)),OFFSET($A$1,ROW()-1,8),0)))))))</f>
        <v/>
      </c>
      <c r="AG74" s="62">
        <f>IF($V74&lt;&gt;"Sub","",N($X74)*IF(AND(ISNUMBER($G74),$G74&lt;=IF($S74=MesCiclo,InicioCiclo,$S74+MOD(2-WEEKDAY($S74),7))+27),1,MIN(1,MAX(0,IF(ISNUMBER(OFFSET($A$1,ROW()-1,11)),OFFSET($A$1,ROW()-1,11),IF(ISNUMBER(OFFSET($A$1,ROW()-1,10)),OFFSET($A$1,ROW()-1,10),IF(ISNUMBER(OFFSET($A$1,ROW()-1,9)),OFFSET($A$1,ROW()-1,9),IF(ISNUMBER(OFFSET($A$1,ROW()-1,8)),OFFSET($A$1,ROW()-1,8),0))))))))</f>
        <v/>
      </c>
      <c r="AH74" s="62">
        <f>IF($V74="","",IF(AND(ISNUMBER($G74),$G74&lt;=IF($S74=MesCiclo,InicioCiclo,$S74+MOD(2-WEEKDAY($S74),7))+6),1,IF(N($W74)&gt;0,MIN(1,SUMIFS($AD$5:$AD$1000,$U$5:$U$1000,ROW(),$V$5:$V$1000,"Sub")),$Z74)))</f>
        <v/>
      </c>
      <c r="AI74" s="62">
        <f>IF($V74="","",IF(AND(ISNUMBER($G74),$G74&lt;=IF($S74=MesCiclo,InicioCiclo,$S74+MOD(2-WEEKDAY($S74),7))+13),1,IF(N($W74)&gt;0,MIN(1,SUMIFS($AE$5:$AE$1000,$U$5:$U$1000,ROW(),$V$5:$V$1000,"Sub")),$AA74)))</f>
        <v/>
      </c>
      <c r="AJ74" s="62">
        <f>IF($V74="","",IF(AND(ISNUMBER($G74),$G74&lt;=IF($S74=MesCiclo,InicioCiclo,$S74+MOD(2-WEEKDAY($S74),7))+20),1,IF(N($W74)&gt;0,MIN(1,SUMIFS($AF$5:$AF$1000,$U$5:$U$1000,ROW(),$V$5:$V$1000,"Sub")),$AB74)))</f>
        <v/>
      </c>
      <c r="AK74" s="62">
        <f>IF($V74="","",IF(AND(ISNUMBER($G74),$G74&lt;=IF($S74=MesCiclo,InicioCiclo,$S74+MOD(2-WEEKDAY($S74),7))+27),1,IF(N($W74)&gt;0,MIN(1,SUMIFS($AG$5:$AG$1000,$U$5:$U$1000,ROW(),$V$5:$V$1000,"Sub")),$AC74)))</f>
        <v/>
      </c>
      <c r="AL74" s="62">
        <f>IF($V74&lt;&gt;"Macro","",IF(COUNTIFS($S$5:$S$1000,$S74,$V$5:$V$1000,"Macro",$H$5:$H$1000,"&gt;0")=0,1/COUNTIFS($S$5:$S$1000,$S74,$V$5:$V$1000,"Macro"),IF(AND(ISNUMBER($H74),N($H74)&gt;0),$H74,SUMIFS($H$5:$H$1000,$S$5:$S$1000,$S74,$V$5:$V$1000,"Macro")/COUNTIFS($S$5:$S$1000,$S74,$V$5:$V$1000,"Macro",$H$5:$H$1000,"&gt;0"))/(COUNTIFS($S$5:$S$1000,$S74,$V$5:$V$1000,"Macro")*SUMIFS($H$5:$H$1000,$S$5:$S$1000,$S74,$V$5:$V$1000,"Macro")/COUNTIFS($S$5:$S$1000,$S74,$V$5:$V$1000,"Macro",$H$5:$H$1000,"&gt;0"))))</f>
        <v/>
      </c>
      <c r="AM74" s="62" t="n"/>
      <c r="AN74" s="62" t="n"/>
      <c r="AO74" s="62" t="n"/>
      <c r="AP74" s="62" t="n"/>
      <c r="AQ74" s="62">
        <f>IF(LEFT($C74,11)="[Jefatura] ",IFERROR(MATCH("Asistente Técnico de Riesgo|"&amp;MID($C74,12,500),rDname_ADM,0),0),"")</f>
        <v/>
      </c>
      <c r="AR74" s="62">
        <f>IF(N($AQ74)&gt;0,INDEX(rIni_ADM,$AQ74),IF(ISNUMBER($E74),$E74,""))</f>
        <v/>
      </c>
      <c r="AS74" s="62">
        <f>IF(N($AQ74)&gt;0,INDEX(rLim_ADM,$AQ74),IF(ISNUMBER($F74),$F74,""))</f>
        <v/>
      </c>
    </row>
    <row r="75">
      <c r="A75" s="56">
        <f>IF(NOT((COUNTA($B75:$D75)+COUNTA($G75:$H75)+COUNTA($Q75))&gt;0),"",IF($V75="Macro",COUNTIFS($V$5:$V75,"Macro",$S$5:$S75,$S75),IF(N($U75)=0,"?",COUNTIFS(INDEX($V$5:$V$1000,1):INDEX($V$5:$V$1000,$U75-4),"Macro",INDEX($S$5:$S$1000,1):INDEX($S$5:$S$1000,$U75-4),INDEX($S$5:$S$1000,$U75-4))&amp;"."&amp;COUNTIFS($U$5:$U75,$U75,$V$5:$V75,"Sub"))))</f>
        <v/>
      </c>
      <c r="B75" s="57" t="n"/>
      <c r="C75" s="58" t="n"/>
      <c r="D75" s="58" t="n"/>
      <c r="E75" s="59">
        <f>IF(N($AQ75)&gt;0,INDEX(rIni_ADM,$AQ75),"")</f>
        <v/>
      </c>
      <c r="F75" s="59">
        <f>IF(N($AQ75)&gt;0,INDEX(rLim_ADM,$AQ75),"")</f>
        <v/>
      </c>
      <c r="G75" s="59" t="n"/>
      <c r="H75" s="60" t="n"/>
      <c r="I75" s="60">
        <f>IF(N($W75)=0,"",IF(AND($S75=MesCiclo,1&gt;SemanaActual),"",MIN(1,SUMIFS(OFFSET($A$1,ROW(),29,1000-ROW(),1),OFFSET($A$1,ROW(),20,1000-ROW(),1),ROW(),OFFSET($A$1,ROW(),21,1000-ROW(),1),"Sub"))))</f>
        <v/>
      </c>
      <c r="J75" s="60">
        <f>IF(N($W75)=0,"",IF(AND($S75=MesCiclo,2&gt;SemanaActual),"",MIN(1,SUMIFS(OFFSET($A$1,ROW(),30,1000-ROW(),1),OFFSET($A$1,ROW(),20,1000-ROW(),1),ROW(),OFFSET($A$1,ROW(),21,1000-ROW(),1),"Sub"))))</f>
        <v/>
      </c>
      <c r="K75" s="60">
        <f>IF(N($W75)=0,"",IF(AND($S75=MesCiclo,3&gt;SemanaActual),"",MIN(1,SUMIFS(OFFSET($A$1,ROW(),31,1000-ROW(),1),OFFSET($A$1,ROW(),20,1000-ROW(),1),ROW(),OFFSET($A$1,ROW(),21,1000-ROW(),1),"Sub"))))</f>
        <v/>
      </c>
      <c r="L75" s="60">
        <f>IF(N($W75)=0,"",IF(AND($S75=MesCiclo,4&gt;SemanaActual),"",MIN(1,SUMIFS(OFFSET($A$1,ROW(),32,1000-ROW(),1),OFFSET($A$1,ROW(),20,1000-ROW(),1),ROW(),OFFSET($A$1,ROW(),21,1000-ROW(),1),"Sub"))))</f>
        <v/>
      </c>
      <c r="M75" s="61">
        <f>IF(OR(NOT((COUNTA($B75:$D75)+COUNTA($G75:$H75)+COUNTA($Q75))&gt;0),$V75="Sub"),"",IF(ISNUMBER($G75),1,IF(N($W75)&gt;0,MIN(1,SUMIFS($Y$5:$Y$1000,$U$5:$U$1000,ROW(),$V$5:$V$1000,"Sub")),$Y75)))</f>
        <v/>
      </c>
      <c r="N75" s="56">
        <f>IF(OR($M75="",$V75="Sub"),"",IF($M75&gt;=1,"Completado",IF($M75&gt;0,"En curso","Pendiente")))</f>
        <v/>
      </c>
      <c r="O75" s="56">
        <f>IF(OR(NOT((COUNTA($B75:$D75)+COUNTA($G75:$H75)+COUNTA($Q75))&gt;0),$V75="Sub"),"",IF(ISNUMBER($G75),IF(AND(ISNUMBER($AS75),$G75&gt;$AS75),"Cumplida con "&amp;($G75-$AS75)&amp;IF($G75-$AS75=1," día"," días")&amp;" de retraso","Cumplida"),IF(N($M75)&gt;=1,"Cumplida",IF(NOT(ISNUMBER($AS75)),"Sin fecha límite",IF($AS75&lt;FechaRef,"Vencida hace "&amp;(FechaRef-$AS75)&amp;IF(FechaRef-$AS75=1," día"," días"),IF($AS75=FechaRef,"Vence hoy",IF($AS75-FechaRef&lt;=DiasAlerta,"Vence en "&amp;($AS75-FechaRef)&amp;IF($AS75-FechaRef=1," día"," días"),"En plazo")))))))</f>
        <v/>
      </c>
      <c r="P75" s="62" t="n"/>
      <c r="Q75" s="58" t="n"/>
      <c r="R75" s="63">
        <f>IF(NOT((COUNTA($B75:$D75)+COUNTA($G75:$H75)+COUNTA($Q75))&gt;0),"",IF((IF($C75="","Falta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 OK","⚠ "&amp;LEFT(IF($C75="","Falta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",""),LEN(IF($C75="","Falta el nombre de la actividad"&amp;" · ","")&amp;IF(AND($V75="Sub",N($U75)=0),"Subactividad sin macroactividad arriba"&amp;" · ","")&amp;IF(AND($V75="Macro",$AR75=""),"Sin fecha de inicio"&amp;" · ","")&amp;IF(AND($V75="Macro",$AS75=""),"Sin fecha límite"&amp;" · ","")&amp;IF(AND(LEFT($C75,11)="[Jefatura] ",N($AQ75)=0),"No se encuentra en la hoja de la jefatura (elíjala de nuevo en la lista)"&amp;" · ","")&amp;IF(OR(AND($E75&lt;&gt;"",NOT(ISNUMBER($E75))),AND($F75&lt;&gt;"",NOT(ISNUMBER($F75))),AND($G75&lt;&gt;"",NOT(ISNUMBER($G75)))),"Fecha no válida"&amp;" · ","")&amp;IF(AND(ISNUMBER($AR75),ISNUMBER($AS75),$AR75&gt;$AS75),"Inicio posterior a fecha límite"&amp;" · ","")&amp;IF(AND($V75="Macro",$H75&lt;&gt;"",OR(NOT(ISNUMBER($H75)),$H75&lt;0,$H75&gt;1)),"Peso fuera de rango"&amp;" · ","")&amp;IF(AND($V75="Sub",$H75&lt;&gt;"",OR(NOT(ISNUMBER($H75)),$H75&lt;0,$H75&gt;1)),"% de la subactividad fuera de rango 0-100%"&amp;" · ","")&amp;IF(AND(N($W75)&gt;0,SUMIFS($H$5:$H$1000,$U$5:$U$1000,ROW(),$V$5:$V$1000,"Sub")&gt;1.0001),"Las subactividades suman más de 100%"&amp;" · ","")&amp;IF(AND(N($W75)&gt;0,OR(IF(ISNUMBER($I75),ROUND($I75,6)&lt;&gt;ROUND(MIN(1,SUMIFS($AD$5:$AD$1000,$U$5:$U$1000,ROW(),$V$5:$V$1000,"Sub")),6),FALSE),IF(ISNUMBER($J75),ROUND($J75,6)&lt;&gt;ROUND(MIN(1,SUMIFS($AE$5:$AE$1000,$U$5:$U$1000,ROW(),$V$5:$V$1000,"Sub")),6),FALSE),IF(ISNUMBER($K75),ROUND($K75,6)&lt;&gt;ROUND(MIN(1,SUMIFS($AF$5:$AF$1000,$U$5:$U$1000,ROW(),$V$5:$V$1000,"Sub")),6),FALSE),IF(ISNUMBER($L75),ROUND($L75,6)&lt;&gt;ROUND(MIN(1,SUMIFS($AG$5:$AG$1000,$U$5:$U$1000,ROW(),$V$5:$V$1000,"Sub")),6),FALSE))),"Con subactividades: no escriba en las semanas (se llenan solas)"&amp;" · ","")&amp;IF((COUNTIF($I75:$L75,"&gt;1")+COUNTIF($I75:$L75,"&lt;0")+SUMPRODUCT((LEN($I75:$L75)&gt;0)*NOT(ISNUMBER($I75:$L75))))&gt;0,"Avance fuera de rango 0-100%"&amp;" · ","")&amp;IF(OR(AND(ISNUMBER($J75),$J75&lt;N($I75)),AND(ISNUMBER($K75),$K75&lt;MAX($I75:$J75)),AND(ISNUMBER($L75),$L75&lt;MAX($I75:$K75))),"Avance semanal decreciente"&amp;" · ","")&amp;IF(AND(ISNUMBER($AS75),$AS75&lt;FechaRef,IF($V75="Sub",1,N($M75))&lt;1),"Vencida"&amp;" · ","")&amp;IF(AND(ObsObligatoria="Sí",ISNUMBER($AS75),$AS75&lt;FechaRef,IF($V75="Sub",1,N($M75))&lt;1,$Q75=""),"Vencida sin observación"&amp;" · ",""))-3)))</f>
        <v/>
      </c>
      <c r="S75" s="64">
        <f>IF(NOT((COUNTA($B75:$D75)+COUNTA($G75:$H75)+COUNTA($Q75))&gt;0),"",IF(AND($V75="Sub",N($U75)&gt;0),IF(ISNUMBER(INDEX($AR$5:$AR$1000,$U75-4)),DATE(YEAR(INDEX($AR$5:$AR$1000,$U75-4)),MONTH(INDEX($AR$5:$AR$1000,$U75-4)),1),IF(ISNUMBER(INDEX($AS$5:$AS$1000,$U75-4)),DATE(YEAR(INDEX($AS$5:$AS$1000,$U75-4)),MONTH(INDEX($AS$5:$AS$1000,$U75-4)),1),MesCiclo)),IF(ISNUMBER($AR75),DATE(YEAR($AR75),MONTH($AR75),1),IF(ISNUMBER($AS75),DATE(YEAR($AS75),MONTH($AS75),1),MesCiclo))))</f>
        <v/>
      </c>
      <c r="T75" s="62">
        <f>IF(OR($S75="",$S75&lt;&gt;MesCiclo,$V75&lt;&gt;"Macro"),"",COUNTIFS($S$5:$S75,MesCiclo,$V$5:$V75,"Macro"))</f>
        <v/>
      </c>
      <c r="U75" s="62">
        <f>IF($V75="","",IF($V75="Macro",ROW(),IFERROR(LOOKUP(2,1/($V$5:$V75="Macro"),ROW($V$5:$V75)),0)))</f>
        <v/>
      </c>
      <c r="V75" s="62">
        <f>IF(NOT((COUNTA($B75:$D75)+COUNTA($G75:$H75)+COUNTA($Q75))&gt;0),"",IF($B75="Subactividad","Sub","Macro"))</f>
        <v/>
      </c>
      <c r="W75" s="62">
        <f>IF($V75="Macro",COUNTIFS($U$5:$U$1000,ROW(),$V$5:$V$1000,"Sub"),"")</f>
        <v/>
      </c>
      <c r="X75" s="62">
        <f>IF($V75&lt;&gt;"Sub","",IF(AND(ISNUMBER($H75),N($H75)&gt;0),$H75,IFERROR(MAX(0,1-SUMIFS($H$5:$H$1000,$U$5:$U$1000,$U75,$V$5:$V$1000,"Sub"))/(COUNTIFS($U$5:$U$1000,$U75,$V$5:$V$1000,"Sub")-COUNTIFS($U$5:$U$1000,$U75,$V$5:$V$1000,"Sub",$H$5:$H$1000,"&gt;0")),0)))</f>
        <v/>
      </c>
      <c r="Y75" s="62">
        <f>IF($V75="","",IF($V75="Sub",N($X75)*IF(ISNUMBER($G75),1,MIN(1,MAX(0,IFERROR(LOOKUP(2,1/ISNUMBER($I75:$L75),$I75:$L75),0)))),IF(ISNUMBER($G75),1,IFERROR(LOOKUP(2,1/($I75:$L75&lt;&gt;""),$I75:$L75),0))))</f>
        <v/>
      </c>
      <c r="Z75" s="62">
        <f>IF($V75="","",IF(AND(ISNUMBER($G75),$G75&lt;=IF($S75=MesCiclo,InicioCiclo,$S75+MOD(2-WEEKDAY($S75),7))+6),1,IF(ISNUMBER($I75),$I75,0)))</f>
        <v/>
      </c>
      <c r="AA75" s="62">
        <f>IF($V75="","",IF(AND(ISNUMBER($G75),$G75&lt;=IF($S75=MesCiclo,InicioCiclo,$S75+MOD(2-WEEKDAY($S75),7))+13),1,IF(ISNUMBER($J75),$J75,$Z75)))</f>
        <v/>
      </c>
      <c r="AB75" s="62">
        <f>IF($V75="","",IF(AND(ISNUMBER($G75),$G75&lt;=IF($S75=MesCiclo,InicioCiclo,$S75+MOD(2-WEEKDAY($S75),7))+20),1,IF(ISNUMBER($K75),$K75,$AA75)))</f>
        <v/>
      </c>
      <c r="AC75" s="62">
        <f>IF($V75="","",IF(AND(ISNUMBER($G75),$G75&lt;=IF($S75=MesCiclo,InicioCiclo,$S75+MOD(2-WEEKDAY($S75),7))+27),1,IF(ISNUMBER($L75),$L75,$AB75)))</f>
        <v/>
      </c>
      <c r="AD75" s="62">
        <f>IF($V75&lt;&gt;"Sub","",N($X75)*IF(AND(ISNUMBER($G75),$G75&lt;=IF($S75=MesCiclo,InicioCiclo,$S75+MOD(2-WEEKDAY($S75),7))+6),1,MIN(1,MAX(0,IF(ISNUMBER(OFFSET($A$1,ROW()-1,8)),OFFSET($A$1,ROW()-1,8),0)))))</f>
        <v/>
      </c>
      <c r="AE75" s="62">
        <f>IF($V75&lt;&gt;"Sub","",N($X75)*IF(AND(ISNUMBER($G75),$G75&lt;=IF($S75=MesCiclo,InicioCiclo,$S75+MOD(2-WEEKDAY($S75),7))+13),1,MIN(1,MAX(0,IF(ISNUMBER(OFFSET($A$1,ROW()-1,9)),OFFSET($A$1,ROW()-1,9),IF(ISNUMBER(OFFSET($A$1,ROW()-1,8)),OFFSET($A$1,ROW()-1,8),0))))))</f>
        <v/>
      </c>
      <c r="AF75" s="62">
        <f>IF($V75&lt;&gt;"Sub","",N($X75)*IF(AND(ISNUMBER($G75),$G75&lt;=IF($S75=MesCiclo,InicioCiclo,$S75+MOD(2-WEEKDAY($S75),7))+20),1,MIN(1,MAX(0,IF(ISNUMBER(OFFSET($A$1,ROW()-1,10)),OFFSET($A$1,ROW()-1,10),IF(ISNUMBER(OFFSET($A$1,ROW()-1,9)),OFFSET($A$1,ROW()-1,9),IF(ISNUMBER(OFFSET($A$1,ROW()-1,8)),OFFSET($A$1,ROW()-1,8),0)))))))</f>
        <v/>
      </c>
      <c r="AG75" s="62">
        <f>IF($V75&lt;&gt;"Sub","",N($X75)*IF(AND(ISNUMBER($G75),$G75&lt;=IF($S75=MesCiclo,InicioCiclo,$S75+MOD(2-WEEKDAY($S75),7))+27),1,MIN(1,MAX(0,IF(ISNUMBER(OFFSET($A$1,ROW()-1,11)),OFFSET($A$1,ROW()-1,11),IF(ISNUMBER(OFFSET($A$1,ROW()-1,10)),OFFSET($A$1,ROW()-1,10),IF(ISNUMBER(OFFSET($A$1,ROW()-1,9)),OFFSET($A$1,ROW()-1,9),IF(ISNUMBER(OFFSET($A$1,ROW()-1,8)),OFFSET($A$1,ROW()-1,8),0))))))))</f>
        <v/>
      </c>
      <c r="AH75" s="62">
        <f>IF($V75="","",IF(AND(ISNUMBER($G75),$G75&lt;=IF($S75=MesCiclo,InicioCiclo,$S75+MOD(2-WEEKDAY($S75),7))+6),1,IF(N($W75)&gt;0,MIN(1,SUMIFS($AD$5:$AD$1000,$U$5:$U$1000,ROW(),$V$5:$V$1000,"Sub")),$Z75)))</f>
        <v/>
      </c>
      <c r="AI75" s="62">
        <f>IF($V75="","",IF(AND(ISNUMBER($G75),$G75&lt;=IF($S75=MesCiclo,InicioCiclo,$S75+MOD(2-WEEKDAY($S75),7))+13),1,IF(N($W75)&gt;0,MIN(1,SUMIFS($AE$5:$AE$1000,$U$5:$U$1000,ROW(),$V$5:$V$1000,"Sub")),$AA75)))</f>
        <v/>
      </c>
      <c r="AJ75" s="62">
        <f>IF($V75="","",IF(AND(ISNUMBER($G75),$G75&lt;=IF($S75=MesCiclo,InicioCiclo,$S75+MOD(2-WEEKDAY($S75),7))+20),1,IF(N($W75)&gt;0,MIN(1,SUMIFS($AF$5:$AF$1000,$U$5:$U$1000,ROW(),$V$5:$V$1000,"Sub")),$AB75)))</f>
        <v/>
      </c>
      <c r="AK75" s="62">
        <f>IF($V75="","",IF(AND(ISNUMBER($G75),$G75&lt;=IF($S75=MesCiclo,InicioCiclo,$S75+MOD(2-WEEKDAY($S75),7))+27),1,IF(N($W75)&gt;0,MIN(1,SUMIFS($AG$5:$AG$1000,$U$5:$U$1000,ROW(),$V$5:$V$1000,"Sub")),$AC75)))</f>
        <v/>
      </c>
      <c r="AL75" s="62">
        <f>IF($V75&lt;&gt;"Macro","",IF(COUNTIFS($S$5:$S$1000,$S75,$V$5:$V$1000,"Macro",$H$5:$H$1000,"&gt;0")=0,1/COUNTIFS($S$5:$S$1000,$S75,$V$5:$V$1000,"Macro"),IF(AND(ISNUMBER($H75),N($H75)&gt;0),$H75,SUMIFS($H$5:$H$1000,$S$5:$S$1000,$S75,$V$5:$V$1000,"Macro")/COUNTIFS($S$5:$S$1000,$S75,$V$5:$V$1000,"Macro",$H$5:$H$1000,"&gt;0"))/(COUNTIFS($S$5:$S$1000,$S75,$V$5:$V$1000,"Macro")*SUMIFS($H$5:$H$1000,$S$5:$S$1000,$S75,$V$5:$V$1000,"Macro")/COUNTIFS($S$5:$S$1000,$S75,$V$5:$V$1000,"Macro",$H$5:$H$1000,"&gt;0"))))</f>
        <v/>
      </c>
      <c r="AM75" s="62" t="n"/>
      <c r="AN75" s="62" t="n"/>
      <c r="AO75" s="62" t="n"/>
      <c r="AP75" s="62" t="n"/>
      <c r="AQ75" s="62">
        <f>IF(LEFT($C75,11)="[Jefatura] ",IFERROR(MATCH("Asistente Técnico de Riesgo|"&amp;MID($C75,12,500),rDname_ADM,0),0),"")</f>
        <v/>
      </c>
      <c r="AR75" s="62">
        <f>IF(N($AQ75)&gt;0,INDEX(rIni_ADM,$AQ75),IF(ISNUMBER($E75),$E75,""))</f>
        <v/>
      </c>
      <c r="AS75" s="62">
        <f>IF(N($AQ75)&gt;0,INDEX(rLim_ADM,$AQ75),IF(ISNUMBER($F75),$F75,""))</f>
        <v/>
      </c>
    </row>
    <row r="76">
      <c r="A76" s="56">
        <f>IF(NOT((COUNTA($B76:$D76)+COUNTA($G76:$H76)+COUNTA($Q76))&gt;0),"",IF($V76="Macro",COUNTIFS($V$5:$V76,"Macro",$S$5:$S76,$S76),IF(N($U76)=0,"?",COUNTIFS(INDEX($V$5:$V$1000,1):INDEX($V$5:$V$1000,$U76-4),"Macro",INDEX($S$5:$S$1000,1):INDEX($S$5:$S$1000,$U76-4),INDEX($S$5:$S$1000,$U76-4))&amp;"."&amp;COUNTIFS($U$5:$U76,$U76,$V$5:$V76,"Sub"))))</f>
        <v/>
      </c>
      <c r="B76" s="57" t="n"/>
      <c r="C76" s="58" t="n"/>
      <c r="D76" s="58" t="n"/>
      <c r="E76" s="59">
        <f>IF(N($AQ76)&gt;0,INDEX(rIni_ADM,$AQ76),"")</f>
        <v/>
      </c>
      <c r="F76" s="59">
        <f>IF(N($AQ76)&gt;0,INDEX(rLim_ADM,$AQ76),"")</f>
        <v/>
      </c>
      <c r="G76" s="59" t="n"/>
      <c r="H76" s="60" t="n"/>
      <c r="I76" s="60">
        <f>IF(N($W76)=0,"",IF(AND($S76=MesCiclo,1&gt;SemanaActual),"",MIN(1,SUMIFS(OFFSET($A$1,ROW(),29,1000-ROW(),1),OFFSET($A$1,ROW(),20,1000-ROW(),1),ROW(),OFFSET($A$1,ROW(),21,1000-ROW(),1),"Sub"))))</f>
        <v/>
      </c>
      <c r="J76" s="60">
        <f>IF(N($W76)=0,"",IF(AND($S76=MesCiclo,2&gt;SemanaActual),"",MIN(1,SUMIFS(OFFSET($A$1,ROW(),30,1000-ROW(),1),OFFSET($A$1,ROW(),20,1000-ROW(),1),ROW(),OFFSET($A$1,ROW(),21,1000-ROW(),1),"Sub"))))</f>
        <v/>
      </c>
      <c r="K76" s="60">
        <f>IF(N($W76)=0,"",IF(AND($S76=MesCiclo,3&gt;SemanaActual),"",MIN(1,SUMIFS(OFFSET($A$1,ROW(),31,1000-ROW(),1),OFFSET($A$1,ROW(),20,1000-ROW(),1),ROW(),OFFSET($A$1,ROW(),21,1000-ROW(),1),"Sub"))))</f>
        <v/>
      </c>
      <c r="L76" s="60">
        <f>IF(N($W76)=0,"",IF(AND($S76=MesCiclo,4&gt;SemanaActual),"",MIN(1,SUMIFS(OFFSET($A$1,ROW(),32,1000-ROW(),1),OFFSET($A$1,ROW(),20,1000-ROW(),1),ROW(),OFFSET($A$1,ROW(),21,1000-ROW(),1),"Sub"))))</f>
        <v/>
      </c>
      <c r="M76" s="61">
        <f>IF(OR(NOT((COUNTA($B76:$D76)+COUNTA($G76:$H76)+COUNTA($Q76))&gt;0),$V76="Sub"),"",IF(ISNUMBER($G76),1,IF(N($W76)&gt;0,MIN(1,SUMIFS($Y$5:$Y$1000,$U$5:$U$1000,ROW(),$V$5:$V$1000,"Sub")),$Y76)))</f>
        <v/>
      </c>
      <c r="N76" s="56">
        <f>IF(OR($M76="",$V76="Sub"),"",IF($M76&gt;=1,"Completado",IF($M76&gt;0,"En curso","Pendiente")))</f>
        <v/>
      </c>
      <c r="O76" s="56">
        <f>IF(OR(NOT((COUNTA($B76:$D76)+COUNTA($G76:$H76)+COUNTA($Q76))&gt;0),$V76="Sub"),"",IF(ISNUMBER($G76),IF(AND(ISNUMBER($AS76),$G76&gt;$AS76),"Cumplida con "&amp;($G76-$AS76)&amp;IF($G76-$AS76=1," día"," días")&amp;" de retraso","Cumplida"),IF(N($M76)&gt;=1,"Cumplida",IF(NOT(ISNUMBER($AS76)),"Sin fecha límite",IF($AS76&lt;FechaRef,"Vencida hace "&amp;(FechaRef-$AS76)&amp;IF(FechaRef-$AS76=1," día"," días"),IF($AS76=FechaRef,"Vence hoy",IF($AS76-FechaRef&lt;=DiasAlerta,"Vence en "&amp;($AS76-FechaRef)&amp;IF($AS76-FechaRef=1," día"," días"),"En plazo")))))))</f>
        <v/>
      </c>
      <c r="P76" s="62" t="n"/>
      <c r="Q76" s="58" t="n"/>
      <c r="R76" s="63">
        <f>IF(NOT((COUNTA($B76:$D76)+COUNTA($G76:$H76)+COUNTA($Q76))&gt;0),"",IF((IF($C76="","Falta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 OK","⚠ "&amp;LEFT(IF($C76="","Falta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",""),LEN(IF($C76="","Falta el nombre de la actividad"&amp;" · ","")&amp;IF(AND($V76="Sub",N($U76)=0),"Subactividad sin macroactividad arriba"&amp;" · ","")&amp;IF(AND($V76="Macro",$AR76=""),"Sin fecha de inicio"&amp;" · ","")&amp;IF(AND($V76="Macro",$AS76=""),"Sin fecha límite"&amp;" · ","")&amp;IF(AND(LEFT($C76,11)="[Jefatura] ",N($AQ76)=0),"No se encuentra en la hoja de la jefatura (elíjala de nuevo en la lista)"&amp;" · ","")&amp;IF(OR(AND($E76&lt;&gt;"",NOT(ISNUMBER($E76))),AND($F76&lt;&gt;"",NOT(ISNUMBER($F76))),AND($G76&lt;&gt;"",NOT(ISNUMBER($G76)))),"Fecha no válida"&amp;" · ","")&amp;IF(AND(ISNUMBER($AR76),ISNUMBER($AS76),$AR76&gt;$AS76),"Inicio posterior a fecha límite"&amp;" · ","")&amp;IF(AND($V76="Macro",$H76&lt;&gt;"",OR(NOT(ISNUMBER($H76)),$H76&lt;0,$H76&gt;1)),"Peso fuera de rango"&amp;" · ","")&amp;IF(AND($V76="Sub",$H76&lt;&gt;"",OR(NOT(ISNUMBER($H76)),$H76&lt;0,$H76&gt;1)),"% de la subactividad fuera de rango 0-100%"&amp;" · ","")&amp;IF(AND(N($W76)&gt;0,SUMIFS($H$5:$H$1000,$U$5:$U$1000,ROW(),$V$5:$V$1000,"Sub")&gt;1.0001),"Las subactividades suman más de 100%"&amp;" · ","")&amp;IF(AND(N($W76)&gt;0,OR(IF(ISNUMBER($I76),ROUND($I76,6)&lt;&gt;ROUND(MIN(1,SUMIFS($AD$5:$AD$1000,$U$5:$U$1000,ROW(),$V$5:$V$1000,"Sub")),6),FALSE),IF(ISNUMBER($J76),ROUND($J76,6)&lt;&gt;ROUND(MIN(1,SUMIFS($AE$5:$AE$1000,$U$5:$U$1000,ROW(),$V$5:$V$1000,"Sub")),6),FALSE),IF(ISNUMBER($K76),ROUND($K76,6)&lt;&gt;ROUND(MIN(1,SUMIFS($AF$5:$AF$1000,$U$5:$U$1000,ROW(),$V$5:$V$1000,"Sub")),6),FALSE),IF(ISNUMBER($L76),ROUND($L76,6)&lt;&gt;ROUND(MIN(1,SUMIFS($AG$5:$AG$1000,$U$5:$U$1000,ROW(),$V$5:$V$1000,"Sub")),6),FALSE))),"Con subactividades: no escriba en las semanas (se llenan solas)"&amp;" · ","")&amp;IF((COUNTIF($I76:$L76,"&gt;1")+COUNTIF($I76:$L76,"&lt;0")+SUMPRODUCT((LEN($I76:$L76)&gt;0)*NOT(ISNUMBER($I76:$L76))))&gt;0,"Avance fuera de rango 0-100%"&amp;" · ","")&amp;IF(OR(AND(ISNUMBER($J76),$J76&lt;N($I76)),AND(ISNUMBER($K76),$K76&lt;MAX($I76:$J76)),AND(ISNUMBER($L76),$L76&lt;MAX($I76:$K76))),"Avance semanal decreciente"&amp;" · ","")&amp;IF(AND(ISNUMBER($AS76),$AS76&lt;FechaRef,IF($V76="Sub",1,N($M76))&lt;1),"Vencida"&amp;" · ","")&amp;IF(AND(ObsObligatoria="Sí",ISNUMBER($AS76),$AS76&lt;FechaRef,IF($V76="Sub",1,N($M76))&lt;1,$Q76=""),"Vencida sin observación"&amp;" · ",""))-3)))</f>
        <v/>
      </c>
      <c r="S76" s="64">
        <f>IF(NOT((COUNTA($B76:$D76)+COUNTA($G76:$H76)+COUNTA($Q76))&gt;0),"",IF(AND($V76="Sub",N($U76)&gt;0),IF(ISNUMBER(INDEX($AR$5:$AR$1000,$U76-4)),DATE(YEAR(INDEX($AR$5:$AR$1000,$U76-4)),MONTH(INDEX($AR$5:$AR$1000,$U76-4)),1),IF(ISNUMBER(INDEX($AS$5:$AS$1000,$U76-4)),DATE(YEAR(INDEX($AS$5:$AS$1000,$U76-4)),MONTH(INDEX($AS$5:$AS$1000,$U76-4)),1),MesCiclo)),IF(ISNUMBER($AR76),DATE(YEAR($AR76),MONTH($AR76),1),IF(ISNUMBER($AS76),DATE(YEAR($AS76),MONTH($AS76),1),MesCiclo))))</f>
        <v/>
      </c>
      <c r="T76" s="62">
        <f>IF(OR($S76="",$S76&lt;&gt;MesCiclo,$V76&lt;&gt;"Macro"),"",COUNTIFS($S$5:$S76,MesCiclo,$V$5:$V76,"Macro"))</f>
        <v/>
      </c>
      <c r="U76" s="62">
        <f>IF($V76="","",IF($V76="Macro",ROW(),IFERROR(LOOKUP(2,1/($V$5:$V76="Macro"),ROW($V$5:$V76)),0)))</f>
        <v/>
      </c>
      <c r="V76" s="62">
        <f>IF(NOT((COUNTA($B76:$D76)+COUNTA($G76:$H76)+COUNTA($Q76))&gt;0),"",IF($B76="Subactividad","Sub","Macro"))</f>
        <v/>
      </c>
      <c r="W76" s="62">
        <f>IF($V76="Macro",COUNTIFS($U$5:$U$1000,ROW(),$V$5:$V$1000,"Sub"),"")</f>
        <v/>
      </c>
      <c r="X76" s="62">
        <f>IF($V76&lt;&gt;"Sub","",IF(AND(ISNUMBER($H76),N($H76)&gt;0),$H76,IFERROR(MAX(0,1-SUMIFS($H$5:$H$1000,$U$5:$U$1000,$U76,$V$5:$V$1000,"Sub"))/(COUNTIFS($U$5:$U$1000,$U76,$V$5:$V$1000,"Sub")-COUNTIFS($U$5:$U$1000,$U76,$V$5:$V$1000,"Sub",$H$5:$H$1000,"&gt;0")),0)))</f>
        <v/>
      </c>
      <c r="Y76" s="62">
        <f>IF($V76="","",IF($V76="Sub",N($X76)*IF(ISNUMBER($G76),1,MIN(1,MAX(0,IFERROR(LOOKUP(2,1/ISNUMBER($I76:$L76),$I76:$L76),0)))),IF(ISNUMBER($G76),1,IFERROR(LOOKUP(2,1/($I76:$L76&lt;&gt;""),$I76:$L76),0))))</f>
        <v/>
      </c>
      <c r="Z76" s="62">
        <f>IF($V76="","",IF(AND(ISNUMBER($G76),$G76&lt;=IF($S76=MesCiclo,InicioCiclo,$S76+MOD(2-WEEKDAY($S76),7))+6),1,IF(ISNUMBER($I76),$I76,0)))</f>
        <v/>
      </c>
      <c r="AA76" s="62">
        <f>IF($V76="","",IF(AND(ISNUMBER($G76),$G76&lt;=IF($S76=MesCiclo,InicioCiclo,$S76+MOD(2-WEEKDAY($S76),7))+13),1,IF(ISNUMBER($J76),$J76,$Z76)))</f>
        <v/>
      </c>
      <c r="AB76" s="62">
        <f>IF($V76="","",IF(AND(ISNUMBER($G76),$G76&lt;=IF($S76=MesCiclo,InicioCiclo,$S76+MOD(2-WEEKDAY($S76),7))+20),1,IF(ISNUMBER($K76),$K76,$AA76)))</f>
        <v/>
      </c>
      <c r="AC76" s="62">
        <f>IF($V76="","",IF(AND(ISNUMBER($G76),$G76&lt;=IF($S76=MesCiclo,InicioCiclo,$S76+MOD(2-WEEKDAY($S76),7))+27),1,IF(ISNUMBER($L76),$L76,$AB76)))</f>
        <v/>
      </c>
      <c r="AD76" s="62">
        <f>IF($V76&lt;&gt;"Sub","",N($X76)*IF(AND(ISNUMBER($G76),$G76&lt;=IF($S76=MesCiclo,InicioCiclo,$S76+MOD(2-WEEKDAY($S76),7))+6),1,MIN(1,MAX(0,IF(ISNUMBER(OFFSET($A$1,ROW()-1,8)),OFFSET($A$1,ROW()-1,8),0)))))</f>
        <v/>
      </c>
      <c r="AE76" s="62">
        <f>IF($V76&lt;&gt;"Sub","",N($X76)*IF(AND(ISNUMBER($G76),$G76&lt;=IF($S76=MesCiclo,InicioCiclo,$S76+MOD(2-WEEKDAY($S76),7))+13),1,MIN(1,MAX(0,IF(ISNUMBER(OFFSET($A$1,ROW()-1,9)),OFFSET($A$1,ROW()-1,9),IF(ISNUMBER(OFFSET($A$1,ROW()-1,8)),OFFSET($A$1,ROW()-1,8),0))))))</f>
        <v/>
      </c>
      <c r="AF76" s="62">
        <f>IF($V76&lt;&gt;"Sub","",N($X76)*IF(AND(ISNUMBER($G76),$G76&lt;=IF($S76=MesCiclo,InicioCiclo,$S76+MOD(2-WEEKDAY($S76),7))+20),1,MIN(1,MAX(0,IF(ISNUMBER(OFFSET($A$1,ROW()-1,10)),OFFSET($A$1,ROW()-1,10),IF(ISNUMBER(OFFSET($A$1,ROW()-1,9)),OFFSET($A$1,ROW()-1,9),IF(ISNUMBER(OFFSET($A$1,ROW()-1,8)),OFFSET($A$1,ROW()-1,8),0)))))))</f>
        <v/>
      </c>
      <c r="AG76" s="62">
        <f>IF($V76&lt;&gt;"Sub","",N($X76)*IF(AND(ISNUMBER($G76),$G76&lt;=IF($S76=MesCiclo,InicioCiclo,$S76+MOD(2-WEEKDAY($S76),7))+27),1,MIN(1,MAX(0,IF(ISNUMBER(OFFSET($A$1,ROW()-1,11)),OFFSET($A$1,ROW()-1,11),IF(ISNUMBER(OFFSET($A$1,ROW()-1,10)),OFFSET($A$1,ROW()-1,10),IF(ISNUMBER(OFFSET($A$1,ROW()-1,9)),OFFSET($A$1,ROW()-1,9),IF(ISNUMBER(OFFSET($A$1,ROW()-1,8)),OFFSET($A$1,ROW()-1,8),0))))))))</f>
        <v/>
      </c>
      <c r="AH76" s="62">
        <f>IF($V76="","",IF(AND(ISNUMBER($G76),$G76&lt;=IF($S76=MesCiclo,InicioCiclo,$S76+MOD(2-WEEKDAY($S76),7))+6),1,IF(N($W76)&gt;0,MIN(1,SUMIFS($AD$5:$AD$1000,$U$5:$U$1000,ROW(),$V$5:$V$1000,"Sub")),$Z76)))</f>
        <v/>
      </c>
      <c r="AI76" s="62">
        <f>IF($V76="","",IF(AND(ISNUMBER($G76),$G76&lt;=IF($S76=MesCiclo,InicioCiclo,$S76+MOD(2-WEEKDAY($S76),7))+13),1,IF(N($W76)&gt;0,MIN(1,SUMIFS($AE$5:$AE$1000,$U$5:$U$1000,ROW(),$V$5:$V$1000,"Sub")),$AA76)))</f>
        <v/>
      </c>
      <c r="AJ76" s="62">
        <f>IF($V76="","",IF(AND(ISNUMBER($G76),$G76&lt;=IF($S76=MesCiclo,InicioCiclo,$S76+MOD(2-WEEKDAY($S76),7))+20),1,IF(N($W76)&gt;0,MIN(1,SUMIFS($AF$5:$AF$1000,$U$5:$U$1000,ROW(),$V$5:$V$1000,"Sub")),$AB76)))</f>
        <v/>
      </c>
      <c r="AK76" s="62">
        <f>IF($V76="","",IF(AND(ISNUMBER($G76),$G76&lt;=IF($S76=MesCiclo,InicioCiclo,$S76+MOD(2-WEEKDAY($S76),7))+27),1,IF(N($W76)&gt;0,MIN(1,SUMIFS($AG$5:$AG$1000,$U$5:$U$1000,ROW(),$V$5:$V$1000,"Sub")),$AC76)))</f>
        <v/>
      </c>
      <c r="AL76" s="62">
        <f>IF($V76&lt;&gt;"Macro","",IF(COUNTIFS($S$5:$S$1000,$S76,$V$5:$V$1000,"Macro",$H$5:$H$1000,"&gt;0")=0,1/COUNTIFS($S$5:$S$1000,$S76,$V$5:$V$1000,"Macro"),IF(AND(ISNUMBER($H76),N($H76)&gt;0),$H76,SUMIFS($H$5:$H$1000,$S$5:$S$1000,$S76,$V$5:$V$1000,"Macro")/COUNTIFS($S$5:$S$1000,$S76,$V$5:$V$1000,"Macro",$H$5:$H$1000,"&gt;0"))/(COUNTIFS($S$5:$S$1000,$S76,$V$5:$V$1000,"Macro")*SUMIFS($H$5:$H$1000,$S$5:$S$1000,$S76,$V$5:$V$1000,"Macro")/COUNTIFS($S$5:$S$1000,$S76,$V$5:$V$1000,"Macro",$H$5:$H$1000,"&gt;0"))))</f>
        <v/>
      </c>
      <c r="AM76" s="62" t="n"/>
      <c r="AN76" s="62" t="n"/>
      <c r="AO76" s="62" t="n"/>
      <c r="AP76" s="62" t="n"/>
      <c r="AQ76" s="62">
        <f>IF(LEFT($C76,11)="[Jefatura] ",IFERROR(MATCH("Asistente Técnico de Riesgo|"&amp;MID($C76,12,500),rDname_ADM,0),0),"")</f>
        <v/>
      </c>
      <c r="AR76" s="62">
        <f>IF(N($AQ76)&gt;0,INDEX(rIni_ADM,$AQ76),IF(ISNUMBER($E76),$E76,""))</f>
        <v/>
      </c>
      <c r="AS76" s="62">
        <f>IF(N($AQ76)&gt;0,INDEX(rLim_ADM,$AQ76),IF(ISNUMBER($F76),$F76,""))</f>
        <v/>
      </c>
    </row>
    <row r="77">
      <c r="A77" s="56">
        <f>IF(NOT((COUNTA($B77:$D77)+COUNTA($G77:$H77)+COUNTA($Q77))&gt;0),"",IF($V77="Macro",COUNTIFS($V$5:$V77,"Macro",$S$5:$S77,$S77),IF(N($U77)=0,"?",COUNTIFS(INDEX($V$5:$V$1000,1):INDEX($V$5:$V$1000,$U77-4),"Macro",INDEX($S$5:$S$1000,1):INDEX($S$5:$S$1000,$U77-4),INDEX($S$5:$S$1000,$U77-4))&amp;"."&amp;COUNTIFS($U$5:$U77,$U77,$V$5:$V77,"Sub"))))</f>
        <v/>
      </c>
      <c r="B77" s="57" t="n"/>
      <c r="C77" s="58" t="n"/>
      <c r="D77" s="58" t="n"/>
      <c r="E77" s="59">
        <f>IF(N($AQ77)&gt;0,INDEX(rIni_ADM,$AQ77),"")</f>
        <v/>
      </c>
      <c r="F77" s="59">
        <f>IF(N($AQ77)&gt;0,INDEX(rLim_ADM,$AQ77),"")</f>
        <v/>
      </c>
      <c r="G77" s="59" t="n"/>
      <c r="H77" s="60" t="n"/>
      <c r="I77" s="60">
        <f>IF(N($W77)=0,"",IF(AND($S77=MesCiclo,1&gt;SemanaActual),"",MIN(1,SUMIFS(OFFSET($A$1,ROW(),29,1000-ROW(),1),OFFSET($A$1,ROW(),20,1000-ROW(),1),ROW(),OFFSET($A$1,ROW(),21,1000-ROW(),1),"Sub"))))</f>
        <v/>
      </c>
      <c r="J77" s="60">
        <f>IF(N($W77)=0,"",IF(AND($S77=MesCiclo,2&gt;SemanaActual),"",MIN(1,SUMIFS(OFFSET($A$1,ROW(),30,1000-ROW(),1),OFFSET($A$1,ROW(),20,1000-ROW(),1),ROW(),OFFSET($A$1,ROW(),21,1000-ROW(),1),"Sub"))))</f>
        <v/>
      </c>
      <c r="K77" s="60">
        <f>IF(N($W77)=0,"",IF(AND($S77=MesCiclo,3&gt;SemanaActual),"",MIN(1,SUMIFS(OFFSET($A$1,ROW(),31,1000-ROW(),1),OFFSET($A$1,ROW(),20,1000-ROW(),1),ROW(),OFFSET($A$1,ROW(),21,1000-ROW(),1),"Sub"))))</f>
        <v/>
      </c>
      <c r="L77" s="60">
        <f>IF(N($W77)=0,"",IF(AND($S77=MesCiclo,4&gt;SemanaActual),"",MIN(1,SUMIFS(OFFSET($A$1,ROW(),32,1000-ROW(),1),OFFSET($A$1,ROW(),20,1000-ROW(),1),ROW(),OFFSET($A$1,ROW(),21,1000-ROW(),1),"Sub"))))</f>
        <v/>
      </c>
      <c r="M77" s="61">
        <f>IF(OR(NOT((COUNTA($B77:$D77)+COUNTA($G77:$H77)+COUNTA($Q77))&gt;0),$V77="Sub"),"",IF(ISNUMBER($G77),1,IF(N($W77)&gt;0,MIN(1,SUMIFS($Y$5:$Y$1000,$U$5:$U$1000,ROW(),$V$5:$V$1000,"Sub")),$Y77)))</f>
        <v/>
      </c>
      <c r="N77" s="56">
        <f>IF(OR($M77="",$V77="Sub"),"",IF($M77&gt;=1,"Completado",IF($M77&gt;0,"En curso","Pendiente")))</f>
        <v/>
      </c>
      <c r="O77" s="56">
        <f>IF(OR(NOT((COUNTA($B77:$D77)+COUNTA($G77:$H77)+COUNTA($Q77))&gt;0),$V77="Sub"),"",IF(ISNUMBER($G77),IF(AND(ISNUMBER($AS77),$G77&gt;$AS77),"Cumplida con "&amp;($G77-$AS77)&amp;IF($G77-$AS77=1," día"," días")&amp;" de retraso","Cumplida"),IF(N($M77)&gt;=1,"Cumplida",IF(NOT(ISNUMBER($AS77)),"Sin fecha límite",IF($AS77&lt;FechaRef,"Vencida hace "&amp;(FechaRef-$AS77)&amp;IF(FechaRef-$AS77=1," día"," días"),IF($AS77=FechaRef,"Vence hoy",IF($AS77-FechaRef&lt;=DiasAlerta,"Vence en "&amp;($AS77-FechaRef)&amp;IF($AS77-FechaRef=1," día"," días"),"En plazo")))))))</f>
        <v/>
      </c>
      <c r="P77" s="62" t="n"/>
      <c r="Q77" s="58" t="n"/>
      <c r="R77" s="63">
        <f>IF(NOT((COUNTA($B77:$D77)+COUNTA($G77:$H77)+COUNTA($Q77))&gt;0),"",IF((IF($C77="","Falta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 OK","⚠ "&amp;LEFT(IF($C77="","Falta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",""),LEN(IF($C77="","Falta el nombre de la actividad"&amp;" · ","")&amp;IF(AND($V77="Sub",N($U77)=0),"Subactividad sin macroactividad arriba"&amp;" · ","")&amp;IF(AND($V77="Macro",$AR77=""),"Sin fecha de inicio"&amp;" · ","")&amp;IF(AND($V77="Macro",$AS77=""),"Sin fecha límite"&amp;" · ","")&amp;IF(AND(LEFT($C77,11)="[Jefatura] ",N($AQ77)=0),"No se encuentra en la hoja de la jefatura (elíjala de nuevo en la lista)"&amp;" · ","")&amp;IF(OR(AND($E77&lt;&gt;"",NOT(ISNUMBER($E77))),AND($F77&lt;&gt;"",NOT(ISNUMBER($F77))),AND($G77&lt;&gt;"",NOT(ISNUMBER($G77)))),"Fecha no válida"&amp;" · ","")&amp;IF(AND(ISNUMBER($AR77),ISNUMBER($AS77),$AR77&gt;$AS77),"Inicio posterior a fecha límite"&amp;" · ","")&amp;IF(AND($V77="Macro",$H77&lt;&gt;"",OR(NOT(ISNUMBER($H77)),$H77&lt;0,$H77&gt;1)),"Peso fuera de rango"&amp;" · ","")&amp;IF(AND($V77="Sub",$H77&lt;&gt;"",OR(NOT(ISNUMBER($H77)),$H77&lt;0,$H77&gt;1)),"% de la subactividad fuera de rango 0-100%"&amp;" · ","")&amp;IF(AND(N($W77)&gt;0,SUMIFS($H$5:$H$1000,$U$5:$U$1000,ROW(),$V$5:$V$1000,"Sub")&gt;1.0001),"Las subactividades suman más de 100%"&amp;" · ","")&amp;IF(AND(N($W77)&gt;0,OR(IF(ISNUMBER($I77),ROUND($I77,6)&lt;&gt;ROUND(MIN(1,SUMIFS($AD$5:$AD$1000,$U$5:$U$1000,ROW(),$V$5:$V$1000,"Sub")),6),FALSE),IF(ISNUMBER($J77),ROUND($J77,6)&lt;&gt;ROUND(MIN(1,SUMIFS($AE$5:$AE$1000,$U$5:$U$1000,ROW(),$V$5:$V$1000,"Sub")),6),FALSE),IF(ISNUMBER($K77),ROUND($K77,6)&lt;&gt;ROUND(MIN(1,SUMIFS($AF$5:$AF$1000,$U$5:$U$1000,ROW(),$V$5:$V$1000,"Sub")),6),FALSE),IF(ISNUMBER($L77),ROUND($L77,6)&lt;&gt;ROUND(MIN(1,SUMIFS($AG$5:$AG$1000,$U$5:$U$1000,ROW(),$V$5:$V$1000,"Sub")),6),FALSE))),"Con subactividades: no escriba en las semanas (se llenan solas)"&amp;" · ","")&amp;IF((COUNTIF($I77:$L77,"&gt;1")+COUNTIF($I77:$L77,"&lt;0")+SUMPRODUCT((LEN($I77:$L77)&gt;0)*NOT(ISNUMBER($I77:$L77))))&gt;0,"Avance fuera de rango 0-100%"&amp;" · ","")&amp;IF(OR(AND(ISNUMBER($J77),$J77&lt;N($I77)),AND(ISNUMBER($K77),$K77&lt;MAX($I77:$J77)),AND(ISNUMBER($L77),$L77&lt;MAX($I77:$K77))),"Avance semanal decreciente"&amp;" · ","")&amp;IF(AND(ISNUMBER($AS77),$AS77&lt;FechaRef,IF($V77="Sub",1,N($M77))&lt;1),"Vencida"&amp;" · ","")&amp;IF(AND(ObsObligatoria="Sí",ISNUMBER($AS77),$AS77&lt;FechaRef,IF($V77="Sub",1,N($M77))&lt;1,$Q77=""),"Vencida sin observación"&amp;" · ",""))-3)))</f>
        <v/>
      </c>
      <c r="S77" s="64">
        <f>IF(NOT((COUNTA($B77:$D77)+COUNTA($G77:$H77)+COUNTA($Q77))&gt;0),"",IF(AND($V77="Sub",N($U77)&gt;0),IF(ISNUMBER(INDEX($AR$5:$AR$1000,$U77-4)),DATE(YEAR(INDEX($AR$5:$AR$1000,$U77-4)),MONTH(INDEX($AR$5:$AR$1000,$U77-4)),1),IF(ISNUMBER(INDEX($AS$5:$AS$1000,$U77-4)),DATE(YEAR(INDEX($AS$5:$AS$1000,$U77-4)),MONTH(INDEX($AS$5:$AS$1000,$U77-4)),1),MesCiclo)),IF(ISNUMBER($AR77),DATE(YEAR($AR77),MONTH($AR77),1),IF(ISNUMBER($AS77),DATE(YEAR($AS77),MONTH($AS77),1),MesCiclo))))</f>
        <v/>
      </c>
      <c r="T77" s="62">
        <f>IF(OR($S77="",$S77&lt;&gt;MesCiclo,$V77&lt;&gt;"Macro"),"",COUNTIFS($S$5:$S77,MesCiclo,$V$5:$V77,"Macro"))</f>
        <v/>
      </c>
      <c r="U77" s="62">
        <f>IF($V77="","",IF($V77="Macro",ROW(),IFERROR(LOOKUP(2,1/($V$5:$V77="Macro"),ROW($V$5:$V77)),0)))</f>
        <v/>
      </c>
      <c r="V77" s="62">
        <f>IF(NOT((COUNTA($B77:$D77)+COUNTA($G77:$H77)+COUNTA($Q77))&gt;0),"",IF($B77="Subactividad","Sub","Macro"))</f>
        <v/>
      </c>
      <c r="W77" s="62">
        <f>IF($V77="Macro",COUNTIFS($U$5:$U$1000,ROW(),$V$5:$V$1000,"Sub"),"")</f>
        <v/>
      </c>
      <c r="X77" s="62">
        <f>IF($V77&lt;&gt;"Sub","",IF(AND(ISNUMBER($H77),N($H77)&gt;0),$H77,IFERROR(MAX(0,1-SUMIFS($H$5:$H$1000,$U$5:$U$1000,$U77,$V$5:$V$1000,"Sub"))/(COUNTIFS($U$5:$U$1000,$U77,$V$5:$V$1000,"Sub")-COUNTIFS($U$5:$U$1000,$U77,$V$5:$V$1000,"Sub",$H$5:$H$1000,"&gt;0")),0)))</f>
        <v/>
      </c>
      <c r="Y77" s="62">
        <f>IF($V77="","",IF($V77="Sub",N($X77)*IF(ISNUMBER($G77),1,MIN(1,MAX(0,IFERROR(LOOKUP(2,1/ISNUMBER($I77:$L77),$I77:$L77),0)))),IF(ISNUMBER($G77),1,IFERROR(LOOKUP(2,1/($I77:$L77&lt;&gt;""),$I77:$L77),0))))</f>
        <v/>
      </c>
      <c r="Z77" s="62">
        <f>IF($V77="","",IF(AND(ISNUMBER($G77),$G77&lt;=IF($S77=MesCiclo,InicioCiclo,$S77+MOD(2-WEEKDAY($S77),7))+6),1,IF(ISNUMBER($I77),$I77,0)))</f>
        <v/>
      </c>
      <c r="AA77" s="62">
        <f>IF($V77="","",IF(AND(ISNUMBER($G77),$G77&lt;=IF($S77=MesCiclo,InicioCiclo,$S77+MOD(2-WEEKDAY($S77),7))+13),1,IF(ISNUMBER($J77),$J77,$Z77)))</f>
        <v/>
      </c>
      <c r="AB77" s="62">
        <f>IF($V77="","",IF(AND(ISNUMBER($G77),$G77&lt;=IF($S77=MesCiclo,InicioCiclo,$S77+MOD(2-WEEKDAY($S77),7))+20),1,IF(ISNUMBER($K77),$K77,$AA77)))</f>
        <v/>
      </c>
      <c r="AC77" s="62">
        <f>IF($V77="","",IF(AND(ISNUMBER($G77),$G77&lt;=IF($S77=MesCiclo,InicioCiclo,$S77+MOD(2-WEEKDAY($S77),7))+27),1,IF(ISNUMBER($L77),$L77,$AB77)))</f>
        <v/>
      </c>
      <c r="AD77" s="62">
        <f>IF($V77&lt;&gt;"Sub","",N($X77)*IF(AND(ISNUMBER($G77),$G77&lt;=IF($S77=MesCiclo,InicioCiclo,$S77+MOD(2-WEEKDAY($S77),7))+6),1,MIN(1,MAX(0,IF(ISNUMBER(OFFSET($A$1,ROW()-1,8)),OFFSET($A$1,ROW()-1,8),0)))))</f>
        <v/>
      </c>
      <c r="AE77" s="62">
        <f>IF($V77&lt;&gt;"Sub","",N($X77)*IF(AND(ISNUMBER($G77),$G77&lt;=IF($S77=MesCiclo,InicioCiclo,$S77+MOD(2-WEEKDAY($S77),7))+13),1,MIN(1,MAX(0,IF(ISNUMBER(OFFSET($A$1,ROW()-1,9)),OFFSET($A$1,ROW()-1,9),IF(ISNUMBER(OFFSET($A$1,ROW()-1,8)),OFFSET($A$1,ROW()-1,8),0))))))</f>
        <v/>
      </c>
      <c r="AF77" s="62">
        <f>IF($V77&lt;&gt;"Sub","",N($X77)*IF(AND(ISNUMBER($G77),$G77&lt;=IF($S77=MesCiclo,InicioCiclo,$S77+MOD(2-WEEKDAY($S77),7))+20),1,MIN(1,MAX(0,IF(ISNUMBER(OFFSET($A$1,ROW()-1,10)),OFFSET($A$1,ROW()-1,10),IF(ISNUMBER(OFFSET($A$1,ROW()-1,9)),OFFSET($A$1,ROW()-1,9),IF(ISNUMBER(OFFSET($A$1,ROW()-1,8)),OFFSET($A$1,ROW()-1,8),0)))))))</f>
        <v/>
      </c>
      <c r="AG77" s="62">
        <f>IF($V77&lt;&gt;"Sub","",N($X77)*IF(AND(ISNUMBER($G77),$G77&lt;=IF($S77=MesCiclo,InicioCiclo,$S77+MOD(2-WEEKDAY($S77),7))+27),1,MIN(1,MAX(0,IF(ISNUMBER(OFFSET($A$1,ROW()-1,11)),OFFSET($A$1,ROW()-1,11),IF(ISNUMBER(OFFSET($A$1,ROW()-1,10)),OFFSET($A$1,ROW()-1,10),IF(ISNUMBER(OFFSET($A$1,ROW()-1,9)),OFFSET($A$1,ROW()-1,9),IF(ISNUMBER(OFFSET($A$1,ROW()-1,8)),OFFSET($A$1,ROW()-1,8),0))))))))</f>
        <v/>
      </c>
      <c r="AH77" s="62">
        <f>IF($V77="","",IF(AND(ISNUMBER($G77),$G77&lt;=IF($S77=MesCiclo,InicioCiclo,$S77+MOD(2-WEEKDAY($S77),7))+6),1,IF(N($W77)&gt;0,MIN(1,SUMIFS($AD$5:$AD$1000,$U$5:$U$1000,ROW(),$V$5:$V$1000,"Sub")),$Z77)))</f>
        <v/>
      </c>
      <c r="AI77" s="62">
        <f>IF($V77="","",IF(AND(ISNUMBER($G77),$G77&lt;=IF($S77=MesCiclo,InicioCiclo,$S77+MOD(2-WEEKDAY($S77),7))+13),1,IF(N($W77)&gt;0,MIN(1,SUMIFS($AE$5:$AE$1000,$U$5:$U$1000,ROW(),$V$5:$V$1000,"Sub")),$AA77)))</f>
        <v/>
      </c>
      <c r="AJ77" s="62">
        <f>IF($V77="","",IF(AND(ISNUMBER($G77),$G77&lt;=IF($S77=MesCiclo,InicioCiclo,$S77+MOD(2-WEEKDAY($S77),7))+20),1,IF(N($W77)&gt;0,MIN(1,SUMIFS($AF$5:$AF$1000,$U$5:$U$1000,ROW(),$V$5:$V$1000,"Sub")),$AB77)))</f>
        <v/>
      </c>
      <c r="AK77" s="62">
        <f>IF($V77="","",IF(AND(ISNUMBER($G77),$G77&lt;=IF($S77=MesCiclo,InicioCiclo,$S77+MOD(2-WEEKDAY($S77),7))+27),1,IF(N($W77)&gt;0,MIN(1,SUMIFS($AG$5:$AG$1000,$U$5:$U$1000,ROW(),$V$5:$V$1000,"Sub")),$AC77)))</f>
        <v/>
      </c>
      <c r="AL77" s="62">
        <f>IF($V77&lt;&gt;"Macro","",IF(COUNTIFS($S$5:$S$1000,$S77,$V$5:$V$1000,"Macro",$H$5:$H$1000,"&gt;0")=0,1/COUNTIFS($S$5:$S$1000,$S77,$V$5:$V$1000,"Macro"),IF(AND(ISNUMBER($H77),N($H77)&gt;0),$H77,SUMIFS($H$5:$H$1000,$S$5:$S$1000,$S77,$V$5:$V$1000,"Macro")/COUNTIFS($S$5:$S$1000,$S77,$V$5:$V$1000,"Macro",$H$5:$H$1000,"&gt;0"))/(COUNTIFS($S$5:$S$1000,$S77,$V$5:$V$1000,"Macro")*SUMIFS($H$5:$H$1000,$S$5:$S$1000,$S77,$V$5:$V$1000,"Macro")/COUNTIFS($S$5:$S$1000,$S77,$V$5:$V$1000,"Macro",$H$5:$H$1000,"&gt;0"))))</f>
        <v/>
      </c>
      <c r="AM77" s="62" t="n"/>
      <c r="AN77" s="62" t="n"/>
      <c r="AO77" s="62" t="n"/>
      <c r="AP77" s="62" t="n"/>
      <c r="AQ77" s="62">
        <f>IF(LEFT($C77,11)="[Jefatura] ",IFERROR(MATCH("Asistente Técnico de Riesgo|"&amp;MID($C77,12,500),rDname_ADM,0),0),"")</f>
        <v/>
      </c>
      <c r="AR77" s="62">
        <f>IF(N($AQ77)&gt;0,INDEX(rIni_ADM,$AQ77),IF(ISNUMBER($E77),$E77,""))</f>
        <v/>
      </c>
      <c r="AS77" s="62">
        <f>IF(N($AQ77)&gt;0,INDEX(rLim_ADM,$AQ77),IF(ISNUMBER($F77),$F77,""))</f>
        <v/>
      </c>
    </row>
    <row r="78">
      <c r="A78" s="56">
        <f>IF(NOT((COUNTA($B78:$D78)+COUNTA($G78:$H78)+COUNTA($Q78))&gt;0),"",IF($V78="Macro",COUNTIFS($V$5:$V78,"Macro",$S$5:$S78,$S78),IF(N($U78)=0,"?",COUNTIFS(INDEX($V$5:$V$1000,1):INDEX($V$5:$V$1000,$U78-4),"Macro",INDEX($S$5:$S$1000,1):INDEX($S$5:$S$1000,$U78-4),INDEX($S$5:$S$1000,$U78-4))&amp;"."&amp;COUNTIFS($U$5:$U78,$U78,$V$5:$V78,"Sub"))))</f>
        <v/>
      </c>
      <c r="B78" s="57" t="n"/>
      <c r="C78" s="58" t="n"/>
      <c r="D78" s="58" t="n"/>
      <c r="E78" s="59">
        <f>IF(N($AQ78)&gt;0,INDEX(rIni_ADM,$AQ78),"")</f>
        <v/>
      </c>
      <c r="F78" s="59">
        <f>IF(N($AQ78)&gt;0,INDEX(rLim_ADM,$AQ78),"")</f>
        <v/>
      </c>
      <c r="G78" s="59" t="n"/>
      <c r="H78" s="60" t="n"/>
      <c r="I78" s="60">
        <f>IF(N($W78)=0,"",IF(AND($S78=MesCiclo,1&gt;SemanaActual),"",MIN(1,SUMIFS(OFFSET($A$1,ROW(),29,1000-ROW(),1),OFFSET($A$1,ROW(),20,1000-ROW(),1),ROW(),OFFSET($A$1,ROW(),21,1000-ROW(),1),"Sub"))))</f>
        <v/>
      </c>
      <c r="J78" s="60">
        <f>IF(N($W78)=0,"",IF(AND($S78=MesCiclo,2&gt;SemanaActual),"",MIN(1,SUMIFS(OFFSET($A$1,ROW(),30,1000-ROW(),1),OFFSET($A$1,ROW(),20,1000-ROW(),1),ROW(),OFFSET($A$1,ROW(),21,1000-ROW(),1),"Sub"))))</f>
        <v/>
      </c>
      <c r="K78" s="60">
        <f>IF(N($W78)=0,"",IF(AND($S78=MesCiclo,3&gt;SemanaActual),"",MIN(1,SUMIFS(OFFSET($A$1,ROW(),31,1000-ROW(),1),OFFSET($A$1,ROW(),20,1000-ROW(),1),ROW(),OFFSET($A$1,ROW(),21,1000-ROW(),1),"Sub"))))</f>
        <v/>
      </c>
      <c r="L78" s="60">
        <f>IF(N($W78)=0,"",IF(AND($S78=MesCiclo,4&gt;SemanaActual),"",MIN(1,SUMIFS(OFFSET($A$1,ROW(),32,1000-ROW(),1),OFFSET($A$1,ROW(),20,1000-ROW(),1),ROW(),OFFSET($A$1,ROW(),21,1000-ROW(),1),"Sub"))))</f>
        <v/>
      </c>
      <c r="M78" s="61">
        <f>IF(OR(NOT((COUNTA($B78:$D78)+COUNTA($G78:$H78)+COUNTA($Q78))&gt;0),$V78="Sub"),"",IF(ISNUMBER($G78),1,IF(N($W78)&gt;0,MIN(1,SUMIFS($Y$5:$Y$1000,$U$5:$U$1000,ROW(),$V$5:$V$1000,"Sub")),$Y78)))</f>
        <v/>
      </c>
      <c r="N78" s="56">
        <f>IF(OR($M78="",$V78="Sub"),"",IF($M78&gt;=1,"Completado",IF($M78&gt;0,"En curso","Pendiente")))</f>
        <v/>
      </c>
      <c r="O78" s="56">
        <f>IF(OR(NOT((COUNTA($B78:$D78)+COUNTA($G78:$H78)+COUNTA($Q78))&gt;0),$V78="Sub"),"",IF(ISNUMBER($G78),IF(AND(ISNUMBER($AS78),$G78&gt;$AS78),"Cumplida con "&amp;($G78-$AS78)&amp;IF($G78-$AS78=1," día"," días")&amp;" de retraso","Cumplida"),IF(N($M78)&gt;=1,"Cumplida",IF(NOT(ISNUMBER($AS78)),"Sin fecha límite",IF($AS78&lt;FechaRef,"Vencida hace "&amp;(FechaRef-$AS78)&amp;IF(FechaRef-$AS78=1," día"," días"),IF($AS78=FechaRef,"Vence hoy",IF($AS78-FechaRef&lt;=DiasAlerta,"Vence en "&amp;($AS78-FechaRef)&amp;IF($AS78-FechaRef=1," día"," días"),"En plazo")))))))</f>
        <v/>
      </c>
      <c r="P78" s="62" t="n"/>
      <c r="Q78" s="58" t="n"/>
      <c r="R78" s="63">
        <f>IF(NOT((COUNTA($B78:$D78)+COUNTA($G78:$H78)+COUNTA($Q78))&gt;0),"",IF((IF($C78="","Falta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 OK","⚠ "&amp;LEFT(IF($C78="","Falta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",""),LEN(IF($C78="","Falta el nombre de la actividad"&amp;" · ","")&amp;IF(AND($V78="Sub",N($U78)=0),"Subactividad sin macroactividad arriba"&amp;" · ","")&amp;IF(AND($V78="Macro",$AR78=""),"Sin fecha de inicio"&amp;" · ","")&amp;IF(AND($V78="Macro",$AS78=""),"Sin fecha límite"&amp;" · ","")&amp;IF(AND(LEFT($C78,11)="[Jefatura] ",N($AQ78)=0),"No se encuentra en la hoja de la jefatura (elíjala de nuevo en la lista)"&amp;" · ","")&amp;IF(OR(AND($E78&lt;&gt;"",NOT(ISNUMBER($E78))),AND($F78&lt;&gt;"",NOT(ISNUMBER($F78))),AND($G78&lt;&gt;"",NOT(ISNUMBER($G78)))),"Fecha no válida"&amp;" · ","")&amp;IF(AND(ISNUMBER($AR78),ISNUMBER($AS78),$AR78&gt;$AS78),"Inicio posterior a fecha límite"&amp;" · ","")&amp;IF(AND($V78="Macro",$H78&lt;&gt;"",OR(NOT(ISNUMBER($H78)),$H78&lt;0,$H78&gt;1)),"Peso fuera de rango"&amp;" · ","")&amp;IF(AND($V78="Sub",$H78&lt;&gt;"",OR(NOT(ISNUMBER($H78)),$H78&lt;0,$H78&gt;1)),"% de la subactividad fuera de rango 0-100%"&amp;" · ","")&amp;IF(AND(N($W78)&gt;0,SUMIFS($H$5:$H$1000,$U$5:$U$1000,ROW(),$V$5:$V$1000,"Sub")&gt;1.0001),"Las subactividades suman más de 100%"&amp;" · ","")&amp;IF(AND(N($W78)&gt;0,OR(IF(ISNUMBER($I78),ROUND($I78,6)&lt;&gt;ROUND(MIN(1,SUMIFS($AD$5:$AD$1000,$U$5:$U$1000,ROW(),$V$5:$V$1000,"Sub")),6),FALSE),IF(ISNUMBER($J78),ROUND($J78,6)&lt;&gt;ROUND(MIN(1,SUMIFS($AE$5:$AE$1000,$U$5:$U$1000,ROW(),$V$5:$V$1000,"Sub")),6),FALSE),IF(ISNUMBER($K78),ROUND($K78,6)&lt;&gt;ROUND(MIN(1,SUMIFS($AF$5:$AF$1000,$U$5:$U$1000,ROW(),$V$5:$V$1000,"Sub")),6),FALSE),IF(ISNUMBER($L78),ROUND($L78,6)&lt;&gt;ROUND(MIN(1,SUMIFS($AG$5:$AG$1000,$U$5:$U$1000,ROW(),$V$5:$V$1000,"Sub")),6),FALSE))),"Con subactividades: no escriba en las semanas (se llenan solas)"&amp;" · ","")&amp;IF((COUNTIF($I78:$L78,"&gt;1")+COUNTIF($I78:$L78,"&lt;0")+SUMPRODUCT((LEN($I78:$L78)&gt;0)*NOT(ISNUMBER($I78:$L78))))&gt;0,"Avance fuera de rango 0-100%"&amp;" · ","")&amp;IF(OR(AND(ISNUMBER($J78),$J78&lt;N($I78)),AND(ISNUMBER($K78),$K78&lt;MAX($I78:$J78)),AND(ISNUMBER($L78),$L78&lt;MAX($I78:$K78))),"Avance semanal decreciente"&amp;" · ","")&amp;IF(AND(ISNUMBER($AS78),$AS78&lt;FechaRef,IF($V78="Sub",1,N($M78))&lt;1),"Vencida"&amp;" · ","")&amp;IF(AND(ObsObligatoria="Sí",ISNUMBER($AS78),$AS78&lt;FechaRef,IF($V78="Sub",1,N($M78))&lt;1,$Q78=""),"Vencida sin observación"&amp;" · ",""))-3)))</f>
        <v/>
      </c>
      <c r="S78" s="64">
        <f>IF(NOT((COUNTA($B78:$D78)+COUNTA($G78:$H78)+COUNTA($Q78))&gt;0),"",IF(AND($V78="Sub",N($U78)&gt;0),IF(ISNUMBER(INDEX($AR$5:$AR$1000,$U78-4)),DATE(YEAR(INDEX($AR$5:$AR$1000,$U78-4)),MONTH(INDEX($AR$5:$AR$1000,$U78-4)),1),IF(ISNUMBER(INDEX($AS$5:$AS$1000,$U78-4)),DATE(YEAR(INDEX($AS$5:$AS$1000,$U78-4)),MONTH(INDEX($AS$5:$AS$1000,$U78-4)),1),MesCiclo)),IF(ISNUMBER($AR78),DATE(YEAR($AR78),MONTH($AR78),1),IF(ISNUMBER($AS78),DATE(YEAR($AS78),MONTH($AS78),1),MesCiclo))))</f>
        <v/>
      </c>
      <c r="T78" s="62">
        <f>IF(OR($S78="",$S78&lt;&gt;MesCiclo,$V78&lt;&gt;"Macro"),"",COUNTIFS($S$5:$S78,MesCiclo,$V$5:$V78,"Macro"))</f>
        <v/>
      </c>
      <c r="U78" s="62">
        <f>IF($V78="","",IF($V78="Macro",ROW(),IFERROR(LOOKUP(2,1/($V$5:$V78="Macro"),ROW($V$5:$V78)),0)))</f>
        <v/>
      </c>
      <c r="V78" s="62">
        <f>IF(NOT((COUNTA($B78:$D78)+COUNTA($G78:$H78)+COUNTA($Q78))&gt;0),"",IF($B78="Subactividad","Sub","Macro"))</f>
        <v/>
      </c>
      <c r="W78" s="62">
        <f>IF($V78="Macro",COUNTIFS($U$5:$U$1000,ROW(),$V$5:$V$1000,"Sub"),"")</f>
        <v/>
      </c>
      <c r="X78" s="62">
        <f>IF($V78&lt;&gt;"Sub","",IF(AND(ISNUMBER($H78),N($H78)&gt;0),$H78,IFERROR(MAX(0,1-SUMIFS($H$5:$H$1000,$U$5:$U$1000,$U78,$V$5:$V$1000,"Sub"))/(COUNTIFS($U$5:$U$1000,$U78,$V$5:$V$1000,"Sub")-COUNTIFS($U$5:$U$1000,$U78,$V$5:$V$1000,"Sub",$H$5:$H$1000,"&gt;0")),0)))</f>
        <v/>
      </c>
      <c r="Y78" s="62">
        <f>IF($V78="","",IF($V78="Sub",N($X78)*IF(ISNUMBER($G78),1,MIN(1,MAX(0,IFERROR(LOOKUP(2,1/ISNUMBER($I78:$L78),$I78:$L78),0)))),IF(ISNUMBER($G78),1,IFERROR(LOOKUP(2,1/($I78:$L78&lt;&gt;""),$I78:$L78),0))))</f>
        <v/>
      </c>
      <c r="Z78" s="62">
        <f>IF($V78="","",IF(AND(ISNUMBER($G78),$G78&lt;=IF($S78=MesCiclo,InicioCiclo,$S78+MOD(2-WEEKDAY($S78),7))+6),1,IF(ISNUMBER($I78),$I78,0)))</f>
        <v/>
      </c>
      <c r="AA78" s="62">
        <f>IF($V78="","",IF(AND(ISNUMBER($G78),$G78&lt;=IF($S78=MesCiclo,InicioCiclo,$S78+MOD(2-WEEKDAY($S78),7))+13),1,IF(ISNUMBER($J78),$J78,$Z78)))</f>
        <v/>
      </c>
      <c r="AB78" s="62">
        <f>IF($V78="","",IF(AND(ISNUMBER($G78),$G78&lt;=IF($S78=MesCiclo,InicioCiclo,$S78+MOD(2-WEEKDAY($S78),7))+20),1,IF(ISNUMBER($K78),$K78,$AA78)))</f>
        <v/>
      </c>
      <c r="AC78" s="62">
        <f>IF($V78="","",IF(AND(ISNUMBER($G78),$G78&lt;=IF($S78=MesCiclo,InicioCiclo,$S78+MOD(2-WEEKDAY($S78),7))+27),1,IF(ISNUMBER($L78),$L78,$AB78)))</f>
        <v/>
      </c>
      <c r="AD78" s="62">
        <f>IF($V78&lt;&gt;"Sub","",N($X78)*IF(AND(ISNUMBER($G78),$G78&lt;=IF($S78=MesCiclo,InicioCiclo,$S78+MOD(2-WEEKDAY($S78),7))+6),1,MIN(1,MAX(0,IF(ISNUMBER(OFFSET($A$1,ROW()-1,8)),OFFSET($A$1,ROW()-1,8),0)))))</f>
        <v/>
      </c>
      <c r="AE78" s="62">
        <f>IF($V78&lt;&gt;"Sub","",N($X78)*IF(AND(ISNUMBER($G78),$G78&lt;=IF($S78=MesCiclo,InicioCiclo,$S78+MOD(2-WEEKDAY($S78),7))+13),1,MIN(1,MAX(0,IF(ISNUMBER(OFFSET($A$1,ROW()-1,9)),OFFSET($A$1,ROW()-1,9),IF(ISNUMBER(OFFSET($A$1,ROW()-1,8)),OFFSET($A$1,ROW()-1,8),0))))))</f>
        <v/>
      </c>
      <c r="AF78" s="62">
        <f>IF($V78&lt;&gt;"Sub","",N($X78)*IF(AND(ISNUMBER($G78),$G78&lt;=IF($S78=MesCiclo,InicioCiclo,$S78+MOD(2-WEEKDAY($S78),7))+20),1,MIN(1,MAX(0,IF(ISNUMBER(OFFSET($A$1,ROW()-1,10)),OFFSET($A$1,ROW()-1,10),IF(ISNUMBER(OFFSET($A$1,ROW()-1,9)),OFFSET($A$1,ROW()-1,9),IF(ISNUMBER(OFFSET($A$1,ROW()-1,8)),OFFSET($A$1,ROW()-1,8),0)))))))</f>
        <v/>
      </c>
      <c r="AG78" s="62">
        <f>IF($V78&lt;&gt;"Sub","",N($X78)*IF(AND(ISNUMBER($G78),$G78&lt;=IF($S78=MesCiclo,InicioCiclo,$S78+MOD(2-WEEKDAY($S78),7))+27),1,MIN(1,MAX(0,IF(ISNUMBER(OFFSET($A$1,ROW()-1,11)),OFFSET($A$1,ROW()-1,11),IF(ISNUMBER(OFFSET($A$1,ROW()-1,10)),OFFSET($A$1,ROW()-1,10),IF(ISNUMBER(OFFSET($A$1,ROW()-1,9)),OFFSET($A$1,ROW()-1,9),IF(ISNUMBER(OFFSET($A$1,ROW()-1,8)),OFFSET($A$1,ROW()-1,8),0))))))))</f>
        <v/>
      </c>
      <c r="AH78" s="62">
        <f>IF($V78="","",IF(AND(ISNUMBER($G78),$G78&lt;=IF($S78=MesCiclo,InicioCiclo,$S78+MOD(2-WEEKDAY($S78),7))+6),1,IF(N($W78)&gt;0,MIN(1,SUMIFS($AD$5:$AD$1000,$U$5:$U$1000,ROW(),$V$5:$V$1000,"Sub")),$Z78)))</f>
        <v/>
      </c>
      <c r="AI78" s="62">
        <f>IF($V78="","",IF(AND(ISNUMBER($G78),$G78&lt;=IF($S78=MesCiclo,InicioCiclo,$S78+MOD(2-WEEKDAY($S78),7))+13),1,IF(N($W78)&gt;0,MIN(1,SUMIFS($AE$5:$AE$1000,$U$5:$U$1000,ROW(),$V$5:$V$1000,"Sub")),$AA78)))</f>
        <v/>
      </c>
      <c r="AJ78" s="62">
        <f>IF($V78="","",IF(AND(ISNUMBER($G78),$G78&lt;=IF($S78=MesCiclo,InicioCiclo,$S78+MOD(2-WEEKDAY($S78),7))+20),1,IF(N($W78)&gt;0,MIN(1,SUMIFS($AF$5:$AF$1000,$U$5:$U$1000,ROW(),$V$5:$V$1000,"Sub")),$AB78)))</f>
        <v/>
      </c>
      <c r="AK78" s="62">
        <f>IF($V78="","",IF(AND(ISNUMBER($G78),$G78&lt;=IF($S78=MesCiclo,InicioCiclo,$S78+MOD(2-WEEKDAY($S78),7))+27),1,IF(N($W78)&gt;0,MIN(1,SUMIFS($AG$5:$AG$1000,$U$5:$U$1000,ROW(),$V$5:$V$1000,"Sub")),$AC78)))</f>
        <v/>
      </c>
      <c r="AL78" s="62">
        <f>IF($V78&lt;&gt;"Macro","",IF(COUNTIFS($S$5:$S$1000,$S78,$V$5:$V$1000,"Macro",$H$5:$H$1000,"&gt;0")=0,1/COUNTIFS($S$5:$S$1000,$S78,$V$5:$V$1000,"Macro"),IF(AND(ISNUMBER($H78),N($H78)&gt;0),$H78,SUMIFS($H$5:$H$1000,$S$5:$S$1000,$S78,$V$5:$V$1000,"Macro")/COUNTIFS($S$5:$S$1000,$S78,$V$5:$V$1000,"Macro",$H$5:$H$1000,"&gt;0"))/(COUNTIFS($S$5:$S$1000,$S78,$V$5:$V$1000,"Macro")*SUMIFS($H$5:$H$1000,$S$5:$S$1000,$S78,$V$5:$V$1000,"Macro")/COUNTIFS($S$5:$S$1000,$S78,$V$5:$V$1000,"Macro",$H$5:$H$1000,"&gt;0"))))</f>
        <v/>
      </c>
      <c r="AM78" s="62" t="n"/>
      <c r="AN78" s="62" t="n"/>
      <c r="AO78" s="62" t="n"/>
      <c r="AP78" s="62" t="n"/>
      <c r="AQ78" s="62">
        <f>IF(LEFT($C78,11)="[Jefatura] ",IFERROR(MATCH("Asistente Técnico de Riesgo|"&amp;MID($C78,12,500),rDname_ADM,0),0),"")</f>
        <v/>
      </c>
      <c r="AR78" s="62">
        <f>IF(N($AQ78)&gt;0,INDEX(rIni_ADM,$AQ78),IF(ISNUMBER($E78),$E78,""))</f>
        <v/>
      </c>
      <c r="AS78" s="62">
        <f>IF(N($AQ78)&gt;0,INDEX(rLim_ADM,$AQ78),IF(ISNUMBER($F78),$F78,""))</f>
        <v/>
      </c>
    </row>
    <row r="79">
      <c r="A79" s="56">
        <f>IF(NOT((COUNTA($B79:$D79)+COUNTA($G79:$H79)+COUNTA($Q79))&gt;0),"",IF($V79="Macro",COUNTIFS($V$5:$V79,"Macro",$S$5:$S79,$S79),IF(N($U79)=0,"?",COUNTIFS(INDEX($V$5:$V$1000,1):INDEX($V$5:$V$1000,$U79-4),"Macro",INDEX($S$5:$S$1000,1):INDEX($S$5:$S$1000,$U79-4),INDEX($S$5:$S$1000,$U79-4))&amp;"."&amp;COUNTIFS($U$5:$U79,$U79,$V$5:$V79,"Sub"))))</f>
        <v/>
      </c>
      <c r="B79" s="57" t="n"/>
      <c r="C79" s="58" t="n"/>
      <c r="D79" s="58" t="n"/>
      <c r="E79" s="59">
        <f>IF(N($AQ79)&gt;0,INDEX(rIni_ADM,$AQ79),"")</f>
        <v/>
      </c>
      <c r="F79" s="59">
        <f>IF(N($AQ79)&gt;0,INDEX(rLim_ADM,$AQ79),"")</f>
        <v/>
      </c>
      <c r="G79" s="59" t="n"/>
      <c r="H79" s="60" t="n"/>
      <c r="I79" s="60">
        <f>IF(N($W79)=0,"",IF(AND($S79=MesCiclo,1&gt;SemanaActual),"",MIN(1,SUMIFS(OFFSET($A$1,ROW(),29,1000-ROW(),1),OFFSET($A$1,ROW(),20,1000-ROW(),1),ROW(),OFFSET($A$1,ROW(),21,1000-ROW(),1),"Sub"))))</f>
        <v/>
      </c>
      <c r="J79" s="60">
        <f>IF(N($W79)=0,"",IF(AND($S79=MesCiclo,2&gt;SemanaActual),"",MIN(1,SUMIFS(OFFSET($A$1,ROW(),30,1000-ROW(),1),OFFSET($A$1,ROW(),20,1000-ROW(),1),ROW(),OFFSET($A$1,ROW(),21,1000-ROW(),1),"Sub"))))</f>
        <v/>
      </c>
      <c r="K79" s="60">
        <f>IF(N($W79)=0,"",IF(AND($S79=MesCiclo,3&gt;SemanaActual),"",MIN(1,SUMIFS(OFFSET($A$1,ROW(),31,1000-ROW(),1),OFFSET($A$1,ROW(),20,1000-ROW(),1),ROW(),OFFSET($A$1,ROW(),21,1000-ROW(),1),"Sub"))))</f>
        <v/>
      </c>
      <c r="L79" s="60">
        <f>IF(N($W79)=0,"",IF(AND($S79=MesCiclo,4&gt;SemanaActual),"",MIN(1,SUMIFS(OFFSET($A$1,ROW(),32,1000-ROW(),1),OFFSET($A$1,ROW(),20,1000-ROW(),1),ROW(),OFFSET($A$1,ROW(),21,1000-ROW(),1),"Sub"))))</f>
        <v/>
      </c>
      <c r="M79" s="61">
        <f>IF(OR(NOT((COUNTA($B79:$D79)+COUNTA($G79:$H79)+COUNTA($Q79))&gt;0),$V79="Sub"),"",IF(ISNUMBER($G79),1,IF(N($W79)&gt;0,MIN(1,SUMIFS($Y$5:$Y$1000,$U$5:$U$1000,ROW(),$V$5:$V$1000,"Sub")),$Y79)))</f>
        <v/>
      </c>
      <c r="N79" s="56">
        <f>IF(OR($M79="",$V79="Sub"),"",IF($M79&gt;=1,"Completado",IF($M79&gt;0,"En curso","Pendiente")))</f>
        <v/>
      </c>
      <c r="O79" s="56">
        <f>IF(OR(NOT((COUNTA($B79:$D79)+COUNTA($G79:$H79)+COUNTA($Q79))&gt;0),$V79="Sub"),"",IF(ISNUMBER($G79),IF(AND(ISNUMBER($AS79),$G79&gt;$AS79),"Cumplida con "&amp;($G79-$AS79)&amp;IF($G79-$AS79=1," día"," días")&amp;" de retraso","Cumplida"),IF(N($M79)&gt;=1,"Cumplida",IF(NOT(ISNUMBER($AS79)),"Sin fecha límite",IF($AS79&lt;FechaRef,"Vencida hace "&amp;(FechaRef-$AS79)&amp;IF(FechaRef-$AS79=1," día"," días"),IF($AS79=FechaRef,"Vence hoy",IF($AS79-FechaRef&lt;=DiasAlerta,"Vence en "&amp;($AS79-FechaRef)&amp;IF($AS79-FechaRef=1," día"," días"),"En plazo")))))))</f>
        <v/>
      </c>
      <c r="P79" s="62" t="n"/>
      <c r="Q79" s="58" t="n"/>
      <c r="R79" s="63">
        <f>IF(NOT((COUNTA($B79:$D79)+COUNTA($G79:$H79)+COUNTA($Q79))&gt;0),"",IF((IF($C79="","Falta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 OK","⚠ "&amp;LEFT(IF($C79="","Falta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",""),LEN(IF($C79="","Falta el nombre de la actividad"&amp;" · ","")&amp;IF(AND($V79="Sub",N($U79)=0),"Subactividad sin macroactividad arriba"&amp;" · ","")&amp;IF(AND($V79="Macro",$AR79=""),"Sin fecha de inicio"&amp;" · ","")&amp;IF(AND($V79="Macro",$AS79=""),"Sin fecha límite"&amp;" · ","")&amp;IF(AND(LEFT($C79,11)="[Jefatura] ",N($AQ79)=0),"No se encuentra en la hoja de la jefatura (elíjala de nuevo en la lista)"&amp;" · ","")&amp;IF(OR(AND($E79&lt;&gt;"",NOT(ISNUMBER($E79))),AND($F79&lt;&gt;"",NOT(ISNUMBER($F79))),AND($G79&lt;&gt;"",NOT(ISNUMBER($G79)))),"Fecha no válida"&amp;" · ","")&amp;IF(AND(ISNUMBER($AR79),ISNUMBER($AS79),$AR79&gt;$AS79),"Inicio posterior a fecha límite"&amp;" · ","")&amp;IF(AND($V79="Macro",$H79&lt;&gt;"",OR(NOT(ISNUMBER($H79)),$H79&lt;0,$H79&gt;1)),"Peso fuera de rango"&amp;" · ","")&amp;IF(AND($V79="Sub",$H79&lt;&gt;"",OR(NOT(ISNUMBER($H79)),$H79&lt;0,$H79&gt;1)),"% de la subactividad fuera de rango 0-100%"&amp;" · ","")&amp;IF(AND(N($W79)&gt;0,SUMIFS($H$5:$H$1000,$U$5:$U$1000,ROW(),$V$5:$V$1000,"Sub")&gt;1.0001),"Las subactividades suman más de 100%"&amp;" · ","")&amp;IF(AND(N($W79)&gt;0,OR(IF(ISNUMBER($I79),ROUND($I79,6)&lt;&gt;ROUND(MIN(1,SUMIFS($AD$5:$AD$1000,$U$5:$U$1000,ROW(),$V$5:$V$1000,"Sub")),6),FALSE),IF(ISNUMBER($J79),ROUND($J79,6)&lt;&gt;ROUND(MIN(1,SUMIFS($AE$5:$AE$1000,$U$5:$U$1000,ROW(),$V$5:$V$1000,"Sub")),6),FALSE),IF(ISNUMBER($K79),ROUND($K79,6)&lt;&gt;ROUND(MIN(1,SUMIFS($AF$5:$AF$1000,$U$5:$U$1000,ROW(),$V$5:$V$1000,"Sub")),6),FALSE),IF(ISNUMBER($L79),ROUND($L79,6)&lt;&gt;ROUND(MIN(1,SUMIFS($AG$5:$AG$1000,$U$5:$U$1000,ROW(),$V$5:$V$1000,"Sub")),6),FALSE))),"Con subactividades: no escriba en las semanas (se llenan solas)"&amp;" · ","")&amp;IF((COUNTIF($I79:$L79,"&gt;1")+COUNTIF($I79:$L79,"&lt;0")+SUMPRODUCT((LEN($I79:$L79)&gt;0)*NOT(ISNUMBER($I79:$L79))))&gt;0,"Avance fuera de rango 0-100%"&amp;" · ","")&amp;IF(OR(AND(ISNUMBER($J79),$J79&lt;N($I79)),AND(ISNUMBER($K79),$K79&lt;MAX($I79:$J79)),AND(ISNUMBER($L79),$L79&lt;MAX($I79:$K79))),"Avance semanal decreciente"&amp;" · ","")&amp;IF(AND(ISNUMBER($AS79),$AS79&lt;FechaRef,IF($V79="Sub",1,N($M79))&lt;1),"Vencida"&amp;" · ","")&amp;IF(AND(ObsObligatoria="Sí",ISNUMBER($AS79),$AS79&lt;FechaRef,IF($V79="Sub",1,N($M79))&lt;1,$Q79=""),"Vencida sin observación"&amp;" · ",""))-3)))</f>
        <v/>
      </c>
      <c r="S79" s="64">
        <f>IF(NOT((COUNTA($B79:$D79)+COUNTA($G79:$H79)+COUNTA($Q79))&gt;0),"",IF(AND($V79="Sub",N($U79)&gt;0),IF(ISNUMBER(INDEX($AR$5:$AR$1000,$U79-4)),DATE(YEAR(INDEX($AR$5:$AR$1000,$U79-4)),MONTH(INDEX($AR$5:$AR$1000,$U79-4)),1),IF(ISNUMBER(INDEX($AS$5:$AS$1000,$U79-4)),DATE(YEAR(INDEX($AS$5:$AS$1000,$U79-4)),MONTH(INDEX($AS$5:$AS$1000,$U79-4)),1),MesCiclo)),IF(ISNUMBER($AR79),DATE(YEAR($AR79),MONTH($AR79),1),IF(ISNUMBER($AS79),DATE(YEAR($AS79),MONTH($AS79),1),MesCiclo))))</f>
        <v/>
      </c>
      <c r="T79" s="62">
        <f>IF(OR($S79="",$S79&lt;&gt;MesCiclo,$V79&lt;&gt;"Macro"),"",COUNTIFS($S$5:$S79,MesCiclo,$V$5:$V79,"Macro"))</f>
        <v/>
      </c>
      <c r="U79" s="62">
        <f>IF($V79="","",IF($V79="Macro",ROW(),IFERROR(LOOKUP(2,1/($V$5:$V79="Macro"),ROW($V$5:$V79)),0)))</f>
        <v/>
      </c>
      <c r="V79" s="62">
        <f>IF(NOT((COUNTA($B79:$D79)+COUNTA($G79:$H79)+COUNTA($Q79))&gt;0),"",IF($B79="Subactividad","Sub","Macro"))</f>
        <v/>
      </c>
      <c r="W79" s="62">
        <f>IF($V79="Macro",COUNTIFS($U$5:$U$1000,ROW(),$V$5:$V$1000,"Sub"),"")</f>
        <v/>
      </c>
      <c r="X79" s="62">
        <f>IF($V79&lt;&gt;"Sub","",IF(AND(ISNUMBER($H79),N($H79)&gt;0),$H79,IFERROR(MAX(0,1-SUMIFS($H$5:$H$1000,$U$5:$U$1000,$U79,$V$5:$V$1000,"Sub"))/(COUNTIFS($U$5:$U$1000,$U79,$V$5:$V$1000,"Sub")-COUNTIFS($U$5:$U$1000,$U79,$V$5:$V$1000,"Sub",$H$5:$H$1000,"&gt;0")),0)))</f>
        <v/>
      </c>
      <c r="Y79" s="62">
        <f>IF($V79="","",IF($V79="Sub",N($X79)*IF(ISNUMBER($G79),1,MIN(1,MAX(0,IFERROR(LOOKUP(2,1/ISNUMBER($I79:$L79),$I79:$L79),0)))),IF(ISNUMBER($G79),1,IFERROR(LOOKUP(2,1/($I79:$L79&lt;&gt;""),$I79:$L79),0))))</f>
        <v/>
      </c>
      <c r="Z79" s="62">
        <f>IF($V79="","",IF(AND(ISNUMBER($G79),$G79&lt;=IF($S79=MesCiclo,InicioCiclo,$S79+MOD(2-WEEKDAY($S79),7))+6),1,IF(ISNUMBER($I79),$I79,0)))</f>
        <v/>
      </c>
      <c r="AA79" s="62">
        <f>IF($V79="","",IF(AND(ISNUMBER($G79),$G79&lt;=IF($S79=MesCiclo,InicioCiclo,$S79+MOD(2-WEEKDAY($S79),7))+13),1,IF(ISNUMBER($J79),$J79,$Z79)))</f>
        <v/>
      </c>
      <c r="AB79" s="62">
        <f>IF($V79="","",IF(AND(ISNUMBER($G79),$G79&lt;=IF($S79=MesCiclo,InicioCiclo,$S79+MOD(2-WEEKDAY($S79),7))+20),1,IF(ISNUMBER($K79),$K79,$AA79)))</f>
        <v/>
      </c>
      <c r="AC79" s="62">
        <f>IF($V79="","",IF(AND(ISNUMBER($G79),$G79&lt;=IF($S79=MesCiclo,InicioCiclo,$S79+MOD(2-WEEKDAY($S79),7))+27),1,IF(ISNUMBER($L79),$L79,$AB79)))</f>
        <v/>
      </c>
      <c r="AD79" s="62">
        <f>IF($V79&lt;&gt;"Sub","",N($X79)*IF(AND(ISNUMBER($G79),$G79&lt;=IF($S79=MesCiclo,InicioCiclo,$S79+MOD(2-WEEKDAY($S79),7))+6),1,MIN(1,MAX(0,IF(ISNUMBER(OFFSET($A$1,ROW()-1,8)),OFFSET($A$1,ROW()-1,8),0)))))</f>
        <v/>
      </c>
      <c r="AE79" s="62">
        <f>IF($V79&lt;&gt;"Sub","",N($X79)*IF(AND(ISNUMBER($G79),$G79&lt;=IF($S79=MesCiclo,InicioCiclo,$S79+MOD(2-WEEKDAY($S79),7))+13),1,MIN(1,MAX(0,IF(ISNUMBER(OFFSET($A$1,ROW()-1,9)),OFFSET($A$1,ROW()-1,9),IF(ISNUMBER(OFFSET($A$1,ROW()-1,8)),OFFSET($A$1,ROW()-1,8),0))))))</f>
        <v/>
      </c>
      <c r="AF79" s="62">
        <f>IF($V79&lt;&gt;"Sub","",N($X79)*IF(AND(ISNUMBER($G79),$G79&lt;=IF($S79=MesCiclo,InicioCiclo,$S79+MOD(2-WEEKDAY($S79),7))+20),1,MIN(1,MAX(0,IF(ISNUMBER(OFFSET($A$1,ROW()-1,10)),OFFSET($A$1,ROW()-1,10),IF(ISNUMBER(OFFSET($A$1,ROW()-1,9)),OFFSET($A$1,ROW()-1,9),IF(ISNUMBER(OFFSET($A$1,ROW()-1,8)),OFFSET($A$1,ROW()-1,8),0)))))))</f>
        <v/>
      </c>
      <c r="AG79" s="62">
        <f>IF($V79&lt;&gt;"Sub","",N($X79)*IF(AND(ISNUMBER($G79),$G79&lt;=IF($S79=MesCiclo,InicioCiclo,$S79+MOD(2-WEEKDAY($S79),7))+27),1,MIN(1,MAX(0,IF(ISNUMBER(OFFSET($A$1,ROW()-1,11)),OFFSET($A$1,ROW()-1,11),IF(ISNUMBER(OFFSET($A$1,ROW()-1,10)),OFFSET($A$1,ROW()-1,10),IF(ISNUMBER(OFFSET($A$1,ROW()-1,9)),OFFSET($A$1,ROW()-1,9),IF(ISNUMBER(OFFSET($A$1,ROW()-1,8)),OFFSET($A$1,ROW()-1,8),0))))))))</f>
        <v/>
      </c>
      <c r="AH79" s="62">
        <f>IF($V79="","",IF(AND(ISNUMBER($G79),$G79&lt;=IF($S79=MesCiclo,InicioCiclo,$S79+MOD(2-WEEKDAY($S79),7))+6),1,IF(N($W79)&gt;0,MIN(1,SUMIFS($AD$5:$AD$1000,$U$5:$U$1000,ROW(),$V$5:$V$1000,"Sub")),$Z79)))</f>
        <v/>
      </c>
      <c r="AI79" s="62">
        <f>IF($V79="","",IF(AND(ISNUMBER($G79),$G79&lt;=IF($S79=MesCiclo,InicioCiclo,$S79+MOD(2-WEEKDAY($S79),7))+13),1,IF(N($W79)&gt;0,MIN(1,SUMIFS($AE$5:$AE$1000,$U$5:$U$1000,ROW(),$V$5:$V$1000,"Sub")),$AA79)))</f>
        <v/>
      </c>
      <c r="AJ79" s="62">
        <f>IF($V79="","",IF(AND(ISNUMBER($G79),$G79&lt;=IF($S79=MesCiclo,InicioCiclo,$S79+MOD(2-WEEKDAY($S79),7))+20),1,IF(N($W79)&gt;0,MIN(1,SUMIFS($AF$5:$AF$1000,$U$5:$U$1000,ROW(),$V$5:$V$1000,"Sub")),$AB79)))</f>
        <v/>
      </c>
      <c r="AK79" s="62">
        <f>IF($V79="","",IF(AND(ISNUMBER($G79),$G79&lt;=IF($S79=MesCiclo,InicioCiclo,$S79+MOD(2-WEEKDAY($S79),7))+27),1,IF(N($W79)&gt;0,MIN(1,SUMIFS($AG$5:$AG$1000,$U$5:$U$1000,ROW(),$V$5:$V$1000,"Sub")),$AC79)))</f>
        <v/>
      </c>
      <c r="AL79" s="62">
        <f>IF($V79&lt;&gt;"Macro","",IF(COUNTIFS($S$5:$S$1000,$S79,$V$5:$V$1000,"Macro",$H$5:$H$1000,"&gt;0")=0,1/COUNTIFS($S$5:$S$1000,$S79,$V$5:$V$1000,"Macro"),IF(AND(ISNUMBER($H79),N($H79)&gt;0),$H79,SUMIFS($H$5:$H$1000,$S$5:$S$1000,$S79,$V$5:$V$1000,"Macro")/COUNTIFS($S$5:$S$1000,$S79,$V$5:$V$1000,"Macro",$H$5:$H$1000,"&gt;0"))/(COUNTIFS($S$5:$S$1000,$S79,$V$5:$V$1000,"Macro")*SUMIFS($H$5:$H$1000,$S$5:$S$1000,$S79,$V$5:$V$1000,"Macro")/COUNTIFS($S$5:$S$1000,$S79,$V$5:$V$1000,"Macro",$H$5:$H$1000,"&gt;0"))))</f>
        <v/>
      </c>
      <c r="AM79" s="62" t="n"/>
      <c r="AN79" s="62" t="n"/>
      <c r="AO79" s="62" t="n"/>
      <c r="AP79" s="62" t="n"/>
      <c r="AQ79" s="62">
        <f>IF(LEFT($C79,11)="[Jefatura] ",IFERROR(MATCH("Asistente Técnico de Riesgo|"&amp;MID($C79,12,500),rDname_ADM,0),0),"")</f>
        <v/>
      </c>
      <c r="AR79" s="62">
        <f>IF(N($AQ79)&gt;0,INDEX(rIni_ADM,$AQ79),IF(ISNUMBER($E79),$E79,""))</f>
        <v/>
      </c>
      <c r="AS79" s="62">
        <f>IF(N($AQ79)&gt;0,INDEX(rLim_ADM,$AQ79),IF(ISNUMBER($F79),$F79,""))</f>
        <v/>
      </c>
    </row>
    <row r="80">
      <c r="A80" s="56">
        <f>IF(NOT((COUNTA($B80:$D80)+COUNTA($G80:$H80)+COUNTA($Q80))&gt;0),"",IF($V80="Macro",COUNTIFS($V$5:$V80,"Macro",$S$5:$S80,$S80),IF(N($U80)=0,"?",COUNTIFS(INDEX($V$5:$V$1000,1):INDEX($V$5:$V$1000,$U80-4),"Macro",INDEX($S$5:$S$1000,1):INDEX($S$5:$S$1000,$U80-4),INDEX($S$5:$S$1000,$U80-4))&amp;"."&amp;COUNTIFS($U$5:$U80,$U80,$V$5:$V80,"Sub"))))</f>
        <v/>
      </c>
      <c r="B80" s="57" t="n"/>
      <c r="C80" s="58" t="n"/>
      <c r="D80" s="58" t="n"/>
      <c r="E80" s="59">
        <f>IF(N($AQ80)&gt;0,INDEX(rIni_ADM,$AQ80),"")</f>
        <v/>
      </c>
      <c r="F80" s="59">
        <f>IF(N($AQ80)&gt;0,INDEX(rLim_ADM,$AQ80),"")</f>
        <v/>
      </c>
      <c r="G80" s="59" t="n"/>
      <c r="H80" s="60" t="n"/>
      <c r="I80" s="60">
        <f>IF(N($W80)=0,"",IF(AND($S80=MesCiclo,1&gt;SemanaActual),"",MIN(1,SUMIFS(OFFSET($A$1,ROW(),29,1000-ROW(),1),OFFSET($A$1,ROW(),20,1000-ROW(),1),ROW(),OFFSET($A$1,ROW(),21,1000-ROW(),1),"Sub"))))</f>
        <v/>
      </c>
      <c r="J80" s="60">
        <f>IF(N($W80)=0,"",IF(AND($S80=MesCiclo,2&gt;SemanaActual),"",MIN(1,SUMIFS(OFFSET($A$1,ROW(),30,1000-ROW(),1),OFFSET($A$1,ROW(),20,1000-ROW(),1),ROW(),OFFSET($A$1,ROW(),21,1000-ROW(),1),"Sub"))))</f>
        <v/>
      </c>
      <c r="K80" s="60">
        <f>IF(N($W80)=0,"",IF(AND($S80=MesCiclo,3&gt;SemanaActual),"",MIN(1,SUMIFS(OFFSET($A$1,ROW(),31,1000-ROW(),1),OFFSET($A$1,ROW(),20,1000-ROW(),1),ROW(),OFFSET($A$1,ROW(),21,1000-ROW(),1),"Sub"))))</f>
        <v/>
      </c>
      <c r="L80" s="60">
        <f>IF(N($W80)=0,"",IF(AND($S80=MesCiclo,4&gt;SemanaActual),"",MIN(1,SUMIFS(OFFSET($A$1,ROW(),32,1000-ROW(),1),OFFSET($A$1,ROW(),20,1000-ROW(),1),ROW(),OFFSET($A$1,ROW(),21,1000-ROW(),1),"Sub"))))</f>
        <v/>
      </c>
      <c r="M80" s="61">
        <f>IF(OR(NOT((COUNTA($B80:$D80)+COUNTA($G80:$H80)+COUNTA($Q80))&gt;0),$V80="Sub"),"",IF(ISNUMBER($G80),1,IF(N($W80)&gt;0,MIN(1,SUMIFS($Y$5:$Y$1000,$U$5:$U$1000,ROW(),$V$5:$V$1000,"Sub")),$Y80)))</f>
        <v/>
      </c>
      <c r="N80" s="56">
        <f>IF(OR($M80="",$V80="Sub"),"",IF($M80&gt;=1,"Completado",IF($M80&gt;0,"En curso","Pendiente")))</f>
        <v/>
      </c>
      <c r="O80" s="56">
        <f>IF(OR(NOT((COUNTA($B80:$D80)+COUNTA($G80:$H80)+COUNTA($Q80))&gt;0),$V80="Sub"),"",IF(ISNUMBER($G80),IF(AND(ISNUMBER($AS80),$G80&gt;$AS80),"Cumplida con "&amp;($G80-$AS80)&amp;IF($G80-$AS80=1," día"," días")&amp;" de retraso","Cumplida"),IF(N($M80)&gt;=1,"Cumplida",IF(NOT(ISNUMBER($AS80)),"Sin fecha límite",IF($AS80&lt;FechaRef,"Vencida hace "&amp;(FechaRef-$AS80)&amp;IF(FechaRef-$AS80=1," día"," días"),IF($AS80=FechaRef,"Vence hoy",IF($AS80-FechaRef&lt;=DiasAlerta,"Vence en "&amp;($AS80-FechaRef)&amp;IF($AS80-FechaRef=1," día"," días"),"En plazo")))))))</f>
        <v/>
      </c>
      <c r="P80" s="62" t="n"/>
      <c r="Q80" s="58" t="n"/>
      <c r="R80" s="63">
        <f>IF(NOT((COUNTA($B80:$D80)+COUNTA($G80:$H80)+COUNTA($Q80))&gt;0),"",IF((IF($C80="","Falta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 OK","⚠ "&amp;LEFT(IF($C80="","Falta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",""),LEN(IF($C80="","Falta el nombre de la actividad"&amp;" · ","")&amp;IF(AND($V80="Sub",N($U80)=0),"Subactividad sin macroactividad arriba"&amp;" · ","")&amp;IF(AND($V80="Macro",$AR80=""),"Sin fecha de inicio"&amp;" · ","")&amp;IF(AND($V80="Macro",$AS80=""),"Sin fecha límite"&amp;" · ","")&amp;IF(AND(LEFT($C80,11)="[Jefatura] ",N($AQ80)=0),"No se encuentra en la hoja de la jefatura (elíjala de nuevo en la lista)"&amp;" · ","")&amp;IF(OR(AND($E80&lt;&gt;"",NOT(ISNUMBER($E80))),AND($F80&lt;&gt;"",NOT(ISNUMBER($F80))),AND($G80&lt;&gt;"",NOT(ISNUMBER($G80)))),"Fecha no válida"&amp;" · ","")&amp;IF(AND(ISNUMBER($AR80),ISNUMBER($AS80),$AR80&gt;$AS80),"Inicio posterior a fecha límite"&amp;" · ","")&amp;IF(AND($V80="Macro",$H80&lt;&gt;"",OR(NOT(ISNUMBER($H80)),$H80&lt;0,$H80&gt;1)),"Peso fuera de rango"&amp;" · ","")&amp;IF(AND($V80="Sub",$H80&lt;&gt;"",OR(NOT(ISNUMBER($H80)),$H80&lt;0,$H80&gt;1)),"% de la subactividad fuera de rango 0-100%"&amp;" · ","")&amp;IF(AND(N($W80)&gt;0,SUMIFS($H$5:$H$1000,$U$5:$U$1000,ROW(),$V$5:$V$1000,"Sub")&gt;1.0001),"Las subactividades suman más de 100%"&amp;" · ","")&amp;IF(AND(N($W80)&gt;0,OR(IF(ISNUMBER($I80),ROUND($I80,6)&lt;&gt;ROUND(MIN(1,SUMIFS($AD$5:$AD$1000,$U$5:$U$1000,ROW(),$V$5:$V$1000,"Sub")),6),FALSE),IF(ISNUMBER($J80),ROUND($J80,6)&lt;&gt;ROUND(MIN(1,SUMIFS($AE$5:$AE$1000,$U$5:$U$1000,ROW(),$V$5:$V$1000,"Sub")),6),FALSE),IF(ISNUMBER($K80),ROUND($K80,6)&lt;&gt;ROUND(MIN(1,SUMIFS($AF$5:$AF$1000,$U$5:$U$1000,ROW(),$V$5:$V$1000,"Sub")),6),FALSE),IF(ISNUMBER($L80),ROUND($L80,6)&lt;&gt;ROUND(MIN(1,SUMIFS($AG$5:$AG$1000,$U$5:$U$1000,ROW(),$V$5:$V$1000,"Sub")),6),FALSE))),"Con subactividades: no escriba en las semanas (se llenan solas)"&amp;" · ","")&amp;IF((COUNTIF($I80:$L80,"&gt;1")+COUNTIF($I80:$L80,"&lt;0")+SUMPRODUCT((LEN($I80:$L80)&gt;0)*NOT(ISNUMBER($I80:$L80))))&gt;0,"Avance fuera de rango 0-100%"&amp;" · ","")&amp;IF(OR(AND(ISNUMBER($J80),$J80&lt;N($I80)),AND(ISNUMBER($K80),$K80&lt;MAX($I80:$J80)),AND(ISNUMBER($L80),$L80&lt;MAX($I80:$K80))),"Avance semanal decreciente"&amp;" · ","")&amp;IF(AND(ISNUMBER($AS80),$AS80&lt;FechaRef,IF($V80="Sub",1,N($M80))&lt;1),"Vencida"&amp;" · ","")&amp;IF(AND(ObsObligatoria="Sí",ISNUMBER($AS80),$AS80&lt;FechaRef,IF($V80="Sub",1,N($M80))&lt;1,$Q80=""),"Vencida sin observación"&amp;" · ",""))-3)))</f>
        <v/>
      </c>
      <c r="S80" s="64">
        <f>IF(NOT((COUNTA($B80:$D80)+COUNTA($G80:$H80)+COUNTA($Q80))&gt;0),"",IF(AND($V80="Sub",N($U80)&gt;0),IF(ISNUMBER(INDEX($AR$5:$AR$1000,$U80-4)),DATE(YEAR(INDEX($AR$5:$AR$1000,$U80-4)),MONTH(INDEX($AR$5:$AR$1000,$U80-4)),1),IF(ISNUMBER(INDEX($AS$5:$AS$1000,$U80-4)),DATE(YEAR(INDEX($AS$5:$AS$1000,$U80-4)),MONTH(INDEX($AS$5:$AS$1000,$U80-4)),1),MesCiclo)),IF(ISNUMBER($AR80),DATE(YEAR($AR80),MONTH($AR80),1),IF(ISNUMBER($AS80),DATE(YEAR($AS80),MONTH($AS80),1),MesCiclo))))</f>
        <v/>
      </c>
      <c r="T80" s="62">
        <f>IF(OR($S80="",$S80&lt;&gt;MesCiclo,$V80&lt;&gt;"Macro"),"",COUNTIFS($S$5:$S80,MesCiclo,$V$5:$V80,"Macro"))</f>
        <v/>
      </c>
      <c r="U80" s="62">
        <f>IF($V80="","",IF($V80="Macro",ROW(),IFERROR(LOOKUP(2,1/($V$5:$V80="Macro"),ROW($V$5:$V80)),0)))</f>
        <v/>
      </c>
      <c r="V80" s="62">
        <f>IF(NOT((COUNTA($B80:$D80)+COUNTA($G80:$H80)+COUNTA($Q80))&gt;0),"",IF($B80="Subactividad","Sub","Macro"))</f>
        <v/>
      </c>
      <c r="W80" s="62">
        <f>IF($V80="Macro",COUNTIFS($U$5:$U$1000,ROW(),$V$5:$V$1000,"Sub"),"")</f>
        <v/>
      </c>
      <c r="X80" s="62">
        <f>IF($V80&lt;&gt;"Sub","",IF(AND(ISNUMBER($H80),N($H80)&gt;0),$H80,IFERROR(MAX(0,1-SUMIFS($H$5:$H$1000,$U$5:$U$1000,$U80,$V$5:$V$1000,"Sub"))/(COUNTIFS($U$5:$U$1000,$U80,$V$5:$V$1000,"Sub")-COUNTIFS($U$5:$U$1000,$U80,$V$5:$V$1000,"Sub",$H$5:$H$1000,"&gt;0")),0)))</f>
        <v/>
      </c>
      <c r="Y80" s="62">
        <f>IF($V80="","",IF($V80="Sub",N($X80)*IF(ISNUMBER($G80),1,MIN(1,MAX(0,IFERROR(LOOKUP(2,1/ISNUMBER($I80:$L80),$I80:$L80),0)))),IF(ISNUMBER($G80),1,IFERROR(LOOKUP(2,1/($I80:$L80&lt;&gt;""),$I80:$L80),0))))</f>
        <v/>
      </c>
      <c r="Z80" s="62">
        <f>IF($V80="","",IF(AND(ISNUMBER($G80),$G80&lt;=IF($S80=MesCiclo,InicioCiclo,$S80+MOD(2-WEEKDAY($S80),7))+6),1,IF(ISNUMBER($I80),$I80,0)))</f>
        <v/>
      </c>
      <c r="AA80" s="62">
        <f>IF($V80="","",IF(AND(ISNUMBER($G80),$G80&lt;=IF($S80=MesCiclo,InicioCiclo,$S80+MOD(2-WEEKDAY($S80),7))+13),1,IF(ISNUMBER($J80),$J80,$Z80)))</f>
        <v/>
      </c>
      <c r="AB80" s="62">
        <f>IF($V80="","",IF(AND(ISNUMBER($G80),$G80&lt;=IF($S80=MesCiclo,InicioCiclo,$S80+MOD(2-WEEKDAY($S80),7))+20),1,IF(ISNUMBER($K80),$K80,$AA80)))</f>
        <v/>
      </c>
      <c r="AC80" s="62">
        <f>IF($V80="","",IF(AND(ISNUMBER($G80),$G80&lt;=IF($S80=MesCiclo,InicioCiclo,$S80+MOD(2-WEEKDAY($S80),7))+27),1,IF(ISNUMBER($L80),$L80,$AB80)))</f>
        <v/>
      </c>
      <c r="AD80" s="62">
        <f>IF($V80&lt;&gt;"Sub","",N($X80)*IF(AND(ISNUMBER($G80),$G80&lt;=IF($S80=MesCiclo,InicioCiclo,$S80+MOD(2-WEEKDAY($S80),7))+6),1,MIN(1,MAX(0,IF(ISNUMBER(OFFSET($A$1,ROW()-1,8)),OFFSET($A$1,ROW()-1,8),0)))))</f>
        <v/>
      </c>
      <c r="AE80" s="62">
        <f>IF($V80&lt;&gt;"Sub","",N($X80)*IF(AND(ISNUMBER($G80),$G80&lt;=IF($S80=MesCiclo,InicioCiclo,$S80+MOD(2-WEEKDAY($S80),7))+13),1,MIN(1,MAX(0,IF(ISNUMBER(OFFSET($A$1,ROW()-1,9)),OFFSET($A$1,ROW()-1,9),IF(ISNUMBER(OFFSET($A$1,ROW()-1,8)),OFFSET($A$1,ROW()-1,8),0))))))</f>
        <v/>
      </c>
      <c r="AF80" s="62">
        <f>IF($V80&lt;&gt;"Sub","",N($X80)*IF(AND(ISNUMBER($G80),$G80&lt;=IF($S80=MesCiclo,InicioCiclo,$S80+MOD(2-WEEKDAY($S80),7))+20),1,MIN(1,MAX(0,IF(ISNUMBER(OFFSET($A$1,ROW()-1,10)),OFFSET($A$1,ROW()-1,10),IF(ISNUMBER(OFFSET($A$1,ROW()-1,9)),OFFSET($A$1,ROW()-1,9),IF(ISNUMBER(OFFSET($A$1,ROW()-1,8)),OFFSET($A$1,ROW()-1,8),0)))))))</f>
        <v/>
      </c>
      <c r="AG80" s="62">
        <f>IF($V80&lt;&gt;"Sub","",N($X80)*IF(AND(ISNUMBER($G80),$G80&lt;=IF($S80=MesCiclo,InicioCiclo,$S80+MOD(2-WEEKDAY($S80),7))+27),1,MIN(1,MAX(0,IF(ISNUMBER(OFFSET($A$1,ROW()-1,11)),OFFSET($A$1,ROW()-1,11),IF(ISNUMBER(OFFSET($A$1,ROW()-1,10)),OFFSET($A$1,ROW()-1,10),IF(ISNUMBER(OFFSET($A$1,ROW()-1,9)),OFFSET($A$1,ROW()-1,9),IF(ISNUMBER(OFFSET($A$1,ROW()-1,8)),OFFSET($A$1,ROW()-1,8),0))))))))</f>
        <v/>
      </c>
      <c r="AH80" s="62">
        <f>IF($V80="","",IF(AND(ISNUMBER($G80),$G80&lt;=IF($S80=MesCiclo,InicioCiclo,$S80+MOD(2-WEEKDAY($S80),7))+6),1,IF(N($W80)&gt;0,MIN(1,SUMIFS($AD$5:$AD$1000,$U$5:$U$1000,ROW(),$V$5:$V$1000,"Sub")),$Z80)))</f>
        <v/>
      </c>
      <c r="AI80" s="62">
        <f>IF($V80="","",IF(AND(ISNUMBER($G80),$G80&lt;=IF($S80=MesCiclo,InicioCiclo,$S80+MOD(2-WEEKDAY($S80),7))+13),1,IF(N($W80)&gt;0,MIN(1,SUMIFS($AE$5:$AE$1000,$U$5:$U$1000,ROW(),$V$5:$V$1000,"Sub")),$AA80)))</f>
        <v/>
      </c>
      <c r="AJ80" s="62">
        <f>IF($V80="","",IF(AND(ISNUMBER($G80),$G80&lt;=IF($S80=MesCiclo,InicioCiclo,$S80+MOD(2-WEEKDAY($S80),7))+20),1,IF(N($W80)&gt;0,MIN(1,SUMIFS($AF$5:$AF$1000,$U$5:$U$1000,ROW(),$V$5:$V$1000,"Sub")),$AB80)))</f>
        <v/>
      </c>
      <c r="AK80" s="62">
        <f>IF($V80="","",IF(AND(ISNUMBER($G80),$G80&lt;=IF($S80=MesCiclo,InicioCiclo,$S80+MOD(2-WEEKDAY($S80),7))+27),1,IF(N($W80)&gt;0,MIN(1,SUMIFS($AG$5:$AG$1000,$U$5:$U$1000,ROW(),$V$5:$V$1000,"Sub")),$AC80)))</f>
        <v/>
      </c>
      <c r="AL80" s="62">
        <f>IF($V80&lt;&gt;"Macro","",IF(COUNTIFS($S$5:$S$1000,$S80,$V$5:$V$1000,"Macro",$H$5:$H$1000,"&gt;0")=0,1/COUNTIFS($S$5:$S$1000,$S80,$V$5:$V$1000,"Macro"),IF(AND(ISNUMBER($H80),N($H80)&gt;0),$H80,SUMIFS($H$5:$H$1000,$S$5:$S$1000,$S80,$V$5:$V$1000,"Macro")/COUNTIFS($S$5:$S$1000,$S80,$V$5:$V$1000,"Macro",$H$5:$H$1000,"&gt;0"))/(COUNTIFS($S$5:$S$1000,$S80,$V$5:$V$1000,"Macro")*SUMIFS($H$5:$H$1000,$S$5:$S$1000,$S80,$V$5:$V$1000,"Macro")/COUNTIFS($S$5:$S$1000,$S80,$V$5:$V$1000,"Macro",$H$5:$H$1000,"&gt;0"))))</f>
        <v/>
      </c>
      <c r="AM80" s="62" t="n"/>
      <c r="AN80" s="62" t="n"/>
      <c r="AO80" s="62" t="n"/>
      <c r="AP80" s="62" t="n"/>
      <c r="AQ80" s="62">
        <f>IF(LEFT($C80,11)="[Jefatura] ",IFERROR(MATCH("Asistente Técnico de Riesgo|"&amp;MID($C80,12,500),rDname_ADM,0),0),"")</f>
        <v/>
      </c>
      <c r="AR80" s="62">
        <f>IF(N($AQ80)&gt;0,INDEX(rIni_ADM,$AQ80),IF(ISNUMBER($E80),$E80,""))</f>
        <v/>
      </c>
      <c r="AS80" s="62">
        <f>IF(N($AQ80)&gt;0,INDEX(rLim_ADM,$AQ80),IF(ISNUMBER($F80),$F80,""))</f>
        <v/>
      </c>
    </row>
    <row r="81">
      <c r="A81" s="56">
        <f>IF(NOT((COUNTA($B81:$D81)+COUNTA($G81:$H81)+COUNTA($Q81))&gt;0),"",IF($V81="Macro",COUNTIFS($V$5:$V81,"Macro",$S$5:$S81,$S81),IF(N($U81)=0,"?",COUNTIFS(INDEX($V$5:$V$1000,1):INDEX($V$5:$V$1000,$U81-4),"Macro",INDEX($S$5:$S$1000,1):INDEX($S$5:$S$1000,$U81-4),INDEX($S$5:$S$1000,$U81-4))&amp;"."&amp;COUNTIFS($U$5:$U81,$U81,$V$5:$V81,"Sub"))))</f>
        <v/>
      </c>
      <c r="B81" s="57" t="n"/>
      <c r="C81" s="58" t="n"/>
      <c r="D81" s="58" t="n"/>
      <c r="E81" s="59">
        <f>IF(N($AQ81)&gt;0,INDEX(rIni_ADM,$AQ81),"")</f>
        <v/>
      </c>
      <c r="F81" s="59">
        <f>IF(N($AQ81)&gt;0,INDEX(rLim_ADM,$AQ81),"")</f>
        <v/>
      </c>
      <c r="G81" s="59" t="n"/>
      <c r="H81" s="60" t="n"/>
      <c r="I81" s="60">
        <f>IF(N($W81)=0,"",IF(AND($S81=MesCiclo,1&gt;SemanaActual),"",MIN(1,SUMIFS(OFFSET($A$1,ROW(),29,1000-ROW(),1),OFFSET($A$1,ROW(),20,1000-ROW(),1),ROW(),OFFSET($A$1,ROW(),21,1000-ROW(),1),"Sub"))))</f>
        <v/>
      </c>
      <c r="J81" s="60">
        <f>IF(N($W81)=0,"",IF(AND($S81=MesCiclo,2&gt;SemanaActual),"",MIN(1,SUMIFS(OFFSET($A$1,ROW(),30,1000-ROW(),1),OFFSET($A$1,ROW(),20,1000-ROW(),1),ROW(),OFFSET($A$1,ROW(),21,1000-ROW(),1),"Sub"))))</f>
        <v/>
      </c>
      <c r="K81" s="60">
        <f>IF(N($W81)=0,"",IF(AND($S81=MesCiclo,3&gt;SemanaActual),"",MIN(1,SUMIFS(OFFSET($A$1,ROW(),31,1000-ROW(),1),OFFSET($A$1,ROW(),20,1000-ROW(),1),ROW(),OFFSET($A$1,ROW(),21,1000-ROW(),1),"Sub"))))</f>
        <v/>
      </c>
      <c r="L81" s="60">
        <f>IF(N($W81)=0,"",IF(AND($S81=MesCiclo,4&gt;SemanaActual),"",MIN(1,SUMIFS(OFFSET($A$1,ROW(),32,1000-ROW(),1),OFFSET($A$1,ROW(),20,1000-ROW(),1),ROW(),OFFSET($A$1,ROW(),21,1000-ROW(),1),"Sub"))))</f>
        <v/>
      </c>
      <c r="M81" s="61">
        <f>IF(OR(NOT((COUNTA($B81:$D81)+COUNTA($G81:$H81)+COUNTA($Q81))&gt;0),$V81="Sub"),"",IF(ISNUMBER($G81),1,IF(N($W81)&gt;0,MIN(1,SUMIFS($Y$5:$Y$1000,$U$5:$U$1000,ROW(),$V$5:$V$1000,"Sub")),$Y81)))</f>
        <v/>
      </c>
      <c r="N81" s="56">
        <f>IF(OR($M81="",$V81="Sub"),"",IF($M81&gt;=1,"Completado",IF($M81&gt;0,"En curso","Pendiente")))</f>
        <v/>
      </c>
      <c r="O81" s="56">
        <f>IF(OR(NOT((COUNTA($B81:$D81)+COUNTA($G81:$H81)+COUNTA($Q81))&gt;0),$V81="Sub"),"",IF(ISNUMBER($G81),IF(AND(ISNUMBER($AS81),$G81&gt;$AS81),"Cumplida con "&amp;($G81-$AS81)&amp;IF($G81-$AS81=1," día"," días")&amp;" de retraso","Cumplida"),IF(N($M81)&gt;=1,"Cumplida",IF(NOT(ISNUMBER($AS81)),"Sin fecha límite",IF($AS81&lt;FechaRef,"Vencida hace "&amp;(FechaRef-$AS81)&amp;IF(FechaRef-$AS81=1," día"," días"),IF($AS81=FechaRef,"Vence hoy",IF($AS81-FechaRef&lt;=DiasAlerta,"Vence en "&amp;($AS81-FechaRef)&amp;IF($AS81-FechaRef=1," día"," días"),"En plazo")))))))</f>
        <v/>
      </c>
      <c r="P81" s="62" t="n"/>
      <c r="Q81" s="58" t="n"/>
      <c r="R81" s="63">
        <f>IF(NOT((COUNTA($B81:$D81)+COUNTA($G81:$H81)+COUNTA($Q81))&gt;0),"",IF((IF($C81="","Falta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 OK","⚠ "&amp;LEFT(IF($C81="","Falta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",""),LEN(IF($C81="","Falta el nombre de la actividad"&amp;" · ","")&amp;IF(AND($V81="Sub",N($U81)=0),"Subactividad sin macroactividad arriba"&amp;" · ","")&amp;IF(AND($V81="Macro",$AR81=""),"Sin fecha de inicio"&amp;" · ","")&amp;IF(AND($V81="Macro",$AS81=""),"Sin fecha límite"&amp;" · ","")&amp;IF(AND(LEFT($C81,11)="[Jefatura] ",N($AQ81)=0),"No se encuentra en la hoja de la jefatura (elíjala de nuevo en la lista)"&amp;" · ","")&amp;IF(OR(AND($E81&lt;&gt;"",NOT(ISNUMBER($E81))),AND($F81&lt;&gt;"",NOT(ISNUMBER($F81))),AND($G81&lt;&gt;"",NOT(ISNUMBER($G81)))),"Fecha no válida"&amp;" · ","")&amp;IF(AND(ISNUMBER($AR81),ISNUMBER($AS81),$AR81&gt;$AS81),"Inicio posterior a fecha límite"&amp;" · ","")&amp;IF(AND($V81="Macro",$H81&lt;&gt;"",OR(NOT(ISNUMBER($H81)),$H81&lt;0,$H81&gt;1)),"Peso fuera de rango"&amp;" · ","")&amp;IF(AND($V81="Sub",$H81&lt;&gt;"",OR(NOT(ISNUMBER($H81)),$H81&lt;0,$H81&gt;1)),"% de la subactividad fuera de rango 0-100%"&amp;" · ","")&amp;IF(AND(N($W81)&gt;0,SUMIFS($H$5:$H$1000,$U$5:$U$1000,ROW(),$V$5:$V$1000,"Sub")&gt;1.0001),"Las subactividades suman más de 100%"&amp;" · ","")&amp;IF(AND(N($W81)&gt;0,OR(IF(ISNUMBER($I81),ROUND($I81,6)&lt;&gt;ROUND(MIN(1,SUMIFS($AD$5:$AD$1000,$U$5:$U$1000,ROW(),$V$5:$V$1000,"Sub")),6),FALSE),IF(ISNUMBER($J81),ROUND($J81,6)&lt;&gt;ROUND(MIN(1,SUMIFS($AE$5:$AE$1000,$U$5:$U$1000,ROW(),$V$5:$V$1000,"Sub")),6),FALSE),IF(ISNUMBER($K81),ROUND($K81,6)&lt;&gt;ROUND(MIN(1,SUMIFS($AF$5:$AF$1000,$U$5:$U$1000,ROW(),$V$5:$V$1000,"Sub")),6),FALSE),IF(ISNUMBER($L81),ROUND($L81,6)&lt;&gt;ROUND(MIN(1,SUMIFS($AG$5:$AG$1000,$U$5:$U$1000,ROW(),$V$5:$V$1000,"Sub")),6),FALSE))),"Con subactividades: no escriba en las semanas (se llenan solas)"&amp;" · ","")&amp;IF((COUNTIF($I81:$L81,"&gt;1")+COUNTIF($I81:$L81,"&lt;0")+SUMPRODUCT((LEN($I81:$L81)&gt;0)*NOT(ISNUMBER($I81:$L81))))&gt;0,"Avance fuera de rango 0-100%"&amp;" · ","")&amp;IF(OR(AND(ISNUMBER($J81),$J81&lt;N($I81)),AND(ISNUMBER($K81),$K81&lt;MAX($I81:$J81)),AND(ISNUMBER($L81),$L81&lt;MAX($I81:$K81))),"Avance semanal decreciente"&amp;" · ","")&amp;IF(AND(ISNUMBER($AS81),$AS81&lt;FechaRef,IF($V81="Sub",1,N($M81))&lt;1),"Vencida"&amp;" · ","")&amp;IF(AND(ObsObligatoria="Sí",ISNUMBER($AS81),$AS81&lt;FechaRef,IF($V81="Sub",1,N($M81))&lt;1,$Q81=""),"Vencida sin observación"&amp;" · ",""))-3)))</f>
        <v/>
      </c>
      <c r="S81" s="64">
        <f>IF(NOT((COUNTA($B81:$D81)+COUNTA($G81:$H81)+COUNTA($Q81))&gt;0),"",IF(AND($V81="Sub",N($U81)&gt;0),IF(ISNUMBER(INDEX($AR$5:$AR$1000,$U81-4)),DATE(YEAR(INDEX($AR$5:$AR$1000,$U81-4)),MONTH(INDEX($AR$5:$AR$1000,$U81-4)),1),IF(ISNUMBER(INDEX($AS$5:$AS$1000,$U81-4)),DATE(YEAR(INDEX($AS$5:$AS$1000,$U81-4)),MONTH(INDEX($AS$5:$AS$1000,$U81-4)),1),MesCiclo)),IF(ISNUMBER($AR81),DATE(YEAR($AR81),MONTH($AR81),1),IF(ISNUMBER($AS81),DATE(YEAR($AS81),MONTH($AS81),1),MesCiclo))))</f>
        <v/>
      </c>
      <c r="T81" s="62">
        <f>IF(OR($S81="",$S81&lt;&gt;MesCiclo,$V81&lt;&gt;"Macro"),"",COUNTIFS($S$5:$S81,MesCiclo,$V$5:$V81,"Macro"))</f>
        <v/>
      </c>
      <c r="U81" s="62">
        <f>IF($V81="","",IF($V81="Macro",ROW(),IFERROR(LOOKUP(2,1/($V$5:$V81="Macro"),ROW($V$5:$V81)),0)))</f>
        <v/>
      </c>
      <c r="V81" s="62">
        <f>IF(NOT((COUNTA($B81:$D81)+COUNTA($G81:$H81)+COUNTA($Q81))&gt;0),"",IF($B81="Subactividad","Sub","Macro"))</f>
        <v/>
      </c>
      <c r="W81" s="62">
        <f>IF($V81="Macro",COUNTIFS($U$5:$U$1000,ROW(),$V$5:$V$1000,"Sub"),"")</f>
        <v/>
      </c>
      <c r="X81" s="62">
        <f>IF($V81&lt;&gt;"Sub","",IF(AND(ISNUMBER($H81),N($H81)&gt;0),$H81,IFERROR(MAX(0,1-SUMIFS($H$5:$H$1000,$U$5:$U$1000,$U81,$V$5:$V$1000,"Sub"))/(COUNTIFS($U$5:$U$1000,$U81,$V$5:$V$1000,"Sub")-COUNTIFS($U$5:$U$1000,$U81,$V$5:$V$1000,"Sub",$H$5:$H$1000,"&gt;0")),0)))</f>
        <v/>
      </c>
      <c r="Y81" s="62">
        <f>IF($V81="","",IF($V81="Sub",N($X81)*IF(ISNUMBER($G81),1,MIN(1,MAX(0,IFERROR(LOOKUP(2,1/ISNUMBER($I81:$L81),$I81:$L81),0)))),IF(ISNUMBER($G81),1,IFERROR(LOOKUP(2,1/($I81:$L81&lt;&gt;""),$I81:$L81),0))))</f>
        <v/>
      </c>
      <c r="Z81" s="62">
        <f>IF($V81="","",IF(AND(ISNUMBER($G81),$G81&lt;=IF($S81=MesCiclo,InicioCiclo,$S81+MOD(2-WEEKDAY($S81),7))+6),1,IF(ISNUMBER($I81),$I81,0)))</f>
        <v/>
      </c>
      <c r="AA81" s="62">
        <f>IF($V81="","",IF(AND(ISNUMBER($G81),$G81&lt;=IF($S81=MesCiclo,InicioCiclo,$S81+MOD(2-WEEKDAY($S81),7))+13),1,IF(ISNUMBER($J81),$J81,$Z81)))</f>
        <v/>
      </c>
      <c r="AB81" s="62">
        <f>IF($V81="","",IF(AND(ISNUMBER($G81),$G81&lt;=IF($S81=MesCiclo,InicioCiclo,$S81+MOD(2-WEEKDAY($S81),7))+20),1,IF(ISNUMBER($K81),$K81,$AA81)))</f>
        <v/>
      </c>
      <c r="AC81" s="62">
        <f>IF($V81="","",IF(AND(ISNUMBER($G81),$G81&lt;=IF($S81=MesCiclo,InicioCiclo,$S81+MOD(2-WEEKDAY($S81),7))+27),1,IF(ISNUMBER($L81),$L81,$AB81)))</f>
        <v/>
      </c>
      <c r="AD81" s="62">
        <f>IF($V81&lt;&gt;"Sub","",N($X81)*IF(AND(ISNUMBER($G81),$G81&lt;=IF($S81=MesCiclo,InicioCiclo,$S81+MOD(2-WEEKDAY($S81),7))+6),1,MIN(1,MAX(0,IF(ISNUMBER(OFFSET($A$1,ROW()-1,8)),OFFSET($A$1,ROW()-1,8),0)))))</f>
        <v/>
      </c>
      <c r="AE81" s="62">
        <f>IF($V81&lt;&gt;"Sub","",N($X81)*IF(AND(ISNUMBER($G81),$G81&lt;=IF($S81=MesCiclo,InicioCiclo,$S81+MOD(2-WEEKDAY($S81),7))+13),1,MIN(1,MAX(0,IF(ISNUMBER(OFFSET($A$1,ROW()-1,9)),OFFSET($A$1,ROW()-1,9),IF(ISNUMBER(OFFSET($A$1,ROW()-1,8)),OFFSET($A$1,ROW()-1,8),0))))))</f>
        <v/>
      </c>
      <c r="AF81" s="62">
        <f>IF($V81&lt;&gt;"Sub","",N($X81)*IF(AND(ISNUMBER($G81),$G81&lt;=IF($S81=MesCiclo,InicioCiclo,$S81+MOD(2-WEEKDAY($S81),7))+20),1,MIN(1,MAX(0,IF(ISNUMBER(OFFSET($A$1,ROW()-1,10)),OFFSET($A$1,ROW()-1,10),IF(ISNUMBER(OFFSET($A$1,ROW()-1,9)),OFFSET($A$1,ROW()-1,9),IF(ISNUMBER(OFFSET($A$1,ROW()-1,8)),OFFSET($A$1,ROW()-1,8),0)))))))</f>
        <v/>
      </c>
      <c r="AG81" s="62">
        <f>IF($V81&lt;&gt;"Sub","",N($X81)*IF(AND(ISNUMBER($G81),$G81&lt;=IF($S81=MesCiclo,InicioCiclo,$S81+MOD(2-WEEKDAY($S81),7))+27),1,MIN(1,MAX(0,IF(ISNUMBER(OFFSET($A$1,ROW()-1,11)),OFFSET($A$1,ROW()-1,11),IF(ISNUMBER(OFFSET($A$1,ROW()-1,10)),OFFSET($A$1,ROW()-1,10),IF(ISNUMBER(OFFSET($A$1,ROW()-1,9)),OFFSET($A$1,ROW()-1,9),IF(ISNUMBER(OFFSET($A$1,ROW()-1,8)),OFFSET($A$1,ROW()-1,8),0))))))))</f>
        <v/>
      </c>
      <c r="AH81" s="62">
        <f>IF($V81="","",IF(AND(ISNUMBER($G81),$G81&lt;=IF($S81=MesCiclo,InicioCiclo,$S81+MOD(2-WEEKDAY($S81),7))+6),1,IF(N($W81)&gt;0,MIN(1,SUMIFS($AD$5:$AD$1000,$U$5:$U$1000,ROW(),$V$5:$V$1000,"Sub")),$Z81)))</f>
        <v/>
      </c>
      <c r="AI81" s="62">
        <f>IF($V81="","",IF(AND(ISNUMBER($G81),$G81&lt;=IF($S81=MesCiclo,InicioCiclo,$S81+MOD(2-WEEKDAY($S81),7))+13),1,IF(N($W81)&gt;0,MIN(1,SUMIFS($AE$5:$AE$1000,$U$5:$U$1000,ROW(),$V$5:$V$1000,"Sub")),$AA81)))</f>
        <v/>
      </c>
      <c r="AJ81" s="62">
        <f>IF($V81="","",IF(AND(ISNUMBER($G81),$G81&lt;=IF($S81=MesCiclo,InicioCiclo,$S81+MOD(2-WEEKDAY($S81),7))+20),1,IF(N($W81)&gt;0,MIN(1,SUMIFS($AF$5:$AF$1000,$U$5:$U$1000,ROW(),$V$5:$V$1000,"Sub")),$AB81)))</f>
        <v/>
      </c>
      <c r="AK81" s="62">
        <f>IF($V81="","",IF(AND(ISNUMBER($G81),$G81&lt;=IF($S81=MesCiclo,InicioCiclo,$S81+MOD(2-WEEKDAY($S81),7))+27),1,IF(N($W81)&gt;0,MIN(1,SUMIFS($AG$5:$AG$1000,$U$5:$U$1000,ROW(),$V$5:$V$1000,"Sub")),$AC81)))</f>
        <v/>
      </c>
      <c r="AL81" s="62">
        <f>IF($V81&lt;&gt;"Macro","",IF(COUNTIFS($S$5:$S$1000,$S81,$V$5:$V$1000,"Macro",$H$5:$H$1000,"&gt;0")=0,1/COUNTIFS($S$5:$S$1000,$S81,$V$5:$V$1000,"Macro"),IF(AND(ISNUMBER($H81),N($H81)&gt;0),$H81,SUMIFS($H$5:$H$1000,$S$5:$S$1000,$S81,$V$5:$V$1000,"Macro")/COUNTIFS($S$5:$S$1000,$S81,$V$5:$V$1000,"Macro",$H$5:$H$1000,"&gt;0"))/(COUNTIFS($S$5:$S$1000,$S81,$V$5:$V$1000,"Macro")*SUMIFS($H$5:$H$1000,$S$5:$S$1000,$S81,$V$5:$V$1000,"Macro")/COUNTIFS($S$5:$S$1000,$S81,$V$5:$V$1000,"Macro",$H$5:$H$1000,"&gt;0"))))</f>
        <v/>
      </c>
      <c r="AM81" s="62" t="n"/>
      <c r="AN81" s="62" t="n"/>
      <c r="AO81" s="62" t="n"/>
      <c r="AP81" s="62" t="n"/>
      <c r="AQ81" s="62">
        <f>IF(LEFT($C81,11)="[Jefatura] ",IFERROR(MATCH("Asistente Técnico de Riesgo|"&amp;MID($C81,12,500),rDname_ADM,0),0),"")</f>
        <v/>
      </c>
      <c r="AR81" s="62">
        <f>IF(N($AQ81)&gt;0,INDEX(rIni_ADM,$AQ81),IF(ISNUMBER($E81),$E81,""))</f>
        <v/>
      </c>
      <c r="AS81" s="62">
        <f>IF(N($AQ81)&gt;0,INDEX(rLim_ADM,$AQ81),IF(ISNUMBER($F81),$F81,""))</f>
        <v/>
      </c>
    </row>
    <row r="82">
      <c r="A82" s="56">
        <f>IF(NOT((COUNTA($B82:$D82)+COUNTA($G82:$H82)+COUNTA($Q82))&gt;0),"",IF($V82="Macro",COUNTIFS($V$5:$V82,"Macro",$S$5:$S82,$S82),IF(N($U82)=0,"?",COUNTIFS(INDEX($V$5:$V$1000,1):INDEX($V$5:$V$1000,$U82-4),"Macro",INDEX($S$5:$S$1000,1):INDEX($S$5:$S$1000,$U82-4),INDEX($S$5:$S$1000,$U82-4))&amp;"."&amp;COUNTIFS($U$5:$U82,$U82,$V$5:$V82,"Sub"))))</f>
        <v/>
      </c>
      <c r="B82" s="57" t="n"/>
      <c r="C82" s="58" t="n"/>
      <c r="D82" s="58" t="n"/>
      <c r="E82" s="59">
        <f>IF(N($AQ82)&gt;0,INDEX(rIni_ADM,$AQ82),"")</f>
        <v/>
      </c>
      <c r="F82" s="59">
        <f>IF(N($AQ82)&gt;0,INDEX(rLim_ADM,$AQ82),"")</f>
        <v/>
      </c>
      <c r="G82" s="59" t="n"/>
      <c r="H82" s="60" t="n"/>
      <c r="I82" s="60">
        <f>IF(N($W82)=0,"",IF(AND($S82=MesCiclo,1&gt;SemanaActual),"",MIN(1,SUMIFS(OFFSET($A$1,ROW(),29,1000-ROW(),1),OFFSET($A$1,ROW(),20,1000-ROW(),1),ROW(),OFFSET($A$1,ROW(),21,1000-ROW(),1),"Sub"))))</f>
        <v/>
      </c>
      <c r="J82" s="60">
        <f>IF(N($W82)=0,"",IF(AND($S82=MesCiclo,2&gt;SemanaActual),"",MIN(1,SUMIFS(OFFSET($A$1,ROW(),30,1000-ROW(),1),OFFSET($A$1,ROW(),20,1000-ROW(),1),ROW(),OFFSET($A$1,ROW(),21,1000-ROW(),1),"Sub"))))</f>
        <v/>
      </c>
      <c r="K82" s="60">
        <f>IF(N($W82)=0,"",IF(AND($S82=MesCiclo,3&gt;SemanaActual),"",MIN(1,SUMIFS(OFFSET($A$1,ROW(),31,1000-ROW(),1),OFFSET($A$1,ROW(),20,1000-ROW(),1),ROW(),OFFSET($A$1,ROW(),21,1000-ROW(),1),"Sub"))))</f>
        <v/>
      </c>
      <c r="L82" s="60">
        <f>IF(N($W82)=0,"",IF(AND($S82=MesCiclo,4&gt;SemanaActual),"",MIN(1,SUMIFS(OFFSET($A$1,ROW(),32,1000-ROW(),1),OFFSET($A$1,ROW(),20,1000-ROW(),1),ROW(),OFFSET($A$1,ROW(),21,1000-ROW(),1),"Sub"))))</f>
        <v/>
      </c>
      <c r="M82" s="61">
        <f>IF(OR(NOT((COUNTA($B82:$D82)+COUNTA($G82:$H82)+COUNTA($Q82))&gt;0),$V82="Sub"),"",IF(ISNUMBER($G82),1,IF(N($W82)&gt;0,MIN(1,SUMIFS($Y$5:$Y$1000,$U$5:$U$1000,ROW(),$V$5:$V$1000,"Sub")),$Y82)))</f>
        <v/>
      </c>
      <c r="N82" s="56">
        <f>IF(OR($M82="",$V82="Sub"),"",IF($M82&gt;=1,"Completado",IF($M82&gt;0,"En curso","Pendiente")))</f>
        <v/>
      </c>
      <c r="O82" s="56">
        <f>IF(OR(NOT((COUNTA($B82:$D82)+COUNTA($G82:$H82)+COUNTA($Q82))&gt;0),$V82="Sub"),"",IF(ISNUMBER($G82),IF(AND(ISNUMBER($AS82),$G82&gt;$AS82),"Cumplida con "&amp;($G82-$AS82)&amp;IF($G82-$AS82=1," día"," días")&amp;" de retraso","Cumplida"),IF(N($M82)&gt;=1,"Cumplida",IF(NOT(ISNUMBER($AS82)),"Sin fecha límite",IF($AS82&lt;FechaRef,"Vencida hace "&amp;(FechaRef-$AS82)&amp;IF(FechaRef-$AS82=1," día"," días"),IF($AS82=FechaRef,"Vence hoy",IF($AS82-FechaRef&lt;=DiasAlerta,"Vence en "&amp;($AS82-FechaRef)&amp;IF($AS82-FechaRef=1," día"," días"),"En plazo")))))))</f>
        <v/>
      </c>
      <c r="P82" s="62" t="n"/>
      <c r="Q82" s="58" t="n"/>
      <c r="R82" s="63">
        <f>IF(NOT((COUNTA($B82:$D82)+COUNTA($G82:$H82)+COUNTA($Q82))&gt;0),"",IF((IF($C82="","Falta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 OK","⚠ "&amp;LEFT(IF($C82="","Falta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",""),LEN(IF($C82="","Falta el nombre de la actividad"&amp;" · ","")&amp;IF(AND($V82="Sub",N($U82)=0),"Subactividad sin macroactividad arriba"&amp;" · ","")&amp;IF(AND($V82="Macro",$AR82=""),"Sin fecha de inicio"&amp;" · ","")&amp;IF(AND($V82="Macro",$AS82=""),"Sin fecha límite"&amp;" · ","")&amp;IF(AND(LEFT($C82,11)="[Jefatura] ",N($AQ82)=0),"No se encuentra en la hoja de la jefatura (elíjala de nuevo en la lista)"&amp;" · ","")&amp;IF(OR(AND($E82&lt;&gt;"",NOT(ISNUMBER($E82))),AND($F82&lt;&gt;"",NOT(ISNUMBER($F82))),AND($G82&lt;&gt;"",NOT(ISNUMBER($G82)))),"Fecha no válida"&amp;" · ","")&amp;IF(AND(ISNUMBER($AR82),ISNUMBER($AS82),$AR82&gt;$AS82),"Inicio posterior a fecha límite"&amp;" · ","")&amp;IF(AND($V82="Macro",$H82&lt;&gt;"",OR(NOT(ISNUMBER($H82)),$H82&lt;0,$H82&gt;1)),"Peso fuera de rango"&amp;" · ","")&amp;IF(AND($V82="Sub",$H82&lt;&gt;"",OR(NOT(ISNUMBER($H82)),$H82&lt;0,$H82&gt;1)),"% de la subactividad fuera de rango 0-100%"&amp;" · ","")&amp;IF(AND(N($W82)&gt;0,SUMIFS($H$5:$H$1000,$U$5:$U$1000,ROW(),$V$5:$V$1000,"Sub")&gt;1.0001),"Las subactividades suman más de 100%"&amp;" · ","")&amp;IF(AND(N($W82)&gt;0,OR(IF(ISNUMBER($I82),ROUND($I82,6)&lt;&gt;ROUND(MIN(1,SUMIFS($AD$5:$AD$1000,$U$5:$U$1000,ROW(),$V$5:$V$1000,"Sub")),6),FALSE),IF(ISNUMBER($J82),ROUND($J82,6)&lt;&gt;ROUND(MIN(1,SUMIFS($AE$5:$AE$1000,$U$5:$U$1000,ROW(),$V$5:$V$1000,"Sub")),6),FALSE),IF(ISNUMBER($K82),ROUND($K82,6)&lt;&gt;ROUND(MIN(1,SUMIFS($AF$5:$AF$1000,$U$5:$U$1000,ROW(),$V$5:$V$1000,"Sub")),6),FALSE),IF(ISNUMBER($L82),ROUND($L82,6)&lt;&gt;ROUND(MIN(1,SUMIFS($AG$5:$AG$1000,$U$5:$U$1000,ROW(),$V$5:$V$1000,"Sub")),6),FALSE))),"Con subactividades: no escriba en las semanas (se llenan solas)"&amp;" · ","")&amp;IF((COUNTIF($I82:$L82,"&gt;1")+COUNTIF($I82:$L82,"&lt;0")+SUMPRODUCT((LEN($I82:$L82)&gt;0)*NOT(ISNUMBER($I82:$L82))))&gt;0,"Avance fuera de rango 0-100%"&amp;" · ","")&amp;IF(OR(AND(ISNUMBER($J82),$J82&lt;N($I82)),AND(ISNUMBER($K82),$K82&lt;MAX($I82:$J82)),AND(ISNUMBER($L82),$L82&lt;MAX($I82:$K82))),"Avance semanal decreciente"&amp;" · ","")&amp;IF(AND(ISNUMBER($AS82),$AS82&lt;FechaRef,IF($V82="Sub",1,N($M82))&lt;1),"Vencida"&amp;" · ","")&amp;IF(AND(ObsObligatoria="Sí",ISNUMBER($AS82),$AS82&lt;FechaRef,IF($V82="Sub",1,N($M82))&lt;1,$Q82=""),"Vencida sin observación"&amp;" · ",""))-3)))</f>
        <v/>
      </c>
      <c r="S82" s="64">
        <f>IF(NOT((COUNTA($B82:$D82)+COUNTA($G82:$H82)+COUNTA($Q82))&gt;0),"",IF(AND($V82="Sub",N($U82)&gt;0),IF(ISNUMBER(INDEX($AR$5:$AR$1000,$U82-4)),DATE(YEAR(INDEX($AR$5:$AR$1000,$U82-4)),MONTH(INDEX($AR$5:$AR$1000,$U82-4)),1),IF(ISNUMBER(INDEX($AS$5:$AS$1000,$U82-4)),DATE(YEAR(INDEX($AS$5:$AS$1000,$U82-4)),MONTH(INDEX($AS$5:$AS$1000,$U82-4)),1),MesCiclo)),IF(ISNUMBER($AR82),DATE(YEAR($AR82),MONTH($AR82),1),IF(ISNUMBER($AS82),DATE(YEAR($AS82),MONTH($AS82),1),MesCiclo))))</f>
        <v/>
      </c>
      <c r="T82" s="62">
        <f>IF(OR($S82="",$S82&lt;&gt;MesCiclo,$V82&lt;&gt;"Macro"),"",COUNTIFS($S$5:$S82,MesCiclo,$V$5:$V82,"Macro"))</f>
        <v/>
      </c>
      <c r="U82" s="62">
        <f>IF($V82="","",IF($V82="Macro",ROW(),IFERROR(LOOKUP(2,1/($V$5:$V82="Macro"),ROW($V$5:$V82)),0)))</f>
        <v/>
      </c>
      <c r="V82" s="62">
        <f>IF(NOT((COUNTA($B82:$D82)+COUNTA($G82:$H82)+COUNTA($Q82))&gt;0),"",IF($B82="Subactividad","Sub","Macro"))</f>
        <v/>
      </c>
      <c r="W82" s="62">
        <f>IF($V82="Macro",COUNTIFS($U$5:$U$1000,ROW(),$V$5:$V$1000,"Sub"),"")</f>
        <v/>
      </c>
      <c r="X82" s="62">
        <f>IF($V82&lt;&gt;"Sub","",IF(AND(ISNUMBER($H82),N($H82)&gt;0),$H82,IFERROR(MAX(0,1-SUMIFS($H$5:$H$1000,$U$5:$U$1000,$U82,$V$5:$V$1000,"Sub"))/(COUNTIFS($U$5:$U$1000,$U82,$V$5:$V$1000,"Sub")-COUNTIFS($U$5:$U$1000,$U82,$V$5:$V$1000,"Sub",$H$5:$H$1000,"&gt;0")),0)))</f>
        <v/>
      </c>
      <c r="Y82" s="62">
        <f>IF($V82="","",IF($V82="Sub",N($X82)*IF(ISNUMBER($G82),1,MIN(1,MAX(0,IFERROR(LOOKUP(2,1/ISNUMBER($I82:$L82),$I82:$L82),0)))),IF(ISNUMBER($G82),1,IFERROR(LOOKUP(2,1/($I82:$L82&lt;&gt;""),$I82:$L82),0))))</f>
        <v/>
      </c>
      <c r="Z82" s="62">
        <f>IF($V82="","",IF(AND(ISNUMBER($G82),$G82&lt;=IF($S82=MesCiclo,InicioCiclo,$S82+MOD(2-WEEKDAY($S82),7))+6),1,IF(ISNUMBER($I82),$I82,0)))</f>
        <v/>
      </c>
      <c r="AA82" s="62">
        <f>IF($V82="","",IF(AND(ISNUMBER($G82),$G82&lt;=IF($S82=MesCiclo,InicioCiclo,$S82+MOD(2-WEEKDAY($S82),7))+13),1,IF(ISNUMBER($J82),$J82,$Z82)))</f>
        <v/>
      </c>
      <c r="AB82" s="62">
        <f>IF($V82="","",IF(AND(ISNUMBER($G82),$G82&lt;=IF($S82=MesCiclo,InicioCiclo,$S82+MOD(2-WEEKDAY($S82),7))+20),1,IF(ISNUMBER($K82),$K82,$AA82)))</f>
        <v/>
      </c>
      <c r="AC82" s="62">
        <f>IF($V82="","",IF(AND(ISNUMBER($G82),$G82&lt;=IF($S82=MesCiclo,InicioCiclo,$S82+MOD(2-WEEKDAY($S82),7))+27),1,IF(ISNUMBER($L82),$L82,$AB82)))</f>
        <v/>
      </c>
      <c r="AD82" s="62">
        <f>IF($V82&lt;&gt;"Sub","",N($X82)*IF(AND(ISNUMBER($G82),$G82&lt;=IF($S82=MesCiclo,InicioCiclo,$S82+MOD(2-WEEKDAY($S82),7))+6),1,MIN(1,MAX(0,IF(ISNUMBER(OFFSET($A$1,ROW()-1,8)),OFFSET($A$1,ROW()-1,8),0)))))</f>
        <v/>
      </c>
      <c r="AE82" s="62">
        <f>IF($V82&lt;&gt;"Sub","",N($X82)*IF(AND(ISNUMBER($G82),$G82&lt;=IF($S82=MesCiclo,InicioCiclo,$S82+MOD(2-WEEKDAY($S82),7))+13),1,MIN(1,MAX(0,IF(ISNUMBER(OFFSET($A$1,ROW()-1,9)),OFFSET($A$1,ROW()-1,9),IF(ISNUMBER(OFFSET($A$1,ROW()-1,8)),OFFSET($A$1,ROW()-1,8),0))))))</f>
        <v/>
      </c>
      <c r="AF82" s="62">
        <f>IF($V82&lt;&gt;"Sub","",N($X82)*IF(AND(ISNUMBER($G82),$G82&lt;=IF($S82=MesCiclo,InicioCiclo,$S82+MOD(2-WEEKDAY($S82),7))+20),1,MIN(1,MAX(0,IF(ISNUMBER(OFFSET($A$1,ROW()-1,10)),OFFSET($A$1,ROW()-1,10),IF(ISNUMBER(OFFSET($A$1,ROW()-1,9)),OFFSET($A$1,ROW()-1,9),IF(ISNUMBER(OFFSET($A$1,ROW()-1,8)),OFFSET($A$1,ROW()-1,8),0)))))))</f>
        <v/>
      </c>
      <c r="AG82" s="62">
        <f>IF($V82&lt;&gt;"Sub","",N($X82)*IF(AND(ISNUMBER($G82),$G82&lt;=IF($S82=MesCiclo,InicioCiclo,$S82+MOD(2-WEEKDAY($S82),7))+27),1,MIN(1,MAX(0,IF(ISNUMBER(OFFSET($A$1,ROW()-1,11)),OFFSET($A$1,ROW()-1,11),IF(ISNUMBER(OFFSET($A$1,ROW()-1,10)),OFFSET($A$1,ROW()-1,10),IF(ISNUMBER(OFFSET($A$1,ROW()-1,9)),OFFSET($A$1,ROW()-1,9),IF(ISNUMBER(OFFSET($A$1,ROW()-1,8)),OFFSET($A$1,ROW()-1,8),0))))))))</f>
        <v/>
      </c>
      <c r="AH82" s="62">
        <f>IF($V82="","",IF(AND(ISNUMBER($G82),$G82&lt;=IF($S82=MesCiclo,InicioCiclo,$S82+MOD(2-WEEKDAY($S82),7))+6),1,IF(N($W82)&gt;0,MIN(1,SUMIFS($AD$5:$AD$1000,$U$5:$U$1000,ROW(),$V$5:$V$1000,"Sub")),$Z82)))</f>
        <v/>
      </c>
      <c r="AI82" s="62">
        <f>IF($V82="","",IF(AND(ISNUMBER($G82),$G82&lt;=IF($S82=MesCiclo,InicioCiclo,$S82+MOD(2-WEEKDAY($S82),7))+13),1,IF(N($W82)&gt;0,MIN(1,SUMIFS($AE$5:$AE$1000,$U$5:$U$1000,ROW(),$V$5:$V$1000,"Sub")),$AA82)))</f>
        <v/>
      </c>
      <c r="AJ82" s="62">
        <f>IF($V82="","",IF(AND(ISNUMBER($G82),$G82&lt;=IF($S82=MesCiclo,InicioCiclo,$S82+MOD(2-WEEKDAY($S82),7))+20),1,IF(N($W82)&gt;0,MIN(1,SUMIFS($AF$5:$AF$1000,$U$5:$U$1000,ROW(),$V$5:$V$1000,"Sub")),$AB82)))</f>
        <v/>
      </c>
      <c r="AK82" s="62">
        <f>IF($V82="","",IF(AND(ISNUMBER($G82),$G82&lt;=IF($S82=MesCiclo,InicioCiclo,$S82+MOD(2-WEEKDAY($S82),7))+27),1,IF(N($W82)&gt;0,MIN(1,SUMIFS($AG$5:$AG$1000,$U$5:$U$1000,ROW(),$V$5:$V$1000,"Sub")),$AC82)))</f>
        <v/>
      </c>
      <c r="AL82" s="62">
        <f>IF($V82&lt;&gt;"Macro","",IF(COUNTIFS($S$5:$S$1000,$S82,$V$5:$V$1000,"Macro",$H$5:$H$1000,"&gt;0")=0,1/COUNTIFS($S$5:$S$1000,$S82,$V$5:$V$1000,"Macro"),IF(AND(ISNUMBER($H82),N($H82)&gt;0),$H82,SUMIFS($H$5:$H$1000,$S$5:$S$1000,$S82,$V$5:$V$1000,"Macro")/COUNTIFS($S$5:$S$1000,$S82,$V$5:$V$1000,"Macro",$H$5:$H$1000,"&gt;0"))/(COUNTIFS($S$5:$S$1000,$S82,$V$5:$V$1000,"Macro")*SUMIFS($H$5:$H$1000,$S$5:$S$1000,$S82,$V$5:$V$1000,"Macro")/COUNTIFS($S$5:$S$1000,$S82,$V$5:$V$1000,"Macro",$H$5:$H$1000,"&gt;0"))))</f>
        <v/>
      </c>
      <c r="AM82" s="62" t="n"/>
      <c r="AN82" s="62" t="n"/>
      <c r="AO82" s="62" t="n"/>
      <c r="AP82" s="62" t="n"/>
      <c r="AQ82" s="62">
        <f>IF(LEFT($C82,11)="[Jefatura] ",IFERROR(MATCH("Asistente Técnico de Riesgo|"&amp;MID($C82,12,500),rDname_ADM,0),0),"")</f>
        <v/>
      </c>
      <c r="AR82" s="62">
        <f>IF(N($AQ82)&gt;0,INDEX(rIni_ADM,$AQ82),IF(ISNUMBER($E82),$E82,""))</f>
        <v/>
      </c>
      <c r="AS82" s="62">
        <f>IF(N($AQ82)&gt;0,INDEX(rLim_ADM,$AQ82),IF(ISNUMBER($F82),$F82,""))</f>
        <v/>
      </c>
    </row>
    <row r="83">
      <c r="A83" s="56">
        <f>IF(NOT((COUNTA($B83:$D83)+COUNTA($G83:$H83)+COUNTA($Q83))&gt;0),"",IF($V83="Macro",COUNTIFS($V$5:$V83,"Macro",$S$5:$S83,$S83),IF(N($U83)=0,"?",COUNTIFS(INDEX($V$5:$V$1000,1):INDEX($V$5:$V$1000,$U83-4),"Macro",INDEX($S$5:$S$1000,1):INDEX($S$5:$S$1000,$U83-4),INDEX($S$5:$S$1000,$U83-4))&amp;"."&amp;COUNTIFS($U$5:$U83,$U83,$V$5:$V83,"Sub"))))</f>
        <v/>
      </c>
      <c r="B83" s="57" t="n"/>
      <c r="C83" s="58" t="n"/>
      <c r="D83" s="58" t="n"/>
      <c r="E83" s="59">
        <f>IF(N($AQ83)&gt;0,INDEX(rIni_ADM,$AQ83),"")</f>
        <v/>
      </c>
      <c r="F83" s="59">
        <f>IF(N($AQ83)&gt;0,INDEX(rLim_ADM,$AQ83),"")</f>
        <v/>
      </c>
      <c r="G83" s="59" t="n"/>
      <c r="H83" s="60" t="n"/>
      <c r="I83" s="60">
        <f>IF(N($W83)=0,"",IF(AND($S83=MesCiclo,1&gt;SemanaActual),"",MIN(1,SUMIFS(OFFSET($A$1,ROW(),29,1000-ROW(),1),OFFSET($A$1,ROW(),20,1000-ROW(),1),ROW(),OFFSET($A$1,ROW(),21,1000-ROW(),1),"Sub"))))</f>
        <v/>
      </c>
      <c r="J83" s="60">
        <f>IF(N($W83)=0,"",IF(AND($S83=MesCiclo,2&gt;SemanaActual),"",MIN(1,SUMIFS(OFFSET($A$1,ROW(),30,1000-ROW(),1),OFFSET($A$1,ROW(),20,1000-ROW(),1),ROW(),OFFSET($A$1,ROW(),21,1000-ROW(),1),"Sub"))))</f>
        <v/>
      </c>
      <c r="K83" s="60">
        <f>IF(N($W83)=0,"",IF(AND($S83=MesCiclo,3&gt;SemanaActual),"",MIN(1,SUMIFS(OFFSET($A$1,ROW(),31,1000-ROW(),1),OFFSET($A$1,ROW(),20,1000-ROW(),1),ROW(),OFFSET($A$1,ROW(),21,1000-ROW(),1),"Sub"))))</f>
        <v/>
      </c>
      <c r="L83" s="60">
        <f>IF(N($W83)=0,"",IF(AND($S83=MesCiclo,4&gt;SemanaActual),"",MIN(1,SUMIFS(OFFSET($A$1,ROW(),32,1000-ROW(),1),OFFSET($A$1,ROW(),20,1000-ROW(),1),ROW(),OFFSET($A$1,ROW(),21,1000-ROW(),1),"Sub"))))</f>
        <v/>
      </c>
      <c r="M83" s="61">
        <f>IF(OR(NOT((COUNTA($B83:$D83)+COUNTA($G83:$H83)+COUNTA($Q83))&gt;0),$V83="Sub"),"",IF(ISNUMBER($G83),1,IF(N($W83)&gt;0,MIN(1,SUMIFS($Y$5:$Y$1000,$U$5:$U$1000,ROW(),$V$5:$V$1000,"Sub")),$Y83)))</f>
        <v/>
      </c>
      <c r="N83" s="56">
        <f>IF(OR($M83="",$V83="Sub"),"",IF($M83&gt;=1,"Completado",IF($M83&gt;0,"En curso","Pendiente")))</f>
        <v/>
      </c>
      <c r="O83" s="56">
        <f>IF(OR(NOT((COUNTA($B83:$D83)+COUNTA($G83:$H83)+COUNTA($Q83))&gt;0),$V83="Sub"),"",IF(ISNUMBER($G83),IF(AND(ISNUMBER($AS83),$G83&gt;$AS83),"Cumplida con "&amp;($G83-$AS83)&amp;IF($G83-$AS83=1," día"," días")&amp;" de retraso","Cumplida"),IF(N($M83)&gt;=1,"Cumplida",IF(NOT(ISNUMBER($AS83)),"Sin fecha límite",IF($AS83&lt;FechaRef,"Vencida hace "&amp;(FechaRef-$AS83)&amp;IF(FechaRef-$AS83=1," día"," días"),IF($AS83=FechaRef,"Vence hoy",IF($AS83-FechaRef&lt;=DiasAlerta,"Vence en "&amp;($AS83-FechaRef)&amp;IF($AS83-FechaRef=1," día"," días"),"En plazo")))))))</f>
        <v/>
      </c>
      <c r="P83" s="62" t="n"/>
      <c r="Q83" s="58" t="n"/>
      <c r="R83" s="63">
        <f>IF(NOT((COUNTA($B83:$D83)+COUNTA($G83:$H83)+COUNTA($Q83))&gt;0),"",IF((IF($C83="","Falta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 OK","⚠ "&amp;LEFT(IF($C83="","Falta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",""),LEN(IF($C83="","Falta el nombre de la actividad"&amp;" · ","")&amp;IF(AND($V83="Sub",N($U83)=0),"Subactividad sin macroactividad arriba"&amp;" · ","")&amp;IF(AND($V83="Macro",$AR83=""),"Sin fecha de inicio"&amp;" · ","")&amp;IF(AND($V83="Macro",$AS83=""),"Sin fecha límite"&amp;" · ","")&amp;IF(AND(LEFT($C83,11)="[Jefatura] ",N($AQ83)=0),"No se encuentra en la hoja de la jefatura (elíjala de nuevo en la lista)"&amp;" · ","")&amp;IF(OR(AND($E83&lt;&gt;"",NOT(ISNUMBER($E83))),AND($F83&lt;&gt;"",NOT(ISNUMBER($F83))),AND($G83&lt;&gt;"",NOT(ISNUMBER($G83)))),"Fecha no válida"&amp;" · ","")&amp;IF(AND(ISNUMBER($AR83),ISNUMBER($AS83),$AR83&gt;$AS83),"Inicio posterior a fecha límite"&amp;" · ","")&amp;IF(AND($V83="Macro",$H83&lt;&gt;"",OR(NOT(ISNUMBER($H83)),$H83&lt;0,$H83&gt;1)),"Peso fuera de rango"&amp;" · ","")&amp;IF(AND($V83="Sub",$H83&lt;&gt;"",OR(NOT(ISNUMBER($H83)),$H83&lt;0,$H83&gt;1)),"% de la subactividad fuera de rango 0-100%"&amp;" · ","")&amp;IF(AND(N($W83)&gt;0,SUMIFS($H$5:$H$1000,$U$5:$U$1000,ROW(),$V$5:$V$1000,"Sub")&gt;1.0001),"Las subactividades suman más de 100%"&amp;" · ","")&amp;IF(AND(N($W83)&gt;0,OR(IF(ISNUMBER($I83),ROUND($I83,6)&lt;&gt;ROUND(MIN(1,SUMIFS($AD$5:$AD$1000,$U$5:$U$1000,ROW(),$V$5:$V$1000,"Sub")),6),FALSE),IF(ISNUMBER($J83),ROUND($J83,6)&lt;&gt;ROUND(MIN(1,SUMIFS($AE$5:$AE$1000,$U$5:$U$1000,ROW(),$V$5:$V$1000,"Sub")),6),FALSE),IF(ISNUMBER($K83),ROUND($K83,6)&lt;&gt;ROUND(MIN(1,SUMIFS($AF$5:$AF$1000,$U$5:$U$1000,ROW(),$V$5:$V$1000,"Sub")),6),FALSE),IF(ISNUMBER($L83),ROUND($L83,6)&lt;&gt;ROUND(MIN(1,SUMIFS($AG$5:$AG$1000,$U$5:$U$1000,ROW(),$V$5:$V$1000,"Sub")),6),FALSE))),"Con subactividades: no escriba en las semanas (se llenan solas)"&amp;" · ","")&amp;IF((COUNTIF($I83:$L83,"&gt;1")+COUNTIF($I83:$L83,"&lt;0")+SUMPRODUCT((LEN($I83:$L83)&gt;0)*NOT(ISNUMBER($I83:$L83))))&gt;0,"Avance fuera de rango 0-100%"&amp;" · ","")&amp;IF(OR(AND(ISNUMBER($J83),$J83&lt;N($I83)),AND(ISNUMBER($K83),$K83&lt;MAX($I83:$J83)),AND(ISNUMBER($L83),$L83&lt;MAX($I83:$K83))),"Avance semanal decreciente"&amp;" · ","")&amp;IF(AND(ISNUMBER($AS83),$AS83&lt;FechaRef,IF($V83="Sub",1,N($M83))&lt;1),"Vencida"&amp;" · ","")&amp;IF(AND(ObsObligatoria="Sí",ISNUMBER($AS83),$AS83&lt;FechaRef,IF($V83="Sub",1,N($M83))&lt;1,$Q83=""),"Vencida sin observación"&amp;" · ",""))-3)))</f>
        <v/>
      </c>
      <c r="S83" s="64">
        <f>IF(NOT((COUNTA($B83:$D83)+COUNTA($G83:$H83)+COUNTA($Q83))&gt;0),"",IF(AND($V83="Sub",N($U83)&gt;0),IF(ISNUMBER(INDEX($AR$5:$AR$1000,$U83-4)),DATE(YEAR(INDEX($AR$5:$AR$1000,$U83-4)),MONTH(INDEX($AR$5:$AR$1000,$U83-4)),1),IF(ISNUMBER(INDEX($AS$5:$AS$1000,$U83-4)),DATE(YEAR(INDEX($AS$5:$AS$1000,$U83-4)),MONTH(INDEX($AS$5:$AS$1000,$U83-4)),1),MesCiclo)),IF(ISNUMBER($AR83),DATE(YEAR($AR83),MONTH($AR83),1),IF(ISNUMBER($AS83),DATE(YEAR($AS83),MONTH($AS83),1),MesCiclo))))</f>
        <v/>
      </c>
      <c r="T83" s="62">
        <f>IF(OR($S83="",$S83&lt;&gt;MesCiclo,$V83&lt;&gt;"Macro"),"",COUNTIFS($S$5:$S83,MesCiclo,$V$5:$V83,"Macro"))</f>
        <v/>
      </c>
      <c r="U83" s="62">
        <f>IF($V83="","",IF($V83="Macro",ROW(),IFERROR(LOOKUP(2,1/($V$5:$V83="Macro"),ROW($V$5:$V83)),0)))</f>
        <v/>
      </c>
      <c r="V83" s="62">
        <f>IF(NOT((COUNTA($B83:$D83)+COUNTA($G83:$H83)+COUNTA($Q83))&gt;0),"",IF($B83="Subactividad","Sub","Macro"))</f>
        <v/>
      </c>
      <c r="W83" s="62">
        <f>IF($V83="Macro",COUNTIFS($U$5:$U$1000,ROW(),$V$5:$V$1000,"Sub"),"")</f>
        <v/>
      </c>
      <c r="X83" s="62">
        <f>IF($V83&lt;&gt;"Sub","",IF(AND(ISNUMBER($H83),N($H83)&gt;0),$H83,IFERROR(MAX(0,1-SUMIFS($H$5:$H$1000,$U$5:$U$1000,$U83,$V$5:$V$1000,"Sub"))/(COUNTIFS($U$5:$U$1000,$U83,$V$5:$V$1000,"Sub")-COUNTIFS($U$5:$U$1000,$U83,$V$5:$V$1000,"Sub",$H$5:$H$1000,"&gt;0")),0)))</f>
        <v/>
      </c>
      <c r="Y83" s="62">
        <f>IF($V83="","",IF($V83="Sub",N($X83)*IF(ISNUMBER($G83),1,MIN(1,MAX(0,IFERROR(LOOKUP(2,1/ISNUMBER($I83:$L83),$I83:$L83),0)))),IF(ISNUMBER($G83),1,IFERROR(LOOKUP(2,1/($I83:$L83&lt;&gt;""),$I83:$L83),0))))</f>
        <v/>
      </c>
      <c r="Z83" s="62">
        <f>IF($V83="","",IF(AND(ISNUMBER($G83),$G83&lt;=IF($S83=MesCiclo,InicioCiclo,$S83+MOD(2-WEEKDAY($S83),7))+6),1,IF(ISNUMBER($I83),$I83,0)))</f>
        <v/>
      </c>
      <c r="AA83" s="62">
        <f>IF($V83="","",IF(AND(ISNUMBER($G83),$G83&lt;=IF($S83=MesCiclo,InicioCiclo,$S83+MOD(2-WEEKDAY($S83),7))+13),1,IF(ISNUMBER($J83),$J83,$Z83)))</f>
        <v/>
      </c>
      <c r="AB83" s="62">
        <f>IF($V83="","",IF(AND(ISNUMBER($G83),$G83&lt;=IF($S83=MesCiclo,InicioCiclo,$S83+MOD(2-WEEKDAY($S83),7))+20),1,IF(ISNUMBER($K83),$K83,$AA83)))</f>
        <v/>
      </c>
      <c r="AC83" s="62">
        <f>IF($V83="","",IF(AND(ISNUMBER($G83),$G83&lt;=IF($S83=MesCiclo,InicioCiclo,$S83+MOD(2-WEEKDAY($S83),7))+27),1,IF(ISNUMBER($L83),$L83,$AB83)))</f>
        <v/>
      </c>
      <c r="AD83" s="62">
        <f>IF($V83&lt;&gt;"Sub","",N($X83)*IF(AND(ISNUMBER($G83),$G83&lt;=IF($S83=MesCiclo,InicioCiclo,$S83+MOD(2-WEEKDAY($S83),7))+6),1,MIN(1,MAX(0,IF(ISNUMBER(OFFSET($A$1,ROW()-1,8)),OFFSET($A$1,ROW()-1,8),0)))))</f>
        <v/>
      </c>
      <c r="AE83" s="62">
        <f>IF($V83&lt;&gt;"Sub","",N($X83)*IF(AND(ISNUMBER($G83),$G83&lt;=IF($S83=MesCiclo,InicioCiclo,$S83+MOD(2-WEEKDAY($S83),7))+13),1,MIN(1,MAX(0,IF(ISNUMBER(OFFSET($A$1,ROW()-1,9)),OFFSET($A$1,ROW()-1,9),IF(ISNUMBER(OFFSET($A$1,ROW()-1,8)),OFFSET($A$1,ROW()-1,8),0))))))</f>
        <v/>
      </c>
      <c r="AF83" s="62">
        <f>IF($V83&lt;&gt;"Sub","",N($X83)*IF(AND(ISNUMBER($G83),$G83&lt;=IF($S83=MesCiclo,InicioCiclo,$S83+MOD(2-WEEKDAY($S83),7))+20),1,MIN(1,MAX(0,IF(ISNUMBER(OFFSET($A$1,ROW()-1,10)),OFFSET($A$1,ROW()-1,10),IF(ISNUMBER(OFFSET($A$1,ROW()-1,9)),OFFSET($A$1,ROW()-1,9),IF(ISNUMBER(OFFSET($A$1,ROW()-1,8)),OFFSET($A$1,ROW()-1,8),0)))))))</f>
        <v/>
      </c>
      <c r="AG83" s="62">
        <f>IF($V83&lt;&gt;"Sub","",N($X83)*IF(AND(ISNUMBER($G83),$G83&lt;=IF($S83=MesCiclo,InicioCiclo,$S83+MOD(2-WEEKDAY($S83),7))+27),1,MIN(1,MAX(0,IF(ISNUMBER(OFFSET($A$1,ROW()-1,11)),OFFSET($A$1,ROW()-1,11),IF(ISNUMBER(OFFSET($A$1,ROW()-1,10)),OFFSET($A$1,ROW()-1,10),IF(ISNUMBER(OFFSET($A$1,ROW()-1,9)),OFFSET($A$1,ROW()-1,9),IF(ISNUMBER(OFFSET($A$1,ROW()-1,8)),OFFSET($A$1,ROW()-1,8),0))))))))</f>
        <v/>
      </c>
      <c r="AH83" s="62">
        <f>IF($V83="","",IF(AND(ISNUMBER($G83),$G83&lt;=IF($S83=MesCiclo,InicioCiclo,$S83+MOD(2-WEEKDAY($S83),7))+6),1,IF(N($W83)&gt;0,MIN(1,SUMIFS($AD$5:$AD$1000,$U$5:$U$1000,ROW(),$V$5:$V$1000,"Sub")),$Z83)))</f>
        <v/>
      </c>
      <c r="AI83" s="62">
        <f>IF($V83="","",IF(AND(ISNUMBER($G83),$G83&lt;=IF($S83=MesCiclo,InicioCiclo,$S83+MOD(2-WEEKDAY($S83),7))+13),1,IF(N($W83)&gt;0,MIN(1,SUMIFS($AE$5:$AE$1000,$U$5:$U$1000,ROW(),$V$5:$V$1000,"Sub")),$AA83)))</f>
        <v/>
      </c>
      <c r="AJ83" s="62">
        <f>IF($V83="","",IF(AND(ISNUMBER($G83),$G83&lt;=IF($S83=MesCiclo,InicioCiclo,$S83+MOD(2-WEEKDAY($S83),7))+20),1,IF(N($W83)&gt;0,MIN(1,SUMIFS($AF$5:$AF$1000,$U$5:$U$1000,ROW(),$V$5:$V$1000,"Sub")),$AB83)))</f>
        <v/>
      </c>
      <c r="AK83" s="62">
        <f>IF($V83="","",IF(AND(ISNUMBER($G83),$G83&lt;=IF($S83=MesCiclo,InicioCiclo,$S83+MOD(2-WEEKDAY($S83),7))+27),1,IF(N($W83)&gt;0,MIN(1,SUMIFS($AG$5:$AG$1000,$U$5:$U$1000,ROW(),$V$5:$V$1000,"Sub")),$AC83)))</f>
        <v/>
      </c>
      <c r="AL83" s="62">
        <f>IF($V83&lt;&gt;"Macro","",IF(COUNTIFS($S$5:$S$1000,$S83,$V$5:$V$1000,"Macro",$H$5:$H$1000,"&gt;0")=0,1/COUNTIFS($S$5:$S$1000,$S83,$V$5:$V$1000,"Macro"),IF(AND(ISNUMBER($H83),N($H83)&gt;0),$H83,SUMIFS($H$5:$H$1000,$S$5:$S$1000,$S83,$V$5:$V$1000,"Macro")/COUNTIFS($S$5:$S$1000,$S83,$V$5:$V$1000,"Macro",$H$5:$H$1000,"&gt;0"))/(COUNTIFS($S$5:$S$1000,$S83,$V$5:$V$1000,"Macro")*SUMIFS($H$5:$H$1000,$S$5:$S$1000,$S83,$V$5:$V$1000,"Macro")/COUNTIFS($S$5:$S$1000,$S83,$V$5:$V$1000,"Macro",$H$5:$H$1000,"&gt;0"))))</f>
        <v/>
      </c>
      <c r="AM83" s="62" t="n"/>
      <c r="AN83" s="62" t="n"/>
      <c r="AO83" s="62" t="n"/>
      <c r="AP83" s="62" t="n"/>
      <c r="AQ83" s="62">
        <f>IF(LEFT($C83,11)="[Jefatura] ",IFERROR(MATCH("Asistente Técnico de Riesgo|"&amp;MID($C83,12,500),rDname_ADM,0),0),"")</f>
        <v/>
      </c>
      <c r="AR83" s="62">
        <f>IF(N($AQ83)&gt;0,INDEX(rIni_ADM,$AQ83),IF(ISNUMBER($E83),$E83,""))</f>
        <v/>
      </c>
      <c r="AS83" s="62">
        <f>IF(N($AQ83)&gt;0,INDEX(rLim_ADM,$AQ83),IF(ISNUMBER($F83),$F83,""))</f>
        <v/>
      </c>
    </row>
    <row r="84">
      <c r="A84" s="56">
        <f>IF(NOT((COUNTA($B84:$D84)+COUNTA($G84:$H84)+COUNTA($Q84))&gt;0),"",IF($V84="Macro",COUNTIFS($V$5:$V84,"Macro",$S$5:$S84,$S84),IF(N($U84)=0,"?",COUNTIFS(INDEX($V$5:$V$1000,1):INDEX($V$5:$V$1000,$U84-4),"Macro",INDEX($S$5:$S$1000,1):INDEX($S$5:$S$1000,$U84-4),INDEX($S$5:$S$1000,$U84-4))&amp;"."&amp;COUNTIFS($U$5:$U84,$U84,$V$5:$V84,"Sub"))))</f>
        <v/>
      </c>
      <c r="B84" s="57" t="n"/>
      <c r="C84" s="58" t="n"/>
      <c r="D84" s="58" t="n"/>
      <c r="E84" s="59">
        <f>IF(N($AQ84)&gt;0,INDEX(rIni_ADM,$AQ84),"")</f>
        <v/>
      </c>
      <c r="F84" s="59">
        <f>IF(N($AQ84)&gt;0,INDEX(rLim_ADM,$AQ84),"")</f>
        <v/>
      </c>
      <c r="G84" s="59" t="n"/>
      <c r="H84" s="60" t="n"/>
      <c r="I84" s="60">
        <f>IF(N($W84)=0,"",IF(AND($S84=MesCiclo,1&gt;SemanaActual),"",MIN(1,SUMIFS(OFFSET($A$1,ROW(),29,1000-ROW(),1),OFFSET($A$1,ROW(),20,1000-ROW(),1),ROW(),OFFSET($A$1,ROW(),21,1000-ROW(),1),"Sub"))))</f>
        <v/>
      </c>
      <c r="J84" s="60">
        <f>IF(N($W84)=0,"",IF(AND($S84=MesCiclo,2&gt;SemanaActual),"",MIN(1,SUMIFS(OFFSET($A$1,ROW(),30,1000-ROW(),1),OFFSET($A$1,ROW(),20,1000-ROW(),1),ROW(),OFFSET($A$1,ROW(),21,1000-ROW(),1),"Sub"))))</f>
        <v/>
      </c>
      <c r="K84" s="60">
        <f>IF(N($W84)=0,"",IF(AND($S84=MesCiclo,3&gt;SemanaActual),"",MIN(1,SUMIFS(OFFSET($A$1,ROW(),31,1000-ROW(),1),OFFSET($A$1,ROW(),20,1000-ROW(),1),ROW(),OFFSET($A$1,ROW(),21,1000-ROW(),1),"Sub"))))</f>
        <v/>
      </c>
      <c r="L84" s="60">
        <f>IF(N($W84)=0,"",IF(AND($S84=MesCiclo,4&gt;SemanaActual),"",MIN(1,SUMIFS(OFFSET($A$1,ROW(),32,1000-ROW(),1),OFFSET($A$1,ROW(),20,1000-ROW(),1),ROW(),OFFSET($A$1,ROW(),21,1000-ROW(),1),"Sub"))))</f>
        <v/>
      </c>
      <c r="M84" s="61">
        <f>IF(OR(NOT((COUNTA($B84:$D84)+COUNTA($G84:$H84)+COUNTA($Q84))&gt;0),$V84="Sub"),"",IF(ISNUMBER($G84),1,IF(N($W84)&gt;0,MIN(1,SUMIFS($Y$5:$Y$1000,$U$5:$U$1000,ROW(),$V$5:$V$1000,"Sub")),$Y84)))</f>
        <v/>
      </c>
      <c r="N84" s="56">
        <f>IF(OR($M84="",$V84="Sub"),"",IF($M84&gt;=1,"Completado",IF($M84&gt;0,"En curso","Pendiente")))</f>
        <v/>
      </c>
      <c r="O84" s="56">
        <f>IF(OR(NOT((COUNTA($B84:$D84)+COUNTA($G84:$H84)+COUNTA($Q84))&gt;0),$V84="Sub"),"",IF(ISNUMBER($G84),IF(AND(ISNUMBER($AS84),$G84&gt;$AS84),"Cumplida con "&amp;($G84-$AS84)&amp;IF($G84-$AS84=1," día"," días")&amp;" de retraso","Cumplida"),IF(N($M84)&gt;=1,"Cumplida",IF(NOT(ISNUMBER($AS84)),"Sin fecha límite",IF($AS84&lt;FechaRef,"Vencida hace "&amp;(FechaRef-$AS84)&amp;IF(FechaRef-$AS84=1," día"," días"),IF($AS84=FechaRef,"Vence hoy",IF($AS84-FechaRef&lt;=DiasAlerta,"Vence en "&amp;($AS84-FechaRef)&amp;IF($AS84-FechaRef=1," día"," días"),"En plazo")))))))</f>
        <v/>
      </c>
      <c r="P84" s="62" t="n"/>
      <c r="Q84" s="58" t="n"/>
      <c r="R84" s="63">
        <f>IF(NOT((COUNTA($B84:$D84)+COUNTA($G84:$H84)+COUNTA($Q84))&gt;0),"",IF((IF($C84="","Falta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 OK","⚠ "&amp;LEFT(IF($C84="","Falta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",""),LEN(IF($C84="","Falta el nombre de la actividad"&amp;" · ","")&amp;IF(AND($V84="Sub",N($U84)=0),"Subactividad sin macroactividad arriba"&amp;" · ","")&amp;IF(AND($V84="Macro",$AR84=""),"Sin fecha de inicio"&amp;" · ","")&amp;IF(AND($V84="Macro",$AS84=""),"Sin fecha límite"&amp;" · ","")&amp;IF(AND(LEFT($C84,11)="[Jefatura] ",N($AQ84)=0),"No se encuentra en la hoja de la jefatura (elíjala de nuevo en la lista)"&amp;" · ","")&amp;IF(OR(AND($E84&lt;&gt;"",NOT(ISNUMBER($E84))),AND($F84&lt;&gt;"",NOT(ISNUMBER($F84))),AND($G84&lt;&gt;"",NOT(ISNUMBER($G84)))),"Fecha no válida"&amp;" · ","")&amp;IF(AND(ISNUMBER($AR84),ISNUMBER($AS84),$AR84&gt;$AS84),"Inicio posterior a fecha límite"&amp;" · ","")&amp;IF(AND($V84="Macro",$H84&lt;&gt;"",OR(NOT(ISNUMBER($H84)),$H84&lt;0,$H84&gt;1)),"Peso fuera de rango"&amp;" · ","")&amp;IF(AND($V84="Sub",$H84&lt;&gt;"",OR(NOT(ISNUMBER($H84)),$H84&lt;0,$H84&gt;1)),"% de la subactividad fuera de rango 0-100%"&amp;" · ","")&amp;IF(AND(N($W84)&gt;0,SUMIFS($H$5:$H$1000,$U$5:$U$1000,ROW(),$V$5:$V$1000,"Sub")&gt;1.0001),"Las subactividades suman más de 100%"&amp;" · ","")&amp;IF(AND(N($W84)&gt;0,OR(IF(ISNUMBER($I84),ROUND($I84,6)&lt;&gt;ROUND(MIN(1,SUMIFS($AD$5:$AD$1000,$U$5:$U$1000,ROW(),$V$5:$V$1000,"Sub")),6),FALSE),IF(ISNUMBER($J84),ROUND($J84,6)&lt;&gt;ROUND(MIN(1,SUMIFS($AE$5:$AE$1000,$U$5:$U$1000,ROW(),$V$5:$V$1000,"Sub")),6),FALSE),IF(ISNUMBER($K84),ROUND($K84,6)&lt;&gt;ROUND(MIN(1,SUMIFS($AF$5:$AF$1000,$U$5:$U$1000,ROW(),$V$5:$V$1000,"Sub")),6),FALSE),IF(ISNUMBER($L84),ROUND($L84,6)&lt;&gt;ROUND(MIN(1,SUMIFS($AG$5:$AG$1000,$U$5:$U$1000,ROW(),$V$5:$V$1000,"Sub")),6),FALSE))),"Con subactividades: no escriba en las semanas (se llenan solas)"&amp;" · ","")&amp;IF((COUNTIF($I84:$L84,"&gt;1")+COUNTIF($I84:$L84,"&lt;0")+SUMPRODUCT((LEN($I84:$L84)&gt;0)*NOT(ISNUMBER($I84:$L84))))&gt;0,"Avance fuera de rango 0-100%"&amp;" · ","")&amp;IF(OR(AND(ISNUMBER($J84),$J84&lt;N($I84)),AND(ISNUMBER($K84),$K84&lt;MAX($I84:$J84)),AND(ISNUMBER($L84),$L84&lt;MAX($I84:$K84))),"Avance semanal decreciente"&amp;" · ","")&amp;IF(AND(ISNUMBER($AS84),$AS84&lt;FechaRef,IF($V84="Sub",1,N($M84))&lt;1),"Vencida"&amp;" · ","")&amp;IF(AND(ObsObligatoria="Sí",ISNUMBER($AS84),$AS84&lt;FechaRef,IF($V84="Sub",1,N($M84))&lt;1,$Q84=""),"Vencida sin observación"&amp;" · ",""))-3)))</f>
        <v/>
      </c>
      <c r="S84" s="64">
        <f>IF(NOT((COUNTA($B84:$D84)+COUNTA($G84:$H84)+COUNTA($Q84))&gt;0),"",IF(AND($V84="Sub",N($U84)&gt;0),IF(ISNUMBER(INDEX($AR$5:$AR$1000,$U84-4)),DATE(YEAR(INDEX($AR$5:$AR$1000,$U84-4)),MONTH(INDEX($AR$5:$AR$1000,$U84-4)),1),IF(ISNUMBER(INDEX($AS$5:$AS$1000,$U84-4)),DATE(YEAR(INDEX($AS$5:$AS$1000,$U84-4)),MONTH(INDEX($AS$5:$AS$1000,$U84-4)),1),MesCiclo)),IF(ISNUMBER($AR84),DATE(YEAR($AR84),MONTH($AR84),1),IF(ISNUMBER($AS84),DATE(YEAR($AS84),MONTH($AS84),1),MesCiclo))))</f>
        <v/>
      </c>
      <c r="T84" s="62">
        <f>IF(OR($S84="",$S84&lt;&gt;MesCiclo,$V84&lt;&gt;"Macro"),"",COUNTIFS($S$5:$S84,MesCiclo,$V$5:$V84,"Macro"))</f>
        <v/>
      </c>
      <c r="U84" s="62">
        <f>IF($V84="","",IF($V84="Macro",ROW(),IFERROR(LOOKUP(2,1/($V$5:$V84="Macro"),ROW($V$5:$V84)),0)))</f>
        <v/>
      </c>
      <c r="V84" s="62">
        <f>IF(NOT((COUNTA($B84:$D84)+COUNTA($G84:$H84)+COUNTA($Q84))&gt;0),"",IF($B84="Subactividad","Sub","Macro"))</f>
        <v/>
      </c>
      <c r="W84" s="62">
        <f>IF($V84="Macro",COUNTIFS($U$5:$U$1000,ROW(),$V$5:$V$1000,"Sub"),"")</f>
        <v/>
      </c>
      <c r="X84" s="62">
        <f>IF($V84&lt;&gt;"Sub","",IF(AND(ISNUMBER($H84),N($H84)&gt;0),$H84,IFERROR(MAX(0,1-SUMIFS($H$5:$H$1000,$U$5:$U$1000,$U84,$V$5:$V$1000,"Sub"))/(COUNTIFS($U$5:$U$1000,$U84,$V$5:$V$1000,"Sub")-COUNTIFS($U$5:$U$1000,$U84,$V$5:$V$1000,"Sub",$H$5:$H$1000,"&gt;0")),0)))</f>
        <v/>
      </c>
      <c r="Y84" s="62">
        <f>IF($V84="","",IF($V84="Sub",N($X84)*IF(ISNUMBER($G84),1,MIN(1,MAX(0,IFERROR(LOOKUP(2,1/ISNUMBER($I84:$L84),$I84:$L84),0)))),IF(ISNUMBER($G84),1,IFERROR(LOOKUP(2,1/($I84:$L84&lt;&gt;""),$I84:$L84),0))))</f>
        <v/>
      </c>
      <c r="Z84" s="62">
        <f>IF($V84="","",IF(AND(ISNUMBER($G84),$G84&lt;=IF($S84=MesCiclo,InicioCiclo,$S84+MOD(2-WEEKDAY($S84),7))+6),1,IF(ISNUMBER($I84),$I84,0)))</f>
        <v/>
      </c>
      <c r="AA84" s="62">
        <f>IF($V84="","",IF(AND(ISNUMBER($G84),$G84&lt;=IF($S84=MesCiclo,InicioCiclo,$S84+MOD(2-WEEKDAY($S84),7))+13),1,IF(ISNUMBER($J84),$J84,$Z84)))</f>
        <v/>
      </c>
      <c r="AB84" s="62">
        <f>IF($V84="","",IF(AND(ISNUMBER($G84),$G84&lt;=IF($S84=MesCiclo,InicioCiclo,$S84+MOD(2-WEEKDAY($S84),7))+20),1,IF(ISNUMBER($K84),$K84,$AA84)))</f>
        <v/>
      </c>
      <c r="AC84" s="62">
        <f>IF($V84="","",IF(AND(ISNUMBER($G84),$G84&lt;=IF($S84=MesCiclo,InicioCiclo,$S84+MOD(2-WEEKDAY($S84),7))+27),1,IF(ISNUMBER($L84),$L84,$AB84)))</f>
        <v/>
      </c>
      <c r="AD84" s="62">
        <f>IF($V84&lt;&gt;"Sub","",N($X84)*IF(AND(ISNUMBER($G84),$G84&lt;=IF($S84=MesCiclo,InicioCiclo,$S84+MOD(2-WEEKDAY($S84),7))+6),1,MIN(1,MAX(0,IF(ISNUMBER(OFFSET($A$1,ROW()-1,8)),OFFSET($A$1,ROW()-1,8),0)))))</f>
        <v/>
      </c>
      <c r="AE84" s="62">
        <f>IF($V84&lt;&gt;"Sub","",N($X84)*IF(AND(ISNUMBER($G84),$G84&lt;=IF($S84=MesCiclo,InicioCiclo,$S84+MOD(2-WEEKDAY($S84),7))+13),1,MIN(1,MAX(0,IF(ISNUMBER(OFFSET($A$1,ROW()-1,9)),OFFSET($A$1,ROW()-1,9),IF(ISNUMBER(OFFSET($A$1,ROW()-1,8)),OFFSET($A$1,ROW()-1,8),0))))))</f>
        <v/>
      </c>
      <c r="AF84" s="62">
        <f>IF($V84&lt;&gt;"Sub","",N($X84)*IF(AND(ISNUMBER($G84),$G84&lt;=IF($S84=MesCiclo,InicioCiclo,$S84+MOD(2-WEEKDAY($S84),7))+20),1,MIN(1,MAX(0,IF(ISNUMBER(OFFSET($A$1,ROW()-1,10)),OFFSET($A$1,ROW()-1,10),IF(ISNUMBER(OFFSET($A$1,ROW()-1,9)),OFFSET($A$1,ROW()-1,9),IF(ISNUMBER(OFFSET($A$1,ROW()-1,8)),OFFSET($A$1,ROW()-1,8),0)))))))</f>
        <v/>
      </c>
      <c r="AG84" s="62">
        <f>IF($V84&lt;&gt;"Sub","",N($X84)*IF(AND(ISNUMBER($G84),$G84&lt;=IF($S84=MesCiclo,InicioCiclo,$S84+MOD(2-WEEKDAY($S84),7))+27),1,MIN(1,MAX(0,IF(ISNUMBER(OFFSET($A$1,ROW()-1,11)),OFFSET($A$1,ROW()-1,11),IF(ISNUMBER(OFFSET($A$1,ROW()-1,10)),OFFSET($A$1,ROW()-1,10),IF(ISNUMBER(OFFSET($A$1,ROW()-1,9)),OFFSET($A$1,ROW()-1,9),IF(ISNUMBER(OFFSET($A$1,ROW()-1,8)),OFFSET($A$1,ROW()-1,8),0))))))))</f>
        <v/>
      </c>
      <c r="AH84" s="62">
        <f>IF($V84="","",IF(AND(ISNUMBER($G84),$G84&lt;=IF($S84=MesCiclo,InicioCiclo,$S84+MOD(2-WEEKDAY($S84),7))+6),1,IF(N($W84)&gt;0,MIN(1,SUMIFS($AD$5:$AD$1000,$U$5:$U$1000,ROW(),$V$5:$V$1000,"Sub")),$Z84)))</f>
        <v/>
      </c>
      <c r="AI84" s="62">
        <f>IF($V84="","",IF(AND(ISNUMBER($G84),$G84&lt;=IF($S84=MesCiclo,InicioCiclo,$S84+MOD(2-WEEKDAY($S84),7))+13),1,IF(N($W84)&gt;0,MIN(1,SUMIFS($AE$5:$AE$1000,$U$5:$U$1000,ROW(),$V$5:$V$1000,"Sub")),$AA84)))</f>
        <v/>
      </c>
      <c r="AJ84" s="62">
        <f>IF($V84="","",IF(AND(ISNUMBER($G84),$G84&lt;=IF($S84=MesCiclo,InicioCiclo,$S84+MOD(2-WEEKDAY($S84),7))+20),1,IF(N($W84)&gt;0,MIN(1,SUMIFS($AF$5:$AF$1000,$U$5:$U$1000,ROW(),$V$5:$V$1000,"Sub")),$AB84)))</f>
        <v/>
      </c>
      <c r="AK84" s="62">
        <f>IF($V84="","",IF(AND(ISNUMBER($G84),$G84&lt;=IF($S84=MesCiclo,InicioCiclo,$S84+MOD(2-WEEKDAY($S84),7))+27),1,IF(N($W84)&gt;0,MIN(1,SUMIFS($AG$5:$AG$1000,$U$5:$U$1000,ROW(),$V$5:$V$1000,"Sub")),$AC84)))</f>
        <v/>
      </c>
      <c r="AL84" s="62">
        <f>IF($V84&lt;&gt;"Macro","",IF(COUNTIFS($S$5:$S$1000,$S84,$V$5:$V$1000,"Macro",$H$5:$H$1000,"&gt;0")=0,1/COUNTIFS($S$5:$S$1000,$S84,$V$5:$V$1000,"Macro"),IF(AND(ISNUMBER($H84),N($H84)&gt;0),$H84,SUMIFS($H$5:$H$1000,$S$5:$S$1000,$S84,$V$5:$V$1000,"Macro")/COUNTIFS($S$5:$S$1000,$S84,$V$5:$V$1000,"Macro",$H$5:$H$1000,"&gt;0"))/(COUNTIFS($S$5:$S$1000,$S84,$V$5:$V$1000,"Macro")*SUMIFS($H$5:$H$1000,$S$5:$S$1000,$S84,$V$5:$V$1000,"Macro")/COUNTIFS($S$5:$S$1000,$S84,$V$5:$V$1000,"Macro",$H$5:$H$1000,"&gt;0"))))</f>
        <v/>
      </c>
      <c r="AM84" s="62" t="n"/>
      <c r="AN84" s="62" t="n"/>
      <c r="AO84" s="62" t="n"/>
      <c r="AP84" s="62" t="n"/>
      <c r="AQ84" s="62">
        <f>IF(LEFT($C84,11)="[Jefatura] ",IFERROR(MATCH("Asistente Técnico de Riesgo|"&amp;MID($C84,12,500),rDname_ADM,0),0),"")</f>
        <v/>
      </c>
      <c r="AR84" s="62">
        <f>IF(N($AQ84)&gt;0,INDEX(rIni_ADM,$AQ84),IF(ISNUMBER($E84),$E84,""))</f>
        <v/>
      </c>
      <c r="AS84" s="62">
        <f>IF(N($AQ84)&gt;0,INDEX(rLim_ADM,$AQ84),IF(ISNUMBER($F84),$F84,""))</f>
        <v/>
      </c>
    </row>
    <row r="85">
      <c r="A85" s="56">
        <f>IF(NOT((COUNTA($B85:$D85)+COUNTA($G85:$H85)+COUNTA($Q85))&gt;0),"",IF($V85="Macro",COUNTIFS($V$5:$V85,"Macro",$S$5:$S85,$S85),IF(N($U85)=0,"?",COUNTIFS(INDEX($V$5:$V$1000,1):INDEX($V$5:$V$1000,$U85-4),"Macro",INDEX($S$5:$S$1000,1):INDEX($S$5:$S$1000,$U85-4),INDEX($S$5:$S$1000,$U85-4))&amp;"."&amp;COUNTIFS($U$5:$U85,$U85,$V$5:$V85,"Sub"))))</f>
        <v/>
      </c>
      <c r="B85" s="57" t="n"/>
      <c r="C85" s="58" t="n"/>
      <c r="D85" s="58" t="n"/>
      <c r="E85" s="59">
        <f>IF(N($AQ85)&gt;0,INDEX(rIni_ADM,$AQ85),"")</f>
        <v/>
      </c>
      <c r="F85" s="59">
        <f>IF(N($AQ85)&gt;0,INDEX(rLim_ADM,$AQ85),"")</f>
        <v/>
      </c>
      <c r="G85" s="59" t="n"/>
      <c r="H85" s="60" t="n"/>
      <c r="I85" s="60">
        <f>IF(N($W85)=0,"",IF(AND($S85=MesCiclo,1&gt;SemanaActual),"",MIN(1,SUMIFS(OFFSET($A$1,ROW(),29,1000-ROW(),1),OFFSET($A$1,ROW(),20,1000-ROW(),1),ROW(),OFFSET($A$1,ROW(),21,1000-ROW(),1),"Sub"))))</f>
        <v/>
      </c>
      <c r="J85" s="60">
        <f>IF(N($W85)=0,"",IF(AND($S85=MesCiclo,2&gt;SemanaActual),"",MIN(1,SUMIFS(OFFSET($A$1,ROW(),30,1000-ROW(),1),OFFSET($A$1,ROW(),20,1000-ROW(),1),ROW(),OFFSET($A$1,ROW(),21,1000-ROW(),1),"Sub"))))</f>
        <v/>
      </c>
      <c r="K85" s="60">
        <f>IF(N($W85)=0,"",IF(AND($S85=MesCiclo,3&gt;SemanaActual),"",MIN(1,SUMIFS(OFFSET($A$1,ROW(),31,1000-ROW(),1),OFFSET($A$1,ROW(),20,1000-ROW(),1),ROW(),OFFSET($A$1,ROW(),21,1000-ROW(),1),"Sub"))))</f>
        <v/>
      </c>
      <c r="L85" s="60">
        <f>IF(N($W85)=0,"",IF(AND($S85=MesCiclo,4&gt;SemanaActual),"",MIN(1,SUMIFS(OFFSET($A$1,ROW(),32,1000-ROW(),1),OFFSET($A$1,ROW(),20,1000-ROW(),1),ROW(),OFFSET($A$1,ROW(),21,1000-ROW(),1),"Sub"))))</f>
        <v/>
      </c>
      <c r="M85" s="61">
        <f>IF(OR(NOT((COUNTA($B85:$D85)+COUNTA($G85:$H85)+COUNTA($Q85))&gt;0),$V85="Sub"),"",IF(ISNUMBER($G85),1,IF(N($W85)&gt;0,MIN(1,SUMIFS($Y$5:$Y$1000,$U$5:$U$1000,ROW(),$V$5:$V$1000,"Sub")),$Y85)))</f>
        <v/>
      </c>
      <c r="N85" s="56">
        <f>IF(OR($M85="",$V85="Sub"),"",IF($M85&gt;=1,"Completado",IF($M85&gt;0,"En curso","Pendiente")))</f>
        <v/>
      </c>
      <c r="O85" s="56">
        <f>IF(OR(NOT((COUNTA($B85:$D85)+COUNTA($G85:$H85)+COUNTA($Q85))&gt;0),$V85="Sub"),"",IF(ISNUMBER($G85),IF(AND(ISNUMBER($AS85),$G85&gt;$AS85),"Cumplida con "&amp;($G85-$AS85)&amp;IF($G85-$AS85=1," día"," días")&amp;" de retraso","Cumplida"),IF(N($M85)&gt;=1,"Cumplida",IF(NOT(ISNUMBER($AS85)),"Sin fecha límite",IF($AS85&lt;FechaRef,"Vencida hace "&amp;(FechaRef-$AS85)&amp;IF(FechaRef-$AS85=1," día"," días"),IF($AS85=FechaRef,"Vence hoy",IF($AS85-FechaRef&lt;=DiasAlerta,"Vence en "&amp;($AS85-FechaRef)&amp;IF($AS85-FechaRef=1," día"," días"),"En plazo")))))))</f>
        <v/>
      </c>
      <c r="P85" s="62" t="n"/>
      <c r="Q85" s="58" t="n"/>
      <c r="R85" s="63">
        <f>IF(NOT((COUNTA($B85:$D85)+COUNTA($G85:$H85)+COUNTA($Q85))&gt;0),"",IF((IF($C85="","Falta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 OK","⚠ "&amp;LEFT(IF($C85="","Falta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",""),LEN(IF($C85="","Falta el nombre de la actividad"&amp;" · ","")&amp;IF(AND($V85="Sub",N($U85)=0),"Subactividad sin macroactividad arriba"&amp;" · ","")&amp;IF(AND($V85="Macro",$AR85=""),"Sin fecha de inicio"&amp;" · ","")&amp;IF(AND($V85="Macro",$AS85=""),"Sin fecha límite"&amp;" · ","")&amp;IF(AND(LEFT($C85,11)="[Jefatura] ",N($AQ85)=0),"No se encuentra en la hoja de la jefatura (elíjala de nuevo en la lista)"&amp;" · ","")&amp;IF(OR(AND($E85&lt;&gt;"",NOT(ISNUMBER($E85))),AND($F85&lt;&gt;"",NOT(ISNUMBER($F85))),AND($G85&lt;&gt;"",NOT(ISNUMBER($G85)))),"Fecha no válida"&amp;" · ","")&amp;IF(AND(ISNUMBER($AR85),ISNUMBER($AS85),$AR85&gt;$AS85),"Inicio posterior a fecha límite"&amp;" · ","")&amp;IF(AND($V85="Macro",$H85&lt;&gt;"",OR(NOT(ISNUMBER($H85)),$H85&lt;0,$H85&gt;1)),"Peso fuera de rango"&amp;" · ","")&amp;IF(AND($V85="Sub",$H85&lt;&gt;"",OR(NOT(ISNUMBER($H85)),$H85&lt;0,$H85&gt;1)),"% de la subactividad fuera de rango 0-100%"&amp;" · ","")&amp;IF(AND(N($W85)&gt;0,SUMIFS($H$5:$H$1000,$U$5:$U$1000,ROW(),$V$5:$V$1000,"Sub")&gt;1.0001),"Las subactividades suman más de 100%"&amp;" · ","")&amp;IF(AND(N($W85)&gt;0,OR(IF(ISNUMBER($I85),ROUND($I85,6)&lt;&gt;ROUND(MIN(1,SUMIFS($AD$5:$AD$1000,$U$5:$U$1000,ROW(),$V$5:$V$1000,"Sub")),6),FALSE),IF(ISNUMBER($J85),ROUND($J85,6)&lt;&gt;ROUND(MIN(1,SUMIFS($AE$5:$AE$1000,$U$5:$U$1000,ROW(),$V$5:$V$1000,"Sub")),6),FALSE),IF(ISNUMBER($K85),ROUND($K85,6)&lt;&gt;ROUND(MIN(1,SUMIFS($AF$5:$AF$1000,$U$5:$U$1000,ROW(),$V$5:$V$1000,"Sub")),6),FALSE),IF(ISNUMBER($L85),ROUND($L85,6)&lt;&gt;ROUND(MIN(1,SUMIFS($AG$5:$AG$1000,$U$5:$U$1000,ROW(),$V$5:$V$1000,"Sub")),6),FALSE))),"Con subactividades: no escriba en las semanas (se llenan solas)"&amp;" · ","")&amp;IF((COUNTIF($I85:$L85,"&gt;1")+COUNTIF($I85:$L85,"&lt;0")+SUMPRODUCT((LEN($I85:$L85)&gt;0)*NOT(ISNUMBER($I85:$L85))))&gt;0,"Avance fuera de rango 0-100%"&amp;" · ","")&amp;IF(OR(AND(ISNUMBER($J85),$J85&lt;N($I85)),AND(ISNUMBER($K85),$K85&lt;MAX($I85:$J85)),AND(ISNUMBER($L85),$L85&lt;MAX($I85:$K85))),"Avance semanal decreciente"&amp;" · ","")&amp;IF(AND(ISNUMBER($AS85),$AS85&lt;FechaRef,IF($V85="Sub",1,N($M85))&lt;1),"Vencida"&amp;" · ","")&amp;IF(AND(ObsObligatoria="Sí",ISNUMBER($AS85),$AS85&lt;FechaRef,IF($V85="Sub",1,N($M85))&lt;1,$Q85=""),"Vencida sin observación"&amp;" · ",""))-3)))</f>
        <v/>
      </c>
      <c r="S85" s="64">
        <f>IF(NOT((COUNTA($B85:$D85)+COUNTA($G85:$H85)+COUNTA($Q85))&gt;0),"",IF(AND($V85="Sub",N($U85)&gt;0),IF(ISNUMBER(INDEX($AR$5:$AR$1000,$U85-4)),DATE(YEAR(INDEX($AR$5:$AR$1000,$U85-4)),MONTH(INDEX($AR$5:$AR$1000,$U85-4)),1),IF(ISNUMBER(INDEX($AS$5:$AS$1000,$U85-4)),DATE(YEAR(INDEX($AS$5:$AS$1000,$U85-4)),MONTH(INDEX($AS$5:$AS$1000,$U85-4)),1),MesCiclo)),IF(ISNUMBER($AR85),DATE(YEAR($AR85),MONTH($AR85),1),IF(ISNUMBER($AS85),DATE(YEAR($AS85),MONTH($AS85),1),MesCiclo))))</f>
        <v/>
      </c>
      <c r="T85" s="62">
        <f>IF(OR($S85="",$S85&lt;&gt;MesCiclo,$V85&lt;&gt;"Macro"),"",COUNTIFS($S$5:$S85,MesCiclo,$V$5:$V85,"Macro"))</f>
        <v/>
      </c>
      <c r="U85" s="62">
        <f>IF($V85="","",IF($V85="Macro",ROW(),IFERROR(LOOKUP(2,1/($V$5:$V85="Macro"),ROW($V$5:$V85)),0)))</f>
        <v/>
      </c>
      <c r="V85" s="62">
        <f>IF(NOT((COUNTA($B85:$D85)+COUNTA($G85:$H85)+COUNTA($Q85))&gt;0),"",IF($B85="Subactividad","Sub","Macro"))</f>
        <v/>
      </c>
      <c r="W85" s="62">
        <f>IF($V85="Macro",COUNTIFS($U$5:$U$1000,ROW(),$V$5:$V$1000,"Sub"),"")</f>
        <v/>
      </c>
      <c r="X85" s="62">
        <f>IF($V85&lt;&gt;"Sub","",IF(AND(ISNUMBER($H85),N($H85)&gt;0),$H85,IFERROR(MAX(0,1-SUMIFS($H$5:$H$1000,$U$5:$U$1000,$U85,$V$5:$V$1000,"Sub"))/(COUNTIFS($U$5:$U$1000,$U85,$V$5:$V$1000,"Sub")-COUNTIFS($U$5:$U$1000,$U85,$V$5:$V$1000,"Sub",$H$5:$H$1000,"&gt;0")),0)))</f>
        <v/>
      </c>
      <c r="Y85" s="62">
        <f>IF($V85="","",IF($V85="Sub",N($X85)*IF(ISNUMBER($G85),1,MIN(1,MAX(0,IFERROR(LOOKUP(2,1/ISNUMBER($I85:$L85),$I85:$L85),0)))),IF(ISNUMBER($G85),1,IFERROR(LOOKUP(2,1/($I85:$L85&lt;&gt;""),$I85:$L85),0))))</f>
        <v/>
      </c>
      <c r="Z85" s="62">
        <f>IF($V85="","",IF(AND(ISNUMBER($G85),$G85&lt;=IF($S85=MesCiclo,InicioCiclo,$S85+MOD(2-WEEKDAY($S85),7))+6),1,IF(ISNUMBER($I85),$I85,0)))</f>
        <v/>
      </c>
      <c r="AA85" s="62">
        <f>IF($V85="","",IF(AND(ISNUMBER($G85),$G85&lt;=IF($S85=MesCiclo,InicioCiclo,$S85+MOD(2-WEEKDAY($S85),7))+13),1,IF(ISNUMBER($J85),$J85,$Z85)))</f>
        <v/>
      </c>
      <c r="AB85" s="62">
        <f>IF($V85="","",IF(AND(ISNUMBER($G85),$G85&lt;=IF($S85=MesCiclo,InicioCiclo,$S85+MOD(2-WEEKDAY($S85),7))+20),1,IF(ISNUMBER($K85),$K85,$AA85)))</f>
        <v/>
      </c>
      <c r="AC85" s="62">
        <f>IF($V85="","",IF(AND(ISNUMBER($G85),$G85&lt;=IF($S85=MesCiclo,InicioCiclo,$S85+MOD(2-WEEKDAY($S85),7))+27),1,IF(ISNUMBER($L85),$L85,$AB85)))</f>
        <v/>
      </c>
      <c r="AD85" s="62">
        <f>IF($V85&lt;&gt;"Sub","",N($X85)*IF(AND(ISNUMBER($G85),$G85&lt;=IF($S85=MesCiclo,InicioCiclo,$S85+MOD(2-WEEKDAY($S85),7))+6),1,MIN(1,MAX(0,IF(ISNUMBER(OFFSET($A$1,ROW()-1,8)),OFFSET($A$1,ROW()-1,8),0)))))</f>
        <v/>
      </c>
      <c r="AE85" s="62">
        <f>IF($V85&lt;&gt;"Sub","",N($X85)*IF(AND(ISNUMBER($G85),$G85&lt;=IF($S85=MesCiclo,InicioCiclo,$S85+MOD(2-WEEKDAY($S85),7))+13),1,MIN(1,MAX(0,IF(ISNUMBER(OFFSET($A$1,ROW()-1,9)),OFFSET($A$1,ROW()-1,9),IF(ISNUMBER(OFFSET($A$1,ROW()-1,8)),OFFSET($A$1,ROW()-1,8),0))))))</f>
        <v/>
      </c>
      <c r="AF85" s="62">
        <f>IF($V85&lt;&gt;"Sub","",N($X85)*IF(AND(ISNUMBER($G85),$G85&lt;=IF($S85=MesCiclo,InicioCiclo,$S85+MOD(2-WEEKDAY($S85),7))+20),1,MIN(1,MAX(0,IF(ISNUMBER(OFFSET($A$1,ROW()-1,10)),OFFSET($A$1,ROW()-1,10),IF(ISNUMBER(OFFSET($A$1,ROW()-1,9)),OFFSET($A$1,ROW()-1,9),IF(ISNUMBER(OFFSET($A$1,ROW()-1,8)),OFFSET($A$1,ROW()-1,8),0)))))))</f>
        <v/>
      </c>
      <c r="AG85" s="62">
        <f>IF($V85&lt;&gt;"Sub","",N($X85)*IF(AND(ISNUMBER($G85),$G85&lt;=IF($S85=MesCiclo,InicioCiclo,$S85+MOD(2-WEEKDAY($S85),7))+27),1,MIN(1,MAX(0,IF(ISNUMBER(OFFSET($A$1,ROW()-1,11)),OFFSET($A$1,ROW()-1,11),IF(ISNUMBER(OFFSET($A$1,ROW()-1,10)),OFFSET($A$1,ROW()-1,10),IF(ISNUMBER(OFFSET($A$1,ROW()-1,9)),OFFSET($A$1,ROW()-1,9),IF(ISNUMBER(OFFSET($A$1,ROW()-1,8)),OFFSET($A$1,ROW()-1,8),0))))))))</f>
        <v/>
      </c>
      <c r="AH85" s="62">
        <f>IF($V85="","",IF(AND(ISNUMBER($G85),$G85&lt;=IF($S85=MesCiclo,InicioCiclo,$S85+MOD(2-WEEKDAY($S85),7))+6),1,IF(N($W85)&gt;0,MIN(1,SUMIFS($AD$5:$AD$1000,$U$5:$U$1000,ROW(),$V$5:$V$1000,"Sub")),$Z85)))</f>
        <v/>
      </c>
      <c r="AI85" s="62">
        <f>IF($V85="","",IF(AND(ISNUMBER($G85),$G85&lt;=IF($S85=MesCiclo,InicioCiclo,$S85+MOD(2-WEEKDAY($S85),7))+13),1,IF(N($W85)&gt;0,MIN(1,SUMIFS($AE$5:$AE$1000,$U$5:$U$1000,ROW(),$V$5:$V$1000,"Sub")),$AA85)))</f>
        <v/>
      </c>
      <c r="AJ85" s="62">
        <f>IF($V85="","",IF(AND(ISNUMBER($G85),$G85&lt;=IF($S85=MesCiclo,InicioCiclo,$S85+MOD(2-WEEKDAY($S85),7))+20),1,IF(N($W85)&gt;0,MIN(1,SUMIFS($AF$5:$AF$1000,$U$5:$U$1000,ROW(),$V$5:$V$1000,"Sub")),$AB85)))</f>
        <v/>
      </c>
      <c r="AK85" s="62">
        <f>IF($V85="","",IF(AND(ISNUMBER($G85),$G85&lt;=IF($S85=MesCiclo,InicioCiclo,$S85+MOD(2-WEEKDAY($S85),7))+27),1,IF(N($W85)&gt;0,MIN(1,SUMIFS($AG$5:$AG$1000,$U$5:$U$1000,ROW(),$V$5:$V$1000,"Sub")),$AC85)))</f>
        <v/>
      </c>
      <c r="AL85" s="62">
        <f>IF($V85&lt;&gt;"Macro","",IF(COUNTIFS($S$5:$S$1000,$S85,$V$5:$V$1000,"Macro",$H$5:$H$1000,"&gt;0")=0,1/COUNTIFS($S$5:$S$1000,$S85,$V$5:$V$1000,"Macro"),IF(AND(ISNUMBER($H85),N($H85)&gt;0),$H85,SUMIFS($H$5:$H$1000,$S$5:$S$1000,$S85,$V$5:$V$1000,"Macro")/COUNTIFS($S$5:$S$1000,$S85,$V$5:$V$1000,"Macro",$H$5:$H$1000,"&gt;0"))/(COUNTIFS($S$5:$S$1000,$S85,$V$5:$V$1000,"Macro")*SUMIFS($H$5:$H$1000,$S$5:$S$1000,$S85,$V$5:$V$1000,"Macro")/COUNTIFS($S$5:$S$1000,$S85,$V$5:$V$1000,"Macro",$H$5:$H$1000,"&gt;0"))))</f>
        <v/>
      </c>
      <c r="AM85" s="62" t="n"/>
      <c r="AN85" s="62" t="n"/>
      <c r="AO85" s="62" t="n"/>
      <c r="AP85" s="62" t="n"/>
      <c r="AQ85" s="62">
        <f>IF(LEFT($C85,11)="[Jefatura] ",IFERROR(MATCH("Asistente Técnico de Riesgo|"&amp;MID($C85,12,500),rDname_ADM,0),0),"")</f>
        <v/>
      </c>
      <c r="AR85" s="62">
        <f>IF(N($AQ85)&gt;0,INDEX(rIni_ADM,$AQ85),IF(ISNUMBER($E85),$E85,""))</f>
        <v/>
      </c>
      <c r="AS85" s="62">
        <f>IF(N($AQ85)&gt;0,INDEX(rLim_ADM,$AQ85),IF(ISNUMBER($F85),$F85,""))</f>
        <v/>
      </c>
    </row>
    <row r="86">
      <c r="A86" s="56">
        <f>IF(NOT((COUNTA($B86:$D86)+COUNTA($G86:$H86)+COUNTA($Q86))&gt;0),"",IF($V86="Macro",COUNTIFS($V$5:$V86,"Macro",$S$5:$S86,$S86),IF(N($U86)=0,"?",COUNTIFS(INDEX($V$5:$V$1000,1):INDEX($V$5:$V$1000,$U86-4),"Macro",INDEX($S$5:$S$1000,1):INDEX($S$5:$S$1000,$U86-4),INDEX($S$5:$S$1000,$U86-4))&amp;"."&amp;COUNTIFS($U$5:$U86,$U86,$V$5:$V86,"Sub"))))</f>
        <v/>
      </c>
      <c r="B86" s="57" t="n"/>
      <c r="C86" s="58" t="n"/>
      <c r="D86" s="58" t="n"/>
      <c r="E86" s="59">
        <f>IF(N($AQ86)&gt;0,INDEX(rIni_ADM,$AQ86),"")</f>
        <v/>
      </c>
      <c r="F86" s="59">
        <f>IF(N($AQ86)&gt;0,INDEX(rLim_ADM,$AQ86),"")</f>
        <v/>
      </c>
      <c r="G86" s="59" t="n"/>
      <c r="H86" s="60" t="n"/>
      <c r="I86" s="60">
        <f>IF(N($W86)=0,"",IF(AND($S86=MesCiclo,1&gt;SemanaActual),"",MIN(1,SUMIFS(OFFSET($A$1,ROW(),29,1000-ROW(),1),OFFSET($A$1,ROW(),20,1000-ROW(),1),ROW(),OFFSET($A$1,ROW(),21,1000-ROW(),1),"Sub"))))</f>
        <v/>
      </c>
      <c r="J86" s="60">
        <f>IF(N($W86)=0,"",IF(AND($S86=MesCiclo,2&gt;SemanaActual),"",MIN(1,SUMIFS(OFFSET($A$1,ROW(),30,1000-ROW(),1),OFFSET($A$1,ROW(),20,1000-ROW(),1),ROW(),OFFSET($A$1,ROW(),21,1000-ROW(),1),"Sub"))))</f>
        <v/>
      </c>
      <c r="K86" s="60">
        <f>IF(N($W86)=0,"",IF(AND($S86=MesCiclo,3&gt;SemanaActual),"",MIN(1,SUMIFS(OFFSET($A$1,ROW(),31,1000-ROW(),1),OFFSET($A$1,ROW(),20,1000-ROW(),1),ROW(),OFFSET($A$1,ROW(),21,1000-ROW(),1),"Sub"))))</f>
        <v/>
      </c>
      <c r="L86" s="60">
        <f>IF(N($W86)=0,"",IF(AND($S86=MesCiclo,4&gt;SemanaActual),"",MIN(1,SUMIFS(OFFSET($A$1,ROW(),32,1000-ROW(),1),OFFSET($A$1,ROW(),20,1000-ROW(),1),ROW(),OFFSET($A$1,ROW(),21,1000-ROW(),1),"Sub"))))</f>
        <v/>
      </c>
      <c r="M86" s="61">
        <f>IF(OR(NOT((COUNTA($B86:$D86)+COUNTA($G86:$H86)+COUNTA($Q86))&gt;0),$V86="Sub"),"",IF(ISNUMBER($G86),1,IF(N($W86)&gt;0,MIN(1,SUMIFS($Y$5:$Y$1000,$U$5:$U$1000,ROW(),$V$5:$V$1000,"Sub")),$Y86)))</f>
        <v/>
      </c>
      <c r="N86" s="56">
        <f>IF(OR($M86="",$V86="Sub"),"",IF($M86&gt;=1,"Completado",IF($M86&gt;0,"En curso","Pendiente")))</f>
        <v/>
      </c>
      <c r="O86" s="56">
        <f>IF(OR(NOT((COUNTA($B86:$D86)+COUNTA($G86:$H86)+COUNTA($Q86))&gt;0),$V86="Sub"),"",IF(ISNUMBER($G86),IF(AND(ISNUMBER($AS86),$G86&gt;$AS86),"Cumplida con "&amp;($G86-$AS86)&amp;IF($G86-$AS86=1," día"," días")&amp;" de retraso","Cumplida"),IF(N($M86)&gt;=1,"Cumplida",IF(NOT(ISNUMBER($AS86)),"Sin fecha límite",IF($AS86&lt;FechaRef,"Vencida hace "&amp;(FechaRef-$AS86)&amp;IF(FechaRef-$AS86=1," día"," días"),IF($AS86=FechaRef,"Vence hoy",IF($AS86-FechaRef&lt;=DiasAlerta,"Vence en "&amp;($AS86-FechaRef)&amp;IF($AS86-FechaRef=1," día"," días"),"En plazo")))))))</f>
        <v/>
      </c>
      <c r="P86" s="62" t="n"/>
      <c r="Q86" s="58" t="n"/>
      <c r="R86" s="63">
        <f>IF(NOT((COUNTA($B86:$D86)+COUNTA($G86:$H86)+COUNTA($Q86))&gt;0),"",IF((IF($C86="","Falta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 OK","⚠ "&amp;LEFT(IF($C86="","Falta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",""),LEN(IF($C86="","Falta el nombre de la actividad"&amp;" · ","")&amp;IF(AND($V86="Sub",N($U86)=0),"Subactividad sin macroactividad arriba"&amp;" · ","")&amp;IF(AND($V86="Macro",$AR86=""),"Sin fecha de inicio"&amp;" · ","")&amp;IF(AND($V86="Macro",$AS86=""),"Sin fecha límite"&amp;" · ","")&amp;IF(AND(LEFT($C86,11)="[Jefatura] ",N($AQ86)=0),"No se encuentra en la hoja de la jefatura (elíjala de nuevo en la lista)"&amp;" · ","")&amp;IF(OR(AND($E86&lt;&gt;"",NOT(ISNUMBER($E86))),AND($F86&lt;&gt;"",NOT(ISNUMBER($F86))),AND($G86&lt;&gt;"",NOT(ISNUMBER($G86)))),"Fecha no válida"&amp;" · ","")&amp;IF(AND(ISNUMBER($AR86),ISNUMBER($AS86),$AR86&gt;$AS86),"Inicio posterior a fecha límite"&amp;" · ","")&amp;IF(AND($V86="Macro",$H86&lt;&gt;"",OR(NOT(ISNUMBER($H86)),$H86&lt;0,$H86&gt;1)),"Peso fuera de rango"&amp;" · ","")&amp;IF(AND($V86="Sub",$H86&lt;&gt;"",OR(NOT(ISNUMBER($H86)),$H86&lt;0,$H86&gt;1)),"% de la subactividad fuera de rango 0-100%"&amp;" · ","")&amp;IF(AND(N($W86)&gt;0,SUMIFS($H$5:$H$1000,$U$5:$U$1000,ROW(),$V$5:$V$1000,"Sub")&gt;1.0001),"Las subactividades suman más de 100%"&amp;" · ","")&amp;IF(AND(N($W86)&gt;0,OR(IF(ISNUMBER($I86),ROUND($I86,6)&lt;&gt;ROUND(MIN(1,SUMIFS($AD$5:$AD$1000,$U$5:$U$1000,ROW(),$V$5:$V$1000,"Sub")),6),FALSE),IF(ISNUMBER($J86),ROUND($J86,6)&lt;&gt;ROUND(MIN(1,SUMIFS($AE$5:$AE$1000,$U$5:$U$1000,ROW(),$V$5:$V$1000,"Sub")),6),FALSE),IF(ISNUMBER($K86),ROUND($K86,6)&lt;&gt;ROUND(MIN(1,SUMIFS($AF$5:$AF$1000,$U$5:$U$1000,ROW(),$V$5:$V$1000,"Sub")),6),FALSE),IF(ISNUMBER($L86),ROUND($L86,6)&lt;&gt;ROUND(MIN(1,SUMIFS($AG$5:$AG$1000,$U$5:$U$1000,ROW(),$V$5:$V$1000,"Sub")),6),FALSE))),"Con subactividades: no escriba en las semanas (se llenan solas)"&amp;" · ","")&amp;IF((COUNTIF($I86:$L86,"&gt;1")+COUNTIF($I86:$L86,"&lt;0")+SUMPRODUCT((LEN($I86:$L86)&gt;0)*NOT(ISNUMBER($I86:$L86))))&gt;0,"Avance fuera de rango 0-100%"&amp;" · ","")&amp;IF(OR(AND(ISNUMBER($J86),$J86&lt;N($I86)),AND(ISNUMBER($K86),$K86&lt;MAX($I86:$J86)),AND(ISNUMBER($L86),$L86&lt;MAX($I86:$K86))),"Avance semanal decreciente"&amp;" · ","")&amp;IF(AND(ISNUMBER($AS86),$AS86&lt;FechaRef,IF($V86="Sub",1,N($M86))&lt;1),"Vencida"&amp;" · ","")&amp;IF(AND(ObsObligatoria="Sí",ISNUMBER($AS86),$AS86&lt;FechaRef,IF($V86="Sub",1,N($M86))&lt;1,$Q86=""),"Vencida sin observación"&amp;" · ",""))-3)))</f>
        <v/>
      </c>
      <c r="S86" s="64">
        <f>IF(NOT((COUNTA($B86:$D86)+COUNTA($G86:$H86)+COUNTA($Q86))&gt;0),"",IF(AND($V86="Sub",N($U86)&gt;0),IF(ISNUMBER(INDEX($AR$5:$AR$1000,$U86-4)),DATE(YEAR(INDEX($AR$5:$AR$1000,$U86-4)),MONTH(INDEX($AR$5:$AR$1000,$U86-4)),1),IF(ISNUMBER(INDEX($AS$5:$AS$1000,$U86-4)),DATE(YEAR(INDEX($AS$5:$AS$1000,$U86-4)),MONTH(INDEX($AS$5:$AS$1000,$U86-4)),1),MesCiclo)),IF(ISNUMBER($AR86),DATE(YEAR($AR86),MONTH($AR86),1),IF(ISNUMBER($AS86),DATE(YEAR($AS86),MONTH($AS86),1),MesCiclo))))</f>
        <v/>
      </c>
      <c r="T86" s="62">
        <f>IF(OR($S86="",$S86&lt;&gt;MesCiclo,$V86&lt;&gt;"Macro"),"",COUNTIFS($S$5:$S86,MesCiclo,$V$5:$V86,"Macro"))</f>
        <v/>
      </c>
      <c r="U86" s="62">
        <f>IF($V86="","",IF($V86="Macro",ROW(),IFERROR(LOOKUP(2,1/($V$5:$V86="Macro"),ROW($V$5:$V86)),0)))</f>
        <v/>
      </c>
      <c r="V86" s="62">
        <f>IF(NOT((COUNTA($B86:$D86)+COUNTA($G86:$H86)+COUNTA($Q86))&gt;0),"",IF($B86="Subactividad","Sub","Macro"))</f>
        <v/>
      </c>
      <c r="W86" s="62">
        <f>IF($V86="Macro",COUNTIFS($U$5:$U$1000,ROW(),$V$5:$V$1000,"Sub"),"")</f>
        <v/>
      </c>
      <c r="X86" s="62">
        <f>IF($V86&lt;&gt;"Sub","",IF(AND(ISNUMBER($H86),N($H86)&gt;0),$H86,IFERROR(MAX(0,1-SUMIFS($H$5:$H$1000,$U$5:$U$1000,$U86,$V$5:$V$1000,"Sub"))/(COUNTIFS($U$5:$U$1000,$U86,$V$5:$V$1000,"Sub")-COUNTIFS($U$5:$U$1000,$U86,$V$5:$V$1000,"Sub",$H$5:$H$1000,"&gt;0")),0)))</f>
        <v/>
      </c>
      <c r="Y86" s="62">
        <f>IF($V86="","",IF($V86="Sub",N($X86)*IF(ISNUMBER($G86),1,MIN(1,MAX(0,IFERROR(LOOKUP(2,1/ISNUMBER($I86:$L86),$I86:$L86),0)))),IF(ISNUMBER($G86),1,IFERROR(LOOKUP(2,1/($I86:$L86&lt;&gt;""),$I86:$L86),0))))</f>
        <v/>
      </c>
      <c r="Z86" s="62">
        <f>IF($V86="","",IF(AND(ISNUMBER($G86),$G86&lt;=IF($S86=MesCiclo,InicioCiclo,$S86+MOD(2-WEEKDAY($S86),7))+6),1,IF(ISNUMBER($I86),$I86,0)))</f>
        <v/>
      </c>
      <c r="AA86" s="62">
        <f>IF($V86="","",IF(AND(ISNUMBER($G86),$G86&lt;=IF($S86=MesCiclo,InicioCiclo,$S86+MOD(2-WEEKDAY($S86),7))+13),1,IF(ISNUMBER($J86),$J86,$Z86)))</f>
        <v/>
      </c>
      <c r="AB86" s="62">
        <f>IF($V86="","",IF(AND(ISNUMBER($G86),$G86&lt;=IF($S86=MesCiclo,InicioCiclo,$S86+MOD(2-WEEKDAY($S86),7))+20),1,IF(ISNUMBER($K86),$K86,$AA86)))</f>
        <v/>
      </c>
      <c r="AC86" s="62">
        <f>IF($V86="","",IF(AND(ISNUMBER($G86),$G86&lt;=IF($S86=MesCiclo,InicioCiclo,$S86+MOD(2-WEEKDAY($S86),7))+27),1,IF(ISNUMBER($L86),$L86,$AB86)))</f>
        <v/>
      </c>
      <c r="AD86" s="62">
        <f>IF($V86&lt;&gt;"Sub","",N($X86)*IF(AND(ISNUMBER($G86),$G86&lt;=IF($S86=MesCiclo,InicioCiclo,$S86+MOD(2-WEEKDAY($S86),7))+6),1,MIN(1,MAX(0,IF(ISNUMBER(OFFSET($A$1,ROW()-1,8)),OFFSET($A$1,ROW()-1,8),0)))))</f>
        <v/>
      </c>
      <c r="AE86" s="62">
        <f>IF($V86&lt;&gt;"Sub","",N($X86)*IF(AND(ISNUMBER($G86),$G86&lt;=IF($S86=MesCiclo,InicioCiclo,$S86+MOD(2-WEEKDAY($S86),7))+13),1,MIN(1,MAX(0,IF(ISNUMBER(OFFSET($A$1,ROW()-1,9)),OFFSET($A$1,ROW()-1,9),IF(ISNUMBER(OFFSET($A$1,ROW()-1,8)),OFFSET($A$1,ROW()-1,8),0))))))</f>
        <v/>
      </c>
      <c r="AF86" s="62">
        <f>IF($V86&lt;&gt;"Sub","",N($X86)*IF(AND(ISNUMBER($G86),$G86&lt;=IF($S86=MesCiclo,InicioCiclo,$S86+MOD(2-WEEKDAY($S86),7))+20),1,MIN(1,MAX(0,IF(ISNUMBER(OFFSET($A$1,ROW()-1,10)),OFFSET($A$1,ROW()-1,10),IF(ISNUMBER(OFFSET($A$1,ROW()-1,9)),OFFSET($A$1,ROW()-1,9),IF(ISNUMBER(OFFSET($A$1,ROW()-1,8)),OFFSET($A$1,ROW()-1,8),0)))))))</f>
        <v/>
      </c>
      <c r="AG86" s="62">
        <f>IF($V86&lt;&gt;"Sub","",N($X86)*IF(AND(ISNUMBER($G86),$G86&lt;=IF($S86=MesCiclo,InicioCiclo,$S86+MOD(2-WEEKDAY($S86),7))+27),1,MIN(1,MAX(0,IF(ISNUMBER(OFFSET($A$1,ROW()-1,11)),OFFSET($A$1,ROW()-1,11),IF(ISNUMBER(OFFSET($A$1,ROW()-1,10)),OFFSET($A$1,ROW()-1,10),IF(ISNUMBER(OFFSET($A$1,ROW()-1,9)),OFFSET($A$1,ROW()-1,9),IF(ISNUMBER(OFFSET($A$1,ROW()-1,8)),OFFSET($A$1,ROW()-1,8),0))))))))</f>
        <v/>
      </c>
      <c r="AH86" s="62">
        <f>IF($V86="","",IF(AND(ISNUMBER($G86),$G86&lt;=IF($S86=MesCiclo,InicioCiclo,$S86+MOD(2-WEEKDAY($S86),7))+6),1,IF(N($W86)&gt;0,MIN(1,SUMIFS($AD$5:$AD$1000,$U$5:$U$1000,ROW(),$V$5:$V$1000,"Sub")),$Z86)))</f>
        <v/>
      </c>
      <c r="AI86" s="62">
        <f>IF($V86="","",IF(AND(ISNUMBER($G86),$G86&lt;=IF($S86=MesCiclo,InicioCiclo,$S86+MOD(2-WEEKDAY($S86),7))+13),1,IF(N($W86)&gt;0,MIN(1,SUMIFS($AE$5:$AE$1000,$U$5:$U$1000,ROW(),$V$5:$V$1000,"Sub")),$AA86)))</f>
        <v/>
      </c>
      <c r="AJ86" s="62">
        <f>IF($V86="","",IF(AND(ISNUMBER($G86),$G86&lt;=IF($S86=MesCiclo,InicioCiclo,$S86+MOD(2-WEEKDAY($S86),7))+20),1,IF(N($W86)&gt;0,MIN(1,SUMIFS($AF$5:$AF$1000,$U$5:$U$1000,ROW(),$V$5:$V$1000,"Sub")),$AB86)))</f>
        <v/>
      </c>
      <c r="AK86" s="62">
        <f>IF($V86="","",IF(AND(ISNUMBER($G86),$G86&lt;=IF($S86=MesCiclo,InicioCiclo,$S86+MOD(2-WEEKDAY($S86),7))+27),1,IF(N($W86)&gt;0,MIN(1,SUMIFS($AG$5:$AG$1000,$U$5:$U$1000,ROW(),$V$5:$V$1000,"Sub")),$AC86)))</f>
        <v/>
      </c>
      <c r="AL86" s="62">
        <f>IF($V86&lt;&gt;"Macro","",IF(COUNTIFS($S$5:$S$1000,$S86,$V$5:$V$1000,"Macro",$H$5:$H$1000,"&gt;0")=0,1/COUNTIFS($S$5:$S$1000,$S86,$V$5:$V$1000,"Macro"),IF(AND(ISNUMBER($H86),N($H86)&gt;0),$H86,SUMIFS($H$5:$H$1000,$S$5:$S$1000,$S86,$V$5:$V$1000,"Macro")/COUNTIFS($S$5:$S$1000,$S86,$V$5:$V$1000,"Macro",$H$5:$H$1000,"&gt;0"))/(COUNTIFS($S$5:$S$1000,$S86,$V$5:$V$1000,"Macro")*SUMIFS($H$5:$H$1000,$S$5:$S$1000,$S86,$V$5:$V$1000,"Macro")/COUNTIFS($S$5:$S$1000,$S86,$V$5:$V$1000,"Macro",$H$5:$H$1000,"&gt;0"))))</f>
        <v/>
      </c>
      <c r="AM86" s="62" t="n"/>
      <c r="AN86" s="62" t="n"/>
      <c r="AO86" s="62" t="n"/>
      <c r="AP86" s="62" t="n"/>
      <c r="AQ86" s="62">
        <f>IF(LEFT($C86,11)="[Jefatura] ",IFERROR(MATCH("Asistente Técnico de Riesgo|"&amp;MID($C86,12,500),rDname_ADM,0),0),"")</f>
        <v/>
      </c>
      <c r="AR86" s="62">
        <f>IF(N($AQ86)&gt;0,INDEX(rIni_ADM,$AQ86),IF(ISNUMBER($E86),$E86,""))</f>
        <v/>
      </c>
      <c r="AS86" s="62">
        <f>IF(N($AQ86)&gt;0,INDEX(rLim_ADM,$AQ86),IF(ISNUMBER($F86),$F86,""))</f>
        <v/>
      </c>
    </row>
    <row r="87">
      <c r="A87" s="56">
        <f>IF(NOT((COUNTA($B87:$D87)+COUNTA($G87:$H87)+COUNTA($Q87))&gt;0),"",IF($V87="Macro",COUNTIFS($V$5:$V87,"Macro",$S$5:$S87,$S87),IF(N($U87)=0,"?",COUNTIFS(INDEX($V$5:$V$1000,1):INDEX($V$5:$V$1000,$U87-4),"Macro",INDEX($S$5:$S$1000,1):INDEX($S$5:$S$1000,$U87-4),INDEX($S$5:$S$1000,$U87-4))&amp;"."&amp;COUNTIFS($U$5:$U87,$U87,$V$5:$V87,"Sub"))))</f>
        <v/>
      </c>
      <c r="B87" s="57" t="n"/>
      <c r="C87" s="58" t="n"/>
      <c r="D87" s="58" t="n"/>
      <c r="E87" s="59">
        <f>IF(N($AQ87)&gt;0,INDEX(rIni_ADM,$AQ87),"")</f>
        <v/>
      </c>
      <c r="F87" s="59">
        <f>IF(N($AQ87)&gt;0,INDEX(rLim_ADM,$AQ87),"")</f>
        <v/>
      </c>
      <c r="G87" s="59" t="n"/>
      <c r="H87" s="60" t="n"/>
      <c r="I87" s="60">
        <f>IF(N($W87)=0,"",IF(AND($S87=MesCiclo,1&gt;SemanaActual),"",MIN(1,SUMIFS(OFFSET($A$1,ROW(),29,1000-ROW(),1),OFFSET($A$1,ROW(),20,1000-ROW(),1),ROW(),OFFSET($A$1,ROW(),21,1000-ROW(),1),"Sub"))))</f>
        <v/>
      </c>
      <c r="J87" s="60">
        <f>IF(N($W87)=0,"",IF(AND($S87=MesCiclo,2&gt;SemanaActual),"",MIN(1,SUMIFS(OFFSET($A$1,ROW(),30,1000-ROW(),1),OFFSET($A$1,ROW(),20,1000-ROW(),1),ROW(),OFFSET($A$1,ROW(),21,1000-ROW(),1),"Sub"))))</f>
        <v/>
      </c>
      <c r="K87" s="60">
        <f>IF(N($W87)=0,"",IF(AND($S87=MesCiclo,3&gt;SemanaActual),"",MIN(1,SUMIFS(OFFSET($A$1,ROW(),31,1000-ROW(),1),OFFSET($A$1,ROW(),20,1000-ROW(),1),ROW(),OFFSET($A$1,ROW(),21,1000-ROW(),1),"Sub"))))</f>
        <v/>
      </c>
      <c r="L87" s="60">
        <f>IF(N($W87)=0,"",IF(AND($S87=MesCiclo,4&gt;SemanaActual),"",MIN(1,SUMIFS(OFFSET($A$1,ROW(),32,1000-ROW(),1),OFFSET($A$1,ROW(),20,1000-ROW(),1),ROW(),OFFSET($A$1,ROW(),21,1000-ROW(),1),"Sub"))))</f>
        <v/>
      </c>
      <c r="M87" s="61">
        <f>IF(OR(NOT((COUNTA($B87:$D87)+COUNTA($G87:$H87)+COUNTA($Q87))&gt;0),$V87="Sub"),"",IF(ISNUMBER($G87),1,IF(N($W87)&gt;0,MIN(1,SUMIFS($Y$5:$Y$1000,$U$5:$U$1000,ROW(),$V$5:$V$1000,"Sub")),$Y87)))</f>
        <v/>
      </c>
      <c r="N87" s="56">
        <f>IF(OR($M87="",$V87="Sub"),"",IF($M87&gt;=1,"Completado",IF($M87&gt;0,"En curso","Pendiente")))</f>
        <v/>
      </c>
      <c r="O87" s="56">
        <f>IF(OR(NOT((COUNTA($B87:$D87)+COUNTA($G87:$H87)+COUNTA($Q87))&gt;0),$V87="Sub"),"",IF(ISNUMBER($G87),IF(AND(ISNUMBER($AS87),$G87&gt;$AS87),"Cumplida con "&amp;($G87-$AS87)&amp;IF($G87-$AS87=1," día"," días")&amp;" de retraso","Cumplida"),IF(N($M87)&gt;=1,"Cumplida",IF(NOT(ISNUMBER($AS87)),"Sin fecha límite",IF($AS87&lt;FechaRef,"Vencida hace "&amp;(FechaRef-$AS87)&amp;IF(FechaRef-$AS87=1," día"," días"),IF($AS87=FechaRef,"Vence hoy",IF($AS87-FechaRef&lt;=DiasAlerta,"Vence en "&amp;($AS87-FechaRef)&amp;IF($AS87-FechaRef=1," día"," días"),"En plazo")))))))</f>
        <v/>
      </c>
      <c r="P87" s="62" t="n"/>
      <c r="Q87" s="58" t="n"/>
      <c r="R87" s="63">
        <f>IF(NOT((COUNTA($B87:$D87)+COUNTA($G87:$H87)+COUNTA($Q87))&gt;0),"",IF((IF($C87="","Falta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 OK","⚠ "&amp;LEFT(IF($C87="","Falta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",""),LEN(IF($C87="","Falta el nombre de la actividad"&amp;" · ","")&amp;IF(AND($V87="Sub",N($U87)=0),"Subactividad sin macroactividad arriba"&amp;" · ","")&amp;IF(AND($V87="Macro",$AR87=""),"Sin fecha de inicio"&amp;" · ","")&amp;IF(AND($V87="Macro",$AS87=""),"Sin fecha límite"&amp;" · ","")&amp;IF(AND(LEFT($C87,11)="[Jefatura] ",N($AQ87)=0),"No se encuentra en la hoja de la jefatura (elíjala de nuevo en la lista)"&amp;" · ","")&amp;IF(OR(AND($E87&lt;&gt;"",NOT(ISNUMBER($E87))),AND($F87&lt;&gt;"",NOT(ISNUMBER($F87))),AND($G87&lt;&gt;"",NOT(ISNUMBER($G87)))),"Fecha no válida"&amp;" · ","")&amp;IF(AND(ISNUMBER($AR87),ISNUMBER($AS87),$AR87&gt;$AS87),"Inicio posterior a fecha límite"&amp;" · ","")&amp;IF(AND($V87="Macro",$H87&lt;&gt;"",OR(NOT(ISNUMBER($H87)),$H87&lt;0,$H87&gt;1)),"Peso fuera de rango"&amp;" · ","")&amp;IF(AND($V87="Sub",$H87&lt;&gt;"",OR(NOT(ISNUMBER($H87)),$H87&lt;0,$H87&gt;1)),"% de la subactividad fuera de rango 0-100%"&amp;" · ","")&amp;IF(AND(N($W87)&gt;0,SUMIFS($H$5:$H$1000,$U$5:$U$1000,ROW(),$V$5:$V$1000,"Sub")&gt;1.0001),"Las subactividades suman más de 100%"&amp;" · ","")&amp;IF(AND(N($W87)&gt;0,OR(IF(ISNUMBER($I87),ROUND($I87,6)&lt;&gt;ROUND(MIN(1,SUMIFS($AD$5:$AD$1000,$U$5:$U$1000,ROW(),$V$5:$V$1000,"Sub")),6),FALSE),IF(ISNUMBER($J87),ROUND($J87,6)&lt;&gt;ROUND(MIN(1,SUMIFS($AE$5:$AE$1000,$U$5:$U$1000,ROW(),$V$5:$V$1000,"Sub")),6),FALSE),IF(ISNUMBER($K87),ROUND($K87,6)&lt;&gt;ROUND(MIN(1,SUMIFS($AF$5:$AF$1000,$U$5:$U$1000,ROW(),$V$5:$V$1000,"Sub")),6),FALSE),IF(ISNUMBER($L87),ROUND($L87,6)&lt;&gt;ROUND(MIN(1,SUMIFS($AG$5:$AG$1000,$U$5:$U$1000,ROW(),$V$5:$V$1000,"Sub")),6),FALSE))),"Con subactividades: no escriba en las semanas (se llenan solas)"&amp;" · ","")&amp;IF((COUNTIF($I87:$L87,"&gt;1")+COUNTIF($I87:$L87,"&lt;0")+SUMPRODUCT((LEN($I87:$L87)&gt;0)*NOT(ISNUMBER($I87:$L87))))&gt;0,"Avance fuera de rango 0-100%"&amp;" · ","")&amp;IF(OR(AND(ISNUMBER($J87),$J87&lt;N($I87)),AND(ISNUMBER($K87),$K87&lt;MAX($I87:$J87)),AND(ISNUMBER($L87),$L87&lt;MAX($I87:$K87))),"Avance semanal decreciente"&amp;" · ","")&amp;IF(AND(ISNUMBER($AS87),$AS87&lt;FechaRef,IF($V87="Sub",1,N($M87))&lt;1),"Vencida"&amp;" · ","")&amp;IF(AND(ObsObligatoria="Sí",ISNUMBER($AS87),$AS87&lt;FechaRef,IF($V87="Sub",1,N($M87))&lt;1,$Q87=""),"Vencida sin observación"&amp;" · ",""))-3)))</f>
        <v/>
      </c>
      <c r="S87" s="64">
        <f>IF(NOT((COUNTA($B87:$D87)+COUNTA($G87:$H87)+COUNTA($Q87))&gt;0),"",IF(AND($V87="Sub",N($U87)&gt;0),IF(ISNUMBER(INDEX($AR$5:$AR$1000,$U87-4)),DATE(YEAR(INDEX($AR$5:$AR$1000,$U87-4)),MONTH(INDEX($AR$5:$AR$1000,$U87-4)),1),IF(ISNUMBER(INDEX($AS$5:$AS$1000,$U87-4)),DATE(YEAR(INDEX($AS$5:$AS$1000,$U87-4)),MONTH(INDEX($AS$5:$AS$1000,$U87-4)),1),MesCiclo)),IF(ISNUMBER($AR87),DATE(YEAR($AR87),MONTH($AR87),1),IF(ISNUMBER($AS87),DATE(YEAR($AS87),MONTH($AS87),1),MesCiclo))))</f>
        <v/>
      </c>
      <c r="T87" s="62">
        <f>IF(OR($S87="",$S87&lt;&gt;MesCiclo,$V87&lt;&gt;"Macro"),"",COUNTIFS($S$5:$S87,MesCiclo,$V$5:$V87,"Macro"))</f>
        <v/>
      </c>
      <c r="U87" s="62">
        <f>IF($V87="","",IF($V87="Macro",ROW(),IFERROR(LOOKUP(2,1/($V$5:$V87="Macro"),ROW($V$5:$V87)),0)))</f>
        <v/>
      </c>
      <c r="V87" s="62">
        <f>IF(NOT((COUNTA($B87:$D87)+COUNTA($G87:$H87)+COUNTA($Q87))&gt;0),"",IF($B87="Subactividad","Sub","Macro"))</f>
        <v/>
      </c>
      <c r="W87" s="62">
        <f>IF($V87="Macro",COUNTIFS($U$5:$U$1000,ROW(),$V$5:$V$1000,"Sub"),"")</f>
        <v/>
      </c>
      <c r="X87" s="62">
        <f>IF($V87&lt;&gt;"Sub","",IF(AND(ISNUMBER($H87),N($H87)&gt;0),$H87,IFERROR(MAX(0,1-SUMIFS($H$5:$H$1000,$U$5:$U$1000,$U87,$V$5:$V$1000,"Sub"))/(COUNTIFS($U$5:$U$1000,$U87,$V$5:$V$1000,"Sub")-COUNTIFS($U$5:$U$1000,$U87,$V$5:$V$1000,"Sub",$H$5:$H$1000,"&gt;0")),0)))</f>
        <v/>
      </c>
      <c r="Y87" s="62">
        <f>IF($V87="","",IF($V87="Sub",N($X87)*IF(ISNUMBER($G87),1,MIN(1,MAX(0,IFERROR(LOOKUP(2,1/ISNUMBER($I87:$L87),$I87:$L87),0)))),IF(ISNUMBER($G87),1,IFERROR(LOOKUP(2,1/($I87:$L87&lt;&gt;""),$I87:$L87),0))))</f>
        <v/>
      </c>
      <c r="Z87" s="62">
        <f>IF($V87="","",IF(AND(ISNUMBER($G87),$G87&lt;=IF($S87=MesCiclo,InicioCiclo,$S87+MOD(2-WEEKDAY($S87),7))+6),1,IF(ISNUMBER($I87),$I87,0)))</f>
        <v/>
      </c>
      <c r="AA87" s="62">
        <f>IF($V87="","",IF(AND(ISNUMBER($G87),$G87&lt;=IF($S87=MesCiclo,InicioCiclo,$S87+MOD(2-WEEKDAY($S87),7))+13),1,IF(ISNUMBER($J87),$J87,$Z87)))</f>
        <v/>
      </c>
      <c r="AB87" s="62">
        <f>IF($V87="","",IF(AND(ISNUMBER($G87),$G87&lt;=IF($S87=MesCiclo,InicioCiclo,$S87+MOD(2-WEEKDAY($S87),7))+20),1,IF(ISNUMBER($K87),$K87,$AA87)))</f>
        <v/>
      </c>
      <c r="AC87" s="62">
        <f>IF($V87="","",IF(AND(ISNUMBER($G87),$G87&lt;=IF($S87=MesCiclo,InicioCiclo,$S87+MOD(2-WEEKDAY($S87),7))+27),1,IF(ISNUMBER($L87),$L87,$AB87)))</f>
        <v/>
      </c>
      <c r="AD87" s="62">
        <f>IF($V87&lt;&gt;"Sub","",N($X87)*IF(AND(ISNUMBER($G87),$G87&lt;=IF($S87=MesCiclo,InicioCiclo,$S87+MOD(2-WEEKDAY($S87),7))+6),1,MIN(1,MAX(0,IF(ISNUMBER(OFFSET($A$1,ROW()-1,8)),OFFSET($A$1,ROW()-1,8),0)))))</f>
        <v/>
      </c>
      <c r="AE87" s="62">
        <f>IF($V87&lt;&gt;"Sub","",N($X87)*IF(AND(ISNUMBER($G87),$G87&lt;=IF($S87=MesCiclo,InicioCiclo,$S87+MOD(2-WEEKDAY($S87),7))+13),1,MIN(1,MAX(0,IF(ISNUMBER(OFFSET($A$1,ROW()-1,9)),OFFSET($A$1,ROW()-1,9),IF(ISNUMBER(OFFSET($A$1,ROW()-1,8)),OFFSET($A$1,ROW()-1,8),0))))))</f>
        <v/>
      </c>
      <c r="AF87" s="62">
        <f>IF($V87&lt;&gt;"Sub","",N($X87)*IF(AND(ISNUMBER($G87),$G87&lt;=IF($S87=MesCiclo,InicioCiclo,$S87+MOD(2-WEEKDAY($S87),7))+20),1,MIN(1,MAX(0,IF(ISNUMBER(OFFSET($A$1,ROW()-1,10)),OFFSET($A$1,ROW()-1,10),IF(ISNUMBER(OFFSET($A$1,ROW()-1,9)),OFFSET($A$1,ROW()-1,9),IF(ISNUMBER(OFFSET($A$1,ROW()-1,8)),OFFSET($A$1,ROW()-1,8),0)))))))</f>
        <v/>
      </c>
      <c r="AG87" s="62">
        <f>IF($V87&lt;&gt;"Sub","",N($X87)*IF(AND(ISNUMBER($G87),$G87&lt;=IF($S87=MesCiclo,InicioCiclo,$S87+MOD(2-WEEKDAY($S87),7))+27),1,MIN(1,MAX(0,IF(ISNUMBER(OFFSET($A$1,ROW()-1,11)),OFFSET($A$1,ROW()-1,11),IF(ISNUMBER(OFFSET($A$1,ROW()-1,10)),OFFSET($A$1,ROW()-1,10),IF(ISNUMBER(OFFSET($A$1,ROW()-1,9)),OFFSET($A$1,ROW()-1,9),IF(ISNUMBER(OFFSET($A$1,ROW()-1,8)),OFFSET($A$1,ROW()-1,8),0))))))))</f>
        <v/>
      </c>
      <c r="AH87" s="62">
        <f>IF($V87="","",IF(AND(ISNUMBER($G87),$G87&lt;=IF($S87=MesCiclo,InicioCiclo,$S87+MOD(2-WEEKDAY($S87),7))+6),1,IF(N($W87)&gt;0,MIN(1,SUMIFS($AD$5:$AD$1000,$U$5:$U$1000,ROW(),$V$5:$V$1000,"Sub")),$Z87)))</f>
        <v/>
      </c>
      <c r="AI87" s="62">
        <f>IF($V87="","",IF(AND(ISNUMBER($G87),$G87&lt;=IF($S87=MesCiclo,InicioCiclo,$S87+MOD(2-WEEKDAY($S87),7))+13),1,IF(N($W87)&gt;0,MIN(1,SUMIFS($AE$5:$AE$1000,$U$5:$U$1000,ROW(),$V$5:$V$1000,"Sub")),$AA87)))</f>
        <v/>
      </c>
      <c r="AJ87" s="62">
        <f>IF($V87="","",IF(AND(ISNUMBER($G87),$G87&lt;=IF($S87=MesCiclo,InicioCiclo,$S87+MOD(2-WEEKDAY($S87),7))+20),1,IF(N($W87)&gt;0,MIN(1,SUMIFS($AF$5:$AF$1000,$U$5:$U$1000,ROW(),$V$5:$V$1000,"Sub")),$AB87)))</f>
        <v/>
      </c>
      <c r="AK87" s="62">
        <f>IF($V87="","",IF(AND(ISNUMBER($G87),$G87&lt;=IF($S87=MesCiclo,InicioCiclo,$S87+MOD(2-WEEKDAY($S87),7))+27),1,IF(N($W87)&gt;0,MIN(1,SUMIFS($AG$5:$AG$1000,$U$5:$U$1000,ROW(),$V$5:$V$1000,"Sub")),$AC87)))</f>
        <v/>
      </c>
      <c r="AL87" s="62">
        <f>IF($V87&lt;&gt;"Macro","",IF(COUNTIFS($S$5:$S$1000,$S87,$V$5:$V$1000,"Macro",$H$5:$H$1000,"&gt;0")=0,1/COUNTIFS($S$5:$S$1000,$S87,$V$5:$V$1000,"Macro"),IF(AND(ISNUMBER($H87),N($H87)&gt;0),$H87,SUMIFS($H$5:$H$1000,$S$5:$S$1000,$S87,$V$5:$V$1000,"Macro")/COUNTIFS($S$5:$S$1000,$S87,$V$5:$V$1000,"Macro",$H$5:$H$1000,"&gt;0"))/(COUNTIFS($S$5:$S$1000,$S87,$V$5:$V$1000,"Macro")*SUMIFS($H$5:$H$1000,$S$5:$S$1000,$S87,$V$5:$V$1000,"Macro")/COUNTIFS($S$5:$S$1000,$S87,$V$5:$V$1000,"Macro",$H$5:$H$1000,"&gt;0"))))</f>
        <v/>
      </c>
      <c r="AM87" s="62" t="n"/>
      <c r="AN87" s="62" t="n"/>
      <c r="AO87" s="62" t="n"/>
      <c r="AP87" s="62" t="n"/>
      <c r="AQ87" s="62">
        <f>IF(LEFT($C87,11)="[Jefatura] ",IFERROR(MATCH("Asistente Técnico de Riesgo|"&amp;MID($C87,12,500),rDname_ADM,0),0),"")</f>
        <v/>
      </c>
      <c r="AR87" s="62">
        <f>IF(N($AQ87)&gt;0,INDEX(rIni_ADM,$AQ87),IF(ISNUMBER($E87),$E87,""))</f>
        <v/>
      </c>
      <c r="AS87" s="62">
        <f>IF(N($AQ87)&gt;0,INDEX(rLim_ADM,$AQ87),IF(ISNUMBER($F87),$F87,""))</f>
        <v/>
      </c>
    </row>
    <row r="88">
      <c r="A88" s="56">
        <f>IF(NOT((COUNTA($B88:$D88)+COUNTA($G88:$H88)+COUNTA($Q88))&gt;0),"",IF($V88="Macro",COUNTIFS($V$5:$V88,"Macro",$S$5:$S88,$S88),IF(N($U88)=0,"?",COUNTIFS(INDEX($V$5:$V$1000,1):INDEX($V$5:$V$1000,$U88-4),"Macro",INDEX($S$5:$S$1000,1):INDEX($S$5:$S$1000,$U88-4),INDEX($S$5:$S$1000,$U88-4))&amp;"."&amp;COUNTIFS($U$5:$U88,$U88,$V$5:$V88,"Sub"))))</f>
        <v/>
      </c>
      <c r="B88" s="57" t="n"/>
      <c r="C88" s="58" t="n"/>
      <c r="D88" s="58" t="n"/>
      <c r="E88" s="59">
        <f>IF(N($AQ88)&gt;0,INDEX(rIni_ADM,$AQ88),"")</f>
        <v/>
      </c>
      <c r="F88" s="59">
        <f>IF(N($AQ88)&gt;0,INDEX(rLim_ADM,$AQ88),"")</f>
        <v/>
      </c>
      <c r="G88" s="59" t="n"/>
      <c r="H88" s="60" t="n"/>
      <c r="I88" s="60">
        <f>IF(N($W88)=0,"",IF(AND($S88=MesCiclo,1&gt;SemanaActual),"",MIN(1,SUMIFS(OFFSET($A$1,ROW(),29,1000-ROW(),1),OFFSET($A$1,ROW(),20,1000-ROW(),1),ROW(),OFFSET($A$1,ROW(),21,1000-ROW(),1),"Sub"))))</f>
        <v/>
      </c>
      <c r="J88" s="60">
        <f>IF(N($W88)=0,"",IF(AND($S88=MesCiclo,2&gt;SemanaActual),"",MIN(1,SUMIFS(OFFSET($A$1,ROW(),30,1000-ROW(),1),OFFSET($A$1,ROW(),20,1000-ROW(),1),ROW(),OFFSET($A$1,ROW(),21,1000-ROW(),1),"Sub"))))</f>
        <v/>
      </c>
      <c r="K88" s="60">
        <f>IF(N($W88)=0,"",IF(AND($S88=MesCiclo,3&gt;SemanaActual),"",MIN(1,SUMIFS(OFFSET($A$1,ROW(),31,1000-ROW(),1),OFFSET($A$1,ROW(),20,1000-ROW(),1),ROW(),OFFSET($A$1,ROW(),21,1000-ROW(),1),"Sub"))))</f>
        <v/>
      </c>
      <c r="L88" s="60">
        <f>IF(N($W88)=0,"",IF(AND($S88=MesCiclo,4&gt;SemanaActual),"",MIN(1,SUMIFS(OFFSET($A$1,ROW(),32,1000-ROW(),1),OFFSET($A$1,ROW(),20,1000-ROW(),1),ROW(),OFFSET($A$1,ROW(),21,1000-ROW(),1),"Sub"))))</f>
        <v/>
      </c>
      <c r="M88" s="61">
        <f>IF(OR(NOT((COUNTA($B88:$D88)+COUNTA($G88:$H88)+COUNTA($Q88))&gt;0),$V88="Sub"),"",IF(ISNUMBER($G88),1,IF(N($W88)&gt;0,MIN(1,SUMIFS($Y$5:$Y$1000,$U$5:$U$1000,ROW(),$V$5:$V$1000,"Sub")),$Y88)))</f>
        <v/>
      </c>
      <c r="N88" s="56">
        <f>IF(OR($M88="",$V88="Sub"),"",IF($M88&gt;=1,"Completado",IF($M88&gt;0,"En curso","Pendiente")))</f>
        <v/>
      </c>
      <c r="O88" s="56">
        <f>IF(OR(NOT((COUNTA($B88:$D88)+COUNTA($G88:$H88)+COUNTA($Q88))&gt;0),$V88="Sub"),"",IF(ISNUMBER($G88),IF(AND(ISNUMBER($AS88),$G88&gt;$AS88),"Cumplida con "&amp;($G88-$AS88)&amp;IF($G88-$AS88=1," día"," días")&amp;" de retraso","Cumplida"),IF(N($M88)&gt;=1,"Cumplida",IF(NOT(ISNUMBER($AS88)),"Sin fecha límite",IF($AS88&lt;FechaRef,"Vencida hace "&amp;(FechaRef-$AS88)&amp;IF(FechaRef-$AS88=1," día"," días"),IF($AS88=FechaRef,"Vence hoy",IF($AS88-FechaRef&lt;=DiasAlerta,"Vence en "&amp;($AS88-FechaRef)&amp;IF($AS88-FechaRef=1," día"," días"),"En plazo")))))))</f>
        <v/>
      </c>
      <c r="P88" s="62" t="n"/>
      <c r="Q88" s="58" t="n"/>
      <c r="R88" s="63">
        <f>IF(NOT((COUNTA($B88:$D88)+COUNTA($G88:$H88)+COUNTA($Q88))&gt;0),"",IF((IF($C88="","Falta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 OK","⚠ "&amp;LEFT(IF($C88="","Falta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",""),LEN(IF($C88="","Falta el nombre de la actividad"&amp;" · ","")&amp;IF(AND($V88="Sub",N($U88)=0),"Subactividad sin macroactividad arriba"&amp;" · ","")&amp;IF(AND($V88="Macro",$AR88=""),"Sin fecha de inicio"&amp;" · ","")&amp;IF(AND($V88="Macro",$AS88=""),"Sin fecha límite"&amp;" · ","")&amp;IF(AND(LEFT($C88,11)="[Jefatura] ",N($AQ88)=0),"No se encuentra en la hoja de la jefatura (elíjala de nuevo en la lista)"&amp;" · ","")&amp;IF(OR(AND($E88&lt;&gt;"",NOT(ISNUMBER($E88))),AND($F88&lt;&gt;"",NOT(ISNUMBER($F88))),AND($G88&lt;&gt;"",NOT(ISNUMBER($G88)))),"Fecha no válida"&amp;" · ","")&amp;IF(AND(ISNUMBER($AR88),ISNUMBER($AS88),$AR88&gt;$AS88),"Inicio posterior a fecha límite"&amp;" · ","")&amp;IF(AND($V88="Macro",$H88&lt;&gt;"",OR(NOT(ISNUMBER($H88)),$H88&lt;0,$H88&gt;1)),"Peso fuera de rango"&amp;" · ","")&amp;IF(AND($V88="Sub",$H88&lt;&gt;"",OR(NOT(ISNUMBER($H88)),$H88&lt;0,$H88&gt;1)),"% de la subactividad fuera de rango 0-100%"&amp;" · ","")&amp;IF(AND(N($W88)&gt;0,SUMIFS($H$5:$H$1000,$U$5:$U$1000,ROW(),$V$5:$V$1000,"Sub")&gt;1.0001),"Las subactividades suman más de 100%"&amp;" · ","")&amp;IF(AND(N($W88)&gt;0,OR(IF(ISNUMBER($I88),ROUND($I88,6)&lt;&gt;ROUND(MIN(1,SUMIFS($AD$5:$AD$1000,$U$5:$U$1000,ROW(),$V$5:$V$1000,"Sub")),6),FALSE),IF(ISNUMBER($J88),ROUND($J88,6)&lt;&gt;ROUND(MIN(1,SUMIFS($AE$5:$AE$1000,$U$5:$U$1000,ROW(),$V$5:$V$1000,"Sub")),6),FALSE),IF(ISNUMBER($K88),ROUND($K88,6)&lt;&gt;ROUND(MIN(1,SUMIFS($AF$5:$AF$1000,$U$5:$U$1000,ROW(),$V$5:$V$1000,"Sub")),6),FALSE),IF(ISNUMBER($L88),ROUND($L88,6)&lt;&gt;ROUND(MIN(1,SUMIFS($AG$5:$AG$1000,$U$5:$U$1000,ROW(),$V$5:$V$1000,"Sub")),6),FALSE))),"Con subactividades: no escriba en las semanas (se llenan solas)"&amp;" · ","")&amp;IF((COUNTIF($I88:$L88,"&gt;1")+COUNTIF($I88:$L88,"&lt;0")+SUMPRODUCT((LEN($I88:$L88)&gt;0)*NOT(ISNUMBER($I88:$L88))))&gt;0,"Avance fuera de rango 0-100%"&amp;" · ","")&amp;IF(OR(AND(ISNUMBER($J88),$J88&lt;N($I88)),AND(ISNUMBER($K88),$K88&lt;MAX($I88:$J88)),AND(ISNUMBER($L88),$L88&lt;MAX($I88:$K88))),"Avance semanal decreciente"&amp;" · ","")&amp;IF(AND(ISNUMBER($AS88),$AS88&lt;FechaRef,IF($V88="Sub",1,N($M88))&lt;1),"Vencida"&amp;" · ","")&amp;IF(AND(ObsObligatoria="Sí",ISNUMBER($AS88),$AS88&lt;FechaRef,IF($V88="Sub",1,N($M88))&lt;1,$Q88=""),"Vencida sin observación"&amp;" · ",""))-3)))</f>
        <v/>
      </c>
      <c r="S88" s="64">
        <f>IF(NOT((COUNTA($B88:$D88)+COUNTA($G88:$H88)+COUNTA($Q88))&gt;0),"",IF(AND($V88="Sub",N($U88)&gt;0),IF(ISNUMBER(INDEX($AR$5:$AR$1000,$U88-4)),DATE(YEAR(INDEX($AR$5:$AR$1000,$U88-4)),MONTH(INDEX($AR$5:$AR$1000,$U88-4)),1),IF(ISNUMBER(INDEX($AS$5:$AS$1000,$U88-4)),DATE(YEAR(INDEX($AS$5:$AS$1000,$U88-4)),MONTH(INDEX($AS$5:$AS$1000,$U88-4)),1),MesCiclo)),IF(ISNUMBER($AR88),DATE(YEAR($AR88),MONTH($AR88),1),IF(ISNUMBER($AS88),DATE(YEAR($AS88),MONTH($AS88),1),MesCiclo))))</f>
        <v/>
      </c>
      <c r="T88" s="62">
        <f>IF(OR($S88="",$S88&lt;&gt;MesCiclo,$V88&lt;&gt;"Macro"),"",COUNTIFS($S$5:$S88,MesCiclo,$V$5:$V88,"Macro"))</f>
        <v/>
      </c>
      <c r="U88" s="62">
        <f>IF($V88="","",IF($V88="Macro",ROW(),IFERROR(LOOKUP(2,1/($V$5:$V88="Macro"),ROW($V$5:$V88)),0)))</f>
        <v/>
      </c>
      <c r="V88" s="62">
        <f>IF(NOT((COUNTA($B88:$D88)+COUNTA($G88:$H88)+COUNTA($Q88))&gt;0),"",IF($B88="Subactividad","Sub","Macro"))</f>
        <v/>
      </c>
      <c r="W88" s="62">
        <f>IF($V88="Macro",COUNTIFS($U$5:$U$1000,ROW(),$V$5:$V$1000,"Sub"),"")</f>
        <v/>
      </c>
      <c r="X88" s="62">
        <f>IF($V88&lt;&gt;"Sub","",IF(AND(ISNUMBER($H88),N($H88)&gt;0),$H88,IFERROR(MAX(0,1-SUMIFS($H$5:$H$1000,$U$5:$U$1000,$U88,$V$5:$V$1000,"Sub"))/(COUNTIFS($U$5:$U$1000,$U88,$V$5:$V$1000,"Sub")-COUNTIFS($U$5:$U$1000,$U88,$V$5:$V$1000,"Sub",$H$5:$H$1000,"&gt;0")),0)))</f>
        <v/>
      </c>
      <c r="Y88" s="62">
        <f>IF($V88="","",IF($V88="Sub",N($X88)*IF(ISNUMBER($G88),1,MIN(1,MAX(0,IFERROR(LOOKUP(2,1/ISNUMBER($I88:$L88),$I88:$L88),0)))),IF(ISNUMBER($G88),1,IFERROR(LOOKUP(2,1/($I88:$L88&lt;&gt;""),$I88:$L88),0))))</f>
        <v/>
      </c>
      <c r="Z88" s="62">
        <f>IF($V88="","",IF(AND(ISNUMBER($G88),$G88&lt;=IF($S88=MesCiclo,InicioCiclo,$S88+MOD(2-WEEKDAY($S88),7))+6),1,IF(ISNUMBER($I88),$I88,0)))</f>
        <v/>
      </c>
      <c r="AA88" s="62">
        <f>IF($V88="","",IF(AND(ISNUMBER($G88),$G88&lt;=IF($S88=MesCiclo,InicioCiclo,$S88+MOD(2-WEEKDAY($S88),7))+13),1,IF(ISNUMBER($J88),$J88,$Z88)))</f>
        <v/>
      </c>
      <c r="AB88" s="62">
        <f>IF($V88="","",IF(AND(ISNUMBER($G88),$G88&lt;=IF($S88=MesCiclo,InicioCiclo,$S88+MOD(2-WEEKDAY($S88),7))+20),1,IF(ISNUMBER($K88),$K88,$AA88)))</f>
        <v/>
      </c>
      <c r="AC88" s="62">
        <f>IF($V88="","",IF(AND(ISNUMBER($G88),$G88&lt;=IF($S88=MesCiclo,InicioCiclo,$S88+MOD(2-WEEKDAY($S88),7))+27),1,IF(ISNUMBER($L88),$L88,$AB88)))</f>
        <v/>
      </c>
      <c r="AD88" s="62">
        <f>IF($V88&lt;&gt;"Sub","",N($X88)*IF(AND(ISNUMBER($G88),$G88&lt;=IF($S88=MesCiclo,InicioCiclo,$S88+MOD(2-WEEKDAY($S88),7))+6),1,MIN(1,MAX(0,IF(ISNUMBER(OFFSET($A$1,ROW()-1,8)),OFFSET($A$1,ROW()-1,8),0)))))</f>
        <v/>
      </c>
      <c r="AE88" s="62">
        <f>IF($V88&lt;&gt;"Sub","",N($X88)*IF(AND(ISNUMBER($G88),$G88&lt;=IF($S88=MesCiclo,InicioCiclo,$S88+MOD(2-WEEKDAY($S88),7))+13),1,MIN(1,MAX(0,IF(ISNUMBER(OFFSET($A$1,ROW()-1,9)),OFFSET($A$1,ROW()-1,9),IF(ISNUMBER(OFFSET($A$1,ROW()-1,8)),OFFSET($A$1,ROW()-1,8),0))))))</f>
        <v/>
      </c>
      <c r="AF88" s="62">
        <f>IF($V88&lt;&gt;"Sub","",N($X88)*IF(AND(ISNUMBER($G88),$G88&lt;=IF($S88=MesCiclo,InicioCiclo,$S88+MOD(2-WEEKDAY($S88),7))+20),1,MIN(1,MAX(0,IF(ISNUMBER(OFFSET($A$1,ROW()-1,10)),OFFSET($A$1,ROW()-1,10),IF(ISNUMBER(OFFSET($A$1,ROW()-1,9)),OFFSET($A$1,ROW()-1,9),IF(ISNUMBER(OFFSET($A$1,ROW()-1,8)),OFFSET($A$1,ROW()-1,8),0)))))))</f>
        <v/>
      </c>
      <c r="AG88" s="62">
        <f>IF($V88&lt;&gt;"Sub","",N($X88)*IF(AND(ISNUMBER($G88),$G88&lt;=IF($S88=MesCiclo,InicioCiclo,$S88+MOD(2-WEEKDAY($S88),7))+27),1,MIN(1,MAX(0,IF(ISNUMBER(OFFSET($A$1,ROW()-1,11)),OFFSET($A$1,ROW()-1,11),IF(ISNUMBER(OFFSET($A$1,ROW()-1,10)),OFFSET($A$1,ROW()-1,10),IF(ISNUMBER(OFFSET($A$1,ROW()-1,9)),OFFSET($A$1,ROW()-1,9),IF(ISNUMBER(OFFSET($A$1,ROW()-1,8)),OFFSET($A$1,ROW()-1,8),0))))))))</f>
        <v/>
      </c>
      <c r="AH88" s="62">
        <f>IF($V88="","",IF(AND(ISNUMBER($G88),$G88&lt;=IF($S88=MesCiclo,InicioCiclo,$S88+MOD(2-WEEKDAY($S88),7))+6),1,IF(N($W88)&gt;0,MIN(1,SUMIFS($AD$5:$AD$1000,$U$5:$U$1000,ROW(),$V$5:$V$1000,"Sub")),$Z88)))</f>
        <v/>
      </c>
      <c r="AI88" s="62">
        <f>IF($V88="","",IF(AND(ISNUMBER($G88),$G88&lt;=IF($S88=MesCiclo,InicioCiclo,$S88+MOD(2-WEEKDAY($S88),7))+13),1,IF(N($W88)&gt;0,MIN(1,SUMIFS($AE$5:$AE$1000,$U$5:$U$1000,ROW(),$V$5:$V$1000,"Sub")),$AA88)))</f>
        <v/>
      </c>
      <c r="AJ88" s="62">
        <f>IF($V88="","",IF(AND(ISNUMBER($G88),$G88&lt;=IF($S88=MesCiclo,InicioCiclo,$S88+MOD(2-WEEKDAY($S88),7))+20),1,IF(N($W88)&gt;0,MIN(1,SUMIFS($AF$5:$AF$1000,$U$5:$U$1000,ROW(),$V$5:$V$1000,"Sub")),$AB88)))</f>
        <v/>
      </c>
      <c r="AK88" s="62">
        <f>IF($V88="","",IF(AND(ISNUMBER($G88),$G88&lt;=IF($S88=MesCiclo,InicioCiclo,$S88+MOD(2-WEEKDAY($S88),7))+27),1,IF(N($W88)&gt;0,MIN(1,SUMIFS($AG$5:$AG$1000,$U$5:$U$1000,ROW(),$V$5:$V$1000,"Sub")),$AC88)))</f>
        <v/>
      </c>
      <c r="AL88" s="62">
        <f>IF($V88&lt;&gt;"Macro","",IF(COUNTIFS($S$5:$S$1000,$S88,$V$5:$V$1000,"Macro",$H$5:$H$1000,"&gt;0")=0,1/COUNTIFS($S$5:$S$1000,$S88,$V$5:$V$1000,"Macro"),IF(AND(ISNUMBER($H88),N($H88)&gt;0),$H88,SUMIFS($H$5:$H$1000,$S$5:$S$1000,$S88,$V$5:$V$1000,"Macro")/COUNTIFS($S$5:$S$1000,$S88,$V$5:$V$1000,"Macro",$H$5:$H$1000,"&gt;0"))/(COUNTIFS($S$5:$S$1000,$S88,$V$5:$V$1000,"Macro")*SUMIFS($H$5:$H$1000,$S$5:$S$1000,$S88,$V$5:$V$1000,"Macro")/COUNTIFS($S$5:$S$1000,$S88,$V$5:$V$1000,"Macro",$H$5:$H$1000,"&gt;0"))))</f>
        <v/>
      </c>
      <c r="AM88" s="62" t="n"/>
      <c r="AN88" s="62" t="n"/>
      <c r="AO88" s="62" t="n"/>
      <c r="AP88" s="62" t="n"/>
      <c r="AQ88" s="62">
        <f>IF(LEFT($C88,11)="[Jefatura] ",IFERROR(MATCH("Asistente Técnico de Riesgo|"&amp;MID($C88,12,500),rDname_ADM,0),0),"")</f>
        <v/>
      </c>
      <c r="AR88" s="62">
        <f>IF(N($AQ88)&gt;0,INDEX(rIni_ADM,$AQ88),IF(ISNUMBER($E88),$E88,""))</f>
        <v/>
      </c>
      <c r="AS88" s="62">
        <f>IF(N($AQ88)&gt;0,INDEX(rLim_ADM,$AQ88),IF(ISNUMBER($F88),$F88,""))</f>
        <v/>
      </c>
    </row>
    <row r="89">
      <c r="A89" s="56">
        <f>IF(NOT((COUNTA($B89:$D89)+COUNTA($G89:$H89)+COUNTA($Q89))&gt;0),"",IF($V89="Macro",COUNTIFS($V$5:$V89,"Macro",$S$5:$S89,$S89),IF(N($U89)=0,"?",COUNTIFS(INDEX($V$5:$V$1000,1):INDEX($V$5:$V$1000,$U89-4),"Macro",INDEX($S$5:$S$1000,1):INDEX($S$5:$S$1000,$U89-4),INDEX($S$5:$S$1000,$U89-4))&amp;"."&amp;COUNTIFS($U$5:$U89,$U89,$V$5:$V89,"Sub"))))</f>
        <v/>
      </c>
      <c r="B89" s="57" t="n"/>
      <c r="C89" s="58" t="n"/>
      <c r="D89" s="58" t="n"/>
      <c r="E89" s="59">
        <f>IF(N($AQ89)&gt;0,INDEX(rIni_ADM,$AQ89),"")</f>
        <v/>
      </c>
      <c r="F89" s="59">
        <f>IF(N($AQ89)&gt;0,INDEX(rLim_ADM,$AQ89),"")</f>
        <v/>
      </c>
      <c r="G89" s="59" t="n"/>
      <c r="H89" s="60" t="n"/>
      <c r="I89" s="60">
        <f>IF(N($W89)=0,"",IF(AND($S89=MesCiclo,1&gt;SemanaActual),"",MIN(1,SUMIFS(OFFSET($A$1,ROW(),29,1000-ROW(),1),OFFSET($A$1,ROW(),20,1000-ROW(),1),ROW(),OFFSET($A$1,ROW(),21,1000-ROW(),1),"Sub"))))</f>
        <v/>
      </c>
      <c r="J89" s="60">
        <f>IF(N($W89)=0,"",IF(AND($S89=MesCiclo,2&gt;SemanaActual),"",MIN(1,SUMIFS(OFFSET($A$1,ROW(),30,1000-ROW(),1),OFFSET($A$1,ROW(),20,1000-ROW(),1),ROW(),OFFSET($A$1,ROW(),21,1000-ROW(),1),"Sub"))))</f>
        <v/>
      </c>
      <c r="K89" s="60">
        <f>IF(N($W89)=0,"",IF(AND($S89=MesCiclo,3&gt;SemanaActual),"",MIN(1,SUMIFS(OFFSET($A$1,ROW(),31,1000-ROW(),1),OFFSET($A$1,ROW(),20,1000-ROW(),1),ROW(),OFFSET($A$1,ROW(),21,1000-ROW(),1),"Sub"))))</f>
        <v/>
      </c>
      <c r="L89" s="60">
        <f>IF(N($W89)=0,"",IF(AND($S89=MesCiclo,4&gt;SemanaActual),"",MIN(1,SUMIFS(OFFSET($A$1,ROW(),32,1000-ROW(),1),OFFSET($A$1,ROW(),20,1000-ROW(),1),ROW(),OFFSET($A$1,ROW(),21,1000-ROW(),1),"Sub"))))</f>
        <v/>
      </c>
      <c r="M89" s="61">
        <f>IF(OR(NOT((COUNTA($B89:$D89)+COUNTA($G89:$H89)+COUNTA($Q89))&gt;0),$V89="Sub"),"",IF(ISNUMBER($G89),1,IF(N($W89)&gt;0,MIN(1,SUMIFS($Y$5:$Y$1000,$U$5:$U$1000,ROW(),$V$5:$V$1000,"Sub")),$Y89)))</f>
        <v/>
      </c>
      <c r="N89" s="56">
        <f>IF(OR($M89="",$V89="Sub"),"",IF($M89&gt;=1,"Completado",IF($M89&gt;0,"En curso","Pendiente")))</f>
        <v/>
      </c>
      <c r="O89" s="56">
        <f>IF(OR(NOT((COUNTA($B89:$D89)+COUNTA($G89:$H89)+COUNTA($Q89))&gt;0),$V89="Sub"),"",IF(ISNUMBER($G89),IF(AND(ISNUMBER($AS89),$G89&gt;$AS89),"Cumplida con "&amp;($G89-$AS89)&amp;IF($G89-$AS89=1," día"," días")&amp;" de retraso","Cumplida"),IF(N($M89)&gt;=1,"Cumplida",IF(NOT(ISNUMBER($AS89)),"Sin fecha límite",IF($AS89&lt;FechaRef,"Vencida hace "&amp;(FechaRef-$AS89)&amp;IF(FechaRef-$AS89=1," día"," días"),IF($AS89=FechaRef,"Vence hoy",IF($AS89-FechaRef&lt;=DiasAlerta,"Vence en "&amp;($AS89-FechaRef)&amp;IF($AS89-FechaRef=1," día"," días"),"En plazo")))))))</f>
        <v/>
      </c>
      <c r="P89" s="62" t="n"/>
      <c r="Q89" s="58" t="n"/>
      <c r="R89" s="63">
        <f>IF(NOT((COUNTA($B89:$D89)+COUNTA($G89:$H89)+COUNTA($Q89))&gt;0),"",IF((IF($C89="","Falta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 OK","⚠ "&amp;LEFT(IF($C89="","Falta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",""),LEN(IF($C89="","Falta el nombre de la actividad"&amp;" · ","")&amp;IF(AND($V89="Sub",N($U89)=0),"Subactividad sin macroactividad arriba"&amp;" · ","")&amp;IF(AND($V89="Macro",$AR89=""),"Sin fecha de inicio"&amp;" · ","")&amp;IF(AND($V89="Macro",$AS89=""),"Sin fecha límite"&amp;" · ","")&amp;IF(AND(LEFT($C89,11)="[Jefatura] ",N($AQ89)=0),"No se encuentra en la hoja de la jefatura (elíjala de nuevo en la lista)"&amp;" · ","")&amp;IF(OR(AND($E89&lt;&gt;"",NOT(ISNUMBER($E89))),AND($F89&lt;&gt;"",NOT(ISNUMBER($F89))),AND($G89&lt;&gt;"",NOT(ISNUMBER($G89)))),"Fecha no válida"&amp;" · ","")&amp;IF(AND(ISNUMBER($AR89),ISNUMBER($AS89),$AR89&gt;$AS89),"Inicio posterior a fecha límite"&amp;" · ","")&amp;IF(AND($V89="Macro",$H89&lt;&gt;"",OR(NOT(ISNUMBER($H89)),$H89&lt;0,$H89&gt;1)),"Peso fuera de rango"&amp;" · ","")&amp;IF(AND($V89="Sub",$H89&lt;&gt;"",OR(NOT(ISNUMBER($H89)),$H89&lt;0,$H89&gt;1)),"% de la subactividad fuera de rango 0-100%"&amp;" · ","")&amp;IF(AND(N($W89)&gt;0,SUMIFS($H$5:$H$1000,$U$5:$U$1000,ROW(),$V$5:$V$1000,"Sub")&gt;1.0001),"Las subactividades suman más de 100%"&amp;" · ","")&amp;IF(AND(N($W89)&gt;0,OR(IF(ISNUMBER($I89),ROUND($I89,6)&lt;&gt;ROUND(MIN(1,SUMIFS($AD$5:$AD$1000,$U$5:$U$1000,ROW(),$V$5:$V$1000,"Sub")),6),FALSE),IF(ISNUMBER($J89),ROUND($J89,6)&lt;&gt;ROUND(MIN(1,SUMIFS($AE$5:$AE$1000,$U$5:$U$1000,ROW(),$V$5:$V$1000,"Sub")),6),FALSE),IF(ISNUMBER($K89),ROUND($K89,6)&lt;&gt;ROUND(MIN(1,SUMIFS($AF$5:$AF$1000,$U$5:$U$1000,ROW(),$V$5:$V$1000,"Sub")),6),FALSE),IF(ISNUMBER($L89),ROUND($L89,6)&lt;&gt;ROUND(MIN(1,SUMIFS($AG$5:$AG$1000,$U$5:$U$1000,ROW(),$V$5:$V$1000,"Sub")),6),FALSE))),"Con subactividades: no escriba en las semanas (se llenan solas)"&amp;" · ","")&amp;IF((COUNTIF($I89:$L89,"&gt;1")+COUNTIF($I89:$L89,"&lt;0")+SUMPRODUCT((LEN($I89:$L89)&gt;0)*NOT(ISNUMBER($I89:$L89))))&gt;0,"Avance fuera de rango 0-100%"&amp;" · ","")&amp;IF(OR(AND(ISNUMBER($J89),$J89&lt;N($I89)),AND(ISNUMBER($K89),$K89&lt;MAX($I89:$J89)),AND(ISNUMBER($L89),$L89&lt;MAX($I89:$K89))),"Avance semanal decreciente"&amp;" · ","")&amp;IF(AND(ISNUMBER($AS89),$AS89&lt;FechaRef,IF($V89="Sub",1,N($M89))&lt;1),"Vencida"&amp;" · ","")&amp;IF(AND(ObsObligatoria="Sí",ISNUMBER($AS89),$AS89&lt;FechaRef,IF($V89="Sub",1,N($M89))&lt;1,$Q89=""),"Vencida sin observación"&amp;" · ",""))-3)))</f>
        <v/>
      </c>
      <c r="S89" s="64">
        <f>IF(NOT((COUNTA($B89:$D89)+COUNTA($G89:$H89)+COUNTA($Q89))&gt;0),"",IF(AND($V89="Sub",N($U89)&gt;0),IF(ISNUMBER(INDEX($AR$5:$AR$1000,$U89-4)),DATE(YEAR(INDEX($AR$5:$AR$1000,$U89-4)),MONTH(INDEX($AR$5:$AR$1000,$U89-4)),1),IF(ISNUMBER(INDEX($AS$5:$AS$1000,$U89-4)),DATE(YEAR(INDEX($AS$5:$AS$1000,$U89-4)),MONTH(INDEX($AS$5:$AS$1000,$U89-4)),1),MesCiclo)),IF(ISNUMBER($AR89),DATE(YEAR($AR89),MONTH($AR89),1),IF(ISNUMBER($AS89),DATE(YEAR($AS89),MONTH($AS89),1),MesCiclo))))</f>
        <v/>
      </c>
      <c r="T89" s="62">
        <f>IF(OR($S89="",$S89&lt;&gt;MesCiclo,$V89&lt;&gt;"Macro"),"",COUNTIFS($S$5:$S89,MesCiclo,$V$5:$V89,"Macro"))</f>
        <v/>
      </c>
      <c r="U89" s="62">
        <f>IF($V89="","",IF($V89="Macro",ROW(),IFERROR(LOOKUP(2,1/($V$5:$V89="Macro"),ROW($V$5:$V89)),0)))</f>
        <v/>
      </c>
      <c r="V89" s="62">
        <f>IF(NOT((COUNTA($B89:$D89)+COUNTA($G89:$H89)+COUNTA($Q89))&gt;0),"",IF($B89="Subactividad","Sub","Macro"))</f>
        <v/>
      </c>
      <c r="W89" s="62">
        <f>IF($V89="Macro",COUNTIFS($U$5:$U$1000,ROW(),$V$5:$V$1000,"Sub"),"")</f>
        <v/>
      </c>
      <c r="X89" s="62">
        <f>IF($V89&lt;&gt;"Sub","",IF(AND(ISNUMBER($H89),N($H89)&gt;0),$H89,IFERROR(MAX(0,1-SUMIFS($H$5:$H$1000,$U$5:$U$1000,$U89,$V$5:$V$1000,"Sub"))/(COUNTIFS($U$5:$U$1000,$U89,$V$5:$V$1000,"Sub")-COUNTIFS($U$5:$U$1000,$U89,$V$5:$V$1000,"Sub",$H$5:$H$1000,"&gt;0")),0)))</f>
        <v/>
      </c>
      <c r="Y89" s="62">
        <f>IF($V89="","",IF($V89="Sub",N($X89)*IF(ISNUMBER($G89),1,MIN(1,MAX(0,IFERROR(LOOKUP(2,1/ISNUMBER($I89:$L89),$I89:$L89),0)))),IF(ISNUMBER($G89),1,IFERROR(LOOKUP(2,1/($I89:$L89&lt;&gt;""),$I89:$L89),0))))</f>
        <v/>
      </c>
      <c r="Z89" s="62">
        <f>IF($V89="","",IF(AND(ISNUMBER($G89),$G89&lt;=IF($S89=MesCiclo,InicioCiclo,$S89+MOD(2-WEEKDAY($S89),7))+6),1,IF(ISNUMBER($I89),$I89,0)))</f>
        <v/>
      </c>
      <c r="AA89" s="62">
        <f>IF($V89="","",IF(AND(ISNUMBER($G89),$G89&lt;=IF($S89=MesCiclo,InicioCiclo,$S89+MOD(2-WEEKDAY($S89),7))+13),1,IF(ISNUMBER($J89),$J89,$Z89)))</f>
        <v/>
      </c>
      <c r="AB89" s="62">
        <f>IF($V89="","",IF(AND(ISNUMBER($G89),$G89&lt;=IF($S89=MesCiclo,InicioCiclo,$S89+MOD(2-WEEKDAY($S89),7))+20),1,IF(ISNUMBER($K89),$K89,$AA89)))</f>
        <v/>
      </c>
      <c r="AC89" s="62">
        <f>IF($V89="","",IF(AND(ISNUMBER($G89),$G89&lt;=IF($S89=MesCiclo,InicioCiclo,$S89+MOD(2-WEEKDAY($S89),7))+27),1,IF(ISNUMBER($L89),$L89,$AB89)))</f>
        <v/>
      </c>
      <c r="AD89" s="62">
        <f>IF($V89&lt;&gt;"Sub","",N($X89)*IF(AND(ISNUMBER($G89),$G89&lt;=IF($S89=MesCiclo,InicioCiclo,$S89+MOD(2-WEEKDAY($S89),7))+6),1,MIN(1,MAX(0,IF(ISNUMBER(OFFSET($A$1,ROW()-1,8)),OFFSET($A$1,ROW()-1,8),0)))))</f>
        <v/>
      </c>
      <c r="AE89" s="62">
        <f>IF($V89&lt;&gt;"Sub","",N($X89)*IF(AND(ISNUMBER($G89),$G89&lt;=IF($S89=MesCiclo,InicioCiclo,$S89+MOD(2-WEEKDAY($S89),7))+13),1,MIN(1,MAX(0,IF(ISNUMBER(OFFSET($A$1,ROW()-1,9)),OFFSET($A$1,ROW()-1,9),IF(ISNUMBER(OFFSET($A$1,ROW()-1,8)),OFFSET($A$1,ROW()-1,8),0))))))</f>
        <v/>
      </c>
      <c r="AF89" s="62">
        <f>IF($V89&lt;&gt;"Sub","",N($X89)*IF(AND(ISNUMBER($G89),$G89&lt;=IF($S89=MesCiclo,InicioCiclo,$S89+MOD(2-WEEKDAY($S89),7))+20),1,MIN(1,MAX(0,IF(ISNUMBER(OFFSET($A$1,ROW()-1,10)),OFFSET($A$1,ROW()-1,10),IF(ISNUMBER(OFFSET($A$1,ROW()-1,9)),OFFSET($A$1,ROW()-1,9),IF(ISNUMBER(OFFSET($A$1,ROW()-1,8)),OFFSET($A$1,ROW()-1,8),0)))))))</f>
        <v/>
      </c>
      <c r="AG89" s="62">
        <f>IF($V89&lt;&gt;"Sub","",N($X89)*IF(AND(ISNUMBER($G89),$G89&lt;=IF($S89=MesCiclo,InicioCiclo,$S89+MOD(2-WEEKDAY($S89),7))+27),1,MIN(1,MAX(0,IF(ISNUMBER(OFFSET($A$1,ROW()-1,11)),OFFSET($A$1,ROW()-1,11),IF(ISNUMBER(OFFSET($A$1,ROW()-1,10)),OFFSET($A$1,ROW()-1,10),IF(ISNUMBER(OFFSET($A$1,ROW()-1,9)),OFFSET($A$1,ROW()-1,9),IF(ISNUMBER(OFFSET($A$1,ROW()-1,8)),OFFSET($A$1,ROW()-1,8),0))))))))</f>
        <v/>
      </c>
      <c r="AH89" s="62">
        <f>IF($V89="","",IF(AND(ISNUMBER($G89),$G89&lt;=IF($S89=MesCiclo,InicioCiclo,$S89+MOD(2-WEEKDAY($S89),7))+6),1,IF(N($W89)&gt;0,MIN(1,SUMIFS($AD$5:$AD$1000,$U$5:$U$1000,ROW(),$V$5:$V$1000,"Sub")),$Z89)))</f>
        <v/>
      </c>
      <c r="AI89" s="62">
        <f>IF($V89="","",IF(AND(ISNUMBER($G89),$G89&lt;=IF($S89=MesCiclo,InicioCiclo,$S89+MOD(2-WEEKDAY($S89),7))+13),1,IF(N($W89)&gt;0,MIN(1,SUMIFS($AE$5:$AE$1000,$U$5:$U$1000,ROW(),$V$5:$V$1000,"Sub")),$AA89)))</f>
        <v/>
      </c>
      <c r="AJ89" s="62">
        <f>IF($V89="","",IF(AND(ISNUMBER($G89),$G89&lt;=IF($S89=MesCiclo,InicioCiclo,$S89+MOD(2-WEEKDAY($S89),7))+20),1,IF(N($W89)&gt;0,MIN(1,SUMIFS($AF$5:$AF$1000,$U$5:$U$1000,ROW(),$V$5:$V$1000,"Sub")),$AB89)))</f>
        <v/>
      </c>
      <c r="AK89" s="62">
        <f>IF($V89="","",IF(AND(ISNUMBER($G89),$G89&lt;=IF($S89=MesCiclo,InicioCiclo,$S89+MOD(2-WEEKDAY($S89),7))+27),1,IF(N($W89)&gt;0,MIN(1,SUMIFS($AG$5:$AG$1000,$U$5:$U$1000,ROW(),$V$5:$V$1000,"Sub")),$AC89)))</f>
        <v/>
      </c>
      <c r="AL89" s="62">
        <f>IF($V89&lt;&gt;"Macro","",IF(COUNTIFS($S$5:$S$1000,$S89,$V$5:$V$1000,"Macro",$H$5:$H$1000,"&gt;0")=0,1/COUNTIFS($S$5:$S$1000,$S89,$V$5:$V$1000,"Macro"),IF(AND(ISNUMBER($H89),N($H89)&gt;0),$H89,SUMIFS($H$5:$H$1000,$S$5:$S$1000,$S89,$V$5:$V$1000,"Macro")/COUNTIFS($S$5:$S$1000,$S89,$V$5:$V$1000,"Macro",$H$5:$H$1000,"&gt;0"))/(COUNTIFS($S$5:$S$1000,$S89,$V$5:$V$1000,"Macro")*SUMIFS($H$5:$H$1000,$S$5:$S$1000,$S89,$V$5:$V$1000,"Macro")/COUNTIFS($S$5:$S$1000,$S89,$V$5:$V$1000,"Macro",$H$5:$H$1000,"&gt;0"))))</f>
        <v/>
      </c>
      <c r="AM89" s="62" t="n"/>
      <c r="AN89" s="62" t="n"/>
      <c r="AO89" s="62" t="n"/>
      <c r="AP89" s="62" t="n"/>
      <c r="AQ89" s="62">
        <f>IF(LEFT($C89,11)="[Jefatura] ",IFERROR(MATCH("Asistente Técnico de Riesgo|"&amp;MID($C89,12,500),rDname_ADM,0),0),"")</f>
        <v/>
      </c>
      <c r="AR89" s="62">
        <f>IF(N($AQ89)&gt;0,INDEX(rIni_ADM,$AQ89),IF(ISNUMBER($E89),$E89,""))</f>
        <v/>
      </c>
      <c r="AS89" s="62">
        <f>IF(N($AQ89)&gt;0,INDEX(rLim_ADM,$AQ89),IF(ISNUMBER($F89),$F89,""))</f>
        <v/>
      </c>
    </row>
    <row r="90">
      <c r="A90" s="56">
        <f>IF(NOT((COUNTA($B90:$D90)+COUNTA($G90:$H90)+COUNTA($Q90))&gt;0),"",IF($V90="Macro",COUNTIFS($V$5:$V90,"Macro",$S$5:$S90,$S90),IF(N($U90)=0,"?",COUNTIFS(INDEX($V$5:$V$1000,1):INDEX($V$5:$V$1000,$U90-4),"Macro",INDEX($S$5:$S$1000,1):INDEX($S$5:$S$1000,$U90-4),INDEX($S$5:$S$1000,$U90-4))&amp;"."&amp;COUNTIFS($U$5:$U90,$U90,$V$5:$V90,"Sub"))))</f>
        <v/>
      </c>
      <c r="B90" s="57" t="n"/>
      <c r="C90" s="58" t="n"/>
      <c r="D90" s="58" t="n"/>
      <c r="E90" s="59">
        <f>IF(N($AQ90)&gt;0,INDEX(rIni_ADM,$AQ90),"")</f>
        <v/>
      </c>
      <c r="F90" s="59">
        <f>IF(N($AQ90)&gt;0,INDEX(rLim_ADM,$AQ90),"")</f>
        <v/>
      </c>
      <c r="G90" s="59" t="n"/>
      <c r="H90" s="60" t="n"/>
      <c r="I90" s="60">
        <f>IF(N($W90)=0,"",IF(AND($S90=MesCiclo,1&gt;SemanaActual),"",MIN(1,SUMIFS(OFFSET($A$1,ROW(),29,1000-ROW(),1),OFFSET($A$1,ROW(),20,1000-ROW(),1),ROW(),OFFSET($A$1,ROW(),21,1000-ROW(),1),"Sub"))))</f>
        <v/>
      </c>
      <c r="J90" s="60">
        <f>IF(N($W90)=0,"",IF(AND($S90=MesCiclo,2&gt;SemanaActual),"",MIN(1,SUMIFS(OFFSET($A$1,ROW(),30,1000-ROW(),1),OFFSET($A$1,ROW(),20,1000-ROW(),1),ROW(),OFFSET($A$1,ROW(),21,1000-ROW(),1),"Sub"))))</f>
        <v/>
      </c>
      <c r="K90" s="60">
        <f>IF(N($W90)=0,"",IF(AND($S90=MesCiclo,3&gt;SemanaActual),"",MIN(1,SUMIFS(OFFSET($A$1,ROW(),31,1000-ROW(),1),OFFSET($A$1,ROW(),20,1000-ROW(),1),ROW(),OFFSET($A$1,ROW(),21,1000-ROW(),1),"Sub"))))</f>
        <v/>
      </c>
      <c r="L90" s="60">
        <f>IF(N($W90)=0,"",IF(AND($S90=MesCiclo,4&gt;SemanaActual),"",MIN(1,SUMIFS(OFFSET($A$1,ROW(),32,1000-ROW(),1),OFFSET($A$1,ROW(),20,1000-ROW(),1),ROW(),OFFSET($A$1,ROW(),21,1000-ROW(),1),"Sub"))))</f>
        <v/>
      </c>
      <c r="M90" s="61">
        <f>IF(OR(NOT((COUNTA($B90:$D90)+COUNTA($G90:$H90)+COUNTA($Q90))&gt;0),$V90="Sub"),"",IF(ISNUMBER($G90),1,IF(N($W90)&gt;0,MIN(1,SUMIFS($Y$5:$Y$1000,$U$5:$U$1000,ROW(),$V$5:$V$1000,"Sub")),$Y90)))</f>
        <v/>
      </c>
      <c r="N90" s="56">
        <f>IF(OR($M90="",$V90="Sub"),"",IF($M90&gt;=1,"Completado",IF($M90&gt;0,"En curso","Pendiente")))</f>
        <v/>
      </c>
      <c r="O90" s="56">
        <f>IF(OR(NOT((COUNTA($B90:$D90)+COUNTA($G90:$H90)+COUNTA($Q90))&gt;0),$V90="Sub"),"",IF(ISNUMBER($G90),IF(AND(ISNUMBER($AS90),$G90&gt;$AS90),"Cumplida con "&amp;($G90-$AS90)&amp;IF($G90-$AS90=1," día"," días")&amp;" de retraso","Cumplida"),IF(N($M90)&gt;=1,"Cumplida",IF(NOT(ISNUMBER($AS90)),"Sin fecha límite",IF($AS90&lt;FechaRef,"Vencida hace "&amp;(FechaRef-$AS90)&amp;IF(FechaRef-$AS90=1," día"," días"),IF($AS90=FechaRef,"Vence hoy",IF($AS90-FechaRef&lt;=DiasAlerta,"Vence en "&amp;($AS90-FechaRef)&amp;IF($AS90-FechaRef=1," día"," días"),"En plazo")))))))</f>
        <v/>
      </c>
      <c r="P90" s="62" t="n"/>
      <c r="Q90" s="58" t="n"/>
      <c r="R90" s="63">
        <f>IF(NOT((COUNTA($B90:$D90)+COUNTA($G90:$H90)+COUNTA($Q90))&gt;0),"",IF((IF($C90="","Falta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 OK","⚠ "&amp;LEFT(IF($C90="","Falta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",""),LEN(IF($C90="","Falta el nombre de la actividad"&amp;" · ","")&amp;IF(AND($V90="Sub",N($U90)=0),"Subactividad sin macroactividad arriba"&amp;" · ","")&amp;IF(AND($V90="Macro",$AR90=""),"Sin fecha de inicio"&amp;" · ","")&amp;IF(AND($V90="Macro",$AS90=""),"Sin fecha límite"&amp;" · ","")&amp;IF(AND(LEFT($C90,11)="[Jefatura] ",N($AQ90)=0),"No se encuentra en la hoja de la jefatura (elíjala de nuevo en la lista)"&amp;" · ","")&amp;IF(OR(AND($E90&lt;&gt;"",NOT(ISNUMBER($E90))),AND($F90&lt;&gt;"",NOT(ISNUMBER($F90))),AND($G90&lt;&gt;"",NOT(ISNUMBER($G90)))),"Fecha no válida"&amp;" · ","")&amp;IF(AND(ISNUMBER($AR90),ISNUMBER($AS90),$AR90&gt;$AS90),"Inicio posterior a fecha límite"&amp;" · ","")&amp;IF(AND($V90="Macro",$H90&lt;&gt;"",OR(NOT(ISNUMBER($H90)),$H90&lt;0,$H90&gt;1)),"Peso fuera de rango"&amp;" · ","")&amp;IF(AND($V90="Sub",$H90&lt;&gt;"",OR(NOT(ISNUMBER($H90)),$H90&lt;0,$H90&gt;1)),"% de la subactividad fuera de rango 0-100%"&amp;" · ","")&amp;IF(AND(N($W90)&gt;0,SUMIFS($H$5:$H$1000,$U$5:$U$1000,ROW(),$V$5:$V$1000,"Sub")&gt;1.0001),"Las subactividades suman más de 100%"&amp;" · ","")&amp;IF(AND(N($W90)&gt;0,OR(IF(ISNUMBER($I90),ROUND($I90,6)&lt;&gt;ROUND(MIN(1,SUMIFS($AD$5:$AD$1000,$U$5:$U$1000,ROW(),$V$5:$V$1000,"Sub")),6),FALSE),IF(ISNUMBER($J90),ROUND($J90,6)&lt;&gt;ROUND(MIN(1,SUMIFS($AE$5:$AE$1000,$U$5:$U$1000,ROW(),$V$5:$V$1000,"Sub")),6),FALSE),IF(ISNUMBER($K90),ROUND($K90,6)&lt;&gt;ROUND(MIN(1,SUMIFS($AF$5:$AF$1000,$U$5:$U$1000,ROW(),$V$5:$V$1000,"Sub")),6),FALSE),IF(ISNUMBER($L90),ROUND($L90,6)&lt;&gt;ROUND(MIN(1,SUMIFS($AG$5:$AG$1000,$U$5:$U$1000,ROW(),$V$5:$V$1000,"Sub")),6),FALSE))),"Con subactividades: no escriba en las semanas (se llenan solas)"&amp;" · ","")&amp;IF((COUNTIF($I90:$L90,"&gt;1")+COUNTIF($I90:$L90,"&lt;0")+SUMPRODUCT((LEN($I90:$L90)&gt;0)*NOT(ISNUMBER($I90:$L90))))&gt;0,"Avance fuera de rango 0-100%"&amp;" · ","")&amp;IF(OR(AND(ISNUMBER($J90),$J90&lt;N($I90)),AND(ISNUMBER($K90),$K90&lt;MAX($I90:$J90)),AND(ISNUMBER($L90),$L90&lt;MAX($I90:$K90))),"Avance semanal decreciente"&amp;" · ","")&amp;IF(AND(ISNUMBER($AS90),$AS90&lt;FechaRef,IF($V90="Sub",1,N($M90))&lt;1),"Vencida"&amp;" · ","")&amp;IF(AND(ObsObligatoria="Sí",ISNUMBER($AS90),$AS90&lt;FechaRef,IF($V90="Sub",1,N($M90))&lt;1,$Q90=""),"Vencida sin observación"&amp;" · ",""))-3)))</f>
        <v/>
      </c>
      <c r="S90" s="64">
        <f>IF(NOT((COUNTA($B90:$D90)+COUNTA($G90:$H90)+COUNTA($Q90))&gt;0),"",IF(AND($V90="Sub",N($U90)&gt;0),IF(ISNUMBER(INDEX($AR$5:$AR$1000,$U90-4)),DATE(YEAR(INDEX($AR$5:$AR$1000,$U90-4)),MONTH(INDEX($AR$5:$AR$1000,$U90-4)),1),IF(ISNUMBER(INDEX($AS$5:$AS$1000,$U90-4)),DATE(YEAR(INDEX($AS$5:$AS$1000,$U90-4)),MONTH(INDEX($AS$5:$AS$1000,$U90-4)),1),MesCiclo)),IF(ISNUMBER($AR90),DATE(YEAR($AR90),MONTH($AR90),1),IF(ISNUMBER($AS90),DATE(YEAR($AS90),MONTH($AS90),1),MesCiclo))))</f>
        <v/>
      </c>
      <c r="T90" s="62">
        <f>IF(OR($S90="",$S90&lt;&gt;MesCiclo,$V90&lt;&gt;"Macro"),"",COUNTIFS($S$5:$S90,MesCiclo,$V$5:$V90,"Macro"))</f>
        <v/>
      </c>
      <c r="U90" s="62">
        <f>IF($V90="","",IF($V90="Macro",ROW(),IFERROR(LOOKUP(2,1/($V$5:$V90="Macro"),ROW($V$5:$V90)),0)))</f>
        <v/>
      </c>
      <c r="V90" s="62">
        <f>IF(NOT((COUNTA($B90:$D90)+COUNTA($G90:$H90)+COUNTA($Q90))&gt;0),"",IF($B90="Subactividad","Sub","Macro"))</f>
        <v/>
      </c>
      <c r="W90" s="62">
        <f>IF($V90="Macro",COUNTIFS($U$5:$U$1000,ROW(),$V$5:$V$1000,"Sub"),"")</f>
        <v/>
      </c>
      <c r="X90" s="62">
        <f>IF($V90&lt;&gt;"Sub","",IF(AND(ISNUMBER($H90),N($H90)&gt;0),$H90,IFERROR(MAX(0,1-SUMIFS($H$5:$H$1000,$U$5:$U$1000,$U90,$V$5:$V$1000,"Sub"))/(COUNTIFS($U$5:$U$1000,$U90,$V$5:$V$1000,"Sub")-COUNTIFS($U$5:$U$1000,$U90,$V$5:$V$1000,"Sub",$H$5:$H$1000,"&gt;0")),0)))</f>
        <v/>
      </c>
      <c r="Y90" s="62">
        <f>IF($V90="","",IF($V90="Sub",N($X90)*IF(ISNUMBER($G90),1,MIN(1,MAX(0,IFERROR(LOOKUP(2,1/ISNUMBER($I90:$L90),$I90:$L90),0)))),IF(ISNUMBER($G90),1,IFERROR(LOOKUP(2,1/($I90:$L90&lt;&gt;""),$I90:$L90),0))))</f>
        <v/>
      </c>
      <c r="Z90" s="62">
        <f>IF($V90="","",IF(AND(ISNUMBER($G90),$G90&lt;=IF($S90=MesCiclo,InicioCiclo,$S90+MOD(2-WEEKDAY($S90),7))+6),1,IF(ISNUMBER($I90),$I90,0)))</f>
        <v/>
      </c>
      <c r="AA90" s="62">
        <f>IF($V90="","",IF(AND(ISNUMBER($G90),$G90&lt;=IF($S90=MesCiclo,InicioCiclo,$S90+MOD(2-WEEKDAY($S90),7))+13),1,IF(ISNUMBER($J90),$J90,$Z90)))</f>
        <v/>
      </c>
      <c r="AB90" s="62">
        <f>IF($V90="","",IF(AND(ISNUMBER($G90),$G90&lt;=IF($S90=MesCiclo,InicioCiclo,$S90+MOD(2-WEEKDAY($S90),7))+20),1,IF(ISNUMBER($K90),$K90,$AA90)))</f>
        <v/>
      </c>
      <c r="AC90" s="62">
        <f>IF($V90="","",IF(AND(ISNUMBER($G90),$G90&lt;=IF($S90=MesCiclo,InicioCiclo,$S90+MOD(2-WEEKDAY($S90),7))+27),1,IF(ISNUMBER($L90),$L90,$AB90)))</f>
        <v/>
      </c>
      <c r="AD90" s="62">
        <f>IF($V90&lt;&gt;"Sub","",N($X90)*IF(AND(ISNUMBER($G90),$G90&lt;=IF($S90=MesCiclo,InicioCiclo,$S90+MOD(2-WEEKDAY($S90),7))+6),1,MIN(1,MAX(0,IF(ISNUMBER(OFFSET($A$1,ROW()-1,8)),OFFSET($A$1,ROW()-1,8),0)))))</f>
        <v/>
      </c>
      <c r="AE90" s="62">
        <f>IF($V90&lt;&gt;"Sub","",N($X90)*IF(AND(ISNUMBER($G90),$G90&lt;=IF($S90=MesCiclo,InicioCiclo,$S90+MOD(2-WEEKDAY($S90),7))+13),1,MIN(1,MAX(0,IF(ISNUMBER(OFFSET($A$1,ROW()-1,9)),OFFSET($A$1,ROW()-1,9),IF(ISNUMBER(OFFSET($A$1,ROW()-1,8)),OFFSET($A$1,ROW()-1,8),0))))))</f>
        <v/>
      </c>
      <c r="AF90" s="62">
        <f>IF($V90&lt;&gt;"Sub","",N($X90)*IF(AND(ISNUMBER($G90),$G90&lt;=IF($S90=MesCiclo,InicioCiclo,$S90+MOD(2-WEEKDAY($S90),7))+20),1,MIN(1,MAX(0,IF(ISNUMBER(OFFSET($A$1,ROW()-1,10)),OFFSET($A$1,ROW()-1,10),IF(ISNUMBER(OFFSET($A$1,ROW()-1,9)),OFFSET($A$1,ROW()-1,9),IF(ISNUMBER(OFFSET($A$1,ROW()-1,8)),OFFSET($A$1,ROW()-1,8),0)))))))</f>
        <v/>
      </c>
      <c r="AG90" s="62">
        <f>IF($V90&lt;&gt;"Sub","",N($X90)*IF(AND(ISNUMBER($G90),$G90&lt;=IF($S90=MesCiclo,InicioCiclo,$S90+MOD(2-WEEKDAY($S90),7))+27),1,MIN(1,MAX(0,IF(ISNUMBER(OFFSET($A$1,ROW()-1,11)),OFFSET($A$1,ROW()-1,11),IF(ISNUMBER(OFFSET($A$1,ROW()-1,10)),OFFSET($A$1,ROW()-1,10),IF(ISNUMBER(OFFSET($A$1,ROW()-1,9)),OFFSET($A$1,ROW()-1,9),IF(ISNUMBER(OFFSET($A$1,ROW()-1,8)),OFFSET($A$1,ROW()-1,8),0))))))))</f>
        <v/>
      </c>
      <c r="AH90" s="62">
        <f>IF($V90="","",IF(AND(ISNUMBER($G90),$G90&lt;=IF($S90=MesCiclo,InicioCiclo,$S90+MOD(2-WEEKDAY($S90),7))+6),1,IF(N($W90)&gt;0,MIN(1,SUMIFS($AD$5:$AD$1000,$U$5:$U$1000,ROW(),$V$5:$V$1000,"Sub")),$Z90)))</f>
        <v/>
      </c>
      <c r="AI90" s="62">
        <f>IF($V90="","",IF(AND(ISNUMBER($G90),$G90&lt;=IF($S90=MesCiclo,InicioCiclo,$S90+MOD(2-WEEKDAY($S90),7))+13),1,IF(N($W90)&gt;0,MIN(1,SUMIFS($AE$5:$AE$1000,$U$5:$U$1000,ROW(),$V$5:$V$1000,"Sub")),$AA90)))</f>
        <v/>
      </c>
      <c r="AJ90" s="62">
        <f>IF($V90="","",IF(AND(ISNUMBER($G90),$G90&lt;=IF($S90=MesCiclo,InicioCiclo,$S90+MOD(2-WEEKDAY($S90),7))+20),1,IF(N($W90)&gt;0,MIN(1,SUMIFS($AF$5:$AF$1000,$U$5:$U$1000,ROW(),$V$5:$V$1000,"Sub")),$AB90)))</f>
        <v/>
      </c>
      <c r="AK90" s="62">
        <f>IF($V90="","",IF(AND(ISNUMBER($G90),$G90&lt;=IF($S90=MesCiclo,InicioCiclo,$S90+MOD(2-WEEKDAY($S90),7))+27),1,IF(N($W90)&gt;0,MIN(1,SUMIFS($AG$5:$AG$1000,$U$5:$U$1000,ROW(),$V$5:$V$1000,"Sub")),$AC90)))</f>
        <v/>
      </c>
      <c r="AL90" s="62">
        <f>IF($V90&lt;&gt;"Macro","",IF(COUNTIFS($S$5:$S$1000,$S90,$V$5:$V$1000,"Macro",$H$5:$H$1000,"&gt;0")=0,1/COUNTIFS($S$5:$S$1000,$S90,$V$5:$V$1000,"Macro"),IF(AND(ISNUMBER($H90),N($H90)&gt;0),$H90,SUMIFS($H$5:$H$1000,$S$5:$S$1000,$S90,$V$5:$V$1000,"Macro")/COUNTIFS($S$5:$S$1000,$S90,$V$5:$V$1000,"Macro",$H$5:$H$1000,"&gt;0"))/(COUNTIFS($S$5:$S$1000,$S90,$V$5:$V$1000,"Macro")*SUMIFS($H$5:$H$1000,$S$5:$S$1000,$S90,$V$5:$V$1000,"Macro")/COUNTIFS($S$5:$S$1000,$S90,$V$5:$V$1000,"Macro",$H$5:$H$1000,"&gt;0"))))</f>
        <v/>
      </c>
      <c r="AM90" s="62" t="n"/>
      <c r="AN90" s="62" t="n"/>
      <c r="AO90" s="62" t="n"/>
      <c r="AP90" s="62" t="n"/>
      <c r="AQ90" s="62">
        <f>IF(LEFT($C90,11)="[Jefatura] ",IFERROR(MATCH("Asistente Técnico de Riesgo|"&amp;MID($C90,12,500),rDname_ADM,0),0),"")</f>
        <v/>
      </c>
      <c r="AR90" s="62">
        <f>IF(N($AQ90)&gt;0,INDEX(rIni_ADM,$AQ90),IF(ISNUMBER($E90),$E90,""))</f>
        <v/>
      </c>
      <c r="AS90" s="62">
        <f>IF(N($AQ90)&gt;0,INDEX(rLim_ADM,$AQ90),IF(ISNUMBER($F90),$F90,""))</f>
        <v/>
      </c>
    </row>
    <row r="91">
      <c r="A91" s="56">
        <f>IF(NOT((COUNTA($B91:$D91)+COUNTA($G91:$H91)+COUNTA($Q91))&gt;0),"",IF($V91="Macro",COUNTIFS($V$5:$V91,"Macro",$S$5:$S91,$S91),IF(N($U91)=0,"?",COUNTIFS(INDEX($V$5:$V$1000,1):INDEX($V$5:$V$1000,$U91-4),"Macro",INDEX($S$5:$S$1000,1):INDEX($S$5:$S$1000,$U91-4),INDEX($S$5:$S$1000,$U91-4))&amp;"."&amp;COUNTIFS($U$5:$U91,$U91,$V$5:$V91,"Sub"))))</f>
        <v/>
      </c>
      <c r="B91" s="57" t="n"/>
      <c r="C91" s="58" t="n"/>
      <c r="D91" s="58" t="n"/>
      <c r="E91" s="59">
        <f>IF(N($AQ91)&gt;0,INDEX(rIni_ADM,$AQ91),"")</f>
        <v/>
      </c>
      <c r="F91" s="59">
        <f>IF(N($AQ91)&gt;0,INDEX(rLim_ADM,$AQ91),"")</f>
        <v/>
      </c>
      <c r="G91" s="59" t="n"/>
      <c r="H91" s="60" t="n"/>
      <c r="I91" s="60">
        <f>IF(N($W91)=0,"",IF(AND($S91=MesCiclo,1&gt;SemanaActual),"",MIN(1,SUMIFS(OFFSET($A$1,ROW(),29,1000-ROW(),1),OFFSET($A$1,ROW(),20,1000-ROW(),1),ROW(),OFFSET($A$1,ROW(),21,1000-ROW(),1),"Sub"))))</f>
        <v/>
      </c>
      <c r="J91" s="60">
        <f>IF(N($W91)=0,"",IF(AND($S91=MesCiclo,2&gt;SemanaActual),"",MIN(1,SUMIFS(OFFSET($A$1,ROW(),30,1000-ROW(),1),OFFSET($A$1,ROW(),20,1000-ROW(),1),ROW(),OFFSET($A$1,ROW(),21,1000-ROW(),1),"Sub"))))</f>
        <v/>
      </c>
      <c r="K91" s="60">
        <f>IF(N($W91)=0,"",IF(AND($S91=MesCiclo,3&gt;SemanaActual),"",MIN(1,SUMIFS(OFFSET($A$1,ROW(),31,1000-ROW(),1),OFFSET($A$1,ROW(),20,1000-ROW(),1),ROW(),OFFSET($A$1,ROW(),21,1000-ROW(),1),"Sub"))))</f>
        <v/>
      </c>
      <c r="L91" s="60">
        <f>IF(N($W91)=0,"",IF(AND($S91=MesCiclo,4&gt;SemanaActual),"",MIN(1,SUMIFS(OFFSET($A$1,ROW(),32,1000-ROW(),1),OFFSET($A$1,ROW(),20,1000-ROW(),1),ROW(),OFFSET($A$1,ROW(),21,1000-ROW(),1),"Sub"))))</f>
        <v/>
      </c>
      <c r="M91" s="61">
        <f>IF(OR(NOT((COUNTA($B91:$D91)+COUNTA($G91:$H91)+COUNTA($Q91))&gt;0),$V91="Sub"),"",IF(ISNUMBER($G91),1,IF(N($W91)&gt;0,MIN(1,SUMIFS($Y$5:$Y$1000,$U$5:$U$1000,ROW(),$V$5:$V$1000,"Sub")),$Y91)))</f>
        <v/>
      </c>
      <c r="N91" s="56">
        <f>IF(OR($M91="",$V91="Sub"),"",IF($M91&gt;=1,"Completado",IF($M91&gt;0,"En curso","Pendiente")))</f>
        <v/>
      </c>
      <c r="O91" s="56">
        <f>IF(OR(NOT((COUNTA($B91:$D91)+COUNTA($G91:$H91)+COUNTA($Q91))&gt;0),$V91="Sub"),"",IF(ISNUMBER($G91),IF(AND(ISNUMBER($AS91),$G91&gt;$AS91),"Cumplida con "&amp;($G91-$AS91)&amp;IF($G91-$AS91=1," día"," días")&amp;" de retraso","Cumplida"),IF(N($M91)&gt;=1,"Cumplida",IF(NOT(ISNUMBER($AS91)),"Sin fecha límite",IF($AS91&lt;FechaRef,"Vencida hace "&amp;(FechaRef-$AS91)&amp;IF(FechaRef-$AS91=1," día"," días"),IF($AS91=FechaRef,"Vence hoy",IF($AS91-FechaRef&lt;=DiasAlerta,"Vence en "&amp;($AS91-FechaRef)&amp;IF($AS91-FechaRef=1," día"," días"),"En plazo")))))))</f>
        <v/>
      </c>
      <c r="P91" s="62" t="n"/>
      <c r="Q91" s="58" t="n"/>
      <c r="R91" s="63">
        <f>IF(NOT((COUNTA($B91:$D91)+COUNTA($G91:$H91)+COUNTA($Q91))&gt;0),"",IF((IF($C91="","Falta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 OK","⚠ "&amp;LEFT(IF($C91="","Falta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",""),LEN(IF($C91="","Falta el nombre de la actividad"&amp;" · ","")&amp;IF(AND($V91="Sub",N($U91)=0),"Subactividad sin macroactividad arriba"&amp;" · ","")&amp;IF(AND($V91="Macro",$AR91=""),"Sin fecha de inicio"&amp;" · ","")&amp;IF(AND($V91="Macro",$AS91=""),"Sin fecha límite"&amp;" · ","")&amp;IF(AND(LEFT($C91,11)="[Jefatura] ",N($AQ91)=0),"No se encuentra en la hoja de la jefatura (elíjala de nuevo en la lista)"&amp;" · ","")&amp;IF(OR(AND($E91&lt;&gt;"",NOT(ISNUMBER($E91))),AND($F91&lt;&gt;"",NOT(ISNUMBER($F91))),AND($G91&lt;&gt;"",NOT(ISNUMBER($G91)))),"Fecha no válida"&amp;" · ","")&amp;IF(AND(ISNUMBER($AR91),ISNUMBER($AS91),$AR91&gt;$AS91),"Inicio posterior a fecha límite"&amp;" · ","")&amp;IF(AND($V91="Macro",$H91&lt;&gt;"",OR(NOT(ISNUMBER($H91)),$H91&lt;0,$H91&gt;1)),"Peso fuera de rango"&amp;" · ","")&amp;IF(AND($V91="Sub",$H91&lt;&gt;"",OR(NOT(ISNUMBER($H91)),$H91&lt;0,$H91&gt;1)),"% de la subactividad fuera de rango 0-100%"&amp;" · ","")&amp;IF(AND(N($W91)&gt;0,SUMIFS($H$5:$H$1000,$U$5:$U$1000,ROW(),$V$5:$V$1000,"Sub")&gt;1.0001),"Las subactividades suman más de 100%"&amp;" · ","")&amp;IF(AND(N($W91)&gt;0,OR(IF(ISNUMBER($I91),ROUND($I91,6)&lt;&gt;ROUND(MIN(1,SUMIFS($AD$5:$AD$1000,$U$5:$U$1000,ROW(),$V$5:$V$1000,"Sub")),6),FALSE),IF(ISNUMBER($J91),ROUND($J91,6)&lt;&gt;ROUND(MIN(1,SUMIFS($AE$5:$AE$1000,$U$5:$U$1000,ROW(),$V$5:$V$1000,"Sub")),6),FALSE),IF(ISNUMBER($K91),ROUND($K91,6)&lt;&gt;ROUND(MIN(1,SUMIFS($AF$5:$AF$1000,$U$5:$U$1000,ROW(),$V$5:$V$1000,"Sub")),6),FALSE),IF(ISNUMBER($L91),ROUND($L91,6)&lt;&gt;ROUND(MIN(1,SUMIFS($AG$5:$AG$1000,$U$5:$U$1000,ROW(),$V$5:$V$1000,"Sub")),6),FALSE))),"Con subactividades: no escriba en las semanas (se llenan solas)"&amp;" · ","")&amp;IF((COUNTIF($I91:$L91,"&gt;1")+COUNTIF($I91:$L91,"&lt;0")+SUMPRODUCT((LEN($I91:$L91)&gt;0)*NOT(ISNUMBER($I91:$L91))))&gt;0,"Avance fuera de rango 0-100%"&amp;" · ","")&amp;IF(OR(AND(ISNUMBER($J91),$J91&lt;N($I91)),AND(ISNUMBER($K91),$K91&lt;MAX($I91:$J91)),AND(ISNUMBER($L91),$L91&lt;MAX($I91:$K91))),"Avance semanal decreciente"&amp;" · ","")&amp;IF(AND(ISNUMBER($AS91),$AS91&lt;FechaRef,IF($V91="Sub",1,N($M91))&lt;1),"Vencida"&amp;" · ","")&amp;IF(AND(ObsObligatoria="Sí",ISNUMBER($AS91),$AS91&lt;FechaRef,IF($V91="Sub",1,N($M91))&lt;1,$Q91=""),"Vencida sin observación"&amp;" · ",""))-3)))</f>
        <v/>
      </c>
      <c r="S91" s="64">
        <f>IF(NOT((COUNTA($B91:$D91)+COUNTA($G91:$H91)+COUNTA($Q91))&gt;0),"",IF(AND($V91="Sub",N($U91)&gt;0),IF(ISNUMBER(INDEX($AR$5:$AR$1000,$U91-4)),DATE(YEAR(INDEX($AR$5:$AR$1000,$U91-4)),MONTH(INDEX($AR$5:$AR$1000,$U91-4)),1),IF(ISNUMBER(INDEX($AS$5:$AS$1000,$U91-4)),DATE(YEAR(INDEX($AS$5:$AS$1000,$U91-4)),MONTH(INDEX($AS$5:$AS$1000,$U91-4)),1),MesCiclo)),IF(ISNUMBER($AR91),DATE(YEAR($AR91),MONTH($AR91),1),IF(ISNUMBER($AS91),DATE(YEAR($AS91),MONTH($AS91),1),MesCiclo))))</f>
        <v/>
      </c>
      <c r="T91" s="62">
        <f>IF(OR($S91="",$S91&lt;&gt;MesCiclo,$V91&lt;&gt;"Macro"),"",COUNTIFS($S$5:$S91,MesCiclo,$V$5:$V91,"Macro"))</f>
        <v/>
      </c>
      <c r="U91" s="62">
        <f>IF($V91="","",IF($V91="Macro",ROW(),IFERROR(LOOKUP(2,1/($V$5:$V91="Macro"),ROW($V$5:$V91)),0)))</f>
        <v/>
      </c>
      <c r="V91" s="62">
        <f>IF(NOT((COUNTA($B91:$D91)+COUNTA($G91:$H91)+COUNTA($Q91))&gt;0),"",IF($B91="Subactividad","Sub","Macro"))</f>
        <v/>
      </c>
      <c r="W91" s="62">
        <f>IF($V91="Macro",COUNTIFS($U$5:$U$1000,ROW(),$V$5:$V$1000,"Sub"),"")</f>
        <v/>
      </c>
      <c r="X91" s="62">
        <f>IF($V91&lt;&gt;"Sub","",IF(AND(ISNUMBER($H91),N($H91)&gt;0),$H91,IFERROR(MAX(0,1-SUMIFS($H$5:$H$1000,$U$5:$U$1000,$U91,$V$5:$V$1000,"Sub"))/(COUNTIFS($U$5:$U$1000,$U91,$V$5:$V$1000,"Sub")-COUNTIFS($U$5:$U$1000,$U91,$V$5:$V$1000,"Sub",$H$5:$H$1000,"&gt;0")),0)))</f>
        <v/>
      </c>
      <c r="Y91" s="62">
        <f>IF($V91="","",IF($V91="Sub",N($X91)*IF(ISNUMBER($G91),1,MIN(1,MAX(0,IFERROR(LOOKUP(2,1/ISNUMBER($I91:$L91),$I91:$L91),0)))),IF(ISNUMBER($G91),1,IFERROR(LOOKUP(2,1/($I91:$L91&lt;&gt;""),$I91:$L91),0))))</f>
        <v/>
      </c>
      <c r="Z91" s="62">
        <f>IF($V91="","",IF(AND(ISNUMBER($G91),$G91&lt;=IF($S91=MesCiclo,InicioCiclo,$S91+MOD(2-WEEKDAY($S91),7))+6),1,IF(ISNUMBER($I91),$I91,0)))</f>
        <v/>
      </c>
      <c r="AA91" s="62">
        <f>IF($V91="","",IF(AND(ISNUMBER($G91),$G91&lt;=IF($S91=MesCiclo,InicioCiclo,$S91+MOD(2-WEEKDAY($S91),7))+13),1,IF(ISNUMBER($J91),$J91,$Z91)))</f>
        <v/>
      </c>
      <c r="AB91" s="62">
        <f>IF($V91="","",IF(AND(ISNUMBER($G91),$G91&lt;=IF($S91=MesCiclo,InicioCiclo,$S91+MOD(2-WEEKDAY($S91),7))+20),1,IF(ISNUMBER($K91),$K91,$AA91)))</f>
        <v/>
      </c>
      <c r="AC91" s="62">
        <f>IF($V91="","",IF(AND(ISNUMBER($G91),$G91&lt;=IF($S91=MesCiclo,InicioCiclo,$S91+MOD(2-WEEKDAY($S91),7))+27),1,IF(ISNUMBER($L91),$L91,$AB91)))</f>
        <v/>
      </c>
      <c r="AD91" s="62">
        <f>IF($V91&lt;&gt;"Sub","",N($X91)*IF(AND(ISNUMBER($G91),$G91&lt;=IF($S91=MesCiclo,InicioCiclo,$S91+MOD(2-WEEKDAY($S91),7))+6),1,MIN(1,MAX(0,IF(ISNUMBER(OFFSET($A$1,ROW()-1,8)),OFFSET($A$1,ROW()-1,8),0)))))</f>
        <v/>
      </c>
      <c r="AE91" s="62">
        <f>IF($V91&lt;&gt;"Sub","",N($X91)*IF(AND(ISNUMBER($G91),$G91&lt;=IF($S91=MesCiclo,InicioCiclo,$S91+MOD(2-WEEKDAY($S91),7))+13),1,MIN(1,MAX(0,IF(ISNUMBER(OFFSET($A$1,ROW()-1,9)),OFFSET($A$1,ROW()-1,9),IF(ISNUMBER(OFFSET($A$1,ROW()-1,8)),OFFSET($A$1,ROW()-1,8),0))))))</f>
        <v/>
      </c>
      <c r="AF91" s="62">
        <f>IF($V91&lt;&gt;"Sub","",N($X91)*IF(AND(ISNUMBER($G91),$G91&lt;=IF($S91=MesCiclo,InicioCiclo,$S91+MOD(2-WEEKDAY($S91),7))+20),1,MIN(1,MAX(0,IF(ISNUMBER(OFFSET($A$1,ROW()-1,10)),OFFSET($A$1,ROW()-1,10),IF(ISNUMBER(OFFSET($A$1,ROW()-1,9)),OFFSET($A$1,ROW()-1,9),IF(ISNUMBER(OFFSET($A$1,ROW()-1,8)),OFFSET($A$1,ROW()-1,8),0)))))))</f>
        <v/>
      </c>
      <c r="AG91" s="62">
        <f>IF($V91&lt;&gt;"Sub","",N($X91)*IF(AND(ISNUMBER($G91),$G91&lt;=IF($S91=MesCiclo,InicioCiclo,$S91+MOD(2-WEEKDAY($S91),7))+27),1,MIN(1,MAX(0,IF(ISNUMBER(OFFSET($A$1,ROW()-1,11)),OFFSET($A$1,ROW()-1,11),IF(ISNUMBER(OFFSET($A$1,ROW()-1,10)),OFFSET($A$1,ROW()-1,10),IF(ISNUMBER(OFFSET($A$1,ROW()-1,9)),OFFSET($A$1,ROW()-1,9),IF(ISNUMBER(OFFSET($A$1,ROW()-1,8)),OFFSET($A$1,ROW()-1,8),0))))))))</f>
        <v/>
      </c>
      <c r="AH91" s="62">
        <f>IF($V91="","",IF(AND(ISNUMBER($G91),$G91&lt;=IF($S91=MesCiclo,InicioCiclo,$S91+MOD(2-WEEKDAY($S91),7))+6),1,IF(N($W91)&gt;0,MIN(1,SUMIFS($AD$5:$AD$1000,$U$5:$U$1000,ROW(),$V$5:$V$1000,"Sub")),$Z91)))</f>
        <v/>
      </c>
      <c r="AI91" s="62">
        <f>IF($V91="","",IF(AND(ISNUMBER($G91),$G91&lt;=IF($S91=MesCiclo,InicioCiclo,$S91+MOD(2-WEEKDAY($S91),7))+13),1,IF(N($W91)&gt;0,MIN(1,SUMIFS($AE$5:$AE$1000,$U$5:$U$1000,ROW(),$V$5:$V$1000,"Sub")),$AA91)))</f>
        <v/>
      </c>
      <c r="AJ91" s="62">
        <f>IF($V91="","",IF(AND(ISNUMBER($G91),$G91&lt;=IF($S91=MesCiclo,InicioCiclo,$S91+MOD(2-WEEKDAY($S91),7))+20),1,IF(N($W91)&gt;0,MIN(1,SUMIFS($AF$5:$AF$1000,$U$5:$U$1000,ROW(),$V$5:$V$1000,"Sub")),$AB91)))</f>
        <v/>
      </c>
      <c r="AK91" s="62">
        <f>IF($V91="","",IF(AND(ISNUMBER($G91),$G91&lt;=IF($S91=MesCiclo,InicioCiclo,$S91+MOD(2-WEEKDAY($S91),7))+27),1,IF(N($W91)&gt;0,MIN(1,SUMIFS($AG$5:$AG$1000,$U$5:$U$1000,ROW(),$V$5:$V$1000,"Sub")),$AC91)))</f>
        <v/>
      </c>
      <c r="AL91" s="62">
        <f>IF($V91&lt;&gt;"Macro","",IF(COUNTIFS($S$5:$S$1000,$S91,$V$5:$V$1000,"Macro",$H$5:$H$1000,"&gt;0")=0,1/COUNTIFS($S$5:$S$1000,$S91,$V$5:$V$1000,"Macro"),IF(AND(ISNUMBER($H91),N($H91)&gt;0),$H91,SUMIFS($H$5:$H$1000,$S$5:$S$1000,$S91,$V$5:$V$1000,"Macro")/COUNTIFS($S$5:$S$1000,$S91,$V$5:$V$1000,"Macro",$H$5:$H$1000,"&gt;0"))/(COUNTIFS($S$5:$S$1000,$S91,$V$5:$V$1000,"Macro")*SUMIFS($H$5:$H$1000,$S$5:$S$1000,$S91,$V$5:$V$1000,"Macro")/COUNTIFS($S$5:$S$1000,$S91,$V$5:$V$1000,"Macro",$H$5:$H$1000,"&gt;0"))))</f>
        <v/>
      </c>
      <c r="AM91" s="62" t="n"/>
      <c r="AN91" s="62" t="n"/>
      <c r="AO91" s="62" t="n"/>
      <c r="AP91" s="62" t="n"/>
      <c r="AQ91" s="62">
        <f>IF(LEFT($C91,11)="[Jefatura] ",IFERROR(MATCH("Asistente Técnico de Riesgo|"&amp;MID($C91,12,500),rDname_ADM,0),0),"")</f>
        <v/>
      </c>
      <c r="AR91" s="62">
        <f>IF(N($AQ91)&gt;0,INDEX(rIni_ADM,$AQ91),IF(ISNUMBER($E91),$E91,""))</f>
        <v/>
      </c>
      <c r="AS91" s="62">
        <f>IF(N($AQ91)&gt;0,INDEX(rLim_ADM,$AQ91),IF(ISNUMBER($F91),$F91,""))</f>
        <v/>
      </c>
    </row>
    <row r="92">
      <c r="A92" s="56">
        <f>IF(NOT((COUNTA($B92:$D92)+COUNTA($G92:$H92)+COUNTA($Q92))&gt;0),"",IF($V92="Macro",COUNTIFS($V$5:$V92,"Macro",$S$5:$S92,$S92),IF(N($U92)=0,"?",COUNTIFS(INDEX($V$5:$V$1000,1):INDEX($V$5:$V$1000,$U92-4),"Macro",INDEX($S$5:$S$1000,1):INDEX($S$5:$S$1000,$U92-4),INDEX($S$5:$S$1000,$U92-4))&amp;"."&amp;COUNTIFS($U$5:$U92,$U92,$V$5:$V92,"Sub"))))</f>
        <v/>
      </c>
      <c r="B92" s="57" t="n"/>
      <c r="C92" s="58" t="n"/>
      <c r="D92" s="58" t="n"/>
      <c r="E92" s="59">
        <f>IF(N($AQ92)&gt;0,INDEX(rIni_ADM,$AQ92),"")</f>
        <v/>
      </c>
      <c r="F92" s="59">
        <f>IF(N($AQ92)&gt;0,INDEX(rLim_ADM,$AQ92),"")</f>
        <v/>
      </c>
      <c r="G92" s="59" t="n"/>
      <c r="H92" s="60" t="n"/>
      <c r="I92" s="60">
        <f>IF(N($W92)=0,"",IF(AND($S92=MesCiclo,1&gt;SemanaActual),"",MIN(1,SUMIFS(OFFSET($A$1,ROW(),29,1000-ROW(),1),OFFSET($A$1,ROW(),20,1000-ROW(),1),ROW(),OFFSET($A$1,ROW(),21,1000-ROW(),1),"Sub"))))</f>
        <v/>
      </c>
      <c r="J92" s="60">
        <f>IF(N($W92)=0,"",IF(AND($S92=MesCiclo,2&gt;SemanaActual),"",MIN(1,SUMIFS(OFFSET($A$1,ROW(),30,1000-ROW(),1),OFFSET($A$1,ROW(),20,1000-ROW(),1),ROW(),OFFSET($A$1,ROW(),21,1000-ROW(),1),"Sub"))))</f>
        <v/>
      </c>
      <c r="K92" s="60">
        <f>IF(N($W92)=0,"",IF(AND($S92=MesCiclo,3&gt;SemanaActual),"",MIN(1,SUMIFS(OFFSET($A$1,ROW(),31,1000-ROW(),1),OFFSET($A$1,ROW(),20,1000-ROW(),1),ROW(),OFFSET($A$1,ROW(),21,1000-ROW(),1),"Sub"))))</f>
        <v/>
      </c>
      <c r="L92" s="60">
        <f>IF(N($W92)=0,"",IF(AND($S92=MesCiclo,4&gt;SemanaActual),"",MIN(1,SUMIFS(OFFSET($A$1,ROW(),32,1000-ROW(),1),OFFSET($A$1,ROW(),20,1000-ROW(),1),ROW(),OFFSET($A$1,ROW(),21,1000-ROW(),1),"Sub"))))</f>
        <v/>
      </c>
      <c r="M92" s="61">
        <f>IF(OR(NOT((COUNTA($B92:$D92)+COUNTA($G92:$H92)+COUNTA($Q92))&gt;0),$V92="Sub"),"",IF(ISNUMBER($G92),1,IF(N($W92)&gt;0,MIN(1,SUMIFS($Y$5:$Y$1000,$U$5:$U$1000,ROW(),$V$5:$V$1000,"Sub")),$Y92)))</f>
        <v/>
      </c>
      <c r="N92" s="56">
        <f>IF(OR($M92="",$V92="Sub"),"",IF($M92&gt;=1,"Completado",IF($M92&gt;0,"En curso","Pendiente")))</f>
        <v/>
      </c>
      <c r="O92" s="56">
        <f>IF(OR(NOT((COUNTA($B92:$D92)+COUNTA($G92:$H92)+COUNTA($Q92))&gt;0),$V92="Sub"),"",IF(ISNUMBER($G92),IF(AND(ISNUMBER($AS92),$G92&gt;$AS92),"Cumplida con "&amp;($G92-$AS92)&amp;IF($G92-$AS92=1," día"," días")&amp;" de retraso","Cumplida"),IF(N($M92)&gt;=1,"Cumplida",IF(NOT(ISNUMBER($AS92)),"Sin fecha límite",IF($AS92&lt;FechaRef,"Vencida hace "&amp;(FechaRef-$AS92)&amp;IF(FechaRef-$AS92=1," día"," días"),IF($AS92=FechaRef,"Vence hoy",IF($AS92-FechaRef&lt;=DiasAlerta,"Vence en "&amp;($AS92-FechaRef)&amp;IF($AS92-FechaRef=1," día"," días"),"En plazo")))))))</f>
        <v/>
      </c>
      <c r="P92" s="62" t="n"/>
      <c r="Q92" s="58" t="n"/>
      <c r="R92" s="63">
        <f>IF(NOT((COUNTA($B92:$D92)+COUNTA($G92:$H92)+COUNTA($Q92))&gt;0),"",IF((IF($C92="","Falta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 OK","⚠ "&amp;LEFT(IF($C92="","Falta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",""),LEN(IF($C92="","Falta el nombre de la actividad"&amp;" · ","")&amp;IF(AND($V92="Sub",N($U92)=0),"Subactividad sin macroactividad arriba"&amp;" · ","")&amp;IF(AND($V92="Macro",$AR92=""),"Sin fecha de inicio"&amp;" · ","")&amp;IF(AND($V92="Macro",$AS92=""),"Sin fecha límite"&amp;" · ","")&amp;IF(AND(LEFT($C92,11)="[Jefatura] ",N($AQ92)=0),"No se encuentra en la hoja de la jefatura (elíjala de nuevo en la lista)"&amp;" · ","")&amp;IF(OR(AND($E92&lt;&gt;"",NOT(ISNUMBER($E92))),AND($F92&lt;&gt;"",NOT(ISNUMBER($F92))),AND($G92&lt;&gt;"",NOT(ISNUMBER($G92)))),"Fecha no válida"&amp;" · ","")&amp;IF(AND(ISNUMBER($AR92),ISNUMBER($AS92),$AR92&gt;$AS92),"Inicio posterior a fecha límite"&amp;" · ","")&amp;IF(AND($V92="Macro",$H92&lt;&gt;"",OR(NOT(ISNUMBER($H92)),$H92&lt;0,$H92&gt;1)),"Peso fuera de rango"&amp;" · ","")&amp;IF(AND($V92="Sub",$H92&lt;&gt;"",OR(NOT(ISNUMBER($H92)),$H92&lt;0,$H92&gt;1)),"% de la subactividad fuera de rango 0-100%"&amp;" · ","")&amp;IF(AND(N($W92)&gt;0,SUMIFS($H$5:$H$1000,$U$5:$U$1000,ROW(),$V$5:$V$1000,"Sub")&gt;1.0001),"Las subactividades suman más de 100%"&amp;" · ","")&amp;IF(AND(N($W92)&gt;0,OR(IF(ISNUMBER($I92),ROUND($I92,6)&lt;&gt;ROUND(MIN(1,SUMIFS($AD$5:$AD$1000,$U$5:$U$1000,ROW(),$V$5:$V$1000,"Sub")),6),FALSE),IF(ISNUMBER($J92),ROUND($J92,6)&lt;&gt;ROUND(MIN(1,SUMIFS($AE$5:$AE$1000,$U$5:$U$1000,ROW(),$V$5:$V$1000,"Sub")),6),FALSE),IF(ISNUMBER($K92),ROUND($K92,6)&lt;&gt;ROUND(MIN(1,SUMIFS($AF$5:$AF$1000,$U$5:$U$1000,ROW(),$V$5:$V$1000,"Sub")),6),FALSE),IF(ISNUMBER($L92),ROUND($L92,6)&lt;&gt;ROUND(MIN(1,SUMIFS($AG$5:$AG$1000,$U$5:$U$1000,ROW(),$V$5:$V$1000,"Sub")),6),FALSE))),"Con subactividades: no escriba en las semanas (se llenan solas)"&amp;" · ","")&amp;IF((COUNTIF($I92:$L92,"&gt;1")+COUNTIF($I92:$L92,"&lt;0")+SUMPRODUCT((LEN($I92:$L92)&gt;0)*NOT(ISNUMBER($I92:$L92))))&gt;0,"Avance fuera de rango 0-100%"&amp;" · ","")&amp;IF(OR(AND(ISNUMBER($J92),$J92&lt;N($I92)),AND(ISNUMBER($K92),$K92&lt;MAX($I92:$J92)),AND(ISNUMBER($L92),$L92&lt;MAX($I92:$K92))),"Avance semanal decreciente"&amp;" · ","")&amp;IF(AND(ISNUMBER($AS92),$AS92&lt;FechaRef,IF($V92="Sub",1,N($M92))&lt;1),"Vencida"&amp;" · ","")&amp;IF(AND(ObsObligatoria="Sí",ISNUMBER($AS92),$AS92&lt;FechaRef,IF($V92="Sub",1,N($M92))&lt;1,$Q92=""),"Vencida sin observación"&amp;" · ",""))-3)))</f>
        <v/>
      </c>
      <c r="S92" s="64">
        <f>IF(NOT((COUNTA($B92:$D92)+COUNTA($G92:$H92)+COUNTA($Q92))&gt;0),"",IF(AND($V92="Sub",N($U92)&gt;0),IF(ISNUMBER(INDEX($AR$5:$AR$1000,$U92-4)),DATE(YEAR(INDEX($AR$5:$AR$1000,$U92-4)),MONTH(INDEX($AR$5:$AR$1000,$U92-4)),1),IF(ISNUMBER(INDEX($AS$5:$AS$1000,$U92-4)),DATE(YEAR(INDEX($AS$5:$AS$1000,$U92-4)),MONTH(INDEX($AS$5:$AS$1000,$U92-4)),1),MesCiclo)),IF(ISNUMBER($AR92),DATE(YEAR($AR92),MONTH($AR92),1),IF(ISNUMBER($AS92),DATE(YEAR($AS92),MONTH($AS92),1),MesCiclo))))</f>
        <v/>
      </c>
      <c r="T92" s="62">
        <f>IF(OR($S92="",$S92&lt;&gt;MesCiclo,$V92&lt;&gt;"Macro"),"",COUNTIFS($S$5:$S92,MesCiclo,$V$5:$V92,"Macro"))</f>
        <v/>
      </c>
      <c r="U92" s="62">
        <f>IF($V92="","",IF($V92="Macro",ROW(),IFERROR(LOOKUP(2,1/($V$5:$V92="Macro"),ROW($V$5:$V92)),0)))</f>
        <v/>
      </c>
      <c r="V92" s="62">
        <f>IF(NOT((COUNTA($B92:$D92)+COUNTA($G92:$H92)+COUNTA($Q92))&gt;0),"",IF($B92="Subactividad","Sub","Macro"))</f>
        <v/>
      </c>
      <c r="W92" s="62">
        <f>IF($V92="Macro",COUNTIFS($U$5:$U$1000,ROW(),$V$5:$V$1000,"Sub"),"")</f>
        <v/>
      </c>
      <c r="X92" s="62">
        <f>IF($V92&lt;&gt;"Sub","",IF(AND(ISNUMBER($H92),N($H92)&gt;0),$H92,IFERROR(MAX(0,1-SUMIFS($H$5:$H$1000,$U$5:$U$1000,$U92,$V$5:$V$1000,"Sub"))/(COUNTIFS($U$5:$U$1000,$U92,$V$5:$V$1000,"Sub")-COUNTIFS($U$5:$U$1000,$U92,$V$5:$V$1000,"Sub",$H$5:$H$1000,"&gt;0")),0)))</f>
        <v/>
      </c>
      <c r="Y92" s="62">
        <f>IF($V92="","",IF($V92="Sub",N($X92)*IF(ISNUMBER($G92),1,MIN(1,MAX(0,IFERROR(LOOKUP(2,1/ISNUMBER($I92:$L92),$I92:$L92),0)))),IF(ISNUMBER($G92),1,IFERROR(LOOKUP(2,1/($I92:$L92&lt;&gt;""),$I92:$L92),0))))</f>
        <v/>
      </c>
      <c r="Z92" s="62">
        <f>IF($V92="","",IF(AND(ISNUMBER($G92),$G92&lt;=IF($S92=MesCiclo,InicioCiclo,$S92+MOD(2-WEEKDAY($S92),7))+6),1,IF(ISNUMBER($I92),$I92,0)))</f>
        <v/>
      </c>
      <c r="AA92" s="62">
        <f>IF($V92="","",IF(AND(ISNUMBER($G92),$G92&lt;=IF($S92=MesCiclo,InicioCiclo,$S92+MOD(2-WEEKDAY($S92),7))+13),1,IF(ISNUMBER($J92),$J92,$Z92)))</f>
        <v/>
      </c>
      <c r="AB92" s="62">
        <f>IF($V92="","",IF(AND(ISNUMBER($G92),$G92&lt;=IF($S92=MesCiclo,InicioCiclo,$S92+MOD(2-WEEKDAY($S92),7))+20),1,IF(ISNUMBER($K92),$K92,$AA92)))</f>
        <v/>
      </c>
      <c r="AC92" s="62">
        <f>IF($V92="","",IF(AND(ISNUMBER($G92),$G92&lt;=IF($S92=MesCiclo,InicioCiclo,$S92+MOD(2-WEEKDAY($S92),7))+27),1,IF(ISNUMBER($L92),$L92,$AB92)))</f>
        <v/>
      </c>
      <c r="AD92" s="62">
        <f>IF($V92&lt;&gt;"Sub","",N($X92)*IF(AND(ISNUMBER($G92),$G92&lt;=IF($S92=MesCiclo,InicioCiclo,$S92+MOD(2-WEEKDAY($S92),7))+6),1,MIN(1,MAX(0,IF(ISNUMBER(OFFSET($A$1,ROW()-1,8)),OFFSET($A$1,ROW()-1,8),0)))))</f>
        <v/>
      </c>
      <c r="AE92" s="62">
        <f>IF($V92&lt;&gt;"Sub","",N($X92)*IF(AND(ISNUMBER($G92),$G92&lt;=IF($S92=MesCiclo,InicioCiclo,$S92+MOD(2-WEEKDAY($S92),7))+13),1,MIN(1,MAX(0,IF(ISNUMBER(OFFSET($A$1,ROW()-1,9)),OFFSET($A$1,ROW()-1,9),IF(ISNUMBER(OFFSET($A$1,ROW()-1,8)),OFFSET($A$1,ROW()-1,8),0))))))</f>
        <v/>
      </c>
      <c r="AF92" s="62">
        <f>IF($V92&lt;&gt;"Sub","",N($X92)*IF(AND(ISNUMBER($G92),$G92&lt;=IF($S92=MesCiclo,InicioCiclo,$S92+MOD(2-WEEKDAY($S92),7))+20),1,MIN(1,MAX(0,IF(ISNUMBER(OFFSET($A$1,ROW()-1,10)),OFFSET($A$1,ROW()-1,10),IF(ISNUMBER(OFFSET($A$1,ROW()-1,9)),OFFSET($A$1,ROW()-1,9),IF(ISNUMBER(OFFSET($A$1,ROW()-1,8)),OFFSET($A$1,ROW()-1,8),0)))))))</f>
        <v/>
      </c>
      <c r="AG92" s="62">
        <f>IF($V92&lt;&gt;"Sub","",N($X92)*IF(AND(ISNUMBER($G92),$G92&lt;=IF($S92=MesCiclo,InicioCiclo,$S92+MOD(2-WEEKDAY($S92),7))+27),1,MIN(1,MAX(0,IF(ISNUMBER(OFFSET($A$1,ROW()-1,11)),OFFSET($A$1,ROW()-1,11),IF(ISNUMBER(OFFSET($A$1,ROW()-1,10)),OFFSET($A$1,ROW()-1,10),IF(ISNUMBER(OFFSET($A$1,ROW()-1,9)),OFFSET($A$1,ROW()-1,9),IF(ISNUMBER(OFFSET($A$1,ROW()-1,8)),OFFSET($A$1,ROW()-1,8),0))))))))</f>
        <v/>
      </c>
      <c r="AH92" s="62">
        <f>IF($V92="","",IF(AND(ISNUMBER($G92),$G92&lt;=IF($S92=MesCiclo,InicioCiclo,$S92+MOD(2-WEEKDAY($S92),7))+6),1,IF(N($W92)&gt;0,MIN(1,SUMIFS($AD$5:$AD$1000,$U$5:$U$1000,ROW(),$V$5:$V$1000,"Sub")),$Z92)))</f>
        <v/>
      </c>
      <c r="AI92" s="62">
        <f>IF($V92="","",IF(AND(ISNUMBER($G92),$G92&lt;=IF($S92=MesCiclo,InicioCiclo,$S92+MOD(2-WEEKDAY($S92),7))+13),1,IF(N($W92)&gt;0,MIN(1,SUMIFS($AE$5:$AE$1000,$U$5:$U$1000,ROW(),$V$5:$V$1000,"Sub")),$AA92)))</f>
        <v/>
      </c>
      <c r="AJ92" s="62">
        <f>IF($V92="","",IF(AND(ISNUMBER($G92),$G92&lt;=IF($S92=MesCiclo,InicioCiclo,$S92+MOD(2-WEEKDAY($S92),7))+20),1,IF(N($W92)&gt;0,MIN(1,SUMIFS($AF$5:$AF$1000,$U$5:$U$1000,ROW(),$V$5:$V$1000,"Sub")),$AB92)))</f>
        <v/>
      </c>
      <c r="AK92" s="62">
        <f>IF($V92="","",IF(AND(ISNUMBER($G92),$G92&lt;=IF($S92=MesCiclo,InicioCiclo,$S92+MOD(2-WEEKDAY($S92),7))+27),1,IF(N($W92)&gt;0,MIN(1,SUMIFS($AG$5:$AG$1000,$U$5:$U$1000,ROW(),$V$5:$V$1000,"Sub")),$AC92)))</f>
        <v/>
      </c>
      <c r="AL92" s="62">
        <f>IF($V92&lt;&gt;"Macro","",IF(COUNTIFS($S$5:$S$1000,$S92,$V$5:$V$1000,"Macro",$H$5:$H$1000,"&gt;0")=0,1/COUNTIFS($S$5:$S$1000,$S92,$V$5:$V$1000,"Macro"),IF(AND(ISNUMBER($H92),N($H92)&gt;0),$H92,SUMIFS($H$5:$H$1000,$S$5:$S$1000,$S92,$V$5:$V$1000,"Macro")/COUNTIFS($S$5:$S$1000,$S92,$V$5:$V$1000,"Macro",$H$5:$H$1000,"&gt;0"))/(COUNTIFS($S$5:$S$1000,$S92,$V$5:$V$1000,"Macro")*SUMIFS($H$5:$H$1000,$S$5:$S$1000,$S92,$V$5:$V$1000,"Macro")/COUNTIFS($S$5:$S$1000,$S92,$V$5:$V$1000,"Macro",$H$5:$H$1000,"&gt;0"))))</f>
        <v/>
      </c>
      <c r="AM92" s="62" t="n"/>
      <c r="AN92" s="62" t="n"/>
      <c r="AO92" s="62" t="n"/>
      <c r="AP92" s="62" t="n"/>
      <c r="AQ92" s="62">
        <f>IF(LEFT($C92,11)="[Jefatura] ",IFERROR(MATCH("Asistente Técnico de Riesgo|"&amp;MID($C92,12,500),rDname_ADM,0),0),"")</f>
        <v/>
      </c>
      <c r="AR92" s="62">
        <f>IF(N($AQ92)&gt;0,INDEX(rIni_ADM,$AQ92),IF(ISNUMBER($E92),$E92,""))</f>
        <v/>
      </c>
      <c r="AS92" s="62">
        <f>IF(N($AQ92)&gt;0,INDEX(rLim_ADM,$AQ92),IF(ISNUMBER($F92),$F92,""))</f>
        <v/>
      </c>
    </row>
    <row r="93">
      <c r="A93" s="56">
        <f>IF(NOT((COUNTA($B93:$D93)+COUNTA($G93:$H93)+COUNTA($Q93))&gt;0),"",IF($V93="Macro",COUNTIFS($V$5:$V93,"Macro",$S$5:$S93,$S93),IF(N($U93)=0,"?",COUNTIFS(INDEX($V$5:$V$1000,1):INDEX($V$5:$V$1000,$U93-4),"Macro",INDEX($S$5:$S$1000,1):INDEX($S$5:$S$1000,$U93-4),INDEX($S$5:$S$1000,$U93-4))&amp;"."&amp;COUNTIFS($U$5:$U93,$U93,$V$5:$V93,"Sub"))))</f>
        <v/>
      </c>
      <c r="B93" s="57" t="n"/>
      <c r="C93" s="58" t="n"/>
      <c r="D93" s="58" t="n"/>
      <c r="E93" s="59">
        <f>IF(N($AQ93)&gt;0,INDEX(rIni_ADM,$AQ93),"")</f>
        <v/>
      </c>
      <c r="F93" s="59">
        <f>IF(N($AQ93)&gt;0,INDEX(rLim_ADM,$AQ93),"")</f>
        <v/>
      </c>
      <c r="G93" s="59" t="n"/>
      <c r="H93" s="60" t="n"/>
      <c r="I93" s="60">
        <f>IF(N($W93)=0,"",IF(AND($S93=MesCiclo,1&gt;SemanaActual),"",MIN(1,SUMIFS(OFFSET($A$1,ROW(),29,1000-ROW(),1),OFFSET($A$1,ROW(),20,1000-ROW(),1),ROW(),OFFSET($A$1,ROW(),21,1000-ROW(),1),"Sub"))))</f>
        <v/>
      </c>
      <c r="J93" s="60">
        <f>IF(N($W93)=0,"",IF(AND($S93=MesCiclo,2&gt;SemanaActual),"",MIN(1,SUMIFS(OFFSET($A$1,ROW(),30,1000-ROW(),1),OFFSET($A$1,ROW(),20,1000-ROW(),1),ROW(),OFFSET($A$1,ROW(),21,1000-ROW(),1),"Sub"))))</f>
        <v/>
      </c>
      <c r="K93" s="60">
        <f>IF(N($W93)=0,"",IF(AND($S93=MesCiclo,3&gt;SemanaActual),"",MIN(1,SUMIFS(OFFSET($A$1,ROW(),31,1000-ROW(),1),OFFSET($A$1,ROW(),20,1000-ROW(),1),ROW(),OFFSET($A$1,ROW(),21,1000-ROW(),1),"Sub"))))</f>
        <v/>
      </c>
      <c r="L93" s="60">
        <f>IF(N($W93)=0,"",IF(AND($S93=MesCiclo,4&gt;SemanaActual),"",MIN(1,SUMIFS(OFFSET($A$1,ROW(),32,1000-ROW(),1),OFFSET($A$1,ROW(),20,1000-ROW(),1),ROW(),OFFSET($A$1,ROW(),21,1000-ROW(),1),"Sub"))))</f>
        <v/>
      </c>
      <c r="M93" s="61">
        <f>IF(OR(NOT((COUNTA($B93:$D93)+COUNTA($G93:$H93)+COUNTA($Q93))&gt;0),$V93="Sub"),"",IF(ISNUMBER($G93),1,IF(N($W93)&gt;0,MIN(1,SUMIFS($Y$5:$Y$1000,$U$5:$U$1000,ROW(),$V$5:$V$1000,"Sub")),$Y93)))</f>
        <v/>
      </c>
      <c r="N93" s="56">
        <f>IF(OR($M93="",$V93="Sub"),"",IF($M93&gt;=1,"Completado",IF($M93&gt;0,"En curso","Pendiente")))</f>
        <v/>
      </c>
      <c r="O93" s="56">
        <f>IF(OR(NOT((COUNTA($B93:$D93)+COUNTA($G93:$H93)+COUNTA($Q93))&gt;0),$V93="Sub"),"",IF(ISNUMBER($G93),IF(AND(ISNUMBER($AS93),$G93&gt;$AS93),"Cumplida con "&amp;($G93-$AS93)&amp;IF($G93-$AS93=1," día"," días")&amp;" de retraso","Cumplida"),IF(N($M93)&gt;=1,"Cumplida",IF(NOT(ISNUMBER($AS93)),"Sin fecha límite",IF($AS93&lt;FechaRef,"Vencida hace "&amp;(FechaRef-$AS93)&amp;IF(FechaRef-$AS93=1," día"," días"),IF($AS93=FechaRef,"Vence hoy",IF($AS93-FechaRef&lt;=DiasAlerta,"Vence en "&amp;($AS93-FechaRef)&amp;IF($AS93-FechaRef=1," día"," días"),"En plazo")))))))</f>
        <v/>
      </c>
      <c r="P93" s="62" t="n"/>
      <c r="Q93" s="58" t="n"/>
      <c r="R93" s="63">
        <f>IF(NOT((COUNTA($B93:$D93)+COUNTA($G93:$H93)+COUNTA($Q93))&gt;0),"",IF((IF($C93="","Falta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 OK","⚠ "&amp;LEFT(IF($C93="","Falta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",""),LEN(IF($C93="","Falta el nombre de la actividad"&amp;" · ","")&amp;IF(AND($V93="Sub",N($U93)=0),"Subactividad sin macroactividad arriba"&amp;" · ","")&amp;IF(AND($V93="Macro",$AR93=""),"Sin fecha de inicio"&amp;" · ","")&amp;IF(AND($V93="Macro",$AS93=""),"Sin fecha límite"&amp;" · ","")&amp;IF(AND(LEFT($C93,11)="[Jefatura] ",N($AQ93)=0),"No se encuentra en la hoja de la jefatura (elíjala de nuevo en la lista)"&amp;" · ","")&amp;IF(OR(AND($E93&lt;&gt;"",NOT(ISNUMBER($E93))),AND($F93&lt;&gt;"",NOT(ISNUMBER($F93))),AND($G93&lt;&gt;"",NOT(ISNUMBER($G93)))),"Fecha no válida"&amp;" · ","")&amp;IF(AND(ISNUMBER($AR93),ISNUMBER($AS93),$AR93&gt;$AS93),"Inicio posterior a fecha límite"&amp;" · ","")&amp;IF(AND($V93="Macro",$H93&lt;&gt;"",OR(NOT(ISNUMBER($H93)),$H93&lt;0,$H93&gt;1)),"Peso fuera de rango"&amp;" · ","")&amp;IF(AND($V93="Sub",$H93&lt;&gt;"",OR(NOT(ISNUMBER($H93)),$H93&lt;0,$H93&gt;1)),"% de la subactividad fuera de rango 0-100%"&amp;" · ","")&amp;IF(AND(N($W93)&gt;0,SUMIFS($H$5:$H$1000,$U$5:$U$1000,ROW(),$V$5:$V$1000,"Sub")&gt;1.0001),"Las subactividades suman más de 100%"&amp;" · ","")&amp;IF(AND(N($W93)&gt;0,OR(IF(ISNUMBER($I93),ROUND($I93,6)&lt;&gt;ROUND(MIN(1,SUMIFS($AD$5:$AD$1000,$U$5:$U$1000,ROW(),$V$5:$V$1000,"Sub")),6),FALSE),IF(ISNUMBER($J93),ROUND($J93,6)&lt;&gt;ROUND(MIN(1,SUMIFS($AE$5:$AE$1000,$U$5:$U$1000,ROW(),$V$5:$V$1000,"Sub")),6),FALSE),IF(ISNUMBER($K93),ROUND($K93,6)&lt;&gt;ROUND(MIN(1,SUMIFS($AF$5:$AF$1000,$U$5:$U$1000,ROW(),$V$5:$V$1000,"Sub")),6),FALSE),IF(ISNUMBER($L93),ROUND($L93,6)&lt;&gt;ROUND(MIN(1,SUMIFS($AG$5:$AG$1000,$U$5:$U$1000,ROW(),$V$5:$V$1000,"Sub")),6),FALSE))),"Con subactividades: no escriba en las semanas (se llenan solas)"&amp;" · ","")&amp;IF((COUNTIF($I93:$L93,"&gt;1")+COUNTIF($I93:$L93,"&lt;0")+SUMPRODUCT((LEN($I93:$L93)&gt;0)*NOT(ISNUMBER($I93:$L93))))&gt;0,"Avance fuera de rango 0-100%"&amp;" · ","")&amp;IF(OR(AND(ISNUMBER($J93),$J93&lt;N($I93)),AND(ISNUMBER($K93),$K93&lt;MAX($I93:$J93)),AND(ISNUMBER($L93),$L93&lt;MAX($I93:$K93))),"Avance semanal decreciente"&amp;" · ","")&amp;IF(AND(ISNUMBER($AS93),$AS93&lt;FechaRef,IF($V93="Sub",1,N($M93))&lt;1),"Vencida"&amp;" · ","")&amp;IF(AND(ObsObligatoria="Sí",ISNUMBER($AS93),$AS93&lt;FechaRef,IF($V93="Sub",1,N($M93))&lt;1,$Q93=""),"Vencida sin observación"&amp;" · ",""))-3)))</f>
        <v/>
      </c>
      <c r="S93" s="64">
        <f>IF(NOT((COUNTA($B93:$D93)+COUNTA($G93:$H93)+COUNTA($Q93))&gt;0),"",IF(AND($V93="Sub",N($U93)&gt;0),IF(ISNUMBER(INDEX($AR$5:$AR$1000,$U93-4)),DATE(YEAR(INDEX($AR$5:$AR$1000,$U93-4)),MONTH(INDEX($AR$5:$AR$1000,$U93-4)),1),IF(ISNUMBER(INDEX($AS$5:$AS$1000,$U93-4)),DATE(YEAR(INDEX($AS$5:$AS$1000,$U93-4)),MONTH(INDEX($AS$5:$AS$1000,$U93-4)),1),MesCiclo)),IF(ISNUMBER($AR93),DATE(YEAR($AR93),MONTH($AR93),1),IF(ISNUMBER($AS93),DATE(YEAR($AS93),MONTH($AS93),1),MesCiclo))))</f>
        <v/>
      </c>
      <c r="T93" s="62">
        <f>IF(OR($S93="",$S93&lt;&gt;MesCiclo,$V93&lt;&gt;"Macro"),"",COUNTIFS($S$5:$S93,MesCiclo,$V$5:$V93,"Macro"))</f>
        <v/>
      </c>
      <c r="U93" s="62">
        <f>IF($V93="","",IF($V93="Macro",ROW(),IFERROR(LOOKUP(2,1/($V$5:$V93="Macro"),ROW($V$5:$V93)),0)))</f>
        <v/>
      </c>
      <c r="V93" s="62">
        <f>IF(NOT((COUNTA($B93:$D93)+COUNTA($G93:$H93)+COUNTA($Q93))&gt;0),"",IF($B93="Subactividad","Sub","Macro"))</f>
        <v/>
      </c>
      <c r="W93" s="62">
        <f>IF($V93="Macro",COUNTIFS($U$5:$U$1000,ROW(),$V$5:$V$1000,"Sub"),"")</f>
        <v/>
      </c>
      <c r="X93" s="62">
        <f>IF($V93&lt;&gt;"Sub","",IF(AND(ISNUMBER($H93),N($H93)&gt;0),$H93,IFERROR(MAX(0,1-SUMIFS($H$5:$H$1000,$U$5:$U$1000,$U93,$V$5:$V$1000,"Sub"))/(COUNTIFS($U$5:$U$1000,$U93,$V$5:$V$1000,"Sub")-COUNTIFS($U$5:$U$1000,$U93,$V$5:$V$1000,"Sub",$H$5:$H$1000,"&gt;0")),0)))</f>
        <v/>
      </c>
      <c r="Y93" s="62">
        <f>IF($V93="","",IF($V93="Sub",N($X93)*IF(ISNUMBER($G93),1,MIN(1,MAX(0,IFERROR(LOOKUP(2,1/ISNUMBER($I93:$L93),$I93:$L93),0)))),IF(ISNUMBER($G93),1,IFERROR(LOOKUP(2,1/($I93:$L93&lt;&gt;""),$I93:$L93),0))))</f>
        <v/>
      </c>
      <c r="Z93" s="62">
        <f>IF($V93="","",IF(AND(ISNUMBER($G93),$G93&lt;=IF($S93=MesCiclo,InicioCiclo,$S93+MOD(2-WEEKDAY($S93),7))+6),1,IF(ISNUMBER($I93),$I93,0)))</f>
        <v/>
      </c>
      <c r="AA93" s="62">
        <f>IF($V93="","",IF(AND(ISNUMBER($G93),$G93&lt;=IF($S93=MesCiclo,InicioCiclo,$S93+MOD(2-WEEKDAY($S93),7))+13),1,IF(ISNUMBER($J93),$J93,$Z93)))</f>
        <v/>
      </c>
      <c r="AB93" s="62">
        <f>IF($V93="","",IF(AND(ISNUMBER($G93),$G93&lt;=IF($S93=MesCiclo,InicioCiclo,$S93+MOD(2-WEEKDAY($S93),7))+20),1,IF(ISNUMBER($K93),$K93,$AA93)))</f>
        <v/>
      </c>
      <c r="AC93" s="62">
        <f>IF($V93="","",IF(AND(ISNUMBER($G93),$G93&lt;=IF($S93=MesCiclo,InicioCiclo,$S93+MOD(2-WEEKDAY($S93),7))+27),1,IF(ISNUMBER($L93),$L93,$AB93)))</f>
        <v/>
      </c>
      <c r="AD93" s="62">
        <f>IF($V93&lt;&gt;"Sub","",N($X93)*IF(AND(ISNUMBER($G93),$G93&lt;=IF($S93=MesCiclo,InicioCiclo,$S93+MOD(2-WEEKDAY($S93),7))+6),1,MIN(1,MAX(0,IF(ISNUMBER(OFFSET($A$1,ROW()-1,8)),OFFSET($A$1,ROW()-1,8),0)))))</f>
        <v/>
      </c>
      <c r="AE93" s="62">
        <f>IF($V93&lt;&gt;"Sub","",N($X93)*IF(AND(ISNUMBER($G93),$G93&lt;=IF($S93=MesCiclo,InicioCiclo,$S93+MOD(2-WEEKDAY($S93),7))+13),1,MIN(1,MAX(0,IF(ISNUMBER(OFFSET($A$1,ROW()-1,9)),OFFSET($A$1,ROW()-1,9),IF(ISNUMBER(OFFSET($A$1,ROW()-1,8)),OFFSET($A$1,ROW()-1,8),0))))))</f>
        <v/>
      </c>
      <c r="AF93" s="62">
        <f>IF($V93&lt;&gt;"Sub","",N($X93)*IF(AND(ISNUMBER($G93),$G93&lt;=IF($S93=MesCiclo,InicioCiclo,$S93+MOD(2-WEEKDAY($S93),7))+20),1,MIN(1,MAX(0,IF(ISNUMBER(OFFSET($A$1,ROW()-1,10)),OFFSET($A$1,ROW()-1,10),IF(ISNUMBER(OFFSET($A$1,ROW()-1,9)),OFFSET($A$1,ROW()-1,9),IF(ISNUMBER(OFFSET($A$1,ROW()-1,8)),OFFSET($A$1,ROW()-1,8),0)))))))</f>
        <v/>
      </c>
      <c r="AG93" s="62">
        <f>IF($V93&lt;&gt;"Sub","",N($X93)*IF(AND(ISNUMBER($G93),$G93&lt;=IF($S93=MesCiclo,InicioCiclo,$S93+MOD(2-WEEKDAY($S93),7))+27),1,MIN(1,MAX(0,IF(ISNUMBER(OFFSET($A$1,ROW()-1,11)),OFFSET($A$1,ROW()-1,11),IF(ISNUMBER(OFFSET($A$1,ROW()-1,10)),OFFSET($A$1,ROW()-1,10),IF(ISNUMBER(OFFSET($A$1,ROW()-1,9)),OFFSET($A$1,ROW()-1,9),IF(ISNUMBER(OFFSET($A$1,ROW()-1,8)),OFFSET($A$1,ROW()-1,8),0))))))))</f>
        <v/>
      </c>
      <c r="AH93" s="62">
        <f>IF($V93="","",IF(AND(ISNUMBER($G93),$G93&lt;=IF($S93=MesCiclo,InicioCiclo,$S93+MOD(2-WEEKDAY($S93),7))+6),1,IF(N($W93)&gt;0,MIN(1,SUMIFS($AD$5:$AD$1000,$U$5:$U$1000,ROW(),$V$5:$V$1000,"Sub")),$Z93)))</f>
        <v/>
      </c>
      <c r="AI93" s="62">
        <f>IF($V93="","",IF(AND(ISNUMBER($G93),$G93&lt;=IF($S93=MesCiclo,InicioCiclo,$S93+MOD(2-WEEKDAY($S93),7))+13),1,IF(N($W93)&gt;0,MIN(1,SUMIFS($AE$5:$AE$1000,$U$5:$U$1000,ROW(),$V$5:$V$1000,"Sub")),$AA93)))</f>
        <v/>
      </c>
      <c r="AJ93" s="62">
        <f>IF($V93="","",IF(AND(ISNUMBER($G93),$G93&lt;=IF($S93=MesCiclo,InicioCiclo,$S93+MOD(2-WEEKDAY($S93),7))+20),1,IF(N($W93)&gt;0,MIN(1,SUMIFS($AF$5:$AF$1000,$U$5:$U$1000,ROW(),$V$5:$V$1000,"Sub")),$AB93)))</f>
        <v/>
      </c>
      <c r="AK93" s="62">
        <f>IF($V93="","",IF(AND(ISNUMBER($G93),$G93&lt;=IF($S93=MesCiclo,InicioCiclo,$S93+MOD(2-WEEKDAY($S93),7))+27),1,IF(N($W93)&gt;0,MIN(1,SUMIFS($AG$5:$AG$1000,$U$5:$U$1000,ROW(),$V$5:$V$1000,"Sub")),$AC93)))</f>
        <v/>
      </c>
      <c r="AL93" s="62">
        <f>IF($V93&lt;&gt;"Macro","",IF(COUNTIFS($S$5:$S$1000,$S93,$V$5:$V$1000,"Macro",$H$5:$H$1000,"&gt;0")=0,1/COUNTIFS($S$5:$S$1000,$S93,$V$5:$V$1000,"Macro"),IF(AND(ISNUMBER($H93),N($H93)&gt;0),$H93,SUMIFS($H$5:$H$1000,$S$5:$S$1000,$S93,$V$5:$V$1000,"Macro")/COUNTIFS($S$5:$S$1000,$S93,$V$5:$V$1000,"Macro",$H$5:$H$1000,"&gt;0"))/(COUNTIFS($S$5:$S$1000,$S93,$V$5:$V$1000,"Macro")*SUMIFS($H$5:$H$1000,$S$5:$S$1000,$S93,$V$5:$V$1000,"Macro")/COUNTIFS($S$5:$S$1000,$S93,$V$5:$V$1000,"Macro",$H$5:$H$1000,"&gt;0"))))</f>
        <v/>
      </c>
      <c r="AM93" s="62" t="n"/>
      <c r="AN93" s="62" t="n"/>
      <c r="AO93" s="62" t="n"/>
      <c r="AP93" s="62" t="n"/>
      <c r="AQ93" s="62">
        <f>IF(LEFT($C93,11)="[Jefatura] ",IFERROR(MATCH("Asistente Técnico de Riesgo|"&amp;MID($C93,12,500),rDname_ADM,0),0),"")</f>
        <v/>
      </c>
      <c r="AR93" s="62">
        <f>IF(N($AQ93)&gt;0,INDEX(rIni_ADM,$AQ93),IF(ISNUMBER($E93),$E93,""))</f>
        <v/>
      </c>
      <c r="AS93" s="62">
        <f>IF(N($AQ93)&gt;0,INDEX(rLim_ADM,$AQ93),IF(ISNUMBER($F93),$F93,""))</f>
        <v/>
      </c>
    </row>
    <row r="94">
      <c r="A94" s="56">
        <f>IF(NOT((COUNTA($B94:$D94)+COUNTA($G94:$H94)+COUNTA($Q94))&gt;0),"",IF($V94="Macro",COUNTIFS($V$5:$V94,"Macro",$S$5:$S94,$S94),IF(N($U94)=0,"?",COUNTIFS(INDEX($V$5:$V$1000,1):INDEX($V$5:$V$1000,$U94-4),"Macro",INDEX($S$5:$S$1000,1):INDEX($S$5:$S$1000,$U94-4),INDEX($S$5:$S$1000,$U94-4))&amp;"."&amp;COUNTIFS($U$5:$U94,$U94,$V$5:$V94,"Sub"))))</f>
        <v/>
      </c>
      <c r="B94" s="57" t="n"/>
      <c r="C94" s="58" t="n"/>
      <c r="D94" s="58" t="n"/>
      <c r="E94" s="59">
        <f>IF(N($AQ94)&gt;0,INDEX(rIni_ADM,$AQ94),"")</f>
        <v/>
      </c>
      <c r="F94" s="59">
        <f>IF(N($AQ94)&gt;0,INDEX(rLim_ADM,$AQ94),"")</f>
        <v/>
      </c>
      <c r="G94" s="59" t="n"/>
      <c r="H94" s="60" t="n"/>
      <c r="I94" s="60">
        <f>IF(N($W94)=0,"",IF(AND($S94=MesCiclo,1&gt;SemanaActual),"",MIN(1,SUMIFS(OFFSET($A$1,ROW(),29,1000-ROW(),1),OFFSET($A$1,ROW(),20,1000-ROW(),1),ROW(),OFFSET($A$1,ROW(),21,1000-ROW(),1),"Sub"))))</f>
        <v/>
      </c>
      <c r="J94" s="60">
        <f>IF(N($W94)=0,"",IF(AND($S94=MesCiclo,2&gt;SemanaActual),"",MIN(1,SUMIFS(OFFSET($A$1,ROW(),30,1000-ROW(),1),OFFSET($A$1,ROW(),20,1000-ROW(),1),ROW(),OFFSET($A$1,ROW(),21,1000-ROW(),1),"Sub"))))</f>
        <v/>
      </c>
      <c r="K94" s="60">
        <f>IF(N($W94)=0,"",IF(AND($S94=MesCiclo,3&gt;SemanaActual),"",MIN(1,SUMIFS(OFFSET($A$1,ROW(),31,1000-ROW(),1),OFFSET($A$1,ROW(),20,1000-ROW(),1),ROW(),OFFSET($A$1,ROW(),21,1000-ROW(),1),"Sub"))))</f>
        <v/>
      </c>
      <c r="L94" s="60">
        <f>IF(N($W94)=0,"",IF(AND($S94=MesCiclo,4&gt;SemanaActual),"",MIN(1,SUMIFS(OFFSET($A$1,ROW(),32,1000-ROW(),1),OFFSET($A$1,ROW(),20,1000-ROW(),1),ROW(),OFFSET($A$1,ROW(),21,1000-ROW(),1),"Sub"))))</f>
        <v/>
      </c>
      <c r="M94" s="61">
        <f>IF(OR(NOT((COUNTA($B94:$D94)+COUNTA($G94:$H94)+COUNTA($Q94))&gt;0),$V94="Sub"),"",IF(ISNUMBER($G94),1,IF(N($W94)&gt;0,MIN(1,SUMIFS($Y$5:$Y$1000,$U$5:$U$1000,ROW(),$V$5:$V$1000,"Sub")),$Y94)))</f>
        <v/>
      </c>
      <c r="N94" s="56">
        <f>IF(OR($M94="",$V94="Sub"),"",IF($M94&gt;=1,"Completado",IF($M94&gt;0,"En curso","Pendiente")))</f>
        <v/>
      </c>
      <c r="O94" s="56">
        <f>IF(OR(NOT((COUNTA($B94:$D94)+COUNTA($G94:$H94)+COUNTA($Q94))&gt;0),$V94="Sub"),"",IF(ISNUMBER($G94),IF(AND(ISNUMBER($AS94),$G94&gt;$AS94),"Cumplida con "&amp;($G94-$AS94)&amp;IF($G94-$AS94=1," día"," días")&amp;" de retraso","Cumplida"),IF(N($M94)&gt;=1,"Cumplida",IF(NOT(ISNUMBER($AS94)),"Sin fecha límite",IF($AS94&lt;FechaRef,"Vencida hace "&amp;(FechaRef-$AS94)&amp;IF(FechaRef-$AS94=1," día"," días"),IF($AS94=FechaRef,"Vence hoy",IF($AS94-FechaRef&lt;=DiasAlerta,"Vence en "&amp;($AS94-FechaRef)&amp;IF($AS94-FechaRef=1," día"," días"),"En plazo")))))))</f>
        <v/>
      </c>
      <c r="P94" s="62" t="n"/>
      <c r="Q94" s="58" t="n"/>
      <c r="R94" s="63">
        <f>IF(NOT((COUNTA($B94:$D94)+COUNTA($G94:$H94)+COUNTA($Q94))&gt;0),"",IF((IF($C94="","Falta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 OK","⚠ "&amp;LEFT(IF($C94="","Falta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",""),LEN(IF($C94="","Falta el nombre de la actividad"&amp;" · ","")&amp;IF(AND($V94="Sub",N($U94)=0),"Subactividad sin macroactividad arriba"&amp;" · ","")&amp;IF(AND($V94="Macro",$AR94=""),"Sin fecha de inicio"&amp;" · ","")&amp;IF(AND($V94="Macro",$AS94=""),"Sin fecha límite"&amp;" · ","")&amp;IF(AND(LEFT($C94,11)="[Jefatura] ",N($AQ94)=0),"No se encuentra en la hoja de la jefatura (elíjala de nuevo en la lista)"&amp;" · ","")&amp;IF(OR(AND($E94&lt;&gt;"",NOT(ISNUMBER($E94))),AND($F94&lt;&gt;"",NOT(ISNUMBER($F94))),AND($G94&lt;&gt;"",NOT(ISNUMBER($G94)))),"Fecha no válida"&amp;" · ","")&amp;IF(AND(ISNUMBER($AR94),ISNUMBER($AS94),$AR94&gt;$AS94),"Inicio posterior a fecha límite"&amp;" · ","")&amp;IF(AND($V94="Macro",$H94&lt;&gt;"",OR(NOT(ISNUMBER($H94)),$H94&lt;0,$H94&gt;1)),"Peso fuera de rango"&amp;" · ","")&amp;IF(AND($V94="Sub",$H94&lt;&gt;"",OR(NOT(ISNUMBER($H94)),$H94&lt;0,$H94&gt;1)),"% de la subactividad fuera de rango 0-100%"&amp;" · ","")&amp;IF(AND(N($W94)&gt;0,SUMIFS($H$5:$H$1000,$U$5:$U$1000,ROW(),$V$5:$V$1000,"Sub")&gt;1.0001),"Las subactividades suman más de 100%"&amp;" · ","")&amp;IF(AND(N($W94)&gt;0,OR(IF(ISNUMBER($I94),ROUND($I94,6)&lt;&gt;ROUND(MIN(1,SUMIFS($AD$5:$AD$1000,$U$5:$U$1000,ROW(),$V$5:$V$1000,"Sub")),6),FALSE),IF(ISNUMBER($J94),ROUND($J94,6)&lt;&gt;ROUND(MIN(1,SUMIFS($AE$5:$AE$1000,$U$5:$U$1000,ROW(),$V$5:$V$1000,"Sub")),6),FALSE),IF(ISNUMBER($K94),ROUND($K94,6)&lt;&gt;ROUND(MIN(1,SUMIFS($AF$5:$AF$1000,$U$5:$U$1000,ROW(),$V$5:$V$1000,"Sub")),6),FALSE),IF(ISNUMBER($L94),ROUND($L94,6)&lt;&gt;ROUND(MIN(1,SUMIFS($AG$5:$AG$1000,$U$5:$U$1000,ROW(),$V$5:$V$1000,"Sub")),6),FALSE))),"Con subactividades: no escriba en las semanas (se llenan solas)"&amp;" · ","")&amp;IF((COUNTIF($I94:$L94,"&gt;1")+COUNTIF($I94:$L94,"&lt;0")+SUMPRODUCT((LEN($I94:$L94)&gt;0)*NOT(ISNUMBER($I94:$L94))))&gt;0,"Avance fuera de rango 0-100%"&amp;" · ","")&amp;IF(OR(AND(ISNUMBER($J94),$J94&lt;N($I94)),AND(ISNUMBER($K94),$K94&lt;MAX($I94:$J94)),AND(ISNUMBER($L94),$L94&lt;MAX($I94:$K94))),"Avance semanal decreciente"&amp;" · ","")&amp;IF(AND(ISNUMBER($AS94),$AS94&lt;FechaRef,IF($V94="Sub",1,N($M94))&lt;1),"Vencida"&amp;" · ","")&amp;IF(AND(ObsObligatoria="Sí",ISNUMBER($AS94),$AS94&lt;FechaRef,IF($V94="Sub",1,N($M94))&lt;1,$Q94=""),"Vencida sin observación"&amp;" · ",""))-3)))</f>
        <v/>
      </c>
      <c r="S94" s="64">
        <f>IF(NOT((COUNTA($B94:$D94)+COUNTA($G94:$H94)+COUNTA($Q94))&gt;0),"",IF(AND($V94="Sub",N($U94)&gt;0),IF(ISNUMBER(INDEX($AR$5:$AR$1000,$U94-4)),DATE(YEAR(INDEX($AR$5:$AR$1000,$U94-4)),MONTH(INDEX($AR$5:$AR$1000,$U94-4)),1),IF(ISNUMBER(INDEX($AS$5:$AS$1000,$U94-4)),DATE(YEAR(INDEX($AS$5:$AS$1000,$U94-4)),MONTH(INDEX($AS$5:$AS$1000,$U94-4)),1),MesCiclo)),IF(ISNUMBER($AR94),DATE(YEAR($AR94),MONTH($AR94),1),IF(ISNUMBER($AS94),DATE(YEAR($AS94),MONTH($AS94),1),MesCiclo))))</f>
        <v/>
      </c>
      <c r="T94" s="62">
        <f>IF(OR($S94="",$S94&lt;&gt;MesCiclo,$V94&lt;&gt;"Macro"),"",COUNTIFS($S$5:$S94,MesCiclo,$V$5:$V94,"Macro"))</f>
        <v/>
      </c>
      <c r="U94" s="62">
        <f>IF($V94="","",IF($V94="Macro",ROW(),IFERROR(LOOKUP(2,1/($V$5:$V94="Macro"),ROW($V$5:$V94)),0)))</f>
        <v/>
      </c>
      <c r="V94" s="62">
        <f>IF(NOT((COUNTA($B94:$D94)+COUNTA($G94:$H94)+COUNTA($Q94))&gt;0),"",IF($B94="Subactividad","Sub","Macro"))</f>
        <v/>
      </c>
      <c r="W94" s="62">
        <f>IF($V94="Macro",COUNTIFS($U$5:$U$1000,ROW(),$V$5:$V$1000,"Sub"),"")</f>
        <v/>
      </c>
      <c r="X94" s="62">
        <f>IF($V94&lt;&gt;"Sub","",IF(AND(ISNUMBER($H94),N($H94)&gt;0),$H94,IFERROR(MAX(0,1-SUMIFS($H$5:$H$1000,$U$5:$U$1000,$U94,$V$5:$V$1000,"Sub"))/(COUNTIFS($U$5:$U$1000,$U94,$V$5:$V$1000,"Sub")-COUNTIFS($U$5:$U$1000,$U94,$V$5:$V$1000,"Sub",$H$5:$H$1000,"&gt;0")),0)))</f>
        <v/>
      </c>
      <c r="Y94" s="62">
        <f>IF($V94="","",IF($V94="Sub",N($X94)*IF(ISNUMBER($G94),1,MIN(1,MAX(0,IFERROR(LOOKUP(2,1/ISNUMBER($I94:$L94),$I94:$L94),0)))),IF(ISNUMBER($G94),1,IFERROR(LOOKUP(2,1/($I94:$L94&lt;&gt;""),$I94:$L94),0))))</f>
        <v/>
      </c>
      <c r="Z94" s="62">
        <f>IF($V94="","",IF(AND(ISNUMBER($G94),$G94&lt;=IF($S94=MesCiclo,InicioCiclo,$S94+MOD(2-WEEKDAY($S94),7))+6),1,IF(ISNUMBER($I94),$I94,0)))</f>
        <v/>
      </c>
      <c r="AA94" s="62">
        <f>IF($V94="","",IF(AND(ISNUMBER($G94),$G94&lt;=IF($S94=MesCiclo,InicioCiclo,$S94+MOD(2-WEEKDAY($S94),7))+13),1,IF(ISNUMBER($J94),$J94,$Z94)))</f>
        <v/>
      </c>
      <c r="AB94" s="62">
        <f>IF($V94="","",IF(AND(ISNUMBER($G94),$G94&lt;=IF($S94=MesCiclo,InicioCiclo,$S94+MOD(2-WEEKDAY($S94),7))+20),1,IF(ISNUMBER($K94),$K94,$AA94)))</f>
        <v/>
      </c>
      <c r="AC94" s="62">
        <f>IF($V94="","",IF(AND(ISNUMBER($G94),$G94&lt;=IF($S94=MesCiclo,InicioCiclo,$S94+MOD(2-WEEKDAY($S94),7))+27),1,IF(ISNUMBER($L94),$L94,$AB94)))</f>
        <v/>
      </c>
      <c r="AD94" s="62">
        <f>IF($V94&lt;&gt;"Sub","",N($X94)*IF(AND(ISNUMBER($G94),$G94&lt;=IF($S94=MesCiclo,InicioCiclo,$S94+MOD(2-WEEKDAY($S94),7))+6),1,MIN(1,MAX(0,IF(ISNUMBER(OFFSET($A$1,ROW()-1,8)),OFFSET($A$1,ROW()-1,8),0)))))</f>
        <v/>
      </c>
      <c r="AE94" s="62">
        <f>IF($V94&lt;&gt;"Sub","",N($X94)*IF(AND(ISNUMBER($G94),$G94&lt;=IF($S94=MesCiclo,InicioCiclo,$S94+MOD(2-WEEKDAY($S94),7))+13),1,MIN(1,MAX(0,IF(ISNUMBER(OFFSET($A$1,ROW()-1,9)),OFFSET($A$1,ROW()-1,9),IF(ISNUMBER(OFFSET($A$1,ROW()-1,8)),OFFSET($A$1,ROW()-1,8),0))))))</f>
        <v/>
      </c>
      <c r="AF94" s="62">
        <f>IF($V94&lt;&gt;"Sub","",N($X94)*IF(AND(ISNUMBER($G94),$G94&lt;=IF($S94=MesCiclo,InicioCiclo,$S94+MOD(2-WEEKDAY($S94),7))+20),1,MIN(1,MAX(0,IF(ISNUMBER(OFFSET($A$1,ROW()-1,10)),OFFSET($A$1,ROW()-1,10),IF(ISNUMBER(OFFSET($A$1,ROW()-1,9)),OFFSET($A$1,ROW()-1,9),IF(ISNUMBER(OFFSET($A$1,ROW()-1,8)),OFFSET($A$1,ROW()-1,8),0)))))))</f>
        <v/>
      </c>
      <c r="AG94" s="62">
        <f>IF($V94&lt;&gt;"Sub","",N($X94)*IF(AND(ISNUMBER($G94),$G94&lt;=IF($S94=MesCiclo,InicioCiclo,$S94+MOD(2-WEEKDAY($S94),7))+27),1,MIN(1,MAX(0,IF(ISNUMBER(OFFSET($A$1,ROW()-1,11)),OFFSET($A$1,ROW()-1,11),IF(ISNUMBER(OFFSET($A$1,ROW()-1,10)),OFFSET($A$1,ROW()-1,10),IF(ISNUMBER(OFFSET($A$1,ROW()-1,9)),OFFSET($A$1,ROW()-1,9),IF(ISNUMBER(OFFSET($A$1,ROW()-1,8)),OFFSET($A$1,ROW()-1,8),0))))))))</f>
        <v/>
      </c>
      <c r="AH94" s="62">
        <f>IF($V94="","",IF(AND(ISNUMBER($G94),$G94&lt;=IF($S94=MesCiclo,InicioCiclo,$S94+MOD(2-WEEKDAY($S94),7))+6),1,IF(N($W94)&gt;0,MIN(1,SUMIFS($AD$5:$AD$1000,$U$5:$U$1000,ROW(),$V$5:$V$1000,"Sub")),$Z94)))</f>
        <v/>
      </c>
      <c r="AI94" s="62">
        <f>IF($V94="","",IF(AND(ISNUMBER($G94),$G94&lt;=IF($S94=MesCiclo,InicioCiclo,$S94+MOD(2-WEEKDAY($S94),7))+13),1,IF(N($W94)&gt;0,MIN(1,SUMIFS($AE$5:$AE$1000,$U$5:$U$1000,ROW(),$V$5:$V$1000,"Sub")),$AA94)))</f>
        <v/>
      </c>
      <c r="AJ94" s="62">
        <f>IF($V94="","",IF(AND(ISNUMBER($G94),$G94&lt;=IF($S94=MesCiclo,InicioCiclo,$S94+MOD(2-WEEKDAY($S94),7))+20),1,IF(N($W94)&gt;0,MIN(1,SUMIFS($AF$5:$AF$1000,$U$5:$U$1000,ROW(),$V$5:$V$1000,"Sub")),$AB94)))</f>
        <v/>
      </c>
      <c r="AK94" s="62">
        <f>IF($V94="","",IF(AND(ISNUMBER($G94),$G94&lt;=IF($S94=MesCiclo,InicioCiclo,$S94+MOD(2-WEEKDAY($S94),7))+27),1,IF(N($W94)&gt;0,MIN(1,SUMIFS($AG$5:$AG$1000,$U$5:$U$1000,ROW(),$V$5:$V$1000,"Sub")),$AC94)))</f>
        <v/>
      </c>
      <c r="AL94" s="62">
        <f>IF($V94&lt;&gt;"Macro","",IF(COUNTIFS($S$5:$S$1000,$S94,$V$5:$V$1000,"Macro",$H$5:$H$1000,"&gt;0")=0,1/COUNTIFS($S$5:$S$1000,$S94,$V$5:$V$1000,"Macro"),IF(AND(ISNUMBER($H94),N($H94)&gt;0),$H94,SUMIFS($H$5:$H$1000,$S$5:$S$1000,$S94,$V$5:$V$1000,"Macro")/COUNTIFS($S$5:$S$1000,$S94,$V$5:$V$1000,"Macro",$H$5:$H$1000,"&gt;0"))/(COUNTIFS($S$5:$S$1000,$S94,$V$5:$V$1000,"Macro")*SUMIFS($H$5:$H$1000,$S$5:$S$1000,$S94,$V$5:$V$1000,"Macro")/COUNTIFS($S$5:$S$1000,$S94,$V$5:$V$1000,"Macro",$H$5:$H$1000,"&gt;0"))))</f>
        <v/>
      </c>
      <c r="AM94" s="62" t="n"/>
      <c r="AN94" s="62" t="n"/>
      <c r="AO94" s="62" t="n"/>
      <c r="AP94" s="62" t="n"/>
      <c r="AQ94" s="62">
        <f>IF(LEFT($C94,11)="[Jefatura] ",IFERROR(MATCH("Asistente Técnico de Riesgo|"&amp;MID($C94,12,500),rDname_ADM,0),0),"")</f>
        <v/>
      </c>
      <c r="AR94" s="62">
        <f>IF(N($AQ94)&gt;0,INDEX(rIni_ADM,$AQ94),IF(ISNUMBER($E94),$E94,""))</f>
        <v/>
      </c>
      <c r="AS94" s="62">
        <f>IF(N($AQ94)&gt;0,INDEX(rLim_ADM,$AQ94),IF(ISNUMBER($F94),$F94,""))</f>
        <v/>
      </c>
    </row>
    <row r="95">
      <c r="A95" s="56">
        <f>IF(NOT((COUNTA($B95:$D95)+COUNTA($G95:$H95)+COUNTA($Q95))&gt;0),"",IF($V95="Macro",COUNTIFS($V$5:$V95,"Macro",$S$5:$S95,$S95),IF(N($U95)=0,"?",COUNTIFS(INDEX($V$5:$V$1000,1):INDEX($V$5:$V$1000,$U95-4),"Macro",INDEX($S$5:$S$1000,1):INDEX($S$5:$S$1000,$U95-4),INDEX($S$5:$S$1000,$U95-4))&amp;"."&amp;COUNTIFS($U$5:$U95,$U95,$V$5:$V95,"Sub"))))</f>
        <v/>
      </c>
      <c r="B95" s="57" t="n"/>
      <c r="C95" s="58" t="n"/>
      <c r="D95" s="58" t="n"/>
      <c r="E95" s="59">
        <f>IF(N($AQ95)&gt;0,INDEX(rIni_ADM,$AQ95),"")</f>
        <v/>
      </c>
      <c r="F95" s="59">
        <f>IF(N($AQ95)&gt;0,INDEX(rLim_ADM,$AQ95),"")</f>
        <v/>
      </c>
      <c r="G95" s="59" t="n"/>
      <c r="H95" s="60" t="n"/>
      <c r="I95" s="60">
        <f>IF(N($W95)=0,"",IF(AND($S95=MesCiclo,1&gt;SemanaActual),"",MIN(1,SUMIFS(OFFSET($A$1,ROW(),29,1000-ROW(),1),OFFSET($A$1,ROW(),20,1000-ROW(),1),ROW(),OFFSET($A$1,ROW(),21,1000-ROW(),1),"Sub"))))</f>
        <v/>
      </c>
      <c r="J95" s="60">
        <f>IF(N($W95)=0,"",IF(AND($S95=MesCiclo,2&gt;SemanaActual),"",MIN(1,SUMIFS(OFFSET($A$1,ROW(),30,1000-ROW(),1),OFFSET($A$1,ROW(),20,1000-ROW(),1),ROW(),OFFSET($A$1,ROW(),21,1000-ROW(),1),"Sub"))))</f>
        <v/>
      </c>
      <c r="K95" s="60">
        <f>IF(N($W95)=0,"",IF(AND($S95=MesCiclo,3&gt;SemanaActual),"",MIN(1,SUMIFS(OFFSET($A$1,ROW(),31,1000-ROW(),1),OFFSET($A$1,ROW(),20,1000-ROW(),1),ROW(),OFFSET($A$1,ROW(),21,1000-ROW(),1),"Sub"))))</f>
        <v/>
      </c>
      <c r="L95" s="60">
        <f>IF(N($W95)=0,"",IF(AND($S95=MesCiclo,4&gt;SemanaActual),"",MIN(1,SUMIFS(OFFSET($A$1,ROW(),32,1000-ROW(),1),OFFSET($A$1,ROW(),20,1000-ROW(),1),ROW(),OFFSET($A$1,ROW(),21,1000-ROW(),1),"Sub"))))</f>
        <v/>
      </c>
      <c r="M95" s="61">
        <f>IF(OR(NOT((COUNTA($B95:$D95)+COUNTA($G95:$H95)+COUNTA($Q95))&gt;0),$V95="Sub"),"",IF(ISNUMBER($G95),1,IF(N($W95)&gt;0,MIN(1,SUMIFS($Y$5:$Y$1000,$U$5:$U$1000,ROW(),$V$5:$V$1000,"Sub")),$Y95)))</f>
        <v/>
      </c>
      <c r="N95" s="56">
        <f>IF(OR($M95="",$V95="Sub"),"",IF($M95&gt;=1,"Completado",IF($M95&gt;0,"En curso","Pendiente")))</f>
        <v/>
      </c>
      <c r="O95" s="56">
        <f>IF(OR(NOT((COUNTA($B95:$D95)+COUNTA($G95:$H95)+COUNTA($Q95))&gt;0),$V95="Sub"),"",IF(ISNUMBER($G95),IF(AND(ISNUMBER($AS95),$G95&gt;$AS95),"Cumplida con "&amp;($G95-$AS95)&amp;IF($G95-$AS95=1," día"," días")&amp;" de retraso","Cumplida"),IF(N($M95)&gt;=1,"Cumplida",IF(NOT(ISNUMBER($AS95)),"Sin fecha límite",IF($AS95&lt;FechaRef,"Vencida hace "&amp;(FechaRef-$AS95)&amp;IF(FechaRef-$AS95=1," día"," días"),IF($AS95=FechaRef,"Vence hoy",IF($AS95-FechaRef&lt;=DiasAlerta,"Vence en "&amp;($AS95-FechaRef)&amp;IF($AS95-FechaRef=1," día"," días"),"En plazo")))))))</f>
        <v/>
      </c>
      <c r="P95" s="62" t="n"/>
      <c r="Q95" s="58" t="n"/>
      <c r="R95" s="63">
        <f>IF(NOT((COUNTA($B95:$D95)+COUNTA($G95:$H95)+COUNTA($Q95))&gt;0),"",IF((IF($C95="","Falta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 OK","⚠ "&amp;LEFT(IF($C95="","Falta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",""),LEN(IF($C95="","Falta el nombre de la actividad"&amp;" · ","")&amp;IF(AND($V95="Sub",N($U95)=0),"Subactividad sin macroactividad arriba"&amp;" · ","")&amp;IF(AND($V95="Macro",$AR95=""),"Sin fecha de inicio"&amp;" · ","")&amp;IF(AND($V95="Macro",$AS95=""),"Sin fecha límite"&amp;" · ","")&amp;IF(AND(LEFT($C95,11)="[Jefatura] ",N($AQ95)=0),"No se encuentra en la hoja de la jefatura (elíjala de nuevo en la lista)"&amp;" · ","")&amp;IF(OR(AND($E95&lt;&gt;"",NOT(ISNUMBER($E95))),AND($F95&lt;&gt;"",NOT(ISNUMBER($F95))),AND($G95&lt;&gt;"",NOT(ISNUMBER($G95)))),"Fecha no válida"&amp;" · ","")&amp;IF(AND(ISNUMBER($AR95),ISNUMBER($AS95),$AR95&gt;$AS95),"Inicio posterior a fecha límite"&amp;" · ","")&amp;IF(AND($V95="Macro",$H95&lt;&gt;"",OR(NOT(ISNUMBER($H95)),$H95&lt;0,$H95&gt;1)),"Peso fuera de rango"&amp;" · ","")&amp;IF(AND($V95="Sub",$H95&lt;&gt;"",OR(NOT(ISNUMBER($H95)),$H95&lt;0,$H95&gt;1)),"% de la subactividad fuera de rango 0-100%"&amp;" · ","")&amp;IF(AND(N($W95)&gt;0,SUMIFS($H$5:$H$1000,$U$5:$U$1000,ROW(),$V$5:$V$1000,"Sub")&gt;1.0001),"Las subactividades suman más de 100%"&amp;" · ","")&amp;IF(AND(N($W95)&gt;0,OR(IF(ISNUMBER($I95),ROUND($I95,6)&lt;&gt;ROUND(MIN(1,SUMIFS($AD$5:$AD$1000,$U$5:$U$1000,ROW(),$V$5:$V$1000,"Sub")),6),FALSE),IF(ISNUMBER($J95),ROUND($J95,6)&lt;&gt;ROUND(MIN(1,SUMIFS($AE$5:$AE$1000,$U$5:$U$1000,ROW(),$V$5:$V$1000,"Sub")),6),FALSE),IF(ISNUMBER($K95),ROUND($K95,6)&lt;&gt;ROUND(MIN(1,SUMIFS($AF$5:$AF$1000,$U$5:$U$1000,ROW(),$V$5:$V$1000,"Sub")),6),FALSE),IF(ISNUMBER($L95),ROUND($L95,6)&lt;&gt;ROUND(MIN(1,SUMIFS($AG$5:$AG$1000,$U$5:$U$1000,ROW(),$V$5:$V$1000,"Sub")),6),FALSE))),"Con subactividades: no escriba en las semanas (se llenan solas)"&amp;" · ","")&amp;IF((COUNTIF($I95:$L95,"&gt;1")+COUNTIF($I95:$L95,"&lt;0")+SUMPRODUCT((LEN($I95:$L95)&gt;0)*NOT(ISNUMBER($I95:$L95))))&gt;0,"Avance fuera de rango 0-100%"&amp;" · ","")&amp;IF(OR(AND(ISNUMBER($J95),$J95&lt;N($I95)),AND(ISNUMBER($K95),$K95&lt;MAX($I95:$J95)),AND(ISNUMBER($L95),$L95&lt;MAX($I95:$K95))),"Avance semanal decreciente"&amp;" · ","")&amp;IF(AND(ISNUMBER($AS95),$AS95&lt;FechaRef,IF($V95="Sub",1,N($M95))&lt;1),"Vencida"&amp;" · ","")&amp;IF(AND(ObsObligatoria="Sí",ISNUMBER($AS95),$AS95&lt;FechaRef,IF($V95="Sub",1,N($M95))&lt;1,$Q95=""),"Vencida sin observación"&amp;" · ",""))-3)))</f>
        <v/>
      </c>
      <c r="S95" s="64">
        <f>IF(NOT((COUNTA($B95:$D95)+COUNTA($G95:$H95)+COUNTA($Q95))&gt;0),"",IF(AND($V95="Sub",N($U95)&gt;0),IF(ISNUMBER(INDEX($AR$5:$AR$1000,$U95-4)),DATE(YEAR(INDEX($AR$5:$AR$1000,$U95-4)),MONTH(INDEX($AR$5:$AR$1000,$U95-4)),1),IF(ISNUMBER(INDEX($AS$5:$AS$1000,$U95-4)),DATE(YEAR(INDEX($AS$5:$AS$1000,$U95-4)),MONTH(INDEX($AS$5:$AS$1000,$U95-4)),1),MesCiclo)),IF(ISNUMBER($AR95),DATE(YEAR($AR95),MONTH($AR95),1),IF(ISNUMBER($AS95),DATE(YEAR($AS95),MONTH($AS95),1),MesCiclo))))</f>
        <v/>
      </c>
      <c r="T95" s="62">
        <f>IF(OR($S95="",$S95&lt;&gt;MesCiclo,$V95&lt;&gt;"Macro"),"",COUNTIFS($S$5:$S95,MesCiclo,$V$5:$V95,"Macro"))</f>
        <v/>
      </c>
      <c r="U95" s="62">
        <f>IF($V95="","",IF($V95="Macro",ROW(),IFERROR(LOOKUP(2,1/($V$5:$V95="Macro"),ROW($V$5:$V95)),0)))</f>
        <v/>
      </c>
      <c r="V95" s="62">
        <f>IF(NOT((COUNTA($B95:$D95)+COUNTA($G95:$H95)+COUNTA($Q95))&gt;0),"",IF($B95="Subactividad","Sub","Macro"))</f>
        <v/>
      </c>
      <c r="W95" s="62">
        <f>IF($V95="Macro",COUNTIFS($U$5:$U$1000,ROW(),$V$5:$V$1000,"Sub"),"")</f>
        <v/>
      </c>
      <c r="X95" s="62">
        <f>IF($V95&lt;&gt;"Sub","",IF(AND(ISNUMBER($H95),N($H95)&gt;0),$H95,IFERROR(MAX(0,1-SUMIFS($H$5:$H$1000,$U$5:$U$1000,$U95,$V$5:$V$1000,"Sub"))/(COUNTIFS($U$5:$U$1000,$U95,$V$5:$V$1000,"Sub")-COUNTIFS($U$5:$U$1000,$U95,$V$5:$V$1000,"Sub",$H$5:$H$1000,"&gt;0")),0)))</f>
        <v/>
      </c>
      <c r="Y95" s="62">
        <f>IF($V95="","",IF($V95="Sub",N($X95)*IF(ISNUMBER($G95),1,MIN(1,MAX(0,IFERROR(LOOKUP(2,1/ISNUMBER($I95:$L95),$I95:$L95),0)))),IF(ISNUMBER($G95),1,IFERROR(LOOKUP(2,1/($I95:$L95&lt;&gt;""),$I95:$L95),0))))</f>
        <v/>
      </c>
      <c r="Z95" s="62">
        <f>IF($V95="","",IF(AND(ISNUMBER($G95),$G95&lt;=IF($S95=MesCiclo,InicioCiclo,$S95+MOD(2-WEEKDAY($S95),7))+6),1,IF(ISNUMBER($I95),$I95,0)))</f>
        <v/>
      </c>
      <c r="AA95" s="62">
        <f>IF($V95="","",IF(AND(ISNUMBER($G95),$G95&lt;=IF($S95=MesCiclo,InicioCiclo,$S95+MOD(2-WEEKDAY($S95),7))+13),1,IF(ISNUMBER($J95),$J95,$Z95)))</f>
        <v/>
      </c>
      <c r="AB95" s="62">
        <f>IF($V95="","",IF(AND(ISNUMBER($G95),$G95&lt;=IF($S95=MesCiclo,InicioCiclo,$S95+MOD(2-WEEKDAY($S95),7))+20),1,IF(ISNUMBER($K95),$K95,$AA95)))</f>
        <v/>
      </c>
      <c r="AC95" s="62">
        <f>IF($V95="","",IF(AND(ISNUMBER($G95),$G95&lt;=IF($S95=MesCiclo,InicioCiclo,$S95+MOD(2-WEEKDAY($S95),7))+27),1,IF(ISNUMBER($L95),$L95,$AB95)))</f>
        <v/>
      </c>
      <c r="AD95" s="62">
        <f>IF($V95&lt;&gt;"Sub","",N($X95)*IF(AND(ISNUMBER($G95),$G95&lt;=IF($S95=MesCiclo,InicioCiclo,$S95+MOD(2-WEEKDAY($S95),7))+6),1,MIN(1,MAX(0,IF(ISNUMBER(OFFSET($A$1,ROW()-1,8)),OFFSET($A$1,ROW()-1,8),0)))))</f>
        <v/>
      </c>
      <c r="AE95" s="62">
        <f>IF($V95&lt;&gt;"Sub","",N($X95)*IF(AND(ISNUMBER($G95),$G95&lt;=IF($S95=MesCiclo,InicioCiclo,$S95+MOD(2-WEEKDAY($S95),7))+13),1,MIN(1,MAX(0,IF(ISNUMBER(OFFSET($A$1,ROW()-1,9)),OFFSET($A$1,ROW()-1,9),IF(ISNUMBER(OFFSET($A$1,ROW()-1,8)),OFFSET($A$1,ROW()-1,8),0))))))</f>
        <v/>
      </c>
      <c r="AF95" s="62">
        <f>IF($V95&lt;&gt;"Sub","",N($X95)*IF(AND(ISNUMBER($G95),$G95&lt;=IF($S95=MesCiclo,InicioCiclo,$S95+MOD(2-WEEKDAY($S95),7))+20),1,MIN(1,MAX(0,IF(ISNUMBER(OFFSET($A$1,ROW()-1,10)),OFFSET($A$1,ROW()-1,10),IF(ISNUMBER(OFFSET($A$1,ROW()-1,9)),OFFSET($A$1,ROW()-1,9),IF(ISNUMBER(OFFSET($A$1,ROW()-1,8)),OFFSET($A$1,ROW()-1,8),0)))))))</f>
        <v/>
      </c>
      <c r="AG95" s="62">
        <f>IF($V95&lt;&gt;"Sub","",N($X95)*IF(AND(ISNUMBER($G95),$G95&lt;=IF($S95=MesCiclo,InicioCiclo,$S95+MOD(2-WEEKDAY($S95),7))+27),1,MIN(1,MAX(0,IF(ISNUMBER(OFFSET($A$1,ROW()-1,11)),OFFSET($A$1,ROW()-1,11),IF(ISNUMBER(OFFSET($A$1,ROW()-1,10)),OFFSET($A$1,ROW()-1,10),IF(ISNUMBER(OFFSET($A$1,ROW()-1,9)),OFFSET($A$1,ROW()-1,9),IF(ISNUMBER(OFFSET($A$1,ROW()-1,8)),OFFSET($A$1,ROW()-1,8),0))))))))</f>
        <v/>
      </c>
      <c r="AH95" s="62">
        <f>IF($V95="","",IF(AND(ISNUMBER($G95),$G95&lt;=IF($S95=MesCiclo,InicioCiclo,$S95+MOD(2-WEEKDAY($S95),7))+6),1,IF(N($W95)&gt;0,MIN(1,SUMIFS($AD$5:$AD$1000,$U$5:$U$1000,ROW(),$V$5:$V$1000,"Sub")),$Z95)))</f>
        <v/>
      </c>
      <c r="AI95" s="62">
        <f>IF($V95="","",IF(AND(ISNUMBER($G95),$G95&lt;=IF($S95=MesCiclo,InicioCiclo,$S95+MOD(2-WEEKDAY($S95),7))+13),1,IF(N($W95)&gt;0,MIN(1,SUMIFS($AE$5:$AE$1000,$U$5:$U$1000,ROW(),$V$5:$V$1000,"Sub")),$AA95)))</f>
        <v/>
      </c>
      <c r="AJ95" s="62">
        <f>IF($V95="","",IF(AND(ISNUMBER($G95),$G95&lt;=IF($S95=MesCiclo,InicioCiclo,$S95+MOD(2-WEEKDAY($S95),7))+20),1,IF(N($W95)&gt;0,MIN(1,SUMIFS($AF$5:$AF$1000,$U$5:$U$1000,ROW(),$V$5:$V$1000,"Sub")),$AB95)))</f>
        <v/>
      </c>
      <c r="AK95" s="62">
        <f>IF($V95="","",IF(AND(ISNUMBER($G95),$G95&lt;=IF($S95=MesCiclo,InicioCiclo,$S95+MOD(2-WEEKDAY($S95),7))+27),1,IF(N($W95)&gt;0,MIN(1,SUMIFS($AG$5:$AG$1000,$U$5:$U$1000,ROW(),$V$5:$V$1000,"Sub")),$AC95)))</f>
        <v/>
      </c>
      <c r="AL95" s="62">
        <f>IF($V95&lt;&gt;"Macro","",IF(COUNTIFS($S$5:$S$1000,$S95,$V$5:$V$1000,"Macro",$H$5:$H$1000,"&gt;0")=0,1/COUNTIFS($S$5:$S$1000,$S95,$V$5:$V$1000,"Macro"),IF(AND(ISNUMBER($H95),N($H95)&gt;0),$H95,SUMIFS($H$5:$H$1000,$S$5:$S$1000,$S95,$V$5:$V$1000,"Macro")/COUNTIFS($S$5:$S$1000,$S95,$V$5:$V$1000,"Macro",$H$5:$H$1000,"&gt;0"))/(COUNTIFS($S$5:$S$1000,$S95,$V$5:$V$1000,"Macro")*SUMIFS($H$5:$H$1000,$S$5:$S$1000,$S95,$V$5:$V$1000,"Macro")/COUNTIFS($S$5:$S$1000,$S95,$V$5:$V$1000,"Macro",$H$5:$H$1000,"&gt;0"))))</f>
        <v/>
      </c>
      <c r="AM95" s="62" t="n"/>
      <c r="AN95" s="62" t="n"/>
      <c r="AO95" s="62" t="n"/>
      <c r="AP95" s="62" t="n"/>
      <c r="AQ95" s="62">
        <f>IF(LEFT($C95,11)="[Jefatura] ",IFERROR(MATCH("Asistente Técnico de Riesgo|"&amp;MID($C95,12,500),rDname_ADM,0),0),"")</f>
        <v/>
      </c>
      <c r="AR95" s="62">
        <f>IF(N($AQ95)&gt;0,INDEX(rIni_ADM,$AQ95),IF(ISNUMBER($E95),$E95,""))</f>
        <v/>
      </c>
      <c r="AS95" s="62">
        <f>IF(N($AQ95)&gt;0,INDEX(rLim_ADM,$AQ95),IF(ISNUMBER($F95),$F95,""))</f>
        <v/>
      </c>
    </row>
    <row r="96">
      <c r="A96" s="56">
        <f>IF(NOT((COUNTA($B96:$D96)+COUNTA($G96:$H96)+COUNTA($Q96))&gt;0),"",IF($V96="Macro",COUNTIFS($V$5:$V96,"Macro",$S$5:$S96,$S96),IF(N($U96)=0,"?",COUNTIFS(INDEX($V$5:$V$1000,1):INDEX($V$5:$V$1000,$U96-4),"Macro",INDEX($S$5:$S$1000,1):INDEX($S$5:$S$1000,$U96-4),INDEX($S$5:$S$1000,$U96-4))&amp;"."&amp;COUNTIFS($U$5:$U96,$U96,$V$5:$V96,"Sub"))))</f>
        <v/>
      </c>
      <c r="B96" s="57" t="n"/>
      <c r="C96" s="58" t="n"/>
      <c r="D96" s="58" t="n"/>
      <c r="E96" s="59">
        <f>IF(N($AQ96)&gt;0,INDEX(rIni_ADM,$AQ96),"")</f>
        <v/>
      </c>
      <c r="F96" s="59">
        <f>IF(N($AQ96)&gt;0,INDEX(rLim_ADM,$AQ96),"")</f>
        <v/>
      </c>
      <c r="G96" s="59" t="n"/>
      <c r="H96" s="60" t="n"/>
      <c r="I96" s="60">
        <f>IF(N($W96)=0,"",IF(AND($S96=MesCiclo,1&gt;SemanaActual),"",MIN(1,SUMIFS(OFFSET($A$1,ROW(),29,1000-ROW(),1),OFFSET($A$1,ROW(),20,1000-ROW(),1),ROW(),OFFSET($A$1,ROW(),21,1000-ROW(),1),"Sub"))))</f>
        <v/>
      </c>
      <c r="J96" s="60">
        <f>IF(N($W96)=0,"",IF(AND($S96=MesCiclo,2&gt;SemanaActual),"",MIN(1,SUMIFS(OFFSET($A$1,ROW(),30,1000-ROW(),1),OFFSET($A$1,ROW(),20,1000-ROW(),1),ROW(),OFFSET($A$1,ROW(),21,1000-ROW(),1),"Sub"))))</f>
        <v/>
      </c>
      <c r="K96" s="60">
        <f>IF(N($W96)=0,"",IF(AND($S96=MesCiclo,3&gt;SemanaActual),"",MIN(1,SUMIFS(OFFSET($A$1,ROW(),31,1000-ROW(),1),OFFSET($A$1,ROW(),20,1000-ROW(),1),ROW(),OFFSET($A$1,ROW(),21,1000-ROW(),1),"Sub"))))</f>
        <v/>
      </c>
      <c r="L96" s="60">
        <f>IF(N($W96)=0,"",IF(AND($S96=MesCiclo,4&gt;SemanaActual),"",MIN(1,SUMIFS(OFFSET($A$1,ROW(),32,1000-ROW(),1),OFFSET($A$1,ROW(),20,1000-ROW(),1),ROW(),OFFSET($A$1,ROW(),21,1000-ROW(),1),"Sub"))))</f>
        <v/>
      </c>
      <c r="M96" s="61">
        <f>IF(OR(NOT((COUNTA($B96:$D96)+COUNTA($G96:$H96)+COUNTA($Q96))&gt;0),$V96="Sub"),"",IF(ISNUMBER($G96),1,IF(N($W96)&gt;0,MIN(1,SUMIFS($Y$5:$Y$1000,$U$5:$U$1000,ROW(),$V$5:$V$1000,"Sub")),$Y96)))</f>
        <v/>
      </c>
      <c r="N96" s="56">
        <f>IF(OR($M96="",$V96="Sub"),"",IF($M96&gt;=1,"Completado",IF($M96&gt;0,"En curso","Pendiente")))</f>
        <v/>
      </c>
      <c r="O96" s="56">
        <f>IF(OR(NOT((COUNTA($B96:$D96)+COUNTA($G96:$H96)+COUNTA($Q96))&gt;0),$V96="Sub"),"",IF(ISNUMBER($G96),IF(AND(ISNUMBER($AS96),$G96&gt;$AS96),"Cumplida con "&amp;($G96-$AS96)&amp;IF($G96-$AS96=1," día"," días")&amp;" de retraso","Cumplida"),IF(N($M96)&gt;=1,"Cumplida",IF(NOT(ISNUMBER($AS96)),"Sin fecha límite",IF($AS96&lt;FechaRef,"Vencida hace "&amp;(FechaRef-$AS96)&amp;IF(FechaRef-$AS96=1," día"," días"),IF($AS96=FechaRef,"Vence hoy",IF($AS96-FechaRef&lt;=DiasAlerta,"Vence en "&amp;($AS96-FechaRef)&amp;IF($AS96-FechaRef=1," día"," días"),"En plazo")))))))</f>
        <v/>
      </c>
      <c r="P96" s="62" t="n"/>
      <c r="Q96" s="58" t="n"/>
      <c r="R96" s="63">
        <f>IF(NOT((COUNTA($B96:$D96)+COUNTA($G96:$H96)+COUNTA($Q96))&gt;0),"",IF((IF($C96="","Falta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 OK","⚠ "&amp;LEFT(IF($C96="","Falta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",""),LEN(IF($C96="","Falta el nombre de la actividad"&amp;" · ","")&amp;IF(AND($V96="Sub",N($U96)=0),"Subactividad sin macroactividad arriba"&amp;" · ","")&amp;IF(AND($V96="Macro",$AR96=""),"Sin fecha de inicio"&amp;" · ","")&amp;IF(AND($V96="Macro",$AS96=""),"Sin fecha límite"&amp;" · ","")&amp;IF(AND(LEFT($C96,11)="[Jefatura] ",N($AQ96)=0),"No se encuentra en la hoja de la jefatura (elíjala de nuevo en la lista)"&amp;" · ","")&amp;IF(OR(AND($E96&lt;&gt;"",NOT(ISNUMBER($E96))),AND($F96&lt;&gt;"",NOT(ISNUMBER($F96))),AND($G96&lt;&gt;"",NOT(ISNUMBER($G96)))),"Fecha no válida"&amp;" · ","")&amp;IF(AND(ISNUMBER($AR96),ISNUMBER($AS96),$AR96&gt;$AS96),"Inicio posterior a fecha límite"&amp;" · ","")&amp;IF(AND($V96="Macro",$H96&lt;&gt;"",OR(NOT(ISNUMBER($H96)),$H96&lt;0,$H96&gt;1)),"Peso fuera de rango"&amp;" · ","")&amp;IF(AND($V96="Sub",$H96&lt;&gt;"",OR(NOT(ISNUMBER($H96)),$H96&lt;0,$H96&gt;1)),"% de la subactividad fuera de rango 0-100%"&amp;" · ","")&amp;IF(AND(N($W96)&gt;0,SUMIFS($H$5:$H$1000,$U$5:$U$1000,ROW(),$V$5:$V$1000,"Sub")&gt;1.0001),"Las subactividades suman más de 100%"&amp;" · ","")&amp;IF(AND(N($W96)&gt;0,OR(IF(ISNUMBER($I96),ROUND($I96,6)&lt;&gt;ROUND(MIN(1,SUMIFS($AD$5:$AD$1000,$U$5:$U$1000,ROW(),$V$5:$V$1000,"Sub")),6),FALSE),IF(ISNUMBER($J96),ROUND($J96,6)&lt;&gt;ROUND(MIN(1,SUMIFS($AE$5:$AE$1000,$U$5:$U$1000,ROW(),$V$5:$V$1000,"Sub")),6),FALSE),IF(ISNUMBER($K96),ROUND($K96,6)&lt;&gt;ROUND(MIN(1,SUMIFS($AF$5:$AF$1000,$U$5:$U$1000,ROW(),$V$5:$V$1000,"Sub")),6),FALSE),IF(ISNUMBER($L96),ROUND($L96,6)&lt;&gt;ROUND(MIN(1,SUMIFS($AG$5:$AG$1000,$U$5:$U$1000,ROW(),$V$5:$V$1000,"Sub")),6),FALSE))),"Con subactividades: no escriba en las semanas (se llenan solas)"&amp;" · ","")&amp;IF((COUNTIF($I96:$L96,"&gt;1")+COUNTIF($I96:$L96,"&lt;0")+SUMPRODUCT((LEN($I96:$L96)&gt;0)*NOT(ISNUMBER($I96:$L96))))&gt;0,"Avance fuera de rango 0-100%"&amp;" · ","")&amp;IF(OR(AND(ISNUMBER($J96),$J96&lt;N($I96)),AND(ISNUMBER($K96),$K96&lt;MAX($I96:$J96)),AND(ISNUMBER($L96),$L96&lt;MAX($I96:$K96))),"Avance semanal decreciente"&amp;" · ","")&amp;IF(AND(ISNUMBER($AS96),$AS96&lt;FechaRef,IF($V96="Sub",1,N($M96))&lt;1),"Vencida"&amp;" · ","")&amp;IF(AND(ObsObligatoria="Sí",ISNUMBER($AS96),$AS96&lt;FechaRef,IF($V96="Sub",1,N($M96))&lt;1,$Q96=""),"Vencida sin observación"&amp;" · ",""))-3)))</f>
        <v/>
      </c>
      <c r="S96" s="64">
        <f>IF(NOT((COUNTA($B96:$D96)+COUNTA($G96:$H96)+COUNTA($Q96))&gt;0),"",IF(AND($V96="Sub",N($U96)&gt;0),IF(ISNUMBER(INDEX($AR$5:$AR$1000,$U96-4)),DATE(YEAR(INDEX($AR$5:$AR$1000,$U96-4)),MONTH(INDEX($AR$5:$AR$1000,$U96-4)),1),IF(ISNUMBER(INDEX($AS$5:$AS$1000,$U96-4)),DATE(YEAR(INDEX($AS$5:$AS$1000,$U96-4)),MONTH(INDEX($AS$5:$AS$1000,$U96-4)),1),MesCiclo)),IF(ISNUMBER($AR96),DATE(YEAR($AR96),MONTH($AR96),1),IF(ISNUMBER($AS96),DATE(YEAR($AS96),MONTH($AS96),1),MesCiclo))))</f>
        <v/>
      </c>
      <c r="T96" s="62">
        <f>IF(OR($S96="",$S96&lt;&gt;MesCiclo,$V96&lt;&gt;"Macro"),"",COUNTIFS($S$5:$S96,MesCiclo,$V$5:$V96,"Macro"))</f>
        <v/>
      </c>
      <c r="U96" s="62">
        <f>IF($V96="","",IF($V96="Macro",ROW(),IFERROR(LOOKUP(2,1/($V$5:$V96="Macro"),ROW($V$5:$V96)),0)))</f>
        <v/>
      </c>
      <c r="V96" s="62">
        <f>IF(NOT((COUNTA($B96:$D96)+COUNTA($G96:$H96)+COUNTA($Q96))&gt;0),"",IF($B96="Subactividad","Sub","Macro"))</f>
        <v/>
      </c>
      <c r="W96" s="62">
        <f>IF($V96="Macro",COUNTIFS($U$5:$U$1000,ROW(),$V$5:$V$1000,"Sub"),"")</f>
        <v/>
      </c>
      <c r="X96" s="62">
        <f>IF($V96&lt;&gt;"Sub","",IF(AND(ISNUMBER($H96),N($H96)&gt;0),$H96,IFERROR(MAX(0,1-SUMIFS($H$5:$H$1000,$U$5:$U$1000,$U96,$V$5:$V$1000,"Sub"))/(COUNTIFS($U$5:$U$1000,$U96,$V$5:$V$1000,"Sub")-COUNTIFS($U$5:$U$1000,$U96,$V$5:$V$1000,"Sub",$H$5:$H$1000,"&gt;0")),0)))</f>
        <v/>
      </c>
      <c r="Y96" s="62">
        <f>IF($V96="","",IF($V96="Sub",N($X96)*IF(ISNUMBER($G96),1,MIN(1,MAX(0,IFERROR(LOOKUP(2,1/ISNUMBER($I96:$L96),$I96:$L96),0)))),IF(ISNUMBER($G96),1,IFERROR(LOOKUP(2,1/($I96:$L96&lt;&gt;""),$I96:$L96),0))))</f>
        <v/>
      </c>
      <c r="Z96" s="62">
        <f>IF($V96="","",IF(AND(ISNUMBER($G96),$G96&lt;=IF($S96=MesCiclo,InicioCiclo,$S96+MOD(2-WEEKDAY($S96),7))+6),1,IF(ISNUMBER($I96),$I96,0)))</f>
        <v/>
      </c>
      <c r="AA96" s="62">
        <f>IF($V96="","",IF(AND(ISNUMBER($G96),$G96&lt;=IF($S96=MesCiclo,InicioCiclo,$S96+MOD(2-WEEKDAY($S96),7))+13),1,IF(ISNUMBER($J96),$J96,$Z96)))</f>
        <v/>
      </c>
      <c r="AB96" s="62">
        <f>IF($V96="","",IF(AND(ISNUMBER($G96),$G96&lt;=IF($S96=MesCiclo,InicioCiclo,$S96+MOD(2-WEEKDAY($S96),7))+20),1,IF(ISNUMBER($K96),$K96,$AA96)))</f>
        <v/>
      </c>
      <c r="AC96" s="62">
        <f>IF($V96="","",IF(AND(ISNUMBER($G96),$G96&lt;=IF($S96=MesCiclo,InicioCiclo,$S96+MOD(2-WEEKDAY($S96),7))+27),1,IF(ISNUMBER($L96),$L96,$AB96)))</f>
        <v/>
      </c>
      <c r="AD96" s="62">
        <f>IF($V96&lt;&gt;"Sub","",N($X96)*IF(AND(ISNUMBER($G96),$G96&lt;=IF($S96=MesCiclo,InicioCiclo,$S96+MOD(2-WEEKDAY($S96),7))+6),1,MIN(1,MAX(0,IF(ISNUMBER(OFFSET($A$1,ROW()-1,8)),OFFSET($A$1,ROW()-1,8),0)))))</f>
        <v/>
      </c>
      <c r="AE96" s="62">
        <f>IF($V96&lt;&gt;"Sub","",N($X96)*IF(AND(ISNUMBER($G96),$G96&lt;=IF($S96=MesCiclo,InicioCiclo,$S96+MOD(2-WEEKDAY($S96),7))+13),1,MIN(1,MAX(0,IF(ISNUMBER(OFFSET($A$1,ROW()-1,9)),OFFSET($A$1,ROW()-1,9),IF(ISNUMBER(OFFSET($A$1,ROW()-1,8)),OFFSET($A$1,ROW()-1,8),0))))))</f>
        <v/>
      </c>
      <c r="AF96" s="62">
        <f>IF($V96&lt;&gt;"Sub","",N($X96)*IF(AND(ISNUMBER($G96),$G96&lt;=IF($S96=MesCiclo,InicioCiclo,$S96+MOD(2-WEEKDAY($S96),7))+20),1,MIN(1,MAX(0,IF(ISNUMBER(OFFSET($A$1,ROW()-1,10)),OFFSET($A$1,ROW()-1,10),IF(ISNUMBER(OFFSET($A$1,ROW()-1,9)),OFFSET($A$1,ROW()-1,9),IF(ISNUMBER(OFFSET($A$1,ROW()-1,8)),OFFSET($A$1,ROW()-1,8),0)))))))</f>
        <v/>
      </c>
      <c r="AG96" s="62">
        <f>IF($V96&lt;&gt;"Sub","",N($X96)*IF(AND(ISNUMBER($G96),$G96&lt;=IF($S96=MesCiclo,InicioCiclo,$S96+MOD(2-WEEKDAY($S96),7))+27),1,MIN(1,MAX(0,IF(ISNUMBER(OFFSET($A$1,ROW()-1,11)),OFFSET($A$1,ROW()-1,11),IF(ISNUMBER(OFFSET($A$1,ROW()-1,10)),OFFSET($A$1,ROW()-1,10),IF(ISNUMBER(OFFSET($A$1,ROW()-1,9)),OFFSET($A$1,ROW()-1,9),IF(ISNUMBER(OFFSET($A$1,ROW()-1,8)),OFFSET($A$1,ROW()-1,8),0))))))))</f>
        <v/>
      </c>
      <c r="AH96" s="62">
        <f>IF($V96="","",IF(AND(ISNUMBER($G96),$G96&lt;=IF($S96=MesCiclo,InicioCiclo,$S96+MOD(2-WEEKDAY($S96),7))+6),1,IF(N($W96)&gt;0,MIN(1,SUMIFS($AD$5:$AD$1000,$U$5:$U$1000,ROW(),$V$5:$V$1000,"Sub")),$Z96)))</f>
        <v/>
      </c>
      <c r="AI96" s="62">
        <f>IF($V96="","",IF(AND(ISNUMBER($G96),$G96&lt;=IF($S96=MesCiclo,InicioCiclo,$S96+MOD(2-WEEKDAY($S96),7))+13),1,IF(N($W96)&gt;0,MIN(1,SUMIFS($AE$5:$AE$1000,$U$5:$U$1000,ROW(),$V$5:$V$1000,"Sub")),$AA96)))</f>
        <v/>
      </c>
      <c r="AJ96" s="62">
        <f>IF($V96="","",IF(AND(ISNUMBER($G96),$G96&lt;=IF($S96=MesCiclo,InicioCiclo,$S96+MOD(2-WEEKDAY($S96),7))+20),1,IF(N($W96)&gt;0,MIN(1,SUMIFS($AF$5:$AF$1000,$U$5:$U$1000,ROW(),$V$5:$V$1000,"Sub")),$AB96)))</f>
        <v/>
      </c>
      <c r="AK96" s="62">
        <f>IF($V96="","",IF(AND(ISNUMBER($G96),$G96&lt;=IF($S96=MesCiclo,InicioCiclo,$S96+MOD(2-WEEKDAY($S96),7))+27),1,IF(N($W96)&gt;0,MIN(1,SUMIFS($AG$5:$AG$1000,$U$5:$U$1000,ROW(),$V$5:$V$1000,"Sub")),$AC96)))</f>
        <v/>
      </c>
      <c r="AL96" s="62">
        <f>IF($V96&lt;&gt;"Macro","",IF(COUNTIFS($S$5:$S$1000,$S96,$V$5:$V$1000,"Macro",$H$5:$H$1000,"&gt;0")=0,1/COUNTIFS($S$5:$S$1000,$S96,$V$5:$V$1000,"Macro"),IF(AND(ISNUMBER($H96),N($H96)&gt;0),$H96,SUMIFS($H$5:$H$1000,$S$5:$S$1000,$S96,$V$5:$V$1000,"Macro")/COUNTIFS($S$5:$S$1000,$S96,$V$5:$V$1000,"Macro",$H$5:$H$1000,"&gt;0"))/(COUNTIFS($S$5:$S$1000,$S96,$V$5:$V$1000,"Macro")*SUMIFS($H$5:$H$1000,$S$5:$S$1000,$S96,$V$5:$V$1000,"Macro")/COUNTIFS($S$5:$S$1000,$S96,$V$5:$V$1000,"Macro",$H$5:$H$1000,"&gt;0"))))</f>
        <v/>
      </c>
      <c r="AM96" s="62" t="n"/>
      <c r="AN96" s="62" t="n"/>
      <c r="AO96" s="62" t="n"/>
      <c r="AP96" s="62" t="n"/>
      <c r="AQ96" s="62">
        <f>IF(LEFT($C96,11)="[Jefatura] ",IFERROR(MATCH("Asistente Técnico de Riesgo|"&amp;MID($C96,12,500),rDname_ADM,0),0),"")</f>
        <v/>
      </c>
      <c r="AR96" s="62">
        <f>IF(N($AQ96)&gt;0,INDEX(rIni_ADM,$AQ96),IF(ISNUMBER($E96),$E96,""))</f>
        <v/>
      </c>
      <c r="AS96" s="62">
        <f>IF(N($AQ96)&gt;0,INDEX(rLim_ADM,$AQ96),IF(ISNUMBER($F96),$F96,""))</f>
        <v/>
      </c>
    </row>
    <row r="97">
      <c r="A97" s="56">
        <f>IF(NOT((COUNTA($B97:$D97)+COUNTA($G97:$H97)+COUNTA($Q97))&gt;0),"",IF($V97="Macro",COUNTIFS($V$5:$V97,"Macro",$S$5:$S97,$S97),IF(N($U97)=0,"?",COUNTIFS(INDEX($V$5:$V$1000,1):INDEX($V$5:$V$1000,$U97-4),"Macro",INDEX($S$5:$S$1000,1):INDEX($S$5:$S$1000,$U97-4),INDEX($S$5:$S$1000,$U97-4))&amp;"."&amp;COUNTIFS($U$5:$U97,$U97,$V$5:$V97,"Sub"))))</f>
        <v/>
      </c>
      <c r="B97" s="57" t="n"/>
      <c r="C97" s="58" t="n"/>
      <c r="D97" s="58" t="n"/>
      <c r="E97" s="59">
        <f>IF(N($AQ97)&gt;0,INDEX(rIni_ADM,$AQ97),"")</f>
        <v/>
      </c>
      <c r="F97" s="59">
        <f>IF(N($AQ97)&gt;0,INDEX(rLim_ADM,$AQ97),"")</f>
        <v/>
      </c>
      <c r="G97" s="59" t="n"/>
      <c r="H97" s="60" t="n"/>
      <c r="I97" s="60">
        <f>IF(N($W97)=0,"",IF(AND($S97=MesCiclo,1&gt;SemanaActual),"",MIN(1,SUMIFS(OFFSET($A$1,ROW(),29,1000-ROW(),1),OFFSET($A$1,ROW(),20,1000-ROW(),1),ROW(),OFFSET($A$1,ROW(),21,1000-ROW(),1),"Sub"))))</f>
        <v/>
      </c>
      <c r="J97" s="60">
        <f>IF(N($W97)=0,"",IF(AND($S97=MesCiclo,2&gt;SemanaActual),"",MIN(1,SUMIFS(OFFSET($A$1,ROW(),30,1000-ROW(),1),OFFSET($A$1,ROW(),20,1000-ROW(),1),ROW(),OFFSET($A$1,ROW(),21,1000-ROW(),1),"Sub"))))</f>
        <v/>
      </c>
      <c r="K97" s="60">
        <f>IF(N($W97)=0,"",IF(AND($S97=MesCiclo,3&gt;SemanaActual),"",MIN(1,SUMIFS(OFFSET($A$1,ROW(),31,1000-ROW(),1),OFFSET($A$1,ROW(),20,1000-ROW(),1),ROW(),OFFSET($A$1,ROW(),21,1000-ROW(),1),"Sub"))))</f>
        <v/>
      </c>
      <c r="L97" s="60">
        <f>IF(N($W97)=0,"",IF(AND($S97=MesCiclo,4&gt;SemanaActual),"",MIN(1,SUMIFS(OFFSET($A$1,ROW(),32,1000-ROW(),1),OFFSET($A$1,ROW(),20,1000-ROW(),1),ROW(),OFFSET($A$1,ROW(),21,1000-ROW(),1),"Sub"))))</f>
        <v/>
      </c>
      <c r="M97" s="61">
        <f>IF(OR(NOT((COUNTA($B97:$D97)+COUNTA($G97:$H97)+COUNTA($Q97))&gt;0),$V97="Sub"),"",IF(ISNUMBER($G97),1,IF(N($W97)&gt;0,MIN(1,SUMIFS($Y$5:$Y$1000,$U$5:$U$1000,ROW(),$V$5:$V$1000,"Sub")),$Y97)))</f>
        <v/>
      </c>
      <c r="N97" s="56">
        <f>IF(OR($M97="",$V97="Sub"),"",IF($M97&gt;=1,"Completado",IF($M97&gt;0,"En curso","Pendiente")))</f>
        <v/>
      </c>
      <c r="O97" s="56">
        <f>IF(OR(NOT((COUNTA($B97:$D97)+COUNTA($G97:$H97)+COUNTA($Q97))&gt;0),$V97="Sub"),"",IF(ISNUMBER($G97),IF(AND(ISNUMBER($AS97),$G97&gt;$AS97),"Cumplida con "&amp;($G97-$AS97)&amp;IF($G97-$AS97=1," día"," días")&amp;" de retraso","Cumplida"),IF(N($M97)&gt;=1,"Cumplida",IF(NOT(ISNUMBER($AS97)),"Sin fecha límite",IF($AS97&lt;FechaRef,"Vencida hace "&amp;(FechaRef-$AS97)&amp;IF(FechaRef-$AS97=1," día"," días"),IF($AS97=FechaRef,"Vence hoy",IF($AS97-FechaRef&lt;=DiasAlerta,"Vence en "&amp;($AS97-FechaRef)&amp;IF($AS97-FechaRef=1," día"," días"),"En plazo")))))))</f>
        <v/>
      </c>
      <c r="P97" s="62" t="n"/>
      <c r="Q97" s="58" t="n"/>
      <c r="R97" s="63">
        <f>IF(NOT((COUNTA($B97:$D97)+COUNTA($G97:$H97)+COUNTA($Q97))&gt;0),"",IF((IF($C97="","Falta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 OK","⚠ "&amp;LEFT(IF($C97="","Falta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",""),LEN(IF($C97="","Falta el nombre de la actividad"&amp;" · ","")&amp;IF(AND($V97="Sub",N($U97)=0),"Subactividad sin macroactividad arriba"&amp;" · ","")&amp;IF(AND($V97="Macro",$AR97=""),"Sin fecha de inicio"&amp;" · ","")&amp;IF(AND($V97="Macro",$AS97=""),"Sin fecha límite"&amp;" · ","")&amp;IF(AND(LEFT($C97,11)="[Jefatura] ",N($AQ97)=0),"No se encuentra en la hoja de la jefatura (elíjala de nuevo en la lista)"&amp;" · ","")&amp;IF(OR(AND($E97&lt;&gt;"",NOT(ISNUMBER($E97))),AND($F97&lt;&gt;"",NOT(ISNUMBER($F97))),AND($G97&lt;&gt;"",NOT(ISNUMBER($G97)))),"Fecha no válida"&amp;" · ","")&amp;IF(AND(ISNUMBER($AR97),ISNUMBER($AS97),$AR97&gt;$AS97),"Inicio posterior a fecha límite"&amp;" · ","")&amp;IF(AND($V97="Macro",$H97&lt;&gt;"",OR(NOT(ISNUMBER($H97)),$H97&lt;0,$H97&gt;1)),"Peso fuera de rango"&amp;" · ","")&amp;IF(AND($V97="Sub",$H97&lt;&gt;"",OR(NOT(ISNUMBER($H97)),$H97&lt;0,$H97&gt;1)),"% de la subactividad fuera de rango 0-100%"&amp;" · ","")&amp;IF(AND(N($W97)&gt;0,SUMIFS($H$5:$H$1000,$U$5:$U$1000,ROW(),$V$5:$V$1000,"Sub")&gt;1.0001),"Las subactividades suman más de 100%"&amp;" · ","")&amp;IF(AND(N($W97)&gt;0,OR(IF(ISNUMBER($I97),ROUND($I97,6)&lt;&gt;ROUND(MIN(1,SUMIFS($AD$5:$AD$1000,$U$5:$U$1000,ROW(),$V$5:$V$1000,"Sub")),6),FALSE),IF(ISNUMBER($J97),ROUND($J97,6)&lt;&gt;ROUND(MIN(1,SUMIFS($AE$5:$AE$1000,$U$5:$U$1000,ROW(),$V$5:$V$1000,"Sub")),6),FALSE),IF(ISNUMBER($K97),ROUND($K97,6)&lt;&gt;ROUND(MIN(1,SUMIFS($AF$5:$AF$1000,$U$5:$U$1000,ROW(),$V$5:$V$1000,"Sub")),6),FALSE),IF(ISNUMBER($L97),ROUND($L97,6)&lt;&gt;ROUND(MIN(1,SUMIFS($AG$5:$AG$1000,$U$5:$U$1000,ROW(),$V$5:$V$1000,"Sub")),6),FALSE))),"Con subactividades: no escriba en las semanas (se llenan solas)"&amp;" · ","")&amp;IF((COUNTIF($I97:$L97,"&gt;1")+COUNTIF($I97:$L97,"&lt;0")+SUMPRODUCT((LEN($I97:$L97)&gt;0)*NOT(ISNUMBER($I97:$L97))))&gt;0,"Avance fuera de rango 0-100%"&amp;" · ","")&amp;IF(OR(AND(ISNUMBER($J97),$J97&lt;N($I97)),AND(ISNUMBER($K97),$K97&lt;MAX($I97:$J97)),AND(ISNUMBER($L97),$L97&lt;MAX($I97:$K97))),"Avance semanal decreciente"&amp;" · ","")&amp;IF(AND(ISNUMBER($AS97),$AS97&lt;FechaRef,IF($V97="Sub",1,N($M97))&lt;1),"Vencida"&amp;" · ","")&amp;IF(AND(ObsObligatoria="Sí",ISNUMBER($AS97),$AS97&lt;FechaRef,IF($V97="Sub",1,N($M97))&lt;1,$Q97=""),"Vencida sin observación"&amp;" · ",""))-3)))</f>
        <v/>
      </c>
      <c r="S97" s="64">
        <f>IF(NOT((COUNTA($B97:$D97)+COUNTA($G97:$H97)+COUNTA($Q97))&gt;0),"",IF(AND($V97="Sub",N($U97)&gt;0),IF(ISNUMBER(INDEX($AR$5:$AR$1000,$U97-4)),DATE(YEAR(INDEX($AR$5:$AR$1000,$U97-4)),MONTH(INDEX($AR$5:$AR$1000,$U97-4)),1),IF(ISNUMBER(INDEX($AS$5:$AS$1000,$U97-4)),DATE(YEAR(INDEX($AS$5:$AS$1000,$U97-4)),MONTH(INDEX($AS$5:$AS$1000,$U97-4)),1),MesCiclo)),IF(ISNUMBER($AR97),DATE(YEAR($AR97),MONTH($AR97),1),IF(ISNUMBER($AS97),DATE(YEAR($AS97),MONTH($AS97),1),MesCiclo))))</f>
        <v/>
      </c>
      <c r="T97" s="62">
        <f>IF(OR($S97="",$S97&lt;&gt;MesCiclo,$V97&lt;&gt;"Macro"),"",COUNTIFS($S$5:$S97,MesCiclo,$V$5:$V97,"Macro"))</f>
        <v/>
      </c>
      <c r="U97" s="62">
        <f>IF($V97="","",IF($V97="Macro",ROW(),IFERROR(LOOKUP(2,1/($V$5:$V97="Macro"),ROW($V$5:$V97)),0)))</f>
        <v/>
      </c>
      <c r="V97" s="62">
        <f>IF(NOT((COUNTA($B97:$D97)+COUNTA($G97:$H97)+COUNTA($Q97))&gt;0),"",IF($B97="Subactividad","Sub","Macro"))</f>
        <v/>
      </c>
      <c r="W97" s="62">
        <f>IF($V97="Macro",COUNTIFS($U$5:$U$1000,ROW(),$V$5:$V$1000,"Sub"),"")</f>
        <v/>
      </c>
      <c r="X97" s="62">
        <f>IF($V97&lt;&gt;"Sub","",IF(AND(ISNUMBER($H97),N($H97)&gt;0),$H97,IFERROR(MAX(0,1-SUMIFS($H$5:$H$1000,$U$5:$U$1000,$U97,$V$5:$V$1000,"Sub"))/(COUNTIFS($U$5:$U$1000,$U97,$V$5:$V$1000,"Sub")-COUNTIFS($U$5:$U$1000,$U97,$V$5:$V$1000,"Sub",$H$5:$H$1000,"&gt;0")),0)))</f>
        <v/>
      </c>
      <c r="Y97" s="62">
        <f>IF($V97="","",IF($V97="Sub",N($X97)*IF(ISNUMBER($G97),1,MIN(1,MAX(0,IFERROR(LOOKUP(2,1/ISNUMBER($I97:$L97),$I97:$L97),0)))),IF(ISNUMBER($G97),1,IFERROR(LOOKUP(2,1/($I97:$L97&lt;&gt;""),$I97:$L97),0))))</f>
        <v/>
      </c>
      <c r="Z97" s="62">
        <f>IF($V97="","",IF(AND(ISNUMBER($G97),$G97&lt;=IF($S97=MesCiclo,InicioCiclo,$S97+MOD(2-WEEKDAY($S97),7))+6),1,IF(ISNUMBER($I97),$I97,0)))</f>
        <v/>
      </c>
      <c r="AA97" s="62">
        <f>IF($V97="","",IF(AND(ISNUMBER($G97),$G97&lt;=IF($S97=MesCiclo,InicioCiclo,$S97+MOD(2-WEEKDAY($S97),7))+13),1,IF(ISNUMBER($J97),$J97,$Z97)))</f>
        <v/>
      </c>
      <c r="AB97" s="62">
        <f>IF($V97="","",IF(AND(ISNUMBER($G97),$G97&lt;=IF($S97=MesCiclo,InicioCiclo,$S97+MOD(2-WEEKDAY($S97),7))+20),1,IF(ISNUMBER($K97),$K97,$AA97)))</f>
        <v/>
      </c>
      <c r="AC97" s="62">
        <f>IF($V97="","",IF(AND(ISNUMBER($G97),$G97&lt;=IF($S97=MesCiclo,InicioCiclo,$S97+MOD(2-WEEKDAY($S97),7))+27),1,IF(ISNUMBER($L97),$L97,$AB97)))</f>
        <v/>
      </c>
      <c r="AD97" s="62">
        <f>IF($V97&lt;&gt;"Sub","",N($X97)*IF(AND(ISNUMBER($G97),$G97&lt;=IF($S97=MesCiclo,InicioCiclo,$S97+MOD(2-WEEKDAY($S97),7))+6),1,MIN(1,MAX(0,IF(ISNUMBER(OFFSET($A$1,ROW()-1,8)),OFFSET($A$1,ROW()-1,8),0)))))</f>
        <v/>
      </c>
      <c r="AE97" s="62">
        <f>IF($V97&lt;&gt;"Sub","",N($X97)*IF(AND(ISNUMBER($G97),$G97&lt;=IF($S97=MesCiclo,InicioCiclo,$S97+MOD(2-WEEKDAY($S97),7))+13),1,MIN(1,MAX(0,IF(ISNUMBER(OFFSET($A$1,ROW()-1,9)),OFFSET($A$1,ROW()-1,9),IF(ISNUMBER(OFFSET($A$1,ROW()-1,8)),OFFSET($A$1,ROW()-1,8),0))))))</f>
        <v/>
      </c>
      <c r="AF97" s="62">
        <f>IF($V97&lt;&gt;"Sub","",N($X97)*IF(AND(ISNUMBER($G97),$G97&lt;=IF($S97=MesCiclo,InicioCiclo,$S97+MOD(2-WEEKDAY($S97),7))+20),1,MIN(1,MAX(0,IF(ISNUMBER(OFFSET($A$1,ROW()-1,10)),OFFSET($A$1,ROW()-1,10),IF(ISNUMBER(OFFSET($A$1,ROW()-1,9)),OFFSET($A$1,ROW()-1,9),IF(ISNUMBER(OFFSET($A$1,ROW()-1,8)),OFFSET($A$1,ROW()-1,8),0)))))))</f>
        <v/>
      </c>
      <c r="AG97" s="62">
        <f>IF($V97&lt;&gt;"Sub","",N($X97)*IF(AND(ISNUMBER($G97),$G97&lt;=IF($S97=MesCiclo,InicioCiclo,$S97+MOD(2-WEEKDAY($S97),7))+27),1,MIN(1,MAX(0,IF(ISNUMBER(OFFSET($A$1,ROW()-1,11)),OFFSET($A$1,ROW()-1,11),IF(ISNUMBER(OFFSET($A$1,ROW()-1,10)),OFFSET($A$1,ROW()-1,10),IF(ISNUMBER(OFFSET($A$1,ROW()-1,9)),OFFSET($A$1,ROW()-1,9),IF(ISNUMBER(OFFSET($A$1,ROW()-1,8)),OFFSET($A$1,ROW()-1,8),0))))))))</f>
        <v/>
      </c>
      <c r="AH97" s="62">
        <f>IF($V97="","",IF(AND(ISNUMBER($G97),$G97&lt;=IF($S97=MesCiclo,InicioCiclo,$S97+MOD(2-WEEKDAY($S97),7))+6),1,IF(N($W97)&gt;0,MIN(1,SUMIFS($AD$5:$AD$1000,$U$5:$U$1000,ROW(),$V$5:$V$1000,"Sub")),$Z97)))</f>
        <v/>
      </c>
      <c r="AI97" s="62">
        <f>IF($V97="","",IF(AND(ISNUMBER($G97),$G97&lt;=IF($S97=MesCiclo,InicioCiclo,$S97+MOD(2-WEEKDAY($S97),7))+13),1,IF(N($W97)&gt;0,MIN(1,SUMIFS($AE$5:$AE$1000,$U$5:$U$1000,ROW(),$V$5:$V$1000,"Sub")),$AA97)))</f>
        <v/>
      </c>
      <c r="AJ97" s="62">
        <f>IF($V97="","",IF(AND(ISNUMBER($G97),$G97&lt;=IF($S97=MesCiclo,InicioCiclo,$S97+MOD(2-WEEKDAY($S97),7))+20),1,IF(N($W97)&gt;0,MIN(1,SUMIFS($AF$5:$AF$1000,$U$5:$U$1000,ROW(),$V$5:$V$1000,"Sub")),$AB97)))</f>
        <v/>
      </c>
      <c r="AK97" s="62">
        <f>IF($V97="","",IF(AND(ISNUMBER($G97),$G97&lt;=IF($S97=MesCiclo,InicioCiclo,$S97+MOD(2-WEEKDAY($S97),7))+27),1,IF(N($W97)&gt;0,MIN(1,SUMIFS($AG$5:$AG$1000,$U$5:$U$1000,ROW(),$V$5:$V$1000,"Sub")),$AC97)))</f>
        <v/>
      </c>
      <c r="AL97" s="62">
        <f>IF($V97&lt;&gt;"Macro","",IF(COUNTIFS($S$5:$S$1000,$S97,$V$5:$V$1000,"Macro",$H$5:$H$1000,"&gt;0")=0,1/COUNTIFS($S$5:$S$1000,$S97,$V$5:$V$1000,"Macro"),IF(AND(ISNUMBER($H97),N($H97)&gt;0),$H97,SUMIFS($H$5:$H$1000,$S$5:$S$1000,$S97,$V$5:$V$1000,"Macro")/COUNTIFS($S$5:$S$1000,$S97,$V$5:$V$1000,"Macro",$H$5:$H$1000,"&gt;0"))/(COUNTIFS($S$5:$S$1000,$S97,$V$5:$V$1000,"Macro")*SUMIFS($H$5:$H$1000,$S$5:$S$1000,$S97,$V$5:$V$1000,"Macro")/COUNTIFS($S$5:$S$1000,$S97,$V$5:$V$1000,"Macro",$H$5:$H$1000,"&gt;0"))))</f>
        <v/>
      </c>
      <c r="AM97" s="62" t="n"/>
      <c r="AN97" s="62" t="n"/>
      <c r="AO97" s="62" t="n"/>
      <c r="AP97" s="62" t="n"/>
      <c r="AQ97" s="62">
        <f>IF(LEFT($C97,11)="[Jefatura] ",IFERROR(MATCH("Asistente Técnico de Riesgo|"&amp;MID($C97,12,500),rDname_ADM,0),0),"")</f>
        <v/>
      </c>
      <c r="AR97" s="62">
        <f>IF(N($AQ97)&gt;0,INDEX(rIni_ADM,$AQ97),IF(ISNUMBER($E97),$E97,""))</f>
        <v/>
      </c>
      <c r="AS97" s="62">
        <f>IF(N($AQ97)&gt;0,INDEX(rLim_ADM,$AQ97),IF(ISNUMBER($F97),$F97,""))</f>
        <v/>
      </c>
    </row>
    <row r="98">
      <c r="A98" s="56">
        <f>IF(NOT((COUNTA($B98:$D98)+COUNTA($G98:$H98)+COUNTA($Q98))&gt;0),"",IF($V98="Macro",COUNTIFS($V$5:$V98,"Macro",$S$5:$S98,$S98),IF(N($U98)=0,"?",COUNTIFS(INDEX($V$5:$V$1000,1):INDEX($V$5:$V$1000,$U98-4),"Macro",INDEX($S$5:$S$1000,1):INDEX($S$5:$S$1000,$U98-4),INDEX($S$5:$S$1000,$U98-4))&amp;"."&amp;COUNTIFS($U$5:$U98,$U98,$V$5:$V98,"Sub"))))</f>
        <v/>
      </c>
      <c r="B98" s="57" t="n"/>
      <c r="C98" s="58" t="n"/>
      <c r="D98" s="58" t="n"/>
      <c r="E98" s="59">
        <f>IF(N($AQ98)&gt;0,INDEX(rIni_ADM,$AQ98),"")</f>
        <v/>
      </c>
      <c r="F98" s="59">
        <f>IF(N($AQ98)&gt;0,INDEX(rLim_ADM,$AQ98),"")</f>
        <v/>
      </c>
      <c r="G98" s="59" t="n"/>
      <c r="H98" s="60" t="n"/>
      <c r="I98" s="60">
        <f>IF(N($W98)=0,"",IF(AND($S98=MesCiclo,1&gt;SemanaActual),"",MIN(1,SUMIFS(OFFSET($A$1,ROW(),29,1000-ROW(),1),OFFSET($A$1,ROW(),20,1000-ROW(),1),ROW(),OFFSET($A$1,ROW(),21,1000-ROW(),1),"Sub"))))</f>
        <v/>
      </c>
      <c r="J98" s="60">
        <f>IF(N($W98)=0,"",IF(AND($S98=MesCiclo,2&gt;SemanaActual),"",MIN(1,SUMIFS(OFFSET($A$1,ROW(),30,1000-ROW(),1),OFFSET($A$1,ROW(),20,1000-ROW(),1),ROW(),OFFSET($A$1,ROW(),21,1000-ROW(),1),"Sub"))))</f>
        <v/>
      </c>
      <c r="K98" s="60">
        <f>IF(N($W98)=0,"",IF(AND($S98=MesCiclo,3&gt;SemanaActual),"",MIN(1,SUMIFS(OFFSET($A$1,ROW(),31,1000-ROW(),1),OFFSET($A$1,ROW(),20,1000-ROW(),1),ROW(),OFFSET($A$1,ROW(),21,1000-ROW(),1),"Sub"))))</f>
        <v/>
      </c>
      <c r="L98" s="60">
        <f>IF(N($W98)=0,"",IF(AND($S98=MesCiclo,4&gt;SemanaActual),"",MIN(1,SUMIFS(OFFSET($A$1,ROW(),32,1000-ROW(),1),OFFSET($A$1,ROW(),20,1000-ROW(),1),ROW(),OFFSET($A$1,ROW(),21,1000-ROW(),1),"Sub"))))</f>
        <v/>
      </c>
      <c r="M98" s="61">
        <f>IF(OR(NOT((COUNTA($B98:$D98)+COUNTA($G98:$H98)+COUNTA($Q98))&gt;0),$V98="Sub"),"",IF(ISNUMBER($G98),1,IF(N($W98)&gt;0,MIN(1,SUMIFS($Y$5:$Y$1000,$U$5:$U$1000,ROW(),$V$5:$V$1000,"Sub")),$Y98)))</f>
        <v/>
      </c>
      <c r="N98" s="56">
        <f>IF(OR($M98="",$V98="Sub"),"",IF($M98&gt;=1,"Completado",IF($M98&gt;0,"En curso","Pendiente")))</f>
        <v/>
      </c>
      <c r="O98" s="56">
        <f>IF(OR(NOT((COUNTA($B98:$D98)+COUNTA($G98:$H98)+COUNTA($Q98))&gt;0),$V98="Sub"),"",IF(ISNUMBER($G98),IF(AND(ISNUMBER($AS98),$G98&gt;$AS98),"Cumplida con "&amp;($G98-$AS98)&amp;IF($G98-$AS98=1," día"," días")&amp;" de retraso","Cumplida"),IF(N($M98)&gt;=1,"Cumplida",IF(NOT(ISNUMBER($AS98)),"Sin fecha límite",IF($AS98&lt;FechaRef,"Vencida hace "&amp;(FechaRef-$AS98)&amp;IF(FechaRef-$AS98=1," día"," días"),IF($AS98=FechaRef,"Vence hoy",IF($AS98-FechaRef&lt;=DiasAlerta,"Vence en "&amp;($AS98-FechaRef)&amp;IF($AS98-FechaRef=1," día"," días"),"En plazo")))))))</f>
        <v/>
      </c>
      <c r="P98" s="62" t="n"/>
      <c r="Q98" s="58" t="n"/>
      <c r="R98" s="63">
        <f>IF(NOT((COUNTA($B98:$D98)+COUNTA($G98:$H98)+COUNTA($Q98))&gt;0),"",IF((IF($C98="","Falta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 OK","⚠ "&amp;LEFT(IF($C98="","Falta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",""),LEN(IF($C98="","Falta el nombre de la actividad"&amp;" · ","")&amp;IF(AND($V98="Sub",N($U98)=0),"Subactividad sin macroactividad arriba"&amp;" · ","")&amp;IF(AND($V98="Macro",$AR98=""),"Sin fecha de inicio"&amp;" · ","")&amp;IF(AND($V98="Macro",$AS98=""),"Sin fecha límite"&amp;" · ","")&amp;IF(AND(LEFT($C98,11)="[Jefatura] ",N($AQ98)=0),"No se encuentra en la hoja de la jefatura (elíjala de nuevo en la lista)"&amp;" · ","")&amp;IF(OR(AND($E98&lt;&gt;"",NOT(ISNUMBER($E98))),AND($F98&lt;&gt;"",NOT(ISNUMBER($F98))),AND($G98&lt;&gt;"",NOT(ISNUMBER($G98)))),"Fecha no válida"&amp;" · ","")&amp;IF(AND(ISNUMBER($AR98),ISNUMBER($AS98),$AR98&gt;$AS98),"Inicio posterior a fecha límite"&amp;" · ","")&amp;IF(AND($V98="Macro",$H98&lt;&gt;"",OR(NOT(ISNUMBER($H98)),$H98&lt;0,$H98&gt;1)),"Peso fuera de rango"&amp;" · ","")&amp;IF(AND($V98="Sub",$H98&lt;&gt;"",OR(NOT(ISNUMBER($H98)),$H98&lt;0,$H98&gt;1)),"% de la subactividad fuera de rango 0-100%"&amp;" · ","")&amp;IF(AND(N($W98)&gt;0,SUMIFS($H$5:$H$1000,$U$5:$U$1000,ROW(),$V$5:$V$1000,"Sub")&gt;1.0001),"Las subactividades suman más de 100%"&amp;" · ","")&amp;IF(AND(N($W98)&gt;0,OR(IF(ISNUMBER($I98),ROUND($I98,6)&lt;&gt;ROUND(MIN(1,SUMIFS($AD$5:$AD$1000,$U$5:$U$1000,ROW(),$V$5:$V$1000,"Sub")),6),FALSE),IF(ISNUMBER($J98),ROUND($J98,6)&lt;&gt;ROUND(MIN(1,SUMIFS($AE$5:$AE$1000,$U$5:$U$1000,ROW(),$V$5:$V$1000,"Sub")),6),FALSE),IF(ISNUMBER($K98),ROUND($K98,6)&lt;&gt;ROUND(MIN(1,SUMIFS($AF$5:$AF$1000,$U$5:$U$1000,ROW(),$V$5:$V$1000,"Sub")),6),FALSE),IF(ISNUMBER($L98),ROUND($L98,6)&lt;&gt;ROUND(MIN(1,SUMIFS($AG$5:$AG$1000,$U$5:$U$1000,ROW(),$V$5:$V$1000,"Sub")),6),FALSE))),"Con subactividades: no escriba en las semanas (se llenan solas)"&amp;" · ","")&amp;IF((COUNTIF($I98:$L98,"&gt;1")+COUNTIF($I98:$L98,"&lt;0")+SUMPRODUCT((LEN($I98:$L98)&gt;0)*NOT(ISNUMBER($I98:$L98))))&gt;0,"Avance fuera de rango 0-100%"&amp;" · ","")&amp;IF(OR(AND(ISNUMBER($J98),$J98&lt;N($I98)),AND(ISNUMBER($K98),$K98&lt;MAX($I98:$J98)),AND(ISNUMBER($L98),$L98&lt;MAX($I98:$K98))),"Avance semanal decreciente"&amp;" · ","")&amp;IF(AND(ISNUMBER($AS98),$AS98&lt;FechaRef,IF($V98="Sub",1,N($M98))&lt;1),"Vencida"&amp;" · ","")&amp;IF(AND(ObsObligatoria="Sí",ISNUMBER($AS98),$AS98&lt;FechaRef,IF($V98="Sub",1,N($M98))&lt;1,$Q98=""),"Vencida sin observación"&amp;" · ",""))-3)))</f>
        <v/>
      </c>
      <c r="S98" s="64">
        <f>IF(NOT((COUNTA($B98:$D98)+COUNTA($G98:$H98)+COUNTA($Q98))&gt;0),"",IF(AND($V98="Sub",N($U98)&gt;0),IF(ISNUMBER(INDEX($AR$5:$AR$1000,$U98-4)),DATE(YEAR(INDEX($AR$5:$AR$1000,$U98-4)),MONTH(INDEX($AR$5:$AR$1000,$U98-4)),1),IF(ISNUMBER(INDEX($AS$5:$AS$1000,$U98-4)),DATE(YEAR(INDEX($AS$5:$AS$1000,$U98-4)),MONTH(INDEX($AS$5:$AS$1000,$U98-4)),1),MesCiclo)),IF(ISNUMBER($AR98),DATE(YEAR($AR98),MONTH($AR98),1),IF(ISNUMBER($AS98),DATE(YEAR($AS98),MONTH($AS98),1),MesCiclo))))</f>
        <v/>
      </c>
      <c r="T98" s="62">
        <f>IF(OR($S98="",$S98&lt;&gt;MesCiclo,$V98&lt;&gt;"Macro"),"",COUNTIFS($S$5:$S98,MesCiclo,$V$5:$V98,"Macro"))</f>
        <v/>
      </c>
      <c r="U98" s="62">
        <f>IF($V98="","",IF($V98="Macro",ROW(),IFERROR(LOOKUP(2,1/($V$5:$V98="Macro"),ROW($V$5:$V98)),0)))</f>
        <v/>
      </c>
      <c r="V98" s="62">
        <f>IF(NOT((COUNTA($B98:$D98)+COUNTA($G98:$H98)+COUNTA($Q98))&gt;0),"",IF($B98="Subactividad","Sub","Macro"))</f>
        <v/>
      </c>
      <c r="W98" s="62">
        <f>IF($V98="Macro",COUNTIFS($U$5:$U$1000,ROW(),$V$5:$V$1000,"Sub"),"")</f>
        <v/>
      </c>
      <c r="X98" s="62">
        <f>IF($V98&lt;&gt;"Sub","",IF(AND(ISNUMBER($H98),N($H98)&gt;0),$H98,IFERROR(MAX(0,1-SUMIFS($H$5:$H$1000,$U$5:$U$1000,$U98,$V$5:$V$1000,"Sub"))/(COUNTIFS($U$5:$U$1000,$U98,$V$5:$V$1000,"Sub")-COUNTIFS($U$5:$U$1000,$U98,$V$5:$V$1000,"Sub",$H$5:$H$1000,"&gt;0")),0)))</f>
        <v/>
      </c>
      <c r="Y98" s="62">
        <f>IF($V98="","",IF($V98="Sub",N($X98)*IF(ISNUMBER($G98),1,MIN(1,MAX(0,IFERROR(LOOKUP(2,1/ISNUMBER($I98:$L98),$I98:$L98),0)))),IF(ISNUMBER($G98),1,IFERROR(LOOKUP(2,1/($I98:$L98&lt;&gt;""),$I98:$L98),0))))</f>
        <v/>
      </c>
      <c r="Z98" s="62">
        <f>IF($V98="","",IF(AND(ISNUMBER($G98),$G98&lt;=IF($S98=MesCiclo,InicioCiclo,$S98+MOD(2-WEEKDAY($S98),7))+6),1,IF(ISNUMBER($I98),$I98,0)))</f>
        <v/>
      </c>
      <c r="AA98" s="62">
        <f>IF($V98="","",IF(AND(ISNUMBER($G98),$G98&lt;=IF($S98=MesCiclo,InicioCiclo,$S98+MOD(2-WEEKDAY($S98),7))+13),1,IF(ISNUMBER($J98),$J98,$Z98)))</f>
        <v/>
      </c>
      <c r="AB98" s="62">
        <f>IF($V98="","",IF(AND(ISNUMBER($G98),$G98&lt;=IF($S98=MesCiclo,InicioCiclo,$S98+MOD(2-WEEKDAY($S98),7))+20),1,IF(ISNUMBER($K98),$K98,$AA98)))</f>
        <v/>
      </c>
      <c r="AC98" s="62">
        <f>IF($V98="","",IF(AND(ISNUMBER($G98),$G98&lt;=IF($S98=MesCiclo,InicioCiclo,$S98+MOD(2-WEEKDAY($S98),7))+27),1,IF(ISNUMBER($L98),$L98,$AB98)))</f>
        <v/>
      </c>
      <c r="AD98" s="62">
        <f>IF($V98&lt;&gt;"Sub","",N($X98)*IF(AND(ISNUMBER($G98),$G98&lt;=IF($S98=MesCiclo,InicioCiclo,$S98+MOD(2-WEEKDAY($S98),7))+6),1,MIN(1,MAX(0,IF(ISNUMBER(OFFSET($A$1,ROW()-1,8)),OFFSET($A$1,ROW()-1,8),0)))))</f>
        <v/>
      </c>
      <c r="AE98" s="62">
        <f>IF($V98&lt;&gt;"Sub","",N($X98)*IF(AND(ISNUMBER($G98),$G98&lt;=IF($S98=MesCiclo,InicioCiclo,$S98+MOD(2-WEEKDAY($S98),7))+13),1,MIN(1,MAX(0,IF(ISNUMBER(OFFSET($A$1,ROW()-1,9)),OFFSET($A$1,ROW()-1,9),IF(ISNUMBER(OFFSET($A$1,ROW()-1,8)),OFFSET($A$1,ROW()-1,8),0))))))</f>
        <v/>
      </c>
      <c r="AF98" s="62">
        <f>IF($V98&lt;&gt;"Sub","",N($X98)*IF(AND(ISNUMBER($G98),$G98&lt;=IF($S98=MesCiclo,InicioCiclo,$S98+MOD(2-WEEKDAY($S98),7))+20),1,MIN(1,MAX(0,IF(ISNUMBER(OFFSET($A$1,ROW()-1,10)),OFFSET($A$1,ROW()-1,10),IF(ISNUMBER(OFFSET($A$1,ROW()-1,9)),OFFSET($A$1,ROW()-1,9),IF(ISNUMBER(OFFSET($A$1,ROW()-1,8)),OFFSET($A$1,ROW()-1,8),0)))))))</f>
        <v/>
      </c>
      <c r="AG98" s="62">
        <f>IF($V98&lt;&gt;"Sub","",N($X98)*IF(AND(ISNUMBER($G98),$G98&lt;=IF($S98=MesCiclo,InicioCiclo,$S98+MOD(2-WEEKDAY($S98),7))+27),1,MIN(1,MAX(0,IF(ISNUMBER(OFFSET($A$1,ROW()-1,11)),OFFSET($A$1,ROW()-1,11),IF(ISNUMBER(OFFSET($A$1,ROW()-1,10)),OFFSET($A$1,ROW()-1,10),IF(ISNUMBER(OFFSET($A$1,ROW()-1,9)),OFFSET($A$1,ROW()-1,9),IF(ISNUMBER(OFFSET($A$1,ROW()-1,8)),OFFSET($A$1,ROW()-1,8),0))))))))</f>
        <v/>
      </c>
      <c r="AH98" s="62">
        <f>IF($V98="","",IF(AND(ISNUMBER($G98),$G98&lt;=IF($S98=MesCiclo,InicioCiclo,$S98+MOD(2-WEEKDAY($S98),7))+6),1,IF(N($W98)&gt;0,MIN(1,SUMIFS($AD$5:$AD$1000,$U$5:$U$1000,ROW(),$V$5:$V$1000,"Sub")),$Z98)))</f>
        <v/>
      </c>
      <c r="AI98" s="62">
        <f>IF($V98="","",IF(AND(ISNUMBER($G98),$G98&lt;=IF($S98=MesCiclo,InicioCiclo,$S98+MOD(2-WEEKDAY($S98),7))+13),1,IF(N($W98)&gt;0,MIN(1,SUMIFS($AE$5:$AE$1000,$U$5:$U$1000,ROW(),$V$5:$V$1000,"Sub")),$AA98)))</f>
        <v/>
      </c>
      <c r="AJ98" s="62">
        <f>IF($V98="","",IF(AND(ISNUMBER($G98),$G98&lt;=IF($S98=MesCiclo,InicioCiclo,$S98+MOD(2-WEEKDAY($S98),7))+20),1,IF(N($W98)&gt;0,MIN(1,SUMIFS($AF$5:$AF$1000,$U$5:$U$1000,ROW(),$V$5:$V$1000,"Sub")),$AB98)))</f>
        <v/>
      </c>
      <c r="AK98" s="62">
        <f>IF($V98="","",IF(AND(ISNUMBER($G98),$G98&lt;=IF($S98=MesCiclo,InicioCiclo,$S98+MOD(2-WEEKDAY($S98),7))+27),1,IF(N($W98)&gt;0,MIN(1,SUMIFS($AG$5:$AG$1000,$U$5:$U$1000,ROW(),$V$5:$V$1000,"Sub")),$AC98)))</f>
        <v/>
      </c>
      <c r="AL98" s="62">
        <f>IF($V98&lt;&gt;"Macro","",IF(COUNTIFS($S$5:$S$1000,$S98,$V$5:$V$1000,"Macro",$H$5:$H$1000,"&gt;0")=0,1/COUNTIFS($S$5:$S$1000,$S98,$V$5:$V$1000,"Macro"),IF(AND(ISNUMBER($H98),N($H98)&gt;0),$H98,SUMIFS($H$5:$H$1000,$S$5:$S$1000,$S98,$V$5:$V$1000,"Macro")/COUNTIFS($S$5:$S$1000,$S98,$V$5:$V$1000,"Macro",$H$5:$H$1000,"&gt;0"))/(COUNTIFS($S$5:$S$1000,$S98,$V$5:$V$1000,"Macro")*SUMIFS($H$5:$H$1000,$S$5:$S$1000,$S98,$V$5:$V$1000,"Macro")/COUNTIFS($S$5:$S$1000,$S98,$V$5:$V$1000,"Macro",$H$5:$H$1000,"&gt;0"))))</f>
        <v/>
      </c>
      <c r="AM98" s="62" t="n"/>
      <c r="AN98" s="62" t="n"/>
      <c r="AO98" s="62" t="n"/>
      <c r="AP98" s="62" t="n"/>
      <c r="AQ98" s="62">
        <f>IF(LEFT($C98,11)="[Jefatura] ",IFERROR(MATCH("Asistente Técnico de Riesgo|"&amp;MID($C98,12,500),rDname_ADM,0),0),"")</f>
        <v/>
      </c>
      <c r="AR98" s="62">
        <f>IF(N($AQ98)&gt;0,INDEX(rIni_ADM,$AQ98),IF(ISNUMBER($E98),$E98,""))</f>
        <v/>
      </c>
      <c r="AS98" s="62">
        <f>IF(N($AQ98)&gt;0,INDEX(rLim_ADM,$AQ98),IF(ISNUMBER($F98),$F98,""))</f>
        <v/>
      </c>
    </row>
    <row r="99">
      <c r="A99" s="56">
        <f>IF(NOT((COUNTA($B99:$D99)+COUNTA($G99:$H99)+COUNTA($Q99))&gt;0),"",IF($V99="Macro",COUNTIFS($V$5:$V99,"Macro",$S$5:$S99,$S99),IF(N($U99)=0,"?",COUNTIFS(INDEX($V$5:$V$1000,1):INDEX($V$5:$V$1000,$U99-4),"Macro",INDEX($S$5:$S$1000,1):INDEX($S$5:$S$1000,$U99-4),INDEX($S$5:$S$1000,$U99-4))&amp;"."&amp;COUNTIFS($U$5:$U99,$U99,$V$5:$V99,"Sub"))))</f>
        <v/>
      </c>
      <c r="B99" s="57" t="n"/>
      <c r="C99" s="58" t="n"/>
      <c r="D99" s="58" t="n"/>
      <c r="E99" s="59">
        <f>IF(N($AQ99)&gt;0,INDEX(rIni_ADM,$AQ99),"")</f>
        <v/>
      </c>
      <c r="F99" s="59">
        <f>IF(N($AQ99)&gt;0,INDEX(rLim_ADM,$AQ99),"")</f>
        <v/>
      </c>
      <c r="G99" s="59" t="n"/>
      <c r="H99" s="60" t="n"/>
      <c r="I99" s="60">
        <f>IF(N($W99)=0,"",IF(AND($S99=MesCiclo,1&gt;SemanaActual),"",MIN(1,SUMIFS(OFFSET($A$1,ROW(),29,1000-ROW(),1),OFFSET($A$1,ROW(),20,1000-ROW(),1),ROW(),OFFSET($A$1,ROW(),21,1000-ROW(),1),"Sub"))))</f>
        <v/>
      </c>
      <c r="J99" s="60">
        <f>IF(N($W99)=0,"",IF(AND($S99=MesCiclo,2&gt;SemanaActual),"",MIN(1,SUMIFS(OFFSET($A$1,ROW(),30,1000-ROW(),1),OFFSET($A$1,ROW(),20,1000-ROW(),1),ROW(),OFFSET($A$1,ROW(),21,1000-ROW(),1),"Sub"))))</f>
        <v/>
      </c>
      <c r="K99" s="60">
        <f>IF(N($W99)=0,"",IF(AND($S99=MesCiclo,3&gt;SemanaActual),"",MIN(1,SUMIFS(OFFSET($A$1,ROW(),31,1000-ROW(),1),OFFSET($A$1,ROW(),20,1000-ROW(),1),ROW(),OFFSET($A$1,ROW(),21,1000-ROW(),1),"Sub"))))</f>
        <v/>
      </c>
      <c r="L99" s="60">
        <f>IF(N($W99)=0,"",IF(AND($S99=MesCiclo,4&gt;SemanaActual),"",MIN(1,SUMIFS(OFFSET($A$1,ROW(),32,1000-ROW(),1),OFFSET($A$1,ROW(),20,1000-ROW(),1),ROW(),OFFSET($A$1,ROW(),21,1000-ROW(),1),"Sub"))))</f>
        <v/>
      </c>
      <c r="M99" s="61">
        <f>IF(OR(NOT((COUNTA($B99:$D99)+COUNTA($G99:$H99)+COUNTA($Q99))&gt;0),$V99="Sub"),"",IF(ISNUMBER($G99),1,IF(N($W99)&gt;0,MIN(1,SUMIFS($Y$5:$Y$1000,$U$5:$U$1000,ROW(),$V$5:$V$1000,"Sub")),$Y99)))</f>
        <v/>
      </c>
      <c r="N99" s="56">
        <f>IF(OR($M99="",$V99="Sub"),"",IF($M99&gt;=1,"Completado",IF($M99&gt;0,"En curso","Pendiente")))</f>
        <v/>
      </c>
      <c r="O99" s="56">
        <f>IF(OR(NOT((COUNTA($B99:$D99)+COUNTA($G99:$H99)+COUNTA($Q99))&gt;0),$V99="Sub"),"",IF(ISNUMBER($G99),IF(AND(ISNUMBER($AS99),$G99&gt;$AS99),"Cumplida con "&amp;($G99-$AS99)&amp;IF($G99-$AS99=1," día"," días")&amp;" de retraso","Cumplida"),IF(N($M99)&gt;=1,"Cumplida",IF(NOT(ISNUMBER($AS99)),"Sin fecha límite",IF($AS99&lt;FechaRef,"Vencida hace "&amp;(FechaRef-$AS99)&amp;IF(FechaRef-$AS99=1," día"," días"),IF($AS99=FechaRef,"Vence hoy",IF($AS99-FechaRef&lt;=DiasAlerta,"Vence en "&amp;($AS99-FechaRef)&amp;IF($AS99-FechaRef=1," día"," días"),"En plazo")))))))</f>
        <v/>
      </c>
      <c r="P99" s="62" t="n"/>
      <c r="Q99" s="58" t="n"/>
      <c r="R99" s="63">
        <f>IF(NOT((COUNTA($B99:$D99)+COUNTA($G99:$H99)+COUNTA($Q99))&gt;0),"",IF((IF($C99="","Falta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 OK","⚠ "&amp;LEFT(IF($C99="","Falta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",""),LEN(IF($C99="","Falta el nombre de la actividad"&amp;" · ","")&amp;IF(AND($V99="Sub",N($U99)=0),"Subactividad sin macroactividad arriba"&amp;" · ","")&amp;IF(AND($V99="Macro",$AR99=""),"Sin fecha de inicio"&amp;" · ","")&amp;IF(AND($V99="Macro",$AS99=""),"Sin fecha límite"&amp;" · ","")&amp;IF(AND(LEFT($C99,11)="[Jefatura] ",N($AQ99)=0),"No se encuentra en la hoja de la jefatura (elíjala de nuevo en la lista)"&amp;" · ","")&amp;IF(OR(AND($E99&lt;&gt;"",NOT(ISNUMBER($E99))),AND($F99&lt;&gt;"",NOT(ISNUMBER($F99))),AND($G99&lt;&gt;"",NOT(ISNUMBER($G99)))),"Fecha no válida"&amp;" · ","")&amp;IF(AND(ISNUMBER($AR99),ISNUMBER($AS99),$AR99&gt;$AS99),"Inicio posterior a fecha límite"&amp;" · ","")&amp;IF(AND($V99="Macro",$H99&lt;&gt;"",OR(NOT(ISNUMBER($H99)),$H99&lt;0,$H99&gt;1)),"Peso fuera de rango"&amp;" · ","")&amp;IF(AND($V99="Sub",$H99&lt;&gt;"",OR(NOT(ISNUMBER($H99)),$H99&lt;0,$H99&gt;1)),"% de la subactividad fuera de rango 0-100%"&amp;" · ","")&amp;IF(AND(N($W99)&gt;0,SUMIFS($H$5:$H$1000,$U$5:$U$1000,ROW(),$V$5:$V$1000,"Sub")&gt;1.0001),"Las subactividades suman más de 100%"&amp;" · ","")&amp;IF(AND(N($W99)&gt;0,OR(IF(ISNUMBER($I99),ROUND($I99,6)&lt;&gt;ROUND(MIN(1,SUMIFS($AD$5:$AD$1000,$U$5:$U$1000,ROW(),$V$5:$V$1000,"Sub")),6),FALSE),IF(ISNUMBER($J99),ROUND($J99,6)&lt;&gt;ROUND(MIN(1,SUMIFS($AE$5:$AE$1000,$U$5:$U$1000,ROW(),$V$5:$V$1000,"Sub")),6),FALSE),IF(ISNUMBER($K99),ROUND($K99,6)&lt;&gt;ROUND(MIN(1,SUMIFS($AF$5:$AF$1000,$U$5:$U$1000,ROW(),$V$5:$V$1000,"Sub")),6),FALSE),IF(ISNUMBER($L99),ROUND($L99,6)&lt;&gt;ROUND(MIN(1,SUMIFS($AG$5:$AG$1000,$U$5:$U$1000,ROW(),$V$5:$V$1000,"Sub")),6),FALSE))),"Con subactividades: no escriba en las semanas (se llenan solas)"&amp;" · ","")&amp;IF((COUNTIF($I99:$L99,"&gt;1")+COUNTIF($I99:$L99,"&lt;0")+SUMPRODUCT((LEN($I99:$L99)&gt;0)*NOT(ISNUMBER($I99:$L99))))&gt;0,"Avance fuera de rango 0-100%"&amp;" · ","")&amp;IF(OR(AND(ISNUMBER($J99),$J99&lt;N($I99)),AND(ISNUMBER($K99),$K99&lt;MAX($I99:$J99)),AND(ISNUMBER($L99),$L99&lt;MAX($I99:$K99))),"Avance semanal decreciente"&amp;" · ","")&amp;IF(AND(ISNUMBER($AS99),$AS99&lt;FechaRef,IF($V99="Sub",1,N($M99))&lt;1),"Vencida"&amp;" · ","")&amp;IF(AND(ObsObligatoria="Sí",ISNUMBER($AS99),$AS99&lt;FechaRef,IF($V99="Sub",1,N($M99))&lt;1,$Q99=""),"Vencida sin observación"&amp;" · ",""))-3)))</f>
        <v/>
      </c>
      <c r="S99" s="64">
        <f>IF(NOT((COUNTA($B99:$D99)+COUNTA($G99:$H99)+COUNTA($Q99))&gt;0),"",IF(AND($V99="Sub",N($U99)&gt;0),IF(ISNUMBER(INDEX($AR$5:$AR$1000,$U99-4)),DATE(YEAR(INDEX($AR$5:$AR$1000,$U99-4)),MONTH(INDEX($AR$5:$AR$1000,$U99-4)),1),IF(ISNUMBER(INDEX($AS$5:$AS$1000,$U99-4)),DATE(YEAR(INDEX($AS$5:$AS$1000,$U99-4)),MONTH(INDEX($AS$5:$AS$1000,$U99-4)),1),MesCiclo)),IF(ISNUMBER($AR99),DATE(YEAR($AR99),MONTH($AR99),1),IF(ISNUMBER($AS99),DATE(YEAR($AS99),MONTH($AS99),1),MesCiclo))))</f>
        <v/>
      </c>
      <c r="T99" s="62">
        <f>IF(OR($S99="",$S99&lt;&gt;MesCiclo,$V99&lt;&gt;"Macro"),"",COUNTIFS($S$5:$S99,MesCiclo,$V$5:$V99,"Macro"))</f>
        <v/>
      </c>
      <c r="U99" s="62">
        <f>IF($V99="","",IF($V99="Macro",ROW(),IFERROR(LOOKUP(2,1/($V$5:$V99="Macro"),ROW($V$5:$V99)),0)))</f>
        <v/>
      </c>
      <c r="V99" s="62">
        <f>IF(NOT((COUNTA($B99:$D99)+COUNTA($G99:$H99)+COUNTA($Q99))&gt;0),"",IF($B99="Subactividad","Sub","Macro"))</f>
        <v/>
      </c>
      <c r="W99" s="62">
        <f>IF($V99="Macro",COUNTIFS($U$5:$U$1000,ROW(),$V$5:$V$1000,"Sub"),"")</f>
        <v/>
      </c>
      <c r="X99" s="62">
        <f>IF($V99&lt;&gt;"Sub","",IF(AND(ISNUMBER($H99),N($H99)&gt;0),$H99,IFERROR(MAX(0,1-SUMIFS($H$5:$H$1000,$U$5:$U$1000,$U99,$V$5:$V$1000,"Sub"))/(COUNTIFS($U$5:$U$1000,$U99,$V$5:$V$1000,"Sub")-COUNTIFS($U$5:$U$1000,$U99,$V$5:$V$1000,"Sub",$H$5:$H$1000,"&gt;0")),0)))</f>
        <v/>
      </c>
      <c r="Y99" s="62">
        <f>IF($V99="","",IF($V99="Sub",N($X99)*IF(ISNUMBER($G99),1,MIN(1,MAX(0,IFERROR(LOOKUP(2,1/ISNUMBER($I99:$L99),$I99:$L99),0)))),IF(ISNUMBER($G99),1,IFERROR(LOOKUP(2,1/($I99:$L99&lt;&gt;""),$I99:$L99),0))))</f>
        <v/>
      </c>
      <c r="Z99" s="62">
        <f>IF($V99="","",IF(AND(ISNUMBER($G99),$G99&lt;=IF($S99=MesCiclo,InicioCiclo,$S99+MOD(2-WEEKDAY($S99),7))+6),1,IF(ISNUMBER($I99),$I99,0)))</f>
        <v/>
      </c>
      <c r="AA99" s="62">
        <f>IF($V99="","",IF(AND(ISNUMBER($G99),$G99&lt;=IF($S99=MesCiclo,InicioCiclo,$S99+MOD(2-WEEKDAY($S99),7))+13),1,IF(ISNUMBER($J99),$J99,$Z99)))</f>
        <v/>
      </c>
      <c r="AB99" s="62">
        <f>IF($V99="","",IF(AND(ISNUMBER($G99),$G99&lt;=IF($S99=MesCiclo,InicioCiclo,$S99+MOD(2-WEEKDAY($S99),7))+20),1,IF(ISNUMBER($K99),$K99,$AA99)))</f>
        <v/>
      </c>
      <c r="AC99" s="62">
        <f>IF($V99="","",IF(AND(ISNUMBER($G99),$G99&lt;=IF($S99=MesCiclo,InicioCiclo,$S99+MOD(2-WEEKDAY($S99),7))+27),1,IF(ISNUMBER($L99),$L99,$AB99)))</f>
        <v/>
      </c>
      <c r="AD99" s="62">
        <f>IF($V99&lt;&gt;"Sub","",N($X99)*IF(AND(ISNUMBER($G99),$G99&lt;=IF($S99=MesCiclo,InicioCiclo,$S99+MOD(2-WEEKDAY($S99),7))+6),1,MIN(1,MAX(0,IF(ISNUMBER(OFFSET($A$1,ROW()-1,8)),OFFSET($A$1,ROW()-1,8),0)))))</f>
        <v/>
      </c>
      <c r="AE99" s="62">
        <f>IF($V99&lt;&gt;"Sub","",N($X99)*IF(AND(ISNUMBER($G99),$G99&lt;=IF($S99=MesCiclo,InicioCiclo,$S99+MOD(2-WEEKDAY($S99),7))+13),1,MIN(1,MAX(0,IF(ISNUMBER(OFFSET($A$1,ROW()-1,9)),OFFSET($A$1,ROW()-1,9),IF(ISNUMBER(OFFSET($A$1,ROW()-1,8)),OFFSET($A$1,ROW()-1,8),0))))))</f>
        <v/>
      </c>
      <c r="AF99" s="62">
        <f>IF($V99&lt;&gt;"Sub","",N($X99)*IF(AND(ISNUMBER($G99),$G99&lt;=IF($S99=MesCiclo,InicioCiclo,$S99+MOD(2-WEEKDAY($S99),7))+20),1,MIN(1,MAX(0,IF(ISNUMBER(OFFSET($A$1,ROW()-1,10)),OFFSET($A$1,ROW()-1,10),IF(ISNUMBER(OFFSET($A$1,ROW()-1,9)),OFFSET($A$1,ROW()-1,9),IF(ISNUMBER(OFFSET($A$1,ROW()-1,8)),OFFSET($A$1,ROW()-1,8),0)))))))</f>
        <v/>
      </c>
      <c r="AG99" s="62">
        <f>IF($V99&lt;&gt;"Sub","",N($X99)*IF(AND(ISNUMBER($G99),$G99&lt;=IF($S99=MesCiclo,InicioCiclo,$S99+MOD(2-WEEKDAY($S99),7))+27),1,MIN(1,MAX(0,IF(ISNUMBER(OFFSET($A$1,ROW()-1,11)),OFFSET($A$1,ROW()-1,11),IF(ISNUMBER(OFFSET($A$1,ROW()-1,10)),OFFSET($A$1,ROW()-1,10),IF(ISNUMBER(OFFSET($A$1,ROW()-1,9)),OFFSET($A$1,ROW()-1,9),IF(ISNUMBER(OFFSET($A$1,ROW()-1,8)),OFFSET($A$1,ROW()-1,8),0))))))))</f>
        <v/>
      </c>
      <c r="AH99" s="62">
        <f>IF($V99="","",IF(AND(ISNUMBER($G99),$G99&lt;=IF($S99=MesCiclo,InicioCiclo,$S99+MOD(2-WEEKDAY($S99),7))+6),1,IF(N($W99)&gt;0,MIN(1,SUMIFS($AD$5:$AD$1000,$U$5:$U$1000,ROW(),$V$5:$V$1000,"Sub")),$Z99)))</f>
        <v/>
      </c>
      <c r="AI99" s="62">
        <f>IF($V99="","",IF(AND(ISNUMBER($G99),$G99&lt;=IF($S99=MesCiclo,InicioCiclo,$S99+MOD(2-WEEKDAY($S99),7))+13),1,IF(N($W99)&gt;0,MIN(1,SUMIFS($AE$5:$AE$1000,$U$5:$U$1000,ROW(),$V$5:$V$1000,"Sub")),$AA99)))</f>
        <v/>
      </c>
      <c r="AJ99" s="62">
        <f>IF($V99="","",IF(AND(ISNUMBER($G99),$G99&lt;=IF($S99=MesCiclo,InicioCiclo,$S99+MOD(2-WEEKDAY($S99),7))+20),1,IF(N($W99)&gt;0,MIN(1,SUMIFS($AF$5:$AF$1000,$U$5:$U$1000,ROW(),$V$5:$V$1000,"Sub")),$AB99)))</f>
        <v/>
      </c>
      <c r="AK99" s="62">
        <f>IF($V99="","",IF(AND(ISNUMBER($G99),$G99&lt;=IF($S99=MesCiclo,InicioCiclo,$S99+MOD(2-WEEKDAY($S99),7))+27),1,IF(N($W99)&gt;0,MIN(1,SUMIFS($AG$5:$AG$1000,$U$5:$U$1000,ROW(),$V$5:$V$1000,"Sub")),$AC99)))</f>
        <v/>
      </c>
      <c r="AL99" s="62">
        <f>IF($V99&lt;&gt;"Macro","",IF(COUNTIFS($S$5:$S$1000,$S99,$V$5:$V$1000,"Macro",$H$5:$H$1000,"&gt;0")=0,1/COUNTIFS($S$5:$S$1000,$S99,$V$5:$V$1000,"Macro"),IF(AND(ISNUMBER($H99),N($H99)&gt;0),$H99,SUMIFS($H$5:$H$1000,$S$5:$S$1000,$S99,$V$5:$V$1000,"Macro")/COUNTIFS($S$5:$S$1000,$S99,$V$5:$V$1000,"Macro",$H$5:$H$1000,"&gt;0"))/(COUNTIFS($S$5:$S$1000,$S99,$V$5:$V$1000,"Macro")*SUMIFS($H$5:$H$1000,$S$5:$S$1000,$S99,$V$5:$V$1000,"Macro")/COUNTIFS($S$5:$S$1000,$S99,$V$5:$V$1000,"Macro",$H$5:$H$1000,"&gt;0"))))</f>
        <v/>
      </c>
      <c r="AM99" s="62" t="n"/>
      <c r="AN99" s="62" t="n"/>
      <c r="AO99" s="62" t="n"/>
      <c r="AP99" s="62" t="n"/>
      <c r="AQ99" s="62">
        <f>IF(LEFT($C99,11)="[Jefatura] ",IFERROR(MATCH("Asistente Técnico de Riesgo|"&amp;MID($C99,12,500),rDname_ADM,0),0),"")</f>
        <v/>
      </c>
      <c r="AR99" s="62">
        <f>IF(N($AQ99)&gt;0,INDEX(rIni_ADM,$AQ99),IF(ISNUMBER($E99),$E99,""))</f>
        <v/>
      </c>
      <c r="AS99" s="62">
        <f>IF(N($AQ99)&gt;0,INDEX(rLim_ADM,$AQ99),IF(ISNUMBER($F99),$F99,""))</f>
        <v/>
      </c>
    </row>
    <row r="100">
      <c r="A100" s="56">
        <f>IF(NOT((COUNTA($B100:$D100)+COUNTA($G100:$H100)+COUNTA($Q100))&gt;0),"",IF($V100="Macro",COUNTIFS($V$5:$V100,"Macro",$S$5:$S100,$S100),IF(N($U100)=0,"?",COUNTIFS(INDEX($V$5:$V$1000,1):INDEX($V$5:$V$1000,$U100-4),"Macro",INDEX($S$5:$S$1000,1):INDEX($S$5:$S$1000,$U100-4),INDEX($S$5:$S$1000,$U100-4))&amp;"."&amp;COUNTIFS($U$5:$U100,$U100,$V$5:$V100,"Sub"))))</f>
        <v/>
      </c>
      <c r="B100" s="57" t="n"/>
      <c r="C100" s="58" t="n"/>
      <c r="D100" s="58" t="n"/>
      <c r="E100" s="59">
        <f>IF(N($AQ100)&gt;0,INDEX(rIni_ADM,$AQ100),"")</f>
        <v/>
      </c>
      <c r="F100" s="59">
        <f>IF(N($AQ100)&gt;0,INDEX(rLim_ADM,$AQ100),"")</f>
        <v/>
      </c>
      <c r="G100" s="59" t="n"/>
      <c r="H100" s="60" t="n"/>
      <c r="I100" s="60">
        <f>IF(N($W100)=0,"",IF(AND($S100=MesCiclo,1&gt;SemanaActual),"",MIN(1,SUMIFS(OFFSET($A$1,ROW(),29,1000-ROW(),1),OFFSET($A$1,ROW(),20,1000-ROW(),1),ROW(),OFFSET($A$1,ROW(),21,1000-ROW(),1),"Sub"))))</f>
        <v/>
      </c>
      <c r="J100" s="60">
        <f>IF(N($W100)=0,"",IF(AND($S100=MesCiclo,2&gt;SemanaActual),"",MIN(1,SUMIFS(OFFSET($A$1,ROW(),30,1000-ROW(),1),OFFSET($A$1,ROW(),20,1000-ROW(),1),ROW(),OFFSET($A$1,ROW(),21,1000-ROW(),1),"Sub"))))</f>
        <v/>
      </c>
      <c r="K100" s="60">
        <f>IF(N($W100)=0,"",IF(AND($S100=MesCiclo,3&gt;SemanaActual),"",MIN(1,SUMIFS(OFFSET($A$1,ROW(),31,1000-ROW(),1),OFFSET($A$1,ROW(),20,1000-ROW(),1),ROW(),OFFSET($A$1,ROW(),21,1000-ROW(),1),"Sub"))))</f>
        <v/>
      </c>
      <c r="L100" s="60">
        <f>IF(N($W100)=0,"",IF(AND($S100=MesCiclo,4&gt;SemanaActual),"",MIN(1,SUMIFS(OFFSET($A$1,ROW(),32,1000-ROW(),1),OFFSET($A$1,ROW(),20,1000-ROW(),1),ROW(),OFFSET($A$1,ROW(),21,1000-ROW(),1),"Sub"))))</f>
        <v/>
      </c>
      <c r="M100" s="61">
        <f>IF(OR(NOT((COUNTA($B100:$D100)+COUNTA($G100:$H100)+COUNTA($Q100))&gt;0),$V100="Sub"),"",IF(ISNUMBER($G100),1,IF(N($W100)&gt;0,MIN(1,SUMIFS($Y$5:$Y$1000,$U$5:$U$1000,ROW(),$V$5:$V$1000,"Sub")),$Y100)))</f>
        <v/>
      </c>
      <c r="N100" s="56">
        <f>IF(OR($M100="",$V100="Sub"),"",IF($M100&gt;=1,"Completado",IF($M100&gt;0,"En curso","Pendiente")))</f>
        <v/>
      </c>
      <c r="O100" s="56">
        <f>IF(OR(NOT((COUNTA($B100:$D100)+COUNTA($G100:$H100)+COUNTA($Q100))&gt;0),$V100="Sub"),"",IF(ISNUMBER($G100),IF(AND(ISNUMBER($AS100),$G100&gt;$AS100),"Cumplida con "&amp;($G100-$AS100)&amp;IF($G100-$AS100=1," día"," días")&amp;" de retraso","Cumplida"),IF(N($M100)&gt;=1,"Cumplida",IF(NOT(ISNUMBER($AS100)),"Sin fecha límite",IF($AS100&lt;FechaRef,"Vencida hace "&amp;(FechaRef-$AS100)&amp;IF(FechaRef-$AS100=1," día"," días"),IF($AS100=FechaRef,"Vence hoy",IF($AS100-FechaRef&lt;=DiasAlerta,"Vence en "&amp;($AS100-FechaRef)&amp;IF($AS100-FechaRef=1," día"," días"),"En plazo")))))))</f>
        <v/>
      </c>
      <c r="P100" s="62" t="n"/>
      <c r="Q100" s="58" t="n"/>
      <c r="R100" s="63">
        <f>IF(NOT((COUNTA($B100:$D100)+COUNTA($G100:$H100)+COUNTA($Q100))&gt;0),"",IF((IF($C100="","Falta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 OK","⚠ "&amp;LEFT(IF($C100="","Falta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",""),LEN(IF($C100="","Falta el nombre de la actividad"&amp;" · ","")&amp;IF(AND($V100="Sub",N($U100)=0),"Subactividad sin macroactividad arriba"&amp;" · ","")&amp;IF(AND($V100="Macro",$AR100=""),"Sin fecha de inicio"&amp;" · ","")&amp;IF(AND($V100="Macro",$AS100=""),"Sin fecha límite"&amp;" · ","")&amp;IF(AND(LEFT($C100,11)="[Jefatura] ",N($AQ100)=0),"No se encuentra en la hoja de la jefatura (elíjala de nuevo en la lista)"&amp;" · ","")&amp;IF(OR(AND($E100&lt;&gt;"",NOT(ISNUMBER($E100))),AND($F100&lt;&gt;"",NOT(ISNUMBER($F100))),AND($G100&lt;&gt;"",NOT(ISNUMBER($G100)))),"Fecha no válida"&amp;" · ","")&amp;IF(AND(ISNUMBER($AR100),ISNUMBER($AS100),$AR100&gt;$AS100),"Inicio posterior a fecha límite"&amp;" · ","")&amp;IF(AND($V100="Macro",$H100&lt;&gt;"",OR(NOT(ISNUMBER($H100)),$H100&lt;0,$H100&gt;1)),"Peso fuera de rango"&amp;" · ","")&amp;IF(AND($V100="Sub",$H100&lt;&gt;"",OR(NOT(ISNUMBER($H100)),$H100&lt;0,$H100&gt;1)),"% de la subactividad fuera de rango 0-100%"&amp;" · ","")&amp;IF(AND(N($W100)&gt;0,SUMIFS($H$5:$H$1000,$U$5:$U$1000,ROW(),$V$5:$V$1000,"Sub")&gt;1.0001),"Las subactividades suman más de 100%"&amp;" · ","")&amp;IF(AND(N($W100)&gt;0,OR(IF(ISNUMBER($I100),ROUND($I100,6)&lt;&gt;ROUND(MIN(1,SUMIFS($AD$5:$AD$1000,$U$5:$U$1000,ROW(),$V$5:$V$1000,"Sub")),6),FALSE),IF(ISNUMBER($J100),ROUND($J100,6)&lt;&gt;ROUND(MIN(1,SUMIFS($AE$5:$AE$1000,$U$5:$U$1000,ROW(),$V$5:$V$1000,"Sub")),6),FALSE),IF(ISNUMBER($K100),ROUND($K100,6)&lt;&gt;ROUND(MIN(1,SUMIFS($AF$5:$AF$1000,$U$5:$U$1000,ROW(),$V$5:$V$1000,"Sub")),6),FALSE),IF(ISNUMBER($L100),ROUND($L100,6)&lt;&gt;ROUND(MIN(1,SUMIFS($AG$5:$AG$1000,$U$5:$U$1000,ROW(),$V$5:$V$1000,"Sub")),6),FALSE))),"Con subactividades: no escriba en las semanas (se llenan solas)"&amp;" · ","")&amp;IF((COUNTIF($I100:$L100,"&gt;1")+COUNTIF($I100:$L100,"&lt;0")+SUMPRODUCT((LEN($I100:$L100)&gt;0)*NOT(ISNUMBER($I100:$L100))))&gt;0,"Avance fuera de rango 0-100%"&amp;" · ","")&amp;IF(OR(AND(ISNUMBER($J100),$J100&lt;N($I100)),AND(ISNUMBER($K100),$K100&lt;MAX($I100:$J100)),AND(ISNUMBER($L100),$L100&lt;MAX($I100:$K100))),"Avance semanal decreciente"&amp;" · ","")&amp;IF(AND(ISNUMBER($AS100),$AS100&lt;FechaRef,IF($V100="Sub",1,N($M100))&lt;1),"Vencida"&amp;" · ","")&amp;IF(AND(ObsObligatoria="Sí",ISNUMBER($AS100),$AS100&lt;FechaRef,IF($V100="Sub",1,N($M100))&lt;1,$Q100=""),"Vencida sin observación"&amp;" · ",""))-3)))</f>
        <v/>
      </c>
      <c r="S100" s="64">
        <f>IF(NOT((COUNTA($B100:$D100)+COUNTA($G100:$H100)+COUNTA($Q100))&gt;0),"",IF(AND($V100="Sub",N($U100)&gt;0),IF(ISNUMBER(INDEX($AR$5:$AR$1000,$U100-4)),DATE(YEAR(INDEX($AR$5:$AR$1000,$U100-4)),MONTH(INDEX($AR$5:$AR$1000,$U100-4)),1),IF(ISNUMBER(INDEX($AS$5:$AS$1000,$U100-4)),DATE(YEAR(INDEX($AS$5:$AS$1000,$U100-4)),MONTH(INDEX($AS$5:$AS$1000,$U100-4)),1),MesCiclo)),IF(ISNUMBER($AR100),DATE(YEAR($AR100),MONTH($AR100),1),IF(ISNUMBER($AS100),DATE(YEAR($AS100),MONTH($AS100),1),MesCiclo))))</f>
        <v/>
      </c>
      <c r="T100" s="62">
        <f>IF(OR($S100="",$S100&lt;&gt;MesCiclo,$V100&lt;&gt;"Macro"),"",COUNTIFS($S$5:$S100,MesCiclo,$V$5:$V100,"Macro"))</f>
        <v/>
      </c>
      <c r="U100" s="62">
        <f>IF($V100="","",IF($V100="Macro",ROW(),IFERROR(LOOKUP(2,1/($V$5:$V100="Macro"),ROW($V$5:$V100)),0)))</f>
        <v/>
      </c>
      <c r="V100" s="62">
        <f>IF(NOT((COUNTA($B100:$D100)+COUNTA($G100:$H100)+COUNTA($Q100))&gt;0),"",IF($B100="Subactividad","Sub","Macro"))</f>
        <v/>
      </c>
      <c r="W100" s="62">
        <f>IF($V100="Macro",COUNTIFS($U$5:$U$1000,ROW(),$V$5:$V$1000,"Sub"),"")</f>
        <v/>
      </c>
      <c r="X100" s="62">
        <f>IF($V100&lt;&gt;"Sub","",IF(AND(ISNUMBER($H100),N($H100)&gt;0),$H100,IFERROR(MAX(0,1-SUMIFS($H$5:$H$1000,$U$5:$U$1000,$U100,$V$5:$V$1000,"Sub"))/(COUNTIFS($U$5:$U$1000,$U100,$V$5:$V$1000,"Sub")-COUNTIFS($U$5:$U$1000,$U100,$V$5:$V$1000,"Sub",$H$5:$H$1000,"&gt;0")),0)))</f>
        <v/>
      </c>
      <c r="Y100" s="62">
        <f>IF($V100="","",IF($V100="Sub",N($X100)*IF(ISNUMBER($G100),1,MIN(1,MAX(0,IFERROR(LOOKUP(2,1/ISNUMBER($I100:$L100),$I100:$L100),0)))),IF(ISNUMBER($G100),1,IFERROR(LOOKUP(2,1/($I100:$L100&lt;&gt;""),$I100:$L100),0))))</f>
        <v/>
      </c>
      <c r="Z100" s="62">
        <f>IF($V100="","",IF(AND(ISNUMBER($G100),$G100&lt;=IF($S100=MesCiclo,InicioCiclo,$S100+MOD(2-WEEKDAY($S100),7))+6),1,IF(ISNUMBER($I100),$I100,0)))</f>
        <v/>
      </c>
      <c r="AA100" s="62">
        <f>IF($V100="","",IF(AND(ISNUMBER($G100),$G100&lt;=IF($S100=MesCiclo,InicioCiclo,$S100+MOD(2-WEEKDAY($S100),7))+13),1,IF(ISNUMBER($J100),$J100,$Z100)))</f>
        <v/>
      </c>
      <c r="AB100" s="62">
        <f>IF($V100="","",IF(AND(ISNUMBER($G100),$G100&lt;=IF($S100=MesCiclo,InicioCiclo,$S100+MOD(2-WEEKDAY($S100),7))+20),1,IF(ISNUMBER($K100),$K100,$AA100)))</f>
        <v/>
      </c>
      <c r="AC100" s="62">
        <f>IF($V100="","",IF(AND(ISNUMBER($G100),$G100&lt;=IF($S100=MesCiclo,InicioCiclo,$S100+MOD(2-WEEKDAY($S100),7))+27),1,IF(ISNUMBER($L100),$L100,$AB100)))</f>
        <v/>
      </c>
      <c r="AD100" s="62">
        <f>IF($V100&lt;&gt;"Sub","",N($X100)*IF(AND(ISNUMBER($G100),$G100&lt;=IF($S100=MesCiclo,InicioCiclo,$S100+MOD(2-WEEKDAY($S100),7))+6),1,MIN(1,MAX(0,IF(ISNUMBER(OFFSET($A$1,ROW()-1,8)),OFFSET($A$1,ROW()-1,8),0)))))</f>
        <v/>
      </c>
      <c r="AE100" s="62">
        <f>IF($V100&lt;&gt;"Sub","",N($X100)*IF(AND(ISNUMBER($G100),$G100&lt;=IF($S100=MesCiclo,InicioCiclo,$S100+MOD(2-WEEKDAY($S100),7))+13),1,MIN(1,MAX(0,IF(ISNUMBER(OFFSET($A$1,ROW()-1,9)),OFFSET($A$1,ROW()-1,9),IF(ISNUMBER(OFFSET($A$1,ROW()-1,8)),OFFSET($A$1,ROW()-1,8),0))))))</f>
        <v/>
      </c>
      <c r="AF100" s="62">
        <f>IF($V100&lt;&gt;"Sub","",N($X100)*IF(AND(ISNUMBER($G100),$G100&lt;=IF($S100=MesCiclo,InicioCiclo,$S100+MOD(2-WEEKDAY($S100),7))+20),1,MIN(1,MAX(0,IF(ISNUMBER(OFFSET($A$1,ROW()-1,10)),OFFSET($A$1,ROW()-1,10),IF(ISNUMBER(OFFSET($A$1,ROW()-1,9)),OFFSET($A$1,ROW()-1,9),IF(ISNUMBER(OFFSET($A$1,ROW()-1,8)),OFFSET($A$1,ROW()-1,8),0)))))))</f>
        <v/>
      </c>
      <c r="AG100" s="62">
        <f>IF($V100&lt;&gt;"Sub","",N($X100)*IF(AND(ISNUMBER($G100),$G100&lt;=IF($S100=MesCiclo,InicioCiclo,$S100+MOD(2-WEEKDAY($S100),7))+27),1,MIN(1,MAX(0,IF(ISNUMBER(OFFSET($A$1,ROW()-1,11)),OFFSET($A$1,ROW()-1,11),IF(ISNUMBER(OFFSET($A$1,ROW()-1,10)),OFFSET($A$1,ROW()-1,10),IF(ISNUMBER(OFFSET($A$1,ROW()-1,9)),OFFSET($A$1,ROW()-1,9),IF(ISNUMBER(OFFSET($A$1,ROW()-1,8)),OFFSET($A$1,ROW()-1,8),0))))))))</f>
        <v/>
      </c>
      <c r="AH100" s="62">
        <f>IF($V100="","",IF(AND(ISNUMBER($G100),$G100&lt;=IF($S100=MesCiclo,InicioCiclo,$S100+MOD(2-WEEKDAY($S100),7))+6),1,IF(N($W100)&gt;0,MIN(1,SUMIFS($AD$5:$AD$1000,$U$5:$U$1000,ROW(),$V$5:$V$1000,"Sub")),$Z100)))</f>
        <v/>
      </c>
      <c r="AI100" s="62">
        <f>IF($V100="","",IF(AND(ISNUMBER($G100),$G100&lt;=IF($S100=MesCiclo,InicioCiclo,$S100+MOD(2-WEEKDAY($S100),7))+13),1,IF(N($W100)&gt;0,MIN(1,SUMIFS($AE$5:$AE$1000,$U$5:$U$1000,ROW(),$V$5:$V$1000,"Sub")),$AA100)))</f>
        <v/>
      </c>
      <c r="AJ100" s="62">
        <f>IF($V100="","",IF(AND(ISNUMBER($G100),$G100&lt;=IF($S100=MesCiclo,InicioCiclo,$S100+MOD(2-WEEKDAY($S100),7))+20),1,IF(N($W100)&gt;0,MIN(1,SUMIFS($AF$5:$AF$1000,$U$5:$U$1000,ROW(),$V$5:$V$1000,"Sub")),$AB100)))</f>
        <v/>
      </c>
      <c r="AK100" s="62">
        <f>IF($V100="","",IF(AND(ISNUMBER($G100),$G100&lt;=IF($S100=MesCiclo,InicioCiclo,$S100+MOD(2-WEEKDAY($S100),7))+27),1,IF(N($W100)&gt;0,MIN(1,SUMIFS($AG$5:$AG$1000,$U$5:$U$1000,ROW(),$V$5:$V$1000,"Sub")),$AC100)))</f>
        <v/>
      </c>
      <c r="AL100" s="62">
        <f>IF($V100&lt;&gt;"Macro","",IF(COUNTIFS($S$5:$S$1000,$S100,$V$5:$V$1000,"Macro",$H$5:$H$1000,"&gt;0")=0,1/COUNTIFS($S$5:$S$1000,$S100,$V$5:$V$1000,"Macro"),IF(AND(ISNUMBER($H100),N($H100)&gt;0),$H100,SUMIFS($H$5:$H$1000,$S$5:$S$1000,$S100,$V$5:$V$1000,"Macro")/COUNTIFS($S$5:$S$1000,$S100,$V$5:$V$1000,"Macro",$H$5:$H$1000,"&gt;0"))/(COUNTIFS($S$5:$S$1000,$S100,$V$5:$V$1000,"Macro")*SUMIFS($H$5:$H$1000,$S$5:$S$1000,$S100,$V$5:$V$1000,"Macro")/COUNTIFS($S$5:$S$1000,$S100,$V$5:$V$1000,"Macro",$H$5:$H$1000,"&gt;0"))))</f>
        <v/>
      </c>
      <c r="AM100" s="62" t="n"/>
      <c r="AN100" s="62" t="n"/>
      <c r="AO100" s="62" t="n"/>
      <c r="AP100" s="62" t="n"/>
      <c r="AQ100" s="62">
        <f>IF(LEFT($C100,11)="[Jefatura] ",IFERROR(MATCH("Asistente Técnico de Riesgo|"&amp;MID($C100,12,500),rDname_ADM,0),0),"")</f>
        <v/>
      </c>
      <c r="AR100" s="62">
        <f>IF(N($AQ100)&gt;0,INDEX(rIni_ADM,$AQ100),IF(ISNUMBER($E100),$E100,""))</f>
        <v/>
      </c>
      <c r="AS100" s="62">
        <f>IF(N($AQ100)&gt;0,INDEX(rLim_ADM,$AQ100),IF(ISNUMBER($F100),$F100,""))</f>
        <v/>
      </c>
    </row>
    <row r="101">
      <c r="A101" s="56">
        <f>IF(NOT((COUNTA($B101:$D101)+COUNTA($G101:$H101)+COUNTA($Q101))&gt;0),"",IF($V101="Macro",COUNTIFS($V$5:$V101,"Macro",$S$5:$S101,$S101),IF(N($U101)=0,"?",COUNTIFS(INDEX($V$5:$V$1000,1):INDEX($V$5:$V$1000,$U101-4),"Macro",INDEX($S$5:$S$1000,1):INDEX($S$5:$S$1000,$U101-4),INDEX($S$5:$S$1000,$U101-4))&amp;"."&amp;COUNTIFS($U$5:$U101,$U101,$V$5:$V101,"Sub"))))</f>
        <v/>
      </c>
      <c r="B101" s="57" t="n"/>
      <c r="C101" s="58" t="n"/>
      <c r="D101" s="58" t="n"/>
      <c r="E101" s="59">
        <f>IF(N($AQ101)&gt;0,INDEX(rIni_ADM,$AQ101),"")</f>
        <v/>
      </c>
      <c r="F101" s="59">
        <f>IF(N($AQ101)&gt;0,INDEX(rLim_ADM,$AQ101),"")</f>
        <v/>
      </c>
      <c r="G101" s="59" t="n"/>
      <c r="H101" s="60" t="n"/>
      <c r="I101" s="60">
        <f>IF(N($W101)=0,"",IF(AND($S101=MesCiclo,1&gt;SemanaActual),"",MIN(1,SUMIFS(OFFSET($A$1,ROW(),29,1000-ROW(),1),OFFSET($A$1,ROW(),20,1000-ROW(),1),ROW(),OFFSET($A$1,ROW(),21,1000-ROW(),1),"Sub"))))</f>
        <v/>
      </c>
      <c r="J101" s="60">
        <f>IF(N($W101)=0,"",IF(AND($S101=MesCiclo,2&gt;SemanaActual),"",MIN(1,SUMIFS(OFFSET($A$1,ROW(),30,1000-ROW(),1),OFFSET($A$1,ROW(),20,1000-ROW(),1),ROW(),OFFSET($A$1,ROW(),21,1000-ROW(),1),"Sub"))))</f>
        <v/>
      </c>
      <c r="K101" s="60">
        <f>IF(N($W101)=0,"",IF(AND($S101=MesCiclo,3&gt;SemanaActual),"",MIN(1,SUMIFS(OFFSET($A$1,ROW(),31,1000-ROW(),1),OFFSET($A$1,ROW(),20,1000-ROW(),1),ROW(),OFFSET($A$1,ROW(),21,1000-ROW(),1),"Sub"))))</f>
        <v/>
      </c>
      <c r="L101" s="60">
        <f>IF(N($W101)=0,"",IF(AND($S101=MesCiclo,4&gt;SemanaActual),"",MIN(1,SUMIFS(OFFSET($A$1,ROW(),32,1000-ROW(),1),OFFSET($A$1,ROW(),20,1000-ROW(),1),ROW(),OFFSET($A$1,ROW(),21,1000-ROW(),1),"Sub"))))</f>
        <v/>
      </c>
      <c r="M101" s="61">
        <f>IF(OR(NOT((COUNTA($B101:$D101)+COUNTA($G101:$H101)+COUNTA($Q101))&gt;0),$V101="Sub"),"",IF(ISNUMBER($G101),1,IF(N($W101)&gt;0,MIN(1,SUMIFS($Y$5:$Y$1000,$U$5:$U$1000,ROW(),$V$5:$V$1000,"Sub")),$Y101)))</f>
        <v/>
      </c>
      <c r="N101" s="56">
        <f>IF(OR($M101="",$V101="Sub"),"",IF($M101&gt;=1,"Completado",IF($M101&gt;0,"En curso","Pendiente")))</f>
        <v/>
      </c>
      <c r="O101" s="56">
        <f>IF(OR(NOT((COUNTA($B101:$D101)+COUNTA($G101:$H101)+COUNTA($Q101))&gt;0),$V101="Sub"),"",IF(ISNUMBER($G101),IF(AND(ISNUMBER($AS101),$G101&gt;$AS101),"Cumplida con "&amp;($G101-$AS101)&amp;IF($G101-$AS101=1," día"," días")&amp;" de retraso","Cumplida"),IF(N($M101)&gt;=1,"Cumplida",IF(NOT(ISNUMBER($AS101)),"Sin fecha límite",IF($AS101&lt;FechaRef,"Vencida hace "&amp;(FechaRef-$AS101)&amp;IF(FechaRef-$AS101=1," día"," días"),IF($AS101=FechaRef,"Vence hoy",IF($AS101-FechaRef&lt;=DiasAlerta,"Vence en "&amp;($AS101-FechaRef)&amp;IF($AS101-FechaRef=1," día"," días"),"En plazo")))))))</f>
        <v/>
      </c>
      <c r="P101" s="62" t="n"/>
      <c r="Q101" s="58" t="n"/>
      <c r="R101" s="63">
        <f>IF(NOT((COUNTA($B101:$D101)+COUNTA($G101:$H101)+COUNTA($Q101))&gt;0),"",IF((IF($C101="","Falta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 OK","⚠ "&amp;LEFT(IF($C101="","Falta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",""),LEN(IF($C101="","Falta el nombre de la actividad"&amp;" · ","")&amp;IF(AND($V101="Sub",N($U101)=0),"Subactividad sin macroactividad arriba"&amp;" · ","")&amp;IF(AND($V101="Macro",$AR101=""),"Sin fecha de inicio"&amp;" · ","")&amp;IF(AND($V101="Macro",$AS101=""),"Sin fecha límite"&amp;" · ","")&amp;IF(AND(LEFT($C101,11)="[Jefatura] ",N($AQ101)=0),"No se encuentra en la hoja de la jefatura (elíjala de nuevo en la lista)"&amp;" · ","")&amp;IF(OR(AND($E101&lt;&gt;"",NOT(ISNUMBER($E101))),AND($F101&lt;&gt;"",NOT(ISNUMBER($F101))),AND($G101&lt;&gt;"",NOT(ISNUMBER($G101)))),"Fecha no válida"&amp;" · ","")&amp;IF(AND(ISNUMBER($AR101),ISNUMBER($AS101),$AR101&gt;$AS101),"Inicio posterior a fecha límite"&amp;" · ","")&amp;IF(AND($V101="Macro",$H101&lt;&gt;"",OR(NOT(ISNUMBER($H101)),$H101&lt;0,$H101&gt;1)),"Peso fuera de rango"&amp;" · ","")&amp;IF(AND($V101="Sub",$H101&lt;&gt;"",OR(NOT(ISNUMBER($H101)),$H101&lt;0,$H101&gt;1)),"% de la subactividad fuera de rango 0-100%"&amp;" · ","")&amp;IF(AND(N($W101)&gt;0,SUMIFS($H$5:$H$1000,$U$5:$U$1000,ROW(),$V$5:$V$1000,"Sub")&gt;1.0001),"Las subactividades suman más de 100%"&amp;" · ","")&amp;IF(AND(N($W101)&gt;0,OR(IF(ISNUMBER($I101),ROUND($I101,6)&lt;&gt;ROUND(MIN(1,SUMIFS($AD$5:$AD$1000,$U$5:$U$1000,ROW(),$V$5:$V$1000,"Sub")),6),FALSE),IF(ISNUMBER($J101),ROUND($J101,6)&lt;&gt;ROUND(MIN(1,SUMIFS($AE$5:$AE$1000,$U$5:$U$1000,ROW(),$V$5:$V$1000,"Sub")),6),FALSE),IF(ISNUMBER($K101),ROUND($K101,6)&lt;&gt;ROUND(MIN(1,SUMIFS($AF$5:$AF$1000,$U$5:$U$1000,ROW(),$V$5:$V$1000,"Sub")),6),FALSE),IF(ISNUMBER($L101),ROUND($L101,6)&lt;&gt;ROUND(MIN(1,SUMIFS($AG$5:$AG$1000,$U$5:$U$1000,ROW(),$V$5:$V$1000,"Sub")),6),FALSE))),"Con subactividades: no escriba en las semanas (se llenan solas)"&amp;" · ","")&amp;IF((COUNTIF($I101:$L101,"&gt;1")+COUNTIF($I101:$L101,"&lt;0")+SUMPRODUCT((LEN($I101:$L101)&gt;0)*NOT(ISNUMBER($I101:$L101))))&gt;0,"Avance fuera de rango 0-100%"&amp;" · ","")&amp;IF(OR(AND(ISNUMBER($J101),$J101&lt;N($I101)),AND(ISNUMBER($K101),$K101&lt;MAX($I101:$J101)),AND(ISNUMBER($L101),$L101&lt;MAX($I101:$K101))),"Avance semanal decreciente"&amp;" · ","")&amp;IF(AND(ISNUMBER($AS101),$AS101&lt;FechaRef,IF($V101="Sub",1,N($M101))&lt;1),"Vencida"&amp;" · ","")&amp;IF(AND(ObsObligatoria="Sí",ISNUMBER($AS101),$AS101&lt;FechaRef,IF($V101="Sub",1,N($M101))&lt;1,$Q101=""),"Vencida sin observación"&amp;" · ",""))-3)))</f>
        <v/>
      </c>
      <c r="S101" s="64">
        <f>IF(NOT((COUNTA($B101:$D101)+COUNTA($G101:$H101)+COUNTA($Q101))&gt;0),"",IF(AND($V101="Sub",N($U101)&gt;0),IF(ISNUMBER(INDEX($AR$5:$AR$1000,$U101-4)),DATE(YEAR(INDEX($AR$5:$AR$1000,$U101-4)),MONTH(INDEX($AR$5:$AR$1000,$U101-4)),1),IF(ISNUMBER(INDEX($AS$5:$AS$1000,$U101-4)),DATE(YEAR(INDEX($AS$5:$AS$1000,$U101-4)),MONTH(INDEX($AS$5:$AS$1000,$U101-4)),1),MesCiclo)),IF(ISNUMBER($AR101),DATE(YEAR($AR101),MONTH($AR101),1),IF(ISNUMBER($AS101),DATE(YEAR($AS101),MONTH($AS101),1),MesCiclo))))</f>
        <v/>
      </c>
      <c r="T101" s="62">
        <f>IF(OR($S101="",$S101&lt;&gt;MesCiclo,$V101&lt;&gt;"Macro"),"",COUNTIFS($S$5:$S101,MesCiclo,$V$5:$V101,"Macro"))</f>
        <v/>
      </c>
      <c r="U101" s="62">
        <f>IF($V101="","",IF($V101="Macro",ROW(),IFERROR(LOOKUP(2,1/($V$5:$V101="Macro"),ROW($V$5:$V101)),0)))</f>
        <v/>
      </c>
      <c r="V101" s="62">
        <f>IF(NOT((COUNTA($B101:$D101)+COUNTA($G101:$H101)+COUNTA($Q101))&gt;0),"",IF($B101="Subactividad","Sub","Macro"))</f>
        <v/>
      </c>
      <c r="W101" s="62">
        <f>IF($V101="Macro",COUNTIFS($U$5:$U$1000,ROW(),$V$5:$V$1000,"Sub"),"")</f>
        <v/>
      </c>
      <c r="X101" s="62">
        <f>IF($V101&lt;&gt;"Sub","",IF(AND(ISNUMBER($H101),N($H101)&gt;0),$H101,IFERROR(MAX(0,1-SUMIFS($H$5:$H$1000,$U$5:$U$1000,$U101,$V$5:$V$1000,"Sub"))/(COUNTIFS($U$5:$U$1000,$U101,$V$5:$V$1000,"Sub")-COUNTIFS($U$5:$U$1000,$U101,$V$5:$V$1000,"Sub",$H$5:$H$1000,"&gt;0")),0)))</f>
        <v/>
      </c>
      <c r="Y101" s="62">
        <f>IF($V101="","",IF($V101="Sub",N($X101)*IF(ISNUMBER($G101),1,MIN(1,MAX(0,IFERROR(LOOKUP(2,1/ISNUMBER($I101:$L101),$I101:$L101),0)))),IF(ISNUMBER($G101),1,IFERROR(LOOKUP(2,1/($I101:$L101&lt;&gt;""),$I101:$L101),0))))</f>
        <v/>
      </c>
      <c r="Z101" s="62">
        <f>IF($V101="","",IF(AND(ISNUMBER($G101),$G101&lt;=IF($S101=MesCiclo,InicioCiclo,$S101+MOD(2-WEEKDAY($S101),7))+6),1,IF(ISNUMBER($I101),$I101,0)))</f>
        <v/>
      </c>
      <c r="AA101" s="62">
        <f>IF($V101="","",IF(AND(ISNUMBER($G101),$G101&lt;=IF($S101=MesCiclo,InicioCiclo,$S101+MOD(2-WEEKDAY($S101),7))+13),1,IF(ISNUMBER($J101),$J101,$Z101)))</f>
        <v/>
      </c>
      <c r="AB101" s="62">
        <f>IF($V101="","",IF(AND(ISNUMBER($G101),$G101&lt;=IF($S101=MesCiclo,InicioCiclo,$S101+MOD(2-WEEKDAY($S101),7))+20),1,IF(ISNUMBER($K101),$K101,$AA101)))</f>
        <v/>
      </c>
      <c r="AC101" s="62">
        <f>IF($V101="","",IF(AND(ISNUMBER($G101),$G101&lt;=IF($S101=MesCiclo,InicioCiclo,$S101+MOD(2-WEEKDAY($S101),7))+27),1,IF(ISNUMBER($L101),$L101,$AB101)))</f>
        <v/>
      </c>
      <c r="AD101" s="62">
        <f>IF($V101&lt;&gt;"Sub","",N($X101)*IF(AND(ISNUMBER($G101),$G101&lt;=IF($S101=MesCiclo,InicioCiclo,$S101+MOD(2-WEEKDAY($S101),7))+6),1,MIN(1,MAX(0,IF(ISNUMBER(OFFSET($A$1,ROW()-1,8)),OFFSET($A$1,ROW()-1,8),0)))))</f>
        <v/>
      </c>
      <c r="AE101" s="62">
        <f>IF($V101&lt;&gt;"Sub","",N($X101)*IF(AND(ISNUMBER($G101),$G101&lt;=IF($S101=MesCiclo,InicioCiclo,$S101+MOD(2-WEEKDAY($S101),7))+13),1,MIN(1,MAX(0,IF(ISNUMBER(OFFSET($A$1,ROW()-1,9)),OFFSET($A$1,ROW()-1,9),IF(ISNUMBER(OFFSET($A$1,ROW()-1,8)),OFFSET($A$1,ROW()-1,8),0))))))</f>
        <v/>
      </c>
      <c r="AF101" s="62">
        <f>IF($V101&lt;&gt;"Sub","",N($X101)*IF(AND(ISNUMBER($G101),$G101&lt;=IF($S101=MesCiclo,InicioCiclo,$S101+MOD(2-WEEKDAY($S101),7))+20),1,MIN(1,MAX(0,IF(ISNUMBER(OFFSET($A$1,ROW()-1,10)),OFFSET($A$1,ROW()-1,10),IF(ISNUMBER(OFFSET($A$1,ROW()-1,9)),OFFSET($A$1,ROW()-1,9),IF(ISNUMBER(OFFSET($A$1,ROW()-1,8)),OFFSET($A$1,ROW()-1,8),0)))))))</f>
        <v/>
      </c>
      <c r="AG101" s="62">
        <f>IF($V101&lt;&gt;"Sub","",N($X101)*IF(AND(ISNUMBER($G101),$G101&lt;=IF($S101=MesCiclo,InicioCiclo,$S101+MOD(2-WEEKDAY($S101),7))+27),1,MIN(1,MAX(0,IF(ISNUMBER(OFFSET($A$1,ROW()-1,11)),OFFSET($A$1,ROW()-1,11),IF(ISNUMBER(OFFSET($A$1,ROW()-1,10)),OFFSET($A$1,ROW()-1,10),IF(ISNUMBER(OFFSET($A$1,ROW()-1,9)),OFFSET($A$1,ROW()-1,9),IF(ISNUMBER(OFFSET($A$1,ROW()-1,8)),OFFSET($A$1,ROW()-1,8),0))))))))</f>
        <v/>
      </c>
      <c r="AH101" s="62">
        <f>IF($V101="","",IF(AND(ISNUMBER($G101),$G101&lt;=IF($S101=MesCiclo,InicioCiclo,$S101+MOD(2-WEEKDAY($S101),7))+6),1,IF(N($W101)&gt;0,MIN(1,SUMIFS($AD$5:$AD$1000,$U$5:$U$1000,ROW(),$V$5:$V$1000,"Sub")),$Z101)))</f>
        <v/>
      </c>
      <c r="AI101" s="62">
        <f>IF($V101="","",IF(AND(ISNUMBER($G101),$G101&lt;=IF($S101=MesCiclo,InicioCiclo,$S101+MOD(2-WEEKDAY($S101),7))+13),1,IF(N($W101)&gt;0,MIN(1,SUMIFS($AE$5:$AE$1000,$U$5:$U$1000,ROW(),$V$5:$V$1000,"Sub")),$AA101)))</f>
        <v/>
      </c>
      <c r="AJ101" s="62">
        <f>IF($V101="","",IF(AND(ISNUMBER($G101),$G101&lt;=IF($S101=MesCiclo,InicioCiclo,$S101+MOD(2-WEEKDAY($S101),7))+20),1,IF(N($W101)&gt;0,MIN(1,SUMIFS($AF$5:$AF$1000,$U$5:$U$1000,ROW(),$V$5:$V$1000,"Sub")),$AB101)))</f>
        <v/>
      </c>
      <c r="AK101" s="62">
        <f>IF($V101="","",IF(AND(ISNUMBER($G101),$G101&lt;=IF($S101=MesCiclo,InicioCiclo,$S101+MOD(2-WEEKDAY($S101),7))+27),1,IF(N($W101)&gt;0,MIN(1,SUMIFS($AG$5:$AG$1000,$U$5:$U$1000,ROW(),$V$5:$V$1000,"Sub")),$AC101)))</f>
        <v/>
      </c>
      <c r="AL101" s="62">
        <f>IF($V101&lt;&gt;"Macro","",IF(COUNTIFS($S$5:$S$1000,$S101,$V$5:$V$1000,"Macro",$H$5:$H$1000,"&gt;0")=0,1/COUNTIFS($S$5:$S$1000,$S101,$V$5:$V$1000,"Macro"),IF(AND(ISNUMBER($H101),N($H101)&gt;0),$H101,SUMIFS($H$5:$H$1000,$S$5:$S$1000,$S101,$V$5:$V$1000,"Macro")/COUNTIFS($S$5:$S$1000,$S101,$V$5:$V$1000,"Macro",$H$5:$H$1000,"&gt;0"))/(COUNTIFS($S$5:$S$1000,$S101,$V$5:$V$1000,"Macro")*SUMIFS($H$5:$H$1000,$S$5:$S$1000,$S101,$V$5:$V$1000,"Macro")/COUNTIFS($S$5:$S$1000,$S101,$V$5:$V$1000,"Macro",$H$5:$H$1000,"&gt;0"))))</f>
        <v/>
      </c>
      <c r="AM101" s="62" t="n"/>
      <c r="AN101" s="62" t="n"/>
      <c r="AO101" s="62" t="n"/>
      <c r="AP101" s="62" t="n"/>
      <c r="AQ101" s="62">
        <f>IF(LEFT($C101,11)="[Jefatura] ",IFERROR(MATCH("Asistente Técnico de Riesgo|"&amp;MID($C101,12,500),rDname_ADM,0),0),"")</f>
        <v/>
      </c>
      <c r="AR101" s="62">
        <f>IF(N($AQ101)&gt;0,INDEX(rIni_ADM,$AQ101),IF(ISNUMBER($E101),$E101,""))</f>
        <v/>
      </c>
      <c r="AS101" s="62">
        <f>IF(N($AQ101)&gt;0,INDEX(rLim_ADM,$AQ101),IF(ISNUMBER($F101),$F101,""))</f>
        <v/>
      </c>
    </row>
    <row r="102">
      <c r="A102" s="56">
        <f>IF(NOT((COUNTA($B102:$D102)+COUNTA($G102:$H102)+COUNTA($Q102))&gt;0),"",IF($V102="Macro",COUNTIFS($V$5:$V102,"Macro",$S$5:$S102,$S102),IF(N($U102)=0,"?",COUNTIFS(INDEX($V$5:$V$1000,1):INDEX($V$5:$V$1000,$U102-4),"Macro",INDEX($S$5:$S$1000,1):INDEX($S$5:$S$1000,$U102-4),INDEX($S$5:$S$1000,$U102-4))&amp;"."&amp;COUNTIFS($U$5:$U102,$U102,$V$5:$V102,"Sub"))))</f>
        <v/>
      </c>
      <c r="B102" s="57" t="n"/>
      <c r="C102" s="58" t="n"/>
      <c r="D102" s="58" t="n"/>
      <c r="E102" s="59">
        <f>IF(N($AQ102)&gt;0,INDEX(rIni_ADM,$AQ102),"")</f>
        <v/>
      </c>
      <c r="F102" s="59">
        <f>IF(N($AQ102)&gt;0,INDEX(rLim_ADM,$AQ102),"")</f>
        <v/>
      </c>
      <c r="G102" s="59" t="n"/>
      <c r="H102" s="60" t="n"/>
      <c r="I102" s="60">
        <f>IF(N($W102)=0,"",IF(AND($S102=MesCiclo,1&gt;SemanaActual),"",MIN(1,SUMIFS(OFFSET($A$1,ROW(),29,1000-ROW(),1),OFFSET($A$1,ROW(),20,1000-ROW(),1),ROW(),OFFSET($A$1,ROW(),21,1000-ROW(),1),"Sub"))))</f>
        <v/>
      </c>
      <c r="J102" s="60">
        <f>IF(N($W102)=0,"",IF(AND($S102=MesCiclo,2&gt;SemanaActual),"",MIN(1,SUMIFS(OFFSET($A$1,ROW(),30,1000-ROW(),1),OFFSET($A$1,ROW(),20,1000-ROW(),1),ROW(),OFFSET($A$1,ROW(),21,1000-ROW(),1),"Sub"))))</f>
        <v/>
      </c>
      <c r="K102" s="60">
        <f>IF(N($W102)=0,"",IF(AND($S102=MesCiclo,3&gt;SemanaActual),"",MIN(1,SUMIFS(OFFSET($A$1,ROW(),31,1000-ROW(),1),OFFSET($A$1,ROW(),20,1000-ROW(),1),ROW(),OFFSET($A$1,ROW(),21,1000-ROW(),1),"Sub"))))</f>
        <v/>
      </c>
      <c r="L102" s="60">
        <f>IF(N($W102)=0,"",IF(AND($S102=MesCiclo,4&gt;SemanaActual),"",MIN(1,SUMIFS(OFFSET($A$1,ROW(),32,1000-ROW(),1),OFFSET($A$1,ROW(),20,1000-ROW(),1),ROW(),OFFSET($A$1,ROW(),21,1000-ROW(),1),"Sub"))))</f>
        <v/>
      </c>
      <c r="M102" s="61">
        <f>IF(OR(NOT((COUNTA($B102:$D102)+COUNTA($G102:$H102)+COUNTA($Q102))&gt;0),$V102="Sub"),"",IF(ISNUMBER($G102),1,IF(N($W102)&gt;0,MIN(1,SUMIFS($Y$5:$Y$1000,$U$5:$U$1000,ROW(),$V$5:$V$1000,"Sub")),$Y102)))</f>
        <v/>
      </c>
      <c r="N102" s="56">
        <f>IF(OR($M102="",$V102="Sub"),"",IF($M102&gt;=1,"Completado",IF($M102&gt;0,"En curso","Pendiente")))</f>
        <v/>
      </c>
      <c r="O102" s="56">
        <f>IF(OR(NOT((COUNTA($B102:$D102)+COUNTA($G102:$H102)+COUNTA($Q102))&gt;0),$V102="Sub"),"",IF(ISNUMBER($G102),IF(AND(ISNUMBER($AS102),$G102&gt;$AS102),"Cumplida con "&amp;($G102-$AS102)&amp;IF($G102-$AS102=1," día"," días")&amp;" de retraso","Cumplida"),IF(N($M102)&gt;=1,"Cumplida",IF(NOT(ISNUMBER($AS102)),"Sin fecha límite",IF($AS102&lt;FechaRef,"Vencida hace "&amp;(FechaRef-$AS102)&amp;IF(FechaRef-$AS102=1," día"," días"),IF($AS102=FechaRef,"Vence hoy",IF($AS102-FechaRef&lt;=DiasAlerta,"Vence en "&amp;($AS102-FechaRef)&amp;IF($AS102-FechaRef=1," día"," días"),"En plazo")))))))</f>
        <v/>
      </c>
      <c r="P102" s="62" t="n"/>
      <c r="Q102" s="58" t="n"/>
      <c r="R102" s="63">
        <f>IF(NOT((COUNTA($B102:$D102)+COUNTA($G102:$H102)+COUNTA($Q102))&gt;0),"",IF((IF($C102="","Falta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 OK","⚠ "&amp;LEFT(IF($C102="","Falta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",""),LEN(IF($C102="","Falta el nombre de la actividad"&amp;" · ","")&amp;IF(AND($V102="Sub",N($U102)=0),"Subactividad sin macroactividad arriba"&amp;" · ","")&amp;IF(AND($V102="Macro",$AR102=""),"Sin fecha de inicio"&amp;" · ","")&amp;IF(AND($V102="Macro",$AS102=""),"Sin fecha límite"&amp;" · ","")&amp;IF(AND(LEFT($C102,11)="[Jefatura] ",N($AQ102)=0),"No se encuentra en la hoja de la jefatura (elíjala de nuevo en la lista)"&amp;" · ","")&amp;IF(OR(AND($E102&lt;&gt;"",NOT(ISNUMBER($E102))),AND($F102&lt;&gt;"",NOT(ISNUMBER($F102))),AND($G102&lt;&gt;"",NOT(ISNUMBER($G102)))),"Fecha no válida"&amp;" · ","")&amp;IF(AND(ISNUMBER($AR102),ISNUMBER($AS102),$AR102&gt;$AS102),"Inicio posterior a fecha límite"&amp;" · ","")&amp;IF(AND($V102="Macro",$H102&lt;&gt;"",OR(NOT(ISNUMBER($H102)),$H102&lt;0,$H102&gt;1)),"Peso fuera de rango"&amp;" · ","")&amp;IF(AND($V102="Sub",$H102&lt;&gt;"",OR(NOT(ISNUMBER($H102)),$H102&lt;0,$H102&gt;1)),"% de la subactividad fuera de rango 0-100%"&amp;" · ","")&amp;IF(AND(N($W102)&gt;0,SUMIFS($H$5:$H$1000,$U$5:$U$1000,ROW(),$V$5:$V$1000,"Sub")&gt;1.0001),"Las subactividades suman más de 100%"&amp;" · ","")&amp;IF(AND(N($W102)&gt;0,OR(IF(ISNUMBER($I102),ROUND($I102,6)&lt;&gt;ROUND(MIN(1,SUMIFS($AD$5:$AD$1000,$U$5:$U$1000,ROW(),$V$5:$V$1000,"Sub")),6),FALSE),IF(ISNUMBER($J102),ROUND($J102,6)&lt;&gt;ROUND(MIN(1,SUMIFS($AE$5:$AE$1000,$U$5:$U$1000,ROW(),$V$5:$V$1000,"Sub")),6),FALSE),IF(ISNUMBER($K102),ROUND($K102,6)&lt;&gt;ROUND(MIN(1,SUMIFS($AF$5:$AF$1000,$U$5:$U$1000,ROW(),$V$5:$V$1000,"Sub")),6),FALSE),IF(ISNUMBER($L102),ROUND($L102,6)&lt;&gt;ROUND(MIN(1,SUMIFS($AG$5:$AG$1000,$U$5:$U$1000,ROW(),$V$5:$V$1000,"Sub")),6),FALSE))),"Con subactividades: no escriba en las semanas (se llenan solas)"&amp;" · ","")&amp;IF((COUNTIF($I102:$L102,"&gt;1")+COUNTIF($I102:$L102,"&lt;0")+SUMPRODUCT((LEN($I102:$L102)&gt;0)*NOT(ISNUMBER($I102:$L102))))&gt;0,"Avance fuera de rango 0-100%"&amp;" · ","")&amp;IF(OR(AND(ISNUMBER($J102),$J102&lt;N($I102)),AND(ISNUMBER($K102),$K102&lt;MAX($I102:$J102)),AND(ISNUMBER($L102),$L102&lt;MAX($I102:$K102))),"Avance semanal decreciente"&amp;" · ","")&amp;IF(AND(ISNUMBER($AS102),$AS102&lt;FechaRef,IF($V102="Sub",1,N($M102))&lt;1),"Vencida"&amp;" · ","")&amp;IF(AND(ObsObligatoria="Sí",ISNUMBER($AS102),$AS102&lt;FechaRef,IF($V102="Sub",1,N($M102))&lt;1,$Q102=""),"Vencida sin observación"&amp;" · ",""))-3)))</f>
        <v/>
      </c>
      <c r="S102" s="64">
        <f>IF(NOT((COUNTA($B102:$D102)+COUNTA($G102:$H102)+COUNTA($Q102))&gt;0),"",IF(AND($V102="Sub",N($U102)&gt;0),IF(ISNUMBER(INDEX($AR$5:$AR$1000,$U102-4)),DATE(YEAR(INDEX($AR$5:$AR$1000,$U102-4)),MONTH(INDEX($AR$5:$AR$1000,$U102-4)),1),IF(ISNUMBER(INDEX($AS$5:$AS$1000,$U102-4)),DATE(YEAR(INDEX($AS$5:$AS$1000,$U102-4)),MONTH(INDEX($AS$5:$AS$1000,$U102-4)),1),MesCiclo)),IF(ISNUMBER($AR102),DATE(YEAR($AR102),MONTH($AR102),1),IF(ISNUMBER($AS102),DATE(YEAR($AS102),MONTH($AS102),1),MesCiclo))))</f>
        <v/>
      </c>
      <c r="T102" s="62">
        <f>IF(OR($S102="",$S102&lt;&gt;MesCiclo,$V102&lt;&gt;"Macro"),"",COUNTIFS($S$5:$S102,MesCiclo,$V$5:$V102,"Macro"))</f>
        <v/>
      </c>
      <c r="U102" s="62">
        <f>IF($V102="","",IF($V102="Macro",ROW(),IFERROR(LOOKUP(2,1/($V$5:$V102="Macro"),ROW($V$5:$V102)),0)))</f>
        <v/>
      </c>
      <c r="V102" s="62">
        <f>IF(NOT((COUNTA($B102:$D102)+COUNTA($G102:$H102)+COUNTA($Q102))&gt;0),"",IF($B102="Subactividad","Sub","Macro"))</f>
        <v/>
      </c>
      <c r="W102" s="62">
        <f>IF($V102="Macro",COUNTIFS($U$5:$U$1000,ROW(),$V$5:$V$1000,"Sub"),"")</f>
        <v/>
      </c>
      <c r="X102" s="62">
        <f>IF($V102&lt;&gt;"Sub","",IF(AND(ISNUMBER($H102),N($H102)&gt;0),$H102,IFERROR(MAX(0,1-SUMIFS($H$5:$H$1000,$U$5:$U$1000,$U102,$V$5:$V$1000,"Sub"))/(COUNTIFS($U$5:$U$1000,$U102,$V$5:$V$1000,"Sub")-COUNTIFS($U$5:$U$1000,$U102,$V$5:$V$1000,"Sub",$H$5:$H$1000,"&gt;0")),0)))</f>
        <v/>
      </c>
      <c r="Y102" s="62">
        <f>IF($V102="","",IF($V102="Sub",N($X102)*IF(ISNUMBER($G102),1,MIN(1,MAX(0,IFERROR(LOOKUP(2,1/ISNUMBER($I102:$L102),$I102:$L102),0)))),IF(ISNUMBER($G102),1,IFERROR(LOOKUP(2,1/($I102:$L102&lt;&gt;""),$I102:$L102),0))))</f>
        <v/>
      </c>
      <c r="Z102" s="62">
        <f>IF($V102="","",IF(AND(ISNUMBER($G102),$G102&lt;=IF($S102=MesCiclo,InicioCiclo,$S102+MOD(2-WEEKDAY($S102),7))+6),1,IF(ISNUMBER($I102),$I102,0)))</f>
        <v/>
      </c>
      <c r="AA102" s="62">
        <f>IF($V102="","",IF(AND(ISNUMBER($G102),$G102&lt;=IF($S102=MesCiclo,InicioCiclo,$S102+MOD(2-WEEKDAY($S102),7))+13),1,IF(ISNUMBER($J102),$J102,$Z102)))</f>
        <v/>
      </c>
      <c r="AB102" s="62">
        <f>IF($V102="","",IF(AND(ISNUMBER($G102),$G102&lt;=IF($S102=MesCiclo,InicioCiclo,$S102+MOD(2-WEEKDAY($S102),7))+20),1,IF(ISNUMBER($K102),$K102,$AA102)))</f>
        <v/>
      </c>
      <c r="AC102" s="62">
        <f>IF($V102="","",IF(AND(ISNUMBER($G102),$G102&lt;=IF($S102=MesCiclo,InicioCiclo,$S102+MOD(2-WEEKDAY($S102),7))+27),1,IF(ISNUMBER($L102),$L102,$AB102)))</f>
        <v/>
      </c>
      <c r="AD102" s="62">
        <f>IF($V102&lt;&gt;"Sub","",N($X102)*IF(AND(ISNUMBER($G102),$G102&lt;=IF($S102=MesCiclo,InicioCiclo,$S102+MOD(2-WEEKDAY($S102),7))+6),1,MIN(1,MAX(0,IF(ISNUMBER(OFFSET($A$1,ROW()-1,8)),OFFSET($A$1,ROW()-1,8),0)))))</f>
        <v/>
      </c>
      <c r="AE102" s="62">
        <f>IF($V102&lt;&gt;"Sub","",N($X102)*IF(AND(ISNUMBER($G102),$G102&lt;=IF($S102=MesCiclo,InicioCiclo,$S102+MOD(2-WEEKDAY($S102),7))+13),1,MIN(1,MAX(0,IF(ISNUMBER(OFFSET($A$1,ROW()-1,9)),OFFSET($A$1,ROW()-1,9),IF(ISNUMBER(OFFSET($A$1,ROW()-1,8)),OFFSET($A$1,ROW()-1,8),0))))))</f>
        <v/>
      </c>
      <c r="AF102" s="62">
        <f>IF($V102&lt;&gt;"Sub","",N($X102)*IF(AND(ISNUMBER($G102),$G102&lt;=IF($S102=MesCiclo,InicioCiclo,$S102+MOD(2-WEEKDAY($S102),7))+20),1,MIN(1,MAX(0,IF(ISNUMBER(OFFSET($A$1,ROW()-1,10)),OFFSET($A$1,ROW()-1,10),IF(ISNUMBER(OFFSET($A$1,ROW()-1,9)),OFFSET($A$1,ROW()-1,9),IF(ISNUMBER(OFFSET($A$1,ROW()-1,8)),OFFSET($A$1,ROW()-1,8),0)))))))</f>
        <v/>
      </c>
      <c r="AG102" s="62">
        <f>IF($V102&lt;&gt;"Sub","",N($X102)*IF(AND(ISNUMBER($G102),$G102&lt;=IF($S102=MesCiclo,InicioCiclo,$S102+MOD(2-WEEKDAY($S102),7))+27),1,MIN(1,MAX(0,IF(ISNUMBER(OFFSET($A$1,ROW()-1,11)),OFFSET($A$1,ROW()-1,11),IF(ISNUMBER(OFFSET($A$1,ROW()-1,10)),OFFSET($A$1,ROW()-1,10),IF(ISNUMBER(OFFSET($A$1,ROW()-1,9)),OFFSET($A$1,ROW()-1,9),IF(ISNUMBER(OFFSET($A$1,ROW()-1,8)),OFFSET($A$1,ROW()-1,8),0))))))))</f>
        <v/>
      </c>
      <c r="AH102" s="62">
        <f>IF($V102="","",IF(AND(ISNUMBER($G102),$G102&lt;=IF($S102=MesCiclo,InicioCiclo,$S102+MOD(2-WEEKDAY($S102),7))+6),1,IF(N($W102)&gt;0,MIN(1,SUMIFS($AD$5:$AD$1000,$U$5:$U$1000,ROW(),$V$5:$V$1000,"Sub")),$Z102)))</f>
        <v/>
      </c>
      <c r="AI102" s="62">
        <f>IF($V102="","",IF(AND(ISNUMBER($G102),$G102&lt;=IF($S102=MesCiclo,InicioCiclo,$S102+MOD(2-WEEKDAY($S102),7))+13),1,IF(N($W102)&gt;0,MIN(1,SUMIFS($AE$5:$AE$1000,$U$5:$U$1000,ROW(),$V$5:$V$1000,"Sub")),$AA102)))</f>
        <v/>
      </c>
      <c r="AJ102" s="62">
        <f>IF($V102="","",IF(AND(ISNUMBER($G102),$G102&lt;=IF($S102=MesCiclo,InicioCiclo,$S102+MOD(2-WEEKDAY($S102),7))+20),1,IF(N($W102)&gt;0,MIN(1,SUMIFS($AF$5:$AF$1000,$U$5:$U$1000,ROW(),$V$5:$V$1000,"Sub")),$AB102)))</f>
        <v/>
      </c>
      <c r="AK102" s="62">
        <f>IF($V102="","",IF(AND(ISNUMBER($G102),$G102&lt;=IF($S102=MesCiclo,InicioCiclo,$S102+MOD(2-WEEKDAY($S102),7))+27),1,IF(N($W102)&gt;0,MIN(1,SUMIFS($AG$5:$AG$1000,$U$5:$U$1000,ROW(),$V$5:$V$1000,"Sub")),$AC102)))</f>
        <v/>
      </c>
      <c r="AL102" s="62">
        <f>IF($V102&lt;&gt;"Macro","",IF(COUNTIFS($S$5:$S$1000,$S102,$V$5:$V$1000,"Macro",$H$5:$H$1000,"&gt;0")=0,1/COUNTIFS($S$5:$S$1000,$S102,$V$5:$V$1000,"Macro"),IF(AND(ISNUMBER($H102),N($H102)&gt;0),$H102,SUMIFS($H$5:$H$1000,$S$5:$S$1000,$S102,$V$5:$V$1000,"Macro")/COUNTIFS($S$5:$S$1000,$S102,$V$5:$V$1000,"Macro",$H$5:$H$1000,"&gt;0"))/(COUNTIFS($S$5:$S$1000,$S102,$V$5:$V$1000,"Macro")*SUMIFS($H$5:$H$1000,$S$5:$S$1000,$S102,$V$5:$V$1000,"Macro")/COUNTIFS($S$5:$S$1000,$S102,$V$5:$V$1000,"Macro",$H$5:$H$1000,"&gt;0"))))</f>
        <v/>
      </c>
      <c r="AM102" s="62" t="n"/>
      <c r="AN102" s="62" t="n"/>
      <c r="AO102" s="62" t="n"/>
      <c r="AP102" s="62" t="n"/>
      <c r="AQ102" s="62">
        <f>IF(LEFT($C102,11)="[Jefatura] ",IFERROR(MATCH("Asistente Técnico de Riesgo|"&amp;MID($C102,12,500),rDname_ADM,0),0),"")</f>
        <v/>
      </c>
      <c r="AR102" s="62">
        <f>IF(N($AQ102)&gt;0,INDEX(rIni_ADM,$AQ102),IF(ISNUMBER($E102),$E102,""))</f>
        <v/>
      </c>
      <c r="AS102" s="62">
        <f>IF(N($AQ102)&gt;0,INDEX(rLim_ADM,$AQ102),IF(ISNUMBER($F102),$F102,""))</f>
        <v/>
      </c>
    </row>
    <row r="103">
      <c r="A103" s="56">
        <f>IF(NOT((COUNTA($B103:$D103)+COUNTA($G103:$H103)+COUNTA($Q103))&gt;0),"",IF($V103="Macro",COUNTIFS($V$5:$V103,"Macro",$S$5:$S103,$S103),IF(N($U103)=0,"?",COUNTIFS(INDEX($V$5:$V$1000,1):INDEX($V$5:$V$1000,$U103-4),"Macro",INDEX($S$5:$S$1000,1):INDEX($S$5:$S$1000,$U103-4),INDEX($S$5:$S$1000,$U103-4))&amp;"."&amp;COUNTIFS($U$5:$U103,$U103,$V$5:$V103,"Sub"))))</f>
        <v/>
      </c>
      <c r="B103" s="57" t="n"/>
      <c r="C103" s="58" t="n"/>
      <c r="D103" s="58" t="n"/>
      <c r="E103" s="59">
        <f>IF(N($AQ103)&gt;0,INDEX(rIni_ADM,$AQ103),"")</f>
        <v/>
      </c>
      <c r="F103" s="59">
        <f>IF(N($AQ103)&gt;0,INDEX(rLim_ADM,$AQ103),"")</f>
        <v/>
      </c>
      <c r="G103" s="59" t="n"/>
      <c r="H103" s="60" t="n"/>
      <c r="I103" s="60">
        <f>IF(N($W103)=0,"",IF(AND($S103=MesCiclo,1&gt;SemanaActual),"",MIN(1,SUMIFS(OFFSET($A$1,ROW(),29,1000-ROW(),1),OFFSET($A$1,ROW(),20,1000-ROW(),1),ROW(),OFFSET($A$1,ROW(),21,1000-ROW(),1),"Sub"))))</f>
        <v/>
      </c>
      <c r="J103" s="60">
        <f>IF(N($W103)=0,"",IF(AND($S103=MesCiclo,2&gt;SemanaActual),"",MIN(1,SUMIFS(OFFSET($A$1,ROW(),30,1000-ROW(),1),OFFSET($A$1,ROW(),20,1000-ROW(),1),ROW(),OFFSET($A$1,ROW(),21,1000-ROW(),1),"Sub"))))</f>
        <v/>
      </c>
      <c r="K103" s="60">
        <f>IF(N($W103)=0,"",IF(AND($S103=MesCiclo,3&gt;SemanaActual),"",MIN(1,SUMIFS(OFFSET($A$1,ROW(),31,1000-ROW(),1),OFFSET($A$1,ROW(),20,1000-ROW(),1),ROW(),OFFSET($A$1,ROW(),21,1000-ROW(),1),"Sub"))))</f>
        <v/>
      </c>
      <c r="L103" s="60">
        <f>IF(N($W103)=0,"",IF(AND($S103=MesCiclo,4&gt;SemanaActual),"",MIN(1,SUMIFS(OFFSET($A$1,ROW(),32,1000-ROW(),1),OFFSET($A$1,ROW(),20,1000-ROW(),1),ROW(),OFFSET($A$1,ROW(),21,1000-ROW(),1),"Sub"))))</f>
        <v/>
      </c>
      <c r="M103" s="61">
        <f>IF(OR(NOT((COUNTA($B103:$D103)+COUNTA($G103:$H103)+COUNTA($Q103))&gt;0),$V103="Sub"),"",IF(ISNUMBER($G103),1,IF(N($W103)&gt;0,MIN(1,SUMIFS($Y$5:$Y$1000,$U$5:$U$1000,ROW(),$V$5:$V$1000,"Sub")),$Y103)))</f>
        <v/>
      </c>
      <c r="N103" s="56">
        <f>IF(OR($M103="",$V103="Sub"),"",IF($M103&gt;=1,"Completado",IF($M103&gt;0,"En curso","Pendiente")))</f>
        <v/>
      </c>
      <c r="O103" s="56">
        <f>IF(OR(NOT((COUNTA($B103:$D103)+COUNTA($G103:$H103)+COUNTA($Q103))&gt;0),$V103="Sub"),"",IF(ISNUMBER($G103),IF(AND(ISNUMBER($AS103),$G103&gt;$AS103),"Cumplida con "&amp;($G103-$AS103)&amp;IF($G103-$AS103=1," día"," días")&amp;" de retraso","Cumplida"),IF(N($M103)&gt;=1,"Cumplida",IF(NOT(ISNUMBER($AS103)),"Sin fecha límite",IF($AS103&lt;FechaRef,"Vencida hace "&amp;(FechaRef-$AS103)&amp;IF(FechaRef-$AS103=1," día"," días"),IF($AS103=FechaRef,"Vence hoy",IF($AS103-FechaRef&lt;=DiasAlerta,"Vence en "&amp;($AS103-FechaRef)&amp;IF($AS103-FechaRef=1," día"," días"),"En plazo")))))))</f>
        <v/>
      </c>
      <c r="P103" s="62" t="n"/>
      <c r="Q103" s="58" t="n"/>
      <c r="R103" s="63">
        <f>IF(NOT((COUNTA($B103:$D103)+COUNTA($G103:$H103)+COUNTA($Q103))&gt;0),"",IF((IF($C103="","Falta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 OK","⚠ "&amp;LEFT(IF($C103="","Falta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",""),LEN(IF($C103="","Falta el nombre de la actividad"&amp;" · ","")&amp;IF(AND($V103="Sub",N($U103)=0),"Subactividad sin macroactividad arriba"&amp;" · ","")&amp;IF(AND($V103="Macro",$AR103=""),"Sin fecha de inicio"&amp;" · ","")&amp;IF(AND($V103="Macro",$AS103=""),"Sin fecha límite"&amp;" · ","")&amp;IF(AND(LEFT($C103,11)="[Jefatura] ",N($AQ103)=0),"No se encuentra en la hoja de la jefatura (elíjala de nuevo en la lista)"&amp;" · ","")&amp;IF(OR(AND($E103&lt;&gt;"",NOT(ISNUMBER($E103))),AND($F103&lt;&gt;"",NOT(ISNUMBER($F103))),AND($G103&lt;&gt;"",NOT(ISNUMBER($G103)))),"Fecha no válida"&amp;" · ","")&amp;IF(AND(ISNUMBER($AR103),ISNUMBER($AS103),$AR103&gt;$AS103),"Inicio posterior a fecha límite"&amp;" · ","")&amp;IF(AND($V103="Macro",$H103&lt;&gt;"",OR(NOT(ISNUMBER($H103)),$H103&lt;0,$H103&gt;1)),"Peso fuera de rango"&amp;" · ","")&amp;IF(AND($V103="Sub",$H103&lt;&gt;"",OR(NOT(ISNUMBER($H103)),$H103&lt;0,$H103&gt;1)),"% de la subactividad fuera de rango 0-100%"&amp;" · ","")&amp;IF(AND(N($W103)&gt;0,SUMIFS($H$5:$H$1000,$U$5:$U$1000,ROW(),$V$5:$V$1000,"Sub")&gt;1.0001),"Las subactividades suman más de 100%"&amp;" · ","")&amp;IF(AND(N($W103)&gt;0,OR(IF(ISNUMBER($I103),ROUND($I103,6)&lt;&gt;ROUND(MIN(1,SUMIFS($AD$5:$AD$1000,$U$5:$U$1000,ROW(),$V$5:$V$1000,"Sub")),6),FALSE),IF(ISNUMBER($J103),ROUND($J103,6)&lt;&gt;ROUND(MIN(1,SUMIFS($AE$5:$AE$1000,$U$5:$U$1000,ROW(),$V$5:$V$1000,"Sub")),6),FALSE),IF(ISNUMBER($K103),ROUND($K103,6)&lt;&gt;ROUND(MIN(1,SUMIFS($AF$5:$AF$1000,$U$5:$U$1000,ROW(),$V$5:$V$1000,"Sub")),6),FALSE),IF(ISNUMBER($L103),ROUND($L103,6)&lt;&gt;ROUND(MIN(1,SUMIFS($AG$5:$AG$1000,$U$5:$U$1000,ROW(),$V$5:$V$1000,"Sub")),6),FALSE))),"Con subactividades: no escriba en las semanas (se llenan solas)"&amp;" · ","")&amp;IF((COUNTIF($I103:$L103,"&gt;1")+COUNTIF($I103:$L103,"&lt;0")+SUMPRODUCT((LEN($I103:$L103)&gt;0)*NOT(ISNUMBER($I103:$L103))))&gt;0,"Avance fuera de rango 0-100%"&amp;" · ","")&amp;IF(OR(AND(ISNUMBER($J103),$J103&lt;N($I103)),AND(ISNUMBER($K103),$K103&lt;MAX($I103:$J103)),AND(ISNUMBER($L103),$L103&lt;MAX($I103:$K103))),"Avance semanal decreciente"&amp;" · ","")&amp;IF(AND(ISNUMBER($AS103),$AS103&lt;FechaRef,IF($V103="Sub",1,N($M103))&lt;1),"Vencida"&amp;" · ","")&amp;IF(AND(ObsObligatoria="Sí",ISNUMBER($AS103),$AS103&lt;FechaRef,IF($V103="Sub",1,N($M103))&lt;1,$Q103=""),"Vencida sin observación"&amp;" · ",""))-3)))</f>
        <v/>
      </c>
      <c r="S103" s="64">
        <f>IF(NOT((COUNTA($B103:$D103)+COUNTA($G103:$H103)+COUNTA($Q103))&gt;0),"",IF(AND($V103="Sub",N($U103)&gt;0),IF(ISNUMBER(INDEX($AR$5:$AR$1000,$U103-4)),DATE(YEAR(INDEX($AR$5:$AR$1000,$U103-4)),MONTH(INDEX($AR$5:$AR$1000,$U103-4)),1),IF(ISNUMBER(INDEX($AS$5:$AS$1000,$U103-4)),DATE(YEAR(INDEX($AS$5:$AS$1000,$U103-4)),MONTH(INDEX($AS$5:$AS$1000,$U103-4)),1),MesCiclo)),IF(ISNUMBER($AR103),DATE(YEAR($AR103),MONTH($AR103),1),IF(ISNUMBER($AS103),DATE(YEAR($AS103),MONTH($AS103),1),MesCiclo))))</f>
        <v/>
      </c>
      <c r="T103" s="62">
        <f>IF(OR($S103="",$S103&lt;&gt;MesCiclo,$V103&lt;&gt;"Macro"),"",COUNTIFS($S$5:$S103,MesCiclo,$V$5:$V103,"Macro"))</f>
        <v/>
      </c>
      <c r="U103" s="62">
        <f>IF($V103="","",IF($V103="Macro",ROW(),IFERROR(LOOKUP(2,1/($V$5:$V103="Macro"),ROW($V$5:$V103)),0)))</f>
        <v/>
      </c>
      <c r="V103" s="62">
        <f>IF(NOT((COUNTA($B103:$D103)+COUNTA($G103:$H103)+COUNTA($Q103))&gt;0),"",IF($B103="Subactividad","Sub","Macro"))</f>
        <v/>
      </c>
      <c r="W103" s="62">
        <f>IF($V103="Macro",COUNTIFS($U$5:$U$1000,ROW(),$V$5:$V$1000,"Sub"),"")</f>
        <v/>
      </c>
      <c r="X103" s="62">
        <f>IF($V103&lt;&gt;"Sub","",IF(AND(ISNUMBER($H103),N($H103)&gt;0),$H103,IFERROR(MAX(0,1-SUMIFS($H$5:$H$1000,$U$5:$U$1000,$U103,$V$5:$V$1000,"Sub"))/(COUNTIFS($U$5:$U$1000,$U103,$V$5:$V$1000,"Sub")-COUNTIFS($U$5:$U$1000,$U103,$V$5:$V$1000,"Sub",$H$5:$H$1000,"&gt;0")),0)))</f>
        <v/>
      </c>
      <c r="Y103" s="62">
        <f>IF($V103="","",IF($V103="Sub",N($X103)*IF(ISNUMBER($G103),1,MIN(1,MAX(0,IFERROR(LOOKUP(2,1/ISNUMBER($I103:$L103),$I103:$L103),0)))),IF(ISNUMBER($G103),1,IFERROR(LOOKUP(2,1/($I103:$L103&lt;&gt;""),$I103:$L103),0))))</f>
        <v/>
      </c>
      <c r="Z103" s="62">
        <f>IF($V103="","",IF(AND(ISNUMBER($G103),$G103&lt;=IF($S103=MesCiclo,InicioCiclo,$S103+MOD(2-WEEKDAY($S103),7))+6),1,IF(ISNUMBER($I103),$I103,0)))</f>
        <v/>
      </c>
      <c r="AA103" s="62">
        <f>IF($V103="","",IF(AND(ISNUMBER($G103),$G103&lt;=IF($S103=MesCiclo,InicioCiclo,$S103+MOD(2-WEEKDAY($S103),7))+13),1,IF(ISNUMBER($J103),$J103,$Z103)))</f>
        <v/>
      </c>
      <c r="AB103" s="62">
        <f>IF($V103="","",IF(AND(ISNUMBER($G103),$G103&lt;=IF($S103=MesCiclo,InicioCiclo,$S103+MOD(2-WEEKDAY($S103),7))+20),1,IF(ISNUMBER($K103),$K103,$AA103)))</f>
        <v/>
      </c>
      <c r="AC103" s="62">
        <f>IF($V103="","",IF(AND(ISNUMBER($G103),$G103&lt;=IF($S103=MesCiclo,InicioCiclo,$S103+MOD(2-WEEKDAY($S103),7))+27),1,IF(ISNUMBER($L103),$L103,$AB103)))</f>
        <v/>
      </c>
      <c r="AD103" s="62">
        <f>IF($V103&lt;&gt;"Sub","",N($X103)*IF(AND(ISNUMBER($G103),$G103&lt;=IF($S103=MesCiclo,InicioCiclo,$S103+MOD(2-WEEKDAY($S103),7))+6),1,MIN(1,MAX(0,IF(ISNUMBER(OFFSET($A$1,ROW()-1,8)),OFFSET($A$1,ROW()-1,8),0)))))</f>
        <v/>
      </c>
      <c r="AE103" s="62">
        <f>IF($V103&lt;&gt;"Sub","",N($X103)*IF(AND(ISNUMBER($G103),$G103&lt;=IF($S103=MesCiclo,InicioCiclo,$S103+MOD(2-WEEKDAY($S103),7))+13),1,MIN(1,MAX(0,IF(ISNUMBER(OFFSET($A$1,ROW()-1,9)),OFFSET($A$1,ROW()-1,9),IF(ISNUMBER(OFFSET($A$1,ROW()-1,8)),OFFSET($A$1,ROW()-1,8),0))))))</f>
        <v/>
      </c>
      <c r="AF103" s="62">
        <f>IF($V103&lt;&gt;"Sub","",N($X103)*IF(AND(ISNUMBER($G103),$G103&lt;=IF($S103=MesCiclo,InicioCiclo,$S103+MOD(2-WEEKDAY($S103),7))+20),1,MIN(1,MAX(0,IF(ISNUMBER(OFFSET($A$1,ROW()-1,10)),OFFSET($A$1,ROW()-1,10),IF(ISNUMBER(OFFSET($A$1,ROW()-1,9)),OFFSET($A$1,ROW()-1,9),IF(ISNUMBER(OFFSET($A$1,ROW()-1,8)),OFFSET($A$1,ROW()-1,8),0)))))))</f>
        <v/>
      </c>
      <c r="AG103" s="62">
        <f>IF($V103&lt;&gt;"Sub","",N($X103)*IF(AND(ISNUMBER($G103),$G103&lt;=IF($S103=MesCiclo,InicioCiclo,$S103+MOD(2-WEEKDAY($S103),7))+27),1,MIN(1,MAX(0,IF(ISNUMBER(OFFSET($A$1,ROW()-1,11)),OFFSET($A$1,ROW()-1,11),IF(ISNUMBER(OFFSET($A$1,ROW()-1,10)),OFFSET($A$1,ROW()-1,10),IF(ISNUMBER(OFFSET($A$1,ROW()-1,9)),OFFSET($A$1,ROW()-1,9),IF(ISNUMBER(OFFSET($A$1,ROW()-1,8)),OFFSET($A$1,ROW()-1,8),0))))))))</f>
        <v/>
      </c>
      <c r="AH103" s="62">
        <f>IF($V103="","",IF(AND(ISNUMBER($G103),$G103&lt;=IF($S103=MesCiclo,InicioCiclo,$S103+MOD(2-WEEKDAY($S103),7))+6),1,IF(N($W103)&gt;0,MIN(1,SUMIFS($AD$5:$AD$1000,$U$5:$U$1000,ROW(),$V$5:$V$1000,"Sub")),$Z103)))</f>
        <v/>
      </c>
      <c r="AI103" s="62">
        <f>IF($V103="","",IF(AND(ISNUMBER($G103),$G103&lt;=IF($S103=MesCiclo,InicioCiclo,$S103+MOD(2-WEEKDAY($S103),7))+13),1,IF(N($W103)&gt;0,MIN(1,SUMIFS($AE$5:$AE$1000,$U$5:$U$1000,ROW(),$V$5:$V$1000,"Sub")),$AA103)))</f>
        <v/>
      </c>
      <c r="AJ103" s="62">
        <f>IF($V103="","",IF(AND(ISNUMBER($G103),$G103&lt;=IF($S103=MesCiclo,InicioCiclo,$S103+MOD(2-WEEKDAY($S103),7))+20),1,IF(N($W103)&gt;0,MIN(1,SUMIFS($AF$5:$AF$1000,$U$5:$U$1000,ROW(),$V$5:$V$1000,"Sub")),$AB103)))</f>
        <v/>
      </c>
      <c r="AK103" s="62">
        <f>IF($V103="","",IF(AND(ISNUMBER($G103),$G103&lt;=IF($S103=MesCiclo,InicioCiclo,$S103+MOD(2-WEEKDAY($S103),7))+27),1,IF(N($W103)&gt;0,MIN(1,SUMIFS($AG$5:$AG$1000,$U$5:$U$1000,ROW(),$V$5:$V$1000,"Sub")),$AC103)))</f>
        <v/>
      </c>
      <c r="AL103" s="62">
        <f>IF($V103&lt;&gt;"Macro","",IF(COUNTIFS($S$5:$S$1000,$S103,$V$5:$V$1000,"Macro",$H$5:$H$1000,"&gt;0")=0,1/COUNTIFS($S$5:$S$1000,$S103,$V$5:$V$1000,"Macro"),IF(AND(ISNUMBER($H103),N($H103)&gt;0),$H103,SUMIFS($H$5:$H$1000,$S$5:$S$1000,$S103,$V$5:$V$1000,"Macro")/COUNTIFS($S$5:$S$1000,$S103,$V$5:$V$1000,"Macro",$H$5:$H$1000,"&gt;0"))/(COUNTIFS($S$5:$S$1000,$S103,$V$5:$V$1000,"Macro")*SUMIFS($H$5:$H$1000,$S$5:$S$1000,$S103,$V$5:$V$1000,"Macro")/COUNTIFS($S$5:$S$1000,$S103,$V$5:$V$1000,"Macro",$H$5:$H$1000,"&gt;0"))))</f>
        <v/>
      </c>
      <c r="AM103" s="62" t="n"/>
      <c r="AN103" s="62" t="n"/>
      <c r="AO103" s="62" t="n"/>
      <c r="AP103" s="62" t="n"/>
      <c r="AQ103" s="62">
        <f>IF(LEFT($C103,11)="[Jefatura] ",IFERROR(MATCH("Asistente Técnico de Riesgo|"&amp;MID($C103,12,500),rDname_ADM,0),0),"")</f>
        <v/>
      </c>
      <c r="AR103" s="62">
        <f>IF(N($AQ103)&gt;0,INDEX(rIni_ADM,$AQ103),IF(ISNUMBER($E103),$E103,""))</f>
        <v/>
      </c>
      <c r="AS103" s="62">
        <f>IF(N($AQ103)&gt;0,INDEX(rLim_ADM,$AQ103),IF(ISNUMBER($F103),$F103,""))</f>
        <v/>
      </c>
    </row>
    <row r="104">
      <c r="A104" s="56">
        <f>IF(NOT((COUNTA($B104:$D104)+COUNTA($G104:$H104)+COUNTA($Q104))&gt;0),"",IF($V104="Macro",COUNTIFS($V$5:$V104,"Macro",$S$5:$S104,$S104),IF(N($U104)=0,"?",COUNTIFS(INDEX($V$5:$V$1000,1):INDEX($V$5:$V$1000,$U104-4),"Macro",INDEX($S$5:$S$1000,1):INDEX($S$5:$S$1000,$U104-4),INDEX($S$5:$S$1000,$U104-4))&amp;"."&amp;COUNTIFS($U$5:$U104,$U104,$V$5:$V104,"Sub"))))</f>
        <v/>
      </c>
      <c r="B104" s="57" t="n"/>
      <c r="C104" s="58" t="n"/>
      <c r="D104" s="58" t="n"/>
      <c r="E104" s="59">
        <f>IF(N($AQ104)&gt;0,INDEX(rIni_ADM,$AQ104),"")</f>
        <v/>
      </c>
      <c r="F104" s="59">
        <f>IF(N($AQ104)&gt;0,INDEX(rLim_ADM,$AQ104),"")</f>
        <v/>
      </c>
      <c r="G104" s="59" t="n"/>
      <c r="H104" s="60" t="n"/>
      <c r="I104" s="60">
        <f>IF(N($W104)=0,"",IF(AND($S104=MesCiclo,1&gt;SemanaActual),"",MIN(1,SUMIFS(OFFSET($A$1,ROW(),29,1000-ROW(),1),OFFSET($A$1,ROW(),20,1000-ROW(),1),ROW(),OFFSET($A$1,ROW(),21,1000-ROW(),1),"Sub"))))</f>
        <v/>
      </c>
      <c r="J104" s="60">
        <f>IF(N($W104)=0,"",IF(AND($S104=MesCiclo,2&gt;SemanaActual),"",MIN(1,SUMIFS(OFFSET($A$1,ROW(),30,1000-ROW(),1),OFFSET($A$1,ROW(),20,1000-ROW(),1),ROW(),OFFSET($A$1,ROW(),21,1000-ROW(),1),"Sub"))))</f>
        <v/>
      </c>
      <c r="K104" s="60">
        <f>IF(N($W104)=0,"",IF(AND($S104=MesCiclo,3&gt;SemanaActual),"",MIN(1,SUMIFS(OFFSET($A$1,ROW(),31,1000-ROW(),1),OFFSET($A$1,ROW(),20,1000-ROW(),1),ROW(),OFFSET($A$1,ROW(),21,1000-ROW(),1),"Sub"))))</f>
        <v/>
      </c>
      <c r="L104" s="60">
        <f>IF(N($W104)=0,"",IF(AND($S104=MesCiclo,4&gt;SemanaActual),"",MIN(1,SUMIFS(OFFSET($A$1,ROW(),32,1000-ROW(),1),OFFSET($A$1,ROW(),20,1000-ROW(),1),ROW(),OFFSET($A$1,ROW(),21,1000-ROW(),1),"Sub"))))</f>
        <v/>
      </c>
      <c r="M104" s="61">
        <f>IF(OR(NOT((COUNTA($B104:$D104)+COUNTA($G104:$H104)+COUNTA($Q104))&gt;0),$V104="Sub"),"",IF(ISNUMBER($G104),1,IF(N($W104)&gt;0,MIN(1,SUMIFS($Y$5:$Y$1000,$U$5:$U$1000,ROW(),$V$5:$V$1000,"Sub")),$Y104)))</f>
        <v/>
      </c>
      <c r="N104" s="56">
        <f>IF(OR($M104="",$V104="Sub"),"",IF($M104&gt;=1,"Completado",IF($M104&gt;0,"En curso","Pendiente")))</f>
        <v/>
      </c>
      <c r="O104" s="56">
        <f>IF(OR(NOT((COUNTA($B104:$D104)+COUNTA($G104:$H104)+COUNTA($Q104))&gt;0),$V104="Sub"),"",IF(ISNUMBER($G104),IF(AND(ISNUMBER($AS104),$G104&gt;$AS104),"Cumplida con "&amp;($G104-$AS104)&amp;IF($G104-$AS104=1," día"," días")&amp;" de retraso","Cumplida"),IF(N($M104)&gt;=1,"Cumplida",IF(NOT(ISNUMBER($AS104)),"Sin fecha límite",IF($AS104&lt;FechaRef,"Vencida hace "&amp;(FechaRef-$AS104)&amp;IF(FechaRef-$AS104=1," día"," días"),IF($AS104=FechaRef,"Vence hoy",IF($AS104-FechaRef&lt;=DiasAlerta,"Vence en "&amp;($AS104-FechaRef)&amp;IF($AS104-FechaRef=1," día"," días"),"En plazo")))))))</f>
        <v/>
      </c>
      <c r="P104" s="62" t="n"/>
      <c r="Q104" s="58" t="n"/>
      <c r="R104" s="63">
        <f>IF(NOT((COUNTA($B104:$D104)+COUNTA($G104:$H104)+COUNTA($Q104))&gt;0),"",IF((IF($C104="","Falta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 OK","⚠ "&amp;LEFT(IF($C104="","Falta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",""),LEN(IF($C104="","Falta el nombre de la actividad"&amp;" · ","")&amp;IF(AND($V104="Sub",N($U104)=0),"Subactividad sin macroactividad arriba"&amp;" · ","")&amp;IF(AND($V104="Macro",$AR104=""),"Sin fecha de inicio"&amp;" · ","")&amp;IF(AND($V104="Macro",$AS104=""),"Sin fecha límite"&amp;" · ","")&amp;IF(AND(LEFT($C104,11)="[Jefatura] ",N($AQ104)=0),"No se encuentra en la hoja de la jefatura (elíjala de nuevo en la lista)"&amp;" · ","")&amp;IF(OR(AND($E104&lt;&gt;"",NOT(ISNUMBER($E104))),AND($F104&lt;&gt;"",NOT(ISNUMBER($F104))),AND($G104&lt;&gt;"",NOT(ISNUMBER($G104)))),"Fecha no válida"&amp;" · ","")&amp;IF(AND(ISNUMBER($AR104),ISNUMBER($AS104),$AR104&gt;$AS104),"Inicio posterior a fecha límite"&amp;" · ","")&amp;IF(AND($V104="Macro",$H104&lt;&gt;"",OR(NOT(ISNUMBER($H104)),$H104&lt;0,$H104&gt;1)),"Peso fuera de rango"&amp;" · ","")&amp;IF(AND($V104="Sub",$H104&lt;&gt;"",OR(NOT(ISNUMBER($H104)),$H104&lt;0,$H104&gt;1)),"% de la subactividad fuera de rango 0-100%"&amp;" · ","")&amp;IF(AND(N($W104)&gt;0,SUMIFS($H$5:$H$1000,$U$5:$U$1000,ROW(),$V$5:$V$1000,"Sub")&gt;1.0001),"Las subactividades suman más de 100%"&amp;" · ","")&amp;IF(AND(N($W104)&gt;0,OR(IF(ISNUMBER($I104),ROUND($I104,6)&lt;&gt;ROUND(MIN(1,SUMIFS($AD$5:$AD$1000,$U$5:$U$1000,ROW(),$V$5:$V$1000,"Sub")),6),FALSE),IF(ISNUMBER($J104),ROUND($J104,6)&lt;&gt;ROUND(MIN(1,SUMIFS($AE$5:$AE$1000,$U$5:$U$1000,ROW(),$V$5:$V$1000,"Sub")),6),FALSE),IF(ISNUMBER($K104),ROUND($K104,6)&lt;&gt;ROUND(MIN(1,SUMIFS($AF$5:$AF$1000,$U$5:$U$1000,ROW(),$V$5:$V$1000,"Sub")),6),FALSE),IF(ISNUMBER($L104),ROUND($L104,6)&lt;&gt;ROUND(MIN(1,SUMIFS($AG$5:$AG$1000,$U$5:$U$1000,ROW(),$V$5:$V$1000,"Sub")),6),FALSE))),"Con subactividades: no escriba en las semanas (se llenan solas)"&amp;" · ","")&amp;IF((COUNTIF($I104:$L104,"&gt;1")+COUNTIF($I104:$L104,"&lt;0")+SUMPRODUCT((LEN($I104:$L104)&gt;0)*NOT(ISNUMBER($I104:$L104))))&gt;0,"Avance fuera de rango 0-100%"&amp;" · ","")&amp;IF(OR(AND(ISNUMBER($J104),$J104&lt;N($I104)),AND(ISNUMBER($K104),$K104&lt;MAX($I104:$J104)),AND(ISNUMBER($L104),$L104&lt;MAX($I104:$K104))),"Avance semanal decreciente"&amp;" · ","")&amp;IF(AND(ISNUMBER($AS104),$AS104&lt;FechaRef,IF($V104="Sub",1,N($M104))&lt;1),"Vencida"&amp;" · ","")&amp;IF(AND(ObsObligatoria="Sí",ISNUMBER($AS104),$AS104&lt;FechaRef,IF($V104="Sub",1,N($M104))&lt;1,$Q104=""),"Vencida sin observación"&amp;" · ",""))-3)))</f>
        <v/>
      </c>
      <c r="S104" s="64">
        <f>IF(NOT((COUNTA($B104:$D104)+COUNTA($G104:$H104)+COUNTA($Q104))&gt;0),"",IF(AND($V104="Sub",N($U104)&gt;0),IF(ISNUMBER(INDEX($AR$5:$AR$1000,$U104-4)),DATE(YEAR(INDEX($AR$5:$AR$1000,$U104-4)),MONTH(INDEX($AR$5:$AR$1000,$U104-4)),1),IF(ISNUMBER(INDEX($AS$5:$AS$1000,$U104-4)),DATE(YEAR(INDEX($AS$5:$AS$1000,$U104-4)),MONTH(INDEX($AS$5:$AS$1000,$U104-4)),1),MesCiclo)),IF(ISNUMBER($AR104),DATE(YEAR($AR104),MONTH($AR104),1),IF(ISNUMBER($AS104),DATE(YEAR($AS104),MONTH($AS104),1),MesCiclo))))</f>
        <v/>
      </c>
      <c r="T104" s="62">
        <f>IF(OR($S104="",$S104&lt;&gt;MesCiclo,$V104&lt;&gt;"Macro"),"",COUNTIFS($S$5:$S104,MesCiclo,$V$5:$V104,"Macro"))</f>
        <v/>
      </c>
      <c r="U104" s="62">
        <f>IF($V104="","",IF($V104="Macro",ROW(),IFERROR(LOOKUP(2,1/($V$5:$V104="Macro"),ROW($V$5:$V104)),0)))</f>
        <v/>
      </c>
      <c r="V104" s="62">
        <f>IF(NOT((COUNTA($B104:$D104)+COUNTA($G104:$H104)+COUNTA($Q104))&gt;0),"",IF($B104="Subactividad","Sub","Macro"))</f>
        <v/>
      </c>
      <c r="W104" s="62">
        <f>IF($V104="Macro",COUNTIFS($U$5:$U$1000,ROW(),$V$5:$V$1000,"Sub"),"")</f>
        <v/>
      </c>
      <c r="X104" s="62">
        <f>IF($V104&lt;&gt;"Sub","",IF(AND(ISNUMBER($H104),N($H104)&gt;0),$H104,IFERROR(MAX(0,1-SUMIFS($H$5:$H$1000,$U$5:$U$1000,$U104,$V$5:$V$1000,"Sub"))/(COUNTIFS($U$5:$U$1000,$U104,$V$5:$V$1000,"Sub")-COUNTIFS($U$5:$U$1000,$U104,$V$5:$V$1000,"Sub",$H$5:$H$1000,"&gt;0")),0)))</f>
        <v/>
      </c>
      <c r="Y104" s="62">
        <f>IF($V104="","",IF($V104="Sub",N($X104)*IF(ISNUMBER($G104),1,MIN(1,MAX(0,IFERROR(LOOKUP(2,1/ISNUMBER($I104:$L104),$I104:$L104),0)))),IF(ISNUMBER($G104),1,IFERROR(LOOKUP(2,1/($I104:$L104&lt;&gt;""),$I104:$L104),0))))</f>
        <v/>
      </c>
      <c r="Z104" s="62">
        <f>IF($V104="","",IF(AND(ISNUMBER($G104),$G104&lt;=IF($S104=MesCiclo,InicioCiclo,$S104+MOD(2-WEEKDAY($S104),7))+6),1,IF(ISNUMBER($I104),$I104,0)))</f>
        <v/>
      </c>
      <c r="AA104" s="62">
        <f>IF($V104="","",IF(AND(ISNUMBER($G104),$G104&lt;=IF($S104=MesCiclo,InicioCiclo,$S104+MOD(2-WEEKDAY($S104),7))+13),1,IF(ISNUMBER($J104),$J104,$Z104)))</f>
        <v/>
      </c>
      <c r="AB104" s="62">
        <f>IF($V104="","",IF(AND(ISNUMBER($G104),$G104&lt;=IF($S104=MesCiclo,InicioCiclo,$S104+MOD(2-WEEKDAY($S104),7))+20),1,IF(ISNUMBER($K104),$K104,$AA104)))</f>
        <v/>
      </c>
      <c r="AC104" s="62">
        <f>IF($V104="","",IF(AND(ISNUMBER($G104),$G104&lt;=IF($S104=MesCiclo,InicioCiclo,$S104+MOD(2-WEEKDAY($S104),7))+27),1,IF(ISNUMBER($L104),$L104,$AB104)))</f>
        <v/>
      </c>
      <c r="AD104" s="62">
        <f>IF($V104&lt;&gt;"Sub","",N($X104)*IF(AND(ISNUMBER($G104),$G104&lt;=IF($S104=MesCiclo,InicioCiclo,$S104+MOD(2-WEEKDAY($S104),7))+6),1,MIN(1,MAX(0,IF(ISNUMBER(OFFSET($A$1,ROW()-1,8)),OFFSET($A$1,ROW()-1,8),0)))))</f>
        <v/>
      </c>
      <c r="AE104" s="62">
        <f>IF($V104&lt;&gt;"Sub","",N($X104)*IF(AND(ISNUMBER($G104),$G104&lt;=IF($S104=MesCiclo,InicioCiclo,$S104+MOD(2-WEEKDAY($S104),7))+13),1,MIN(1,MAX(0,IF(ISNUMBER(OFFSET($A$1,ROW()-1,9)),OFFSET($A$1,ROW()-1,9),IF(ISNUMBER(OFFSET($A$1,ROW()-1,8)),OFFSET($A$1,ROW()-1,8),0))))))</f>
        <v/>
      </c>
      <c r="AF104" s="62">
        <f>IF($V104&lt;&gt;"Sub","",N($X104)*IF(AND(ISNUMBER($G104),$G104&lt;=IF($S104=MesCiclo,InicioCiclo,$S104+MOD(2-WEEKDAY($S104),7))+20),1,MIN(1,MAX(0,IF(ISNUMBER(OFFSET($A$1,ROW()-1,10)),OFFSET($A$1,ROW()-1,10),IF(ISNUMBER(OFFSET($A$1,ROW()-1,9)),OFFSET($A$1,ROW()-1,9),IF(ISNUMBER(OFFSET($A$1,ROW()-1,8)),OFFSET($A$1,ROW()-1,8),0)))))))</f>
        <v/>
      </c>
      <c r="AG104" s="62">
        <f>IF($V104&lt;&gt;"Sub","",N($X104)*IF(AND(ISNUMBER($G104),$G104&lt;=IF($S104=MesCiclo,InicioCiclo,$S104+MOD(2-WEEKDAY($S104),7))+27),1,MIN(1,MAX(0,IF(ISNUMBER(OFFSET($A$1,ROW()-1,11)),OFFSET($A$1,ROW()-1,11),IF(ISNUMBER(OFFSET($A$1,ROW()-1,10)),OFFSET($A$1,ROW()-1,10),IF(ISNUMBER(OFFSET($A$1,ROW()-1,9)),OFFSET($A$1,ROW()-1,9),IF(ISNUMBER(OFFSET($A$1,ROW()-1,8)),OFFSET($A$1,ROW()-1,8),0))))))))</f>
        <v/>
      </c>
      <c r="AH104" s="62">
        <f>IF($V104="","",IF(AND(ISNUMBER($G104),$G104&lt;=IF($S104=MesCiclo,InicioCiclo,$S104+MOD(2-WEEKDAY($S104),7))+6),1,IF(N($W104)&gt;0,MIN(1,SUMIFS($AD$5:$AD$1000,$U$5:$U$1000,ROW(),$V$5:$V$1000,"Sub")),$Z104)))</f>
        <v/>
      </c>
      <c r="AI104" s="62">
        <f>IF($V104="","",IF(AND(ISNUMBER($G104),$G104&lt;=IF($S104=MesCiclo,InicioCiclo,$S104+MOD(2-WEEKDAY($S104),7))+13),1,IF(N($W104)&gt;0,MIN(1,SUMIFS($AE$5:$AE$1000,$U$5:$U$1000,ROW(),$V$5:$V$1000,"Sub")),$AA104)))</f>
        <v/>
      </c>
      <c r="AJ104" s="62">
        <f>IF($V104="","",IF(AND(ISNUMBER($G104),$G104&lt;=IF($S104=MesCiclo,InicioCiclo,$S104+MOD(2-WEEKDAY($S104),7))+20),1,IF(N($W104)&gt;0,MIN(1,SUMIFS($AF$5:$AF$1000,$U$5:$U$1000,ROW(),$V$5:$V$1000,"Sub")),$AB104)))</f>
        <v/>
      </c>
      <c r="AK104" s="62">
        <f>IF($V104="","",IF(AND(ISNUMBER($G104),$G104&lt;=IF($S104=MesCiclo,InicioCiclo,$S104+MOD(2-WEEKDAY($S104),7))+27),1,IF(N($W104)&gt;0,MIN(1,SUMIFS($AG$5:$AG$1000,$U$5:$U$1000,ROW(),$V$5:$V$1000,"Sub")),$AC104)))</f>
        <v/>
      </c>
      <c r="AL104" s="62">
        <f>IF($V104&lt;&gt;"Macro","",IF(COUNTIFS($S$5:$S$1000,$S104,$V$5:$V$1000,"Macro",$H$5:$H$1000,"&gt;0")=0,1/COUNTIFS($S$5:$S$1000,$S104,$V$5:$V$1000,"Macro"),IF(AND(ISNUMBER($H104),N($H104)&gt;0),$H104,SUMIFS($H$5:$H$1000,$S$5:$S$1000,$S104,$V$5:$V$1000,"Macro")/COUNTIFS($S$5:$S$1000,$S104,$V$5:$V$1000,"Macro",$H$5:$H$1000,"&gt;0"))/(COUNTIFS($S$5:$S$1000,$S104,$V$5:$V$1000,"Macro")*SUMIFS($H$5:$H$1000,$S$5:$S$1000,$S104,$V$5:$V$1000,"Macro")/COUNTIFS($S$5:$S$1000,$S104,$V$5:$V$1000,"Macro",$H$5:$H$1000,"&gt;0"))))</f>
        <v/>
      </c>
      <c r="AM104" s="62" t="n"/>
      <c r="AN104" s="62" t="n"/>
      <c r="AO104" s="62" t="n"/>
      <c r="AP104" s="62" t="n"/>
      <c r="AQ104" s="62">
        <f>IF(LEFT($C104,11)="[Jefatura] ",IFERROR(MATCH("Asistente Técnico de Riesgo|"&amp;MID($C104,12,500),rDname_ADM,0),0),"")</f>
        <v/>
      </c>
      <c r="AR104" s="62">
        <f>IF(N($AQ104)&gt;0,INDEX(rIni_ADM,$AQ104),IF(ISNUMBER($E104),$E104,""))</f>
        <v/>
      </c>
      <c r="AS104" s="62">
        <f>IF(N($AQ104)&gt;0,INDEX(rLim_ADM,$AQ104),IF(ISNUMBER($F104),$F104,""))</f>
        <v/>
      </c>
    </row>
    <row r="105">
      <c r="A105" s="56">
        <f>IF(NOT((COUNTA($B105:$D105)+COUNTA($G105:$H105)+COUNTA($Q105))&gt;0),"",IF($V105="Macro",COUNTIFS($V$5:$V105,"Macro",$S$5:$S105,$S105),IF(N($U105)=0,"?",COUNTIFS(INDEX($V$5:$V$1000,1):INDEX($V$5:$V$1000,$U105-4),"Macro",INDEX($S$5:$S$1000,1):INDEX($S$5:$S$1000,$U105-4),INDEX($S$5:$S$1000,$U105-4))&amp;"."&amp;COUNTIFS($U$5:$U105,$U105,$V$5:$V105,"Sub"))))</f>
        <v/>
      </c>
      <c r="B105" s="57" t="n"/>
      <c r="C105" s="58" t="n"/>
      <c r="D105" s="58" t="n"/>
      <c r="E105" s="59">
        <f>IF(N($AQ105)&gt;0,INDEX(rIni_ADM,$AQ105),"")</f>
        <v/>
      </c>
      <c r="F105" s="59">
        <f>IF(N($AQ105)&gt;0,INDEX(rLim_ADM,$AQ105),"")</f>
        <v/>
      </c>
      <c r="G105" s="59" t="n"/>
      <c r="H105" s="60" t="n"/>
      <c r="I105" s="60">
        <f>IF(N($W105)=0,"",IF(AND($S105=MesCiclo,1&gt;SemanaActual),"",MIN(1,SUMIFS(OFFSET($A$1,ROW(),29,1000-ROW(),1),OFFSET($A$1,ROW(),20,1000-ROW(),1),ROW(),OFFSET($A$1,ROW(),21,1000-ROW(),1),"Sub"))))</f>
        <v/>
      </c>
      <c r="J105" s="60">
        <f>IF(N($W105)=0,"",IF(AND($S105=MesCiclo,2&gt;SemanaActual),"",MIN(1,SUMIFS(OFFSET($A$1,ROW(),30,1000-ROW(),1),OFFSET($A$1,ROW(),20,1000-ROW(),1),ROW(),OFFSET($A$1,ROW(),21,1000-ROW(),1),"Sub"))))</f>
        <v/>
      </c>
      <c r="K105" s="60">
        <f>IF(N($W105)=0,"",IF(AND($S105=MesCiclo,3&gt;SemanaActual),"",MIN(1,SUMIFS(OFFSET($A$1,ROW(),31,1000-ROW(),1),OFFSET($A$1,ROW(),20,1000-ROW(),1),ROW(),OFFSET($A$1,ROW(),21,1000-ROW(),1),"Sub"))))</f>
        <v/>
      </c>
      <c r="L105" s="60">
        <f>IF(N($W105)=0,"",IF(AND($S105=MesCiclo,4&gt;SemanaActual),"",MIN(1,SUMIFS(OFFSET($A$1,ROW(),32,1000-ROW(),1),OFFSET($A$1,ROW(),20,1000-ROW(),1),ROW(),OFFSET($A$1,ROW(),21,1000-ROW(),1),"Sub"))))</f>
        <v/>
      </c>
      <c r="M105" s="61">
        <f>IF(OR(NOT((COUNTA($B105:$D105)+COUNTA($G105:$H105)+COUNTA($Q105))&gt;0),$V105="Sub"),"",IF(ISNUMBER($G105),1,IF(N($W105)&gt;0,MIN(1,SUMIFS($Y$5:$Y$1000,$U$5:$U$1000,ROW(),$V$5:$V$1000,"Sub")),$Y105)))</f>
        <v/>
      </c>
      <c r="N105" s="56">
        <f>IF(OR($M105="",$V105="Sub"),"",IF($M105&gt;=1,"Completado",IF($M105&gt;0,"En curso","Pendiente")))</f>
        <v/>
      </c>
      <c r="O105" s="56">
        <f>IF(OR(NOT((COUNTA($B105:$D105)+COUNTA($G105:$H105)+COUNTA($Q105))&gt;0),$V105="Sub"),"",IF(ISNUMBER($G105),IF(AND(ISNUMBER($AS105),$G105&gt;$AS105),"Cumplida con "&amp;($G105-$AS105)&amp;IF($G105-$AS105=1," día"," días")&amp;" de retraso","Cumplida"),IF(N($M105)&gt;=1,"Cumplida",IF(NOT(ISNUMBER($AS105)),"Sin fecha límite",IF($AS105&lt;FechaRef,"Vencida hace "&amp;(FechaRef-$AS105)&amp;IF(FechaRef-$AS105=1," día"," días"),IF($AS105=FechaRef,"Vence hoy",IF($AS105-FechaRef&lt;=DiasAlerta,"Vence en "&amp;($AS105-FechaRef)&amp;IF($AS105-FechaRef=1," día"," días"),"En plazo")))))))</f>
        <v/>
      </c>
      <c r="P105" s="62" t="n"/>
      <c r="Q105" s="58" t="n"/>
      <c r="R105" s="63">
        <f>IF(NOT((COUNTA($B105:$D105)+COUNTA($G105:$H105)+COUNTA($Q105))&gt;0),"",IF((IF($C105="","Falta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 OK","⚠ "&amp;LEFT(IF($C105="","Falta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",""),LEN(IF($C105="","Falta el nombre de la actividad"&amp;" · ","")&amp;IF(AND($V105="Sub",N($U105)=0),"Subactividad sin macroactividad arriba"&amp;" · ","")&amp;IF(AND($V105="Macro",$AR105=""),"Sin fecha de inicio"&amp;" · ","")&amp;IF(AND($V105="Macro",$AS105=""),"Sin fecha límite"&amp;" · ","")&amp;IF(AND(LEFT($C105,11)="[Jefatura] ",N($AQ105)=0),"No se encuentra en la hoja de la jefatura (elíjala de nuevo en la lista)"&amp;" · ","")&amp;IF(OR(AND($E105&lt;&gt;"",NOT(ISNUMBER($E105))),AND($F105&lt;&gt;"",NOT(ISNUMBER($F105))),AND($G105&lt;&gt;"",NOT(ISNUMBER($G105)))),"Fecha no válida"&amp;" · ","")&amp;IF(AND(ISNUMBER($AR105),ISNUMBER($AS105),$AR105&gt;$AS105),"Inicio posterior a fecha límite"&amp;" · ","")&amp;IF(AND($V105="Macro",$H105&lt;&gt;"",OR(NOT(ISNUMBER($H105)),$H105&lt;0,$H105&gt;1)),"Peso fuera de rango"&amp;" · ","")&amp;IF(AND($V105="Sub",$H105&lt;&gt;"",OR(NOT(ISNUMBER($H105)),$H105&lt;0,$H105&gt;1)),"% de la subactividad fuera de rango 0-100%"&amp;" · ","")&amp;IF(AND(N($W105)&gt;0,SUMIFS($H$5:$H$1000,$U$5:$U$1000,ROW(),$V$5:$V$1000,"Sub")&gt;1.0001),"Las subactividades suman más de 100%"&amp;" · ","")&amp;IF(AND(N($W105)&gt;0,OR(IF(ISNUMBER($I105),ROUND($I105,6)&lt;&gt;ROUND(MIN(1,SUMIFS($AD$5:$AD$1000,$U$5:$U$1000,ROW(),$V$5:$V$1000,"Sub")),6),FALSE),IF(ISNUMBER($J105),ROUND($J105,6)&lt;&gt;ROUND(MIN(1,SUMIFS($AE$5:$AE$1000,$U$5:$U$1000,ROW(),$V$5:$V$1000,"Sub")),6),FALSE),IF(ISNUMBER($K105),ROUND($K105,6)&lt;&gt;ROUND(MIN(1,SUMIFS($AF$5:$AF$1000,$U$5:$U$1000,ROW(),$V$5:$V$1000,"Sub")),6),FALSE),IF(ISNUMBER($L105),ROUND($L105,6)&lt;&gt;ROUND(MIN(1,SUMIFS($AG$5:$AG$1000,$U$5:$U$1000,ROW(),$V$5:$V$1000,"Sub")),6),FALSE))),"Con subactividades: no escriba en las semanas (se llenan solas)"&amp;" · ","")&amp;IF((COUNTIF($I105:$L105,"&gt;1")+COUNTIF($I105:$L105,"&lt;0")+SUMPRODUCT((LEN($I105:$L105)&gt;0)*NOT(ISNUMBER($I105:$L105))))&gt;0,"Avance fuera de rango 0-100%"&amp;" · ","")&amp;IF(OR(AND(ISNUMBER($J105),$J105&lt;N($I105)),AND(ISNUMBER($K105),$K105&lt;MAX($I105:$J105)),AND(ISNUMBER($L105),$L105&lt;MAX($I105:$K105))),"Avance semanal decreciente"&amp;" · ","")&amp;IF(AND(ISNUMBER($AS105),$AS105&lt;FechaRef,IF($V105="Sub",1,N($M105))&lt;1),"Vencida"&amp;" · ","")&amp;IF(AND(ObsObligatoria="Sí",ISNUMBER($AS105),$AS105&lt;FechaRef,IF($V105="Sub",1,N($M105))&lt;1,$Q105=""),"Vencida sin observación"&amp;" · ",""))-3)))</f>
        <v/>
      </c>
      <c r="S105" s="64">
        <f>IF(NOT((COUNTA($B105:$D105)+COUNTA($G105:$H105)+COUNTA($Q105))&gt;0),"",IF(AND($V105="Sub",N($U105)&gt;0),IF(ISNUMBER(INDEX($AR$5:$AR$1000,$U105-4)),DATE(YEAR(INDEX($AR$5:$AR$1000,$U105-4)),MONTH(INDEX($AR$5:$AR$1000,$U105-4)),1),IF(ISNUMBER(INDEX($AS$5:$AS$1000,$U105-4)),DATE(YEAR(INDEX($AS$5:$AS$1000,$U105-4)),MONTH(INDEX($AS$5:$AS$1000,$U105-4)),1),MesCiclo)),IF(ISNUMBER($AR105),DATE(YEAR($AR105),MONTH($AR105),1),IF(ISNUMBER($AS105),DATE(YEAR($AS105),MONTH($AS105),1),MesCiclo))))</f>
        <v/>
      </c>
      <c r="T105" s="62">
        <f>IF(OR($S105="",$S105&lt;&gt;MesCiclo,$V105&lt;&gt;"Macro"),"",COUNTIFS($S$5:$S105,MesCiclo,$V$5:$V105,"Macro"))</f>
        <v/>
      </c>
      <c r="U105" s="62">
        <f>IF($V105="","",IF($V105="Macro",ROW(),IFERROR(LOOKUP(2,1/($V$5:$V105="Macro"),ROW($V$5:$V105)),0)))</f>
        <v/>
      </c>
      <c r="V105" s="62">
        <f>IF(NOT((COUNTA($B105:$D105)+COUNTA($G105:$H105)+COUNTA($Q105))&gt;0),"",IF($B105="Subactividad","Sub","Macro"))</f>
        <v/>
      </c>
      <c r="W105" s="62">
        <f>IF($V105="Macro",COUNTIFS($U$5:$U$1000,ROW(),$V$5:$V$1000,"Sub"),"")</f>
        <v/>
      </c>
      <c r="X105" s="62">
        <f>IF($V105&lt;&gt;"Sub","",IF(AND(ISNUMBER($H105),N($H105)&gt;0),$H105,IFERROR(MAX(0,1-SUMIFS($H$5:$H$1000,$U$5:$U$1000,$U105,$V$5:$V$1000,"Sub"))/(COUNTIFS($U$5:$U$1000,$U105,$V$5:$V$1000,"Sub")-COUNTIFS($U$5:$U$1000,$U105,$V$5:$V$1000,"Sub",$H$5:$H$1000,"&gt;0")),0)))</f>
        <v/>
      </c>
      <c r="Y105" s="62">
        <f>IF($V105="","",IF($V105="Sub",N($X105)*IF(ISNUMBER($G105),1,MIN(1,MAX(0,IFERROR(LOOKUP(2,1/ISNUMBER($I105:$L105),$I105:$L105),0)))),IF(ISNUMBER($G105),1,IFERROR(LOOKUP(2,1/($I105:$L105&lt;&gt;""),$I105:$L105),0))))</f>
        <v/>
      </c>
      <c r="Z105" s="62">
        <f>IF($V105="","",IF(AND(ISNUMBER($G105),$G105&lt;=IF($S105=MesCiclo,InicioCiclo,$S105+MOD(2-WEEKDAY($S105),7))+6),1,IF(ISNUMBER($I105),$I105,0)))</f>
        <v/>
      </c>
      <c r="AA105" s="62">
        <f>IF($V105="","",IF(AND(ISNUMBER($G105),$G105&lt;=IF($S105=MesCiclo,InicioCiclo,$S105+MOD(2-WEEKDAY($S105),7))+13),1,IF(ISNUMBER($J105),$J105,$Z105)))</f>
        <v/>
      </c>
      <c r="AB105" s="62">
        <f>IF($V105="","",IF(AND(ISNUMBER($G105),$G105&lt;=IF($S105=MesCiclo,InicioCiclo,$S105+MOD(2-WEEKDAY($S105),7))+20),1,IF(ISNUMBER($K105),$K105,$AA105)))</f>
        <v/>
      </c>
      <c r="AC105" s="62">
        <f>IF($V105="","",IF(AND(ISNUMBER($G105),$G105&lt;=IF($S105=MesCiclo,InicioCiclo,$S105+MOD(2-WEEKDAY($S105),7))+27),1,IF(ISNUMBER($L105),$L105,$AB105)))</f>
        <v/>
      </c>
      <c r="AD105" s="62">
        <f>IF($V105&lt;&gt;"Sub","",N($X105)*IF(AND(ISNUMBER($G105),$G105&lt;=IF($S105=MesCiclo,InicioCiclo,$S105+MOD(2-WEEKDAY($S105),7))+6),1,MIN(1,MAX(0,IF(ISNUMBER(OFFSET($A$1,ROW()-1,8)),OFFSET($A$1,ROW()-1,8),0)))))</f>
        <v/>
      </c>
      <c r="AE105" s="62">
        <f>IF($V105&lt;&gt;"Sub","",N($X105)*IF(AND(ISNUMBER($G105),$G105&lt;=IF($S105=MesCiclo,InicioCiclo,$S105+MOD(2-WEEKDAY($S105),7))+13),1,MIN(1,MAX(0,IF(ISNUMBER(OFFSET($A$1,ROW()-1,9)),OFFSET($A$1,ROW()-1,9),IF(ISNUMBER(OFFSET($A$1,ROW()-1,8)),OFFSET($A$1,ROW()-1,8),0))))))</f>
        <v/>
      </c>
      <c r="AF105" s="62">
        <f>IF($V105&lt;&gt;"Sub","",N($X105)*IF(AND(ISNUMBER($G105),$G105&lt;=IF($S105=MesCiclo,InicioCiclo,$S105+MOD(2-WEEKDAY($S105),7))+20),1,MIN(1,MAX(0,IF(ISNUMBER(OFFSET($A$1,ROW()-1,10)),OFFSET($A$1,ROW()-1,10),IF(ISNUMBER(OFFSET($A$1,ROW()-1,9)),OFFSET($A$1,ROW()-1,9),IF(ISNUMBER(OFFSET($A$1,ROW()-1,8)),OFFSET($A$1,ROW()-1,8),0)))))))</f>
        <v/>
      </c>
      <c r="AG105" s="62">
        <f>IF($V105&lt;&gt;"Sub","",N($X105)*IF(AND(ISNUMBER($G105),$G105&lt;=IF($S105=MesCiclo,InicioCiclo,$S105+MOD(2-WEEKDAY($S105),7))+27),1,MIN(1,MAX(0,IF(ISNUMBER(OFFSET($A$1,ROW()-1,11)),OFFSET($A$1,ROW()-1,11),IF(ISNUMBER(OFFSET($A$1,ROW()-1,10)),OFFSET($A$1,ROW()-1,10),IF(ISNUMBER(OFFSET($A$1,ROW()-1,9)),OFFSET($A$1,ROW()-1,9),IF(ISNUMBER(OFFSET($A$1,ROW()-1,8)),OFFSET($A$1,ROW()-1,8),0))))))))</f>
        <v/>
      </c>
      <c r="AH105" s="62">
        <f>IF($V105="","",IF(AND(ISNUMBER($G105),$G105&lt;=IF($S105=MesCiclo,InicioCiclo,$S105+MOD(2-WEEKDAY($S105),7))+6),1,IF(N($W105)&gt;0,MIN(1,SUMIFS($AD$5:$AD$1000,$U$5:$U$1000,ROW(),$V$5:$V$1000,"Sub")),$Z105)))</f>
        <v/>
      </c>
      <c r="AI105" s="62">
        <f>IF($V105="","",IF(AND(ISNUMBER($G105),$G105&lt;=IF($S105=MesCiclo,InicioCiclo,$S105+MOD(2-WEEKDAY($S105),7))+13),1,IF(N($W105)&gt;0,MIN(1,SUMIFS($AE$5:$AE$1000,$U$5:$U$1000,ROW(),$V$5:$V$1000,"Sub")),$AA105)))</f>
        <v/>
      </c>
      <c r="AJ105" s="62">
        <f>IF($V105="","",IF(AND(ISNUMBER($G105),$G105&lt;=IF($S105=MesCiclo,InicioCiclo,$S105+MOD(2-WEEKDAY($S105),7))+20),1,IF(N($W105)&gt;0,MIN(1,SUMIFS($AF$5:$AF$1000,$U$5:$U$1000,ROW(),$V$5:$V$1000,"Sub")),$AB105)))</f>
        <v/>
      </c>
      <c r="AK105" s="62">
        <f>IF($V105="","",IF(AND(ISNUMBER($G105),$G105&lt;=IF($S105=MesCiclo,InicioCiclo,$S105+MOD(2-WEEKDAY($S105),7))+27),1,IF(N($W105)&gt;0,MIN(1,SUMIFS($AG$5:$AG$1000,$U$5:$U$1000,ROW(),$V$5:$V$1000,"Sub")),$AC105)))</f>
        <v/>
      </c>
      <c r="AL105" s="62">
        <f>IF($V105&lt;&gt;"Macro","",IF(COUNTIFS($S$5:$S$1000,$S105,$V$5:$V$1000,"Macro",$H$5:$H$1000,"&gt;0")=0,1/COUNTIFS($S$5:$S$1000,$S105,$V$5:$V$1000,"Macro"),IF(AND(ISNUMBER($H105),N($H105)&gt;0),$H105,SUMIFS($H$5:$H$1000,$S$5:$S$1000,$S105,$V$5:$V$1000,"Macro")/COUNTIFS($S$5:$S$1000,$S105,$V$5:$V$1000,"Macro",$H$5:$H$1000,"&gt;0"))/(COUNTIFS($S$5:$S$1000,$S105,$V$5:$V$1000,"Macro")*SUMIFS($H$5:$H$1000,$S$5:$S$1000,$S105,$V$5:$V$1000,"Macro")/COUNTIFS($S$5:$S$1000,$S105,$V$5:$V$1000,"Macro",$H$5:$H$1000,"&gt;0"))))</f>
        <v/>
      </c>
      <c r="AM105" s="62" t="n"/>
      <c r="AN105" s="62" t="n"/>
      <c r="AO105" s="62" t="n"/>
      <c r="AP105" s="62" t="n"/>
      <c r="AQ105" s="62">
        <f>IF(LEFT($C105,11)="[Jefatura] ",IFERROR(MATCH("Asistente Técnico de Riesgo|"&amp;MID($C105,12,500),rDname_ADM,0),0),"")</f>
        <v/>
      </c>
      <c r="AR105" s="62">
        <f>IF(N($AQ105)&gt;0,INDEX(rIni_ADM,$AQ105),IF(ISNUMBER($E105),$E105,""))</f>
        <v/>
      </c>
      <c r="AS105" s="62">
        <f>IF(N($AQ105)&gt;0,INDEX(rLim_ADM,$AQ105),IF(ISNUMBER($F105),$F105,""))</f>
        <v/>
      </c>
    </row>
    <row r="106">
      <c r="A106" s="56">
        <f>IF(NOT((COUNTA($B106:$D106)+COUNTA($G106:$H106)+COUNTA($Q106))&gt;0),"",IF($V106="Macro",COUNTIFS($V$5:$V106,"Macro",$S$5:$S106,$S106),IF(N($U106)=0,"?",COUNTIFS(INDEX($V$5:$V$1000,1):INDEX($V$5:$V$1000,$U106-4),"Macro",INDEX($S$5:$S$1000,1):INDEX($S$5:$S$1000,$U106-4),INDEX($S$5:$S$1000,$U106-4))&amp;"."&amp;COUNTIFS($U$5:$U106,$U106,$V$5:$V106,"Sub"))))</f>
        <v/>
      </c>
      <c r="B106" s="57" t="n"/>
      <c r="C106" s="58" t="n"/>
      <c r="D106" s="58" t="n"/>
      <c r="E106" s="59">
        <f>IF(N($AQ106)&gt;0,INDEX(rIni_ADM,$AQ106),"")</f>
        <v/>
      </c>
      <c r="F106" s="59">
        <f>IF(N($AQ106)&gt;0,INDEX(rLim_ADM,$AQ106),"")</f>
        <v/>
      </c>
      <c r="G106" s="59" t="n"/>
      <c r="H106" s="60" t="n"/>
      <c r="I106" s="60">
        <f>IF(N($W106)=0,"",IF(AND($S106=MesCiclo,1&gt;SemanaActual),"",MIN(1,SUMIFS(OFFSET($A$1,ROW(),29,1000-ROW(),1),OFFSET($A$1,ROW(),20,1000-ROW(),1),ROW(),OFFSET($A$1,ROW(),21,1000-ROW(),1),"Sub"))))</f>
        <v/>
      </c>
      <c r="J106" s="60">
        <f>IF(N($W106)=0,"",IF(AND($S106=MesCiclo,2&gt;SemanaActual),"",MIN(1,SUMIFS(OFFSET($A$1,ROW(),30,1000-ROW(),1),OFFSET($A$1,ROW(),20,1000-ROW(),1),ROW(),OFFSET($A$1,ROW(),21,1000-ROW(),1),"Sub"))))</f>
        <v/>
      </c>
      <c r="K106" s="60">
        <f>IF(N($W106)=0,"",IF(AND($S106=MesCiclo,3&gt;SemanaActual),"",MIN(1,SUMIFS(OFFSET($A$1,ROW(),31,1000-ROW(),1),OFFSET($A$1,ROW(),20,1000-ROW(),1),ROW(),OFFSET($A$1,ROW(),21,1000-ROW(),1),"Sub"))))</f>
        <v/>
      </c>
      <c r="L106" s="60">
        <f>IF(N($W106)=0,"",IF(AND($S106=MesCiclo,4&gt;SemanaActual),"",MIN(1,SUMIFS(OFFSET($A$1,ROW(),32,1000-ROW(),1),OFFSET($A$1,ROW(),20,1000-ROW(),1),ROW(),OFFSET($A$1,ROW(),21,1000-ROW(),1),"Sub"))))</f>
        <v/>
      </c>
      <c r="M106" s="61">
        <f>IF(OR(NOT((COUNTA($B106:$D106)+COUNTA($G106:$H106)+COUNTA($Q106))&gt;0),$V106="Sub"),"",IF(ISNUMBER($G106),1,IF(N($W106)&gt;0,MIN(1,SUMIFS($Y$5:$Y$1000,$U$5:$U$1000,ROW(),$V$5:$V$1000,"Sub")),$Y106)))</f>
        <v/>
      </c>
      <c r="N106" s="56">
        <f>IF(OR($M106="",$V106="Sub"),"",IF($M106&gt;=1,"Completado",IF($M106&gt;0,"En curso","Pendiente")))</f>
        <v/>
      </c>
      <c r="O106" s="56">
        <f>IF(OR(NOT((COUNTA($B106:$D106)+COUNTA($G106:$H106)+COUNTA($Q106))&gt;0),$V106="Sub"),"",IF(ISNUMBER($G106),IF(AND(ISNUMBER($AS106),$G106&gt;$AS106),"Cumplida con "&amp;($G106-$AS106)&amp;IF($G106-$AS106=1," día"," días")&amp;" de retraso","Cumplida"),IF(N($M106)&gt;=1,"Cumplida",IF(NOT(ISNUMBER($AS106)),"Sin fecha límite",IF($AS106&lt;FechaRef,"Vencida hace "&amp;(FechaRef-$AS106)&amp;IF(FechaRef-$AS106=1," día"," días"),IF($AS106=FechaRef,"Vence hoy",IF($AS106-FechaRef&lt;=DiasAlerta,"Vence en "&amp;($AS106-FechaRef)&amp;IF($AS106-FechaRef=1," día"," días"),"En plazo")))))))</f>
        <v/>
      </c>
      <c r="P106" s="62" t="n"/>
      <c r="Q106" s="58" t="n"/>
      <c r="R106" s="63">
        <f>IF(NOT((COUNTA($B106:$D106)+COUNTA($G106:$H106)+COUNTA($Q106))&gt;0),"",IF((IF($C106="","Falta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 OK","⚠ "&amp;LEFT(IF($C106="","Falta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",""),LEN(IF($C106="","Falta el nombre de la actividad"&amp;" · ","")&amp;IF(AND($V106="Sub",N($U106)=0),"Subactividad sin macroactividad arriba"&amp;" · ","")&amp;IF(AND($V106="Macro",$AR106=""),"Sin fecha de inicio"&amp;" · ","")&amp;IF(AND($V106="Macro",$AS106=""),"Sin fecha límite"&amp;" · ","")&amp;IF(AND(LEFT($C106,11)="[Jefatura] ",N($AQ106)=0),"No se encuentra en la hoja de la jefatura (elíjala de nuevo en la lista)"&amp;" · ","")&amp;IF(OR(AND($E106&lt;&gt;"",NOT(ISNUMBER($E106))),AND($F106&lt;&gt;"",NOT(ISNUMBER($F106))),AND($G106&lt;&gt;"",NOT(ISNUMBER($G106)))),"Fecha no válida"&amp;" · ","")&amp;IF(AND(ISNUMBER($AR106),ISNUMBER($AS106),$AR106&gt;$AS106),"Inicio posterior a fecha límite"&amp;" · ","")&amp;IF(AND($V106="Macro",$H106&lt;&gt;"",OR(NOT(ISNUMBER($H106)),$H106&lt;0,$H106&gt;1)),"Peso fuera de rango"&amp;" · ","")&amp;IF(AND($V106="Sub",$H106&lt;&gt;"",OR(NOT(ISNUMBER($H106)),$H106&lt;0,$H106&gt;1)),"% de la subactividad fuera de rango 0-100%"&amp;" · ","")&amp;IF(AND(N($W106)&gt;0,SUMIFS($H$5:$H$1000,$U$5:$U$1000,ROW(),$V$5:$V$1000,"Sub")&gt;1.0001),"Las subactividades suman más de 100%"&amp;" · ","")&amp;IF(AND(N($W106)&gt;0,OR(IF(ISNUMBER($I106),ROUND($I106,6)&lt;&gt;ROUND(MIN(1,SUMIFS($AD$5:$AD$1000,$U$5:$U$1000,ROW(),$V$5:$V$1000,"Sub")),6),FALSE),IF(ISNUMBER($J106),ROUND($J106,6)&lt;&gt;ROUND(MIN(1,SUMIFS($AE$5:$AE$1000,$U$5:$U$1000,ROW(),$V$5:$V$1000,"Sub")),6),FALSE),IF(ISNUMBER($K106),ROUND($K106,6)&lt;&gt;ROUND(MIN(1,SUMIFS($AF$5:$AF$1000,$U$5:$U$1000,ROW(),$V$5:$V$1000,"Sub")),6),FALSE),IF(ISNUMBER($L106),ROUND($L106,6)&lt;&gt;ROUND(MIN(1,SUMIFS($AG$5:$AG$1000,$U$5:$U$1000,ROW(),$V$5:$V$1000,"Sub")),6),FALSE))),"Con subactividades: no escriba en las semanas (se llenan solas)"&amp;" · ","")&amp;IF((COUNTIF($I106:$L106,"&gt;1")+COUNTIF($I106:$L106,"&lt;0")+SUMPRODUCT((LEN($I106:$L106)&gt;0)*NOT(ISNUMBER($I106:$L106))))&gt;0,"Avance fuera de rango 0-100%"&amp;" · ","")&amp;IF(OR(AND(ISNUMBER($J106),$J106&lt;N($I106)),AND(ISNUMBER($K106),$K106&lt;MAX($I106:$J106)),AND(ISNUMBER($L106),$L106&lt;MAX($I106:$K106))),"Avance semanal decreciente"&amp;" · ","")&amp;IF(AND(ISNUMBER($AS106),$AS106&lt;FechaRef,IF($V106="Sub",1,N($M106))&lt;1),"Vencida"&amp;" · ","")&amp;IF(AND(ObsObligatoria="Sí",ISNUMBER($AS106),$AS106&lt;FechaRef,IF($V106="Sub",1,N($M106))&lt;1,$Q106=""),"Vencida sin observación"&amp;" · ",""))-3)))</f>
        <v/>
      </c>
      <c r="S106" s="64">
        <f>IF(NOT((COUNTA($B106:$D106)+COUNTA($G106:$H106)+COUNTA($Q106))&gt;0),"",IF(AND($V106="Sub",N($U106)&gt;0),IF(ISNUMBER(INDEX($AR$5:$AR$1000,$U106-4)),DATE(YEAR(INDEX($AR$5:$AR$1000,$U106-4)),MONTH(INDEX($AR$5:$AR$1000,$U106-4)),1),IF(ISNUMBER(INDEX($AS$5:$AS$1000,$U106-4)),DATE(YEAR(INDEX($AS$5:$AS$1000,$U106-4)),MONTH(INDEX($AS$5:$AS$1000,$U106-4)),1),MesCiclo)),IF(ISNUMBER($AR106),DATE(YEAR($AR106),MONTH($AR106),1),IF(ISNUMBER($AS106),DATE(YEAR($AS106),MONTH($AS106),1),MesCiclo))))</f>
        <v/>
      </c>
      <c r="T106" s="62">
        <f>IF(OR($S106="",$S106&lt;&gt;MesCiclo,$V106&lt;&gt;"Macro"),"",COUNTIFS($S$5:$S106,MesCiclo,$V$5:$V106,"Macro"))</f>
        <v/>
      </c>
      <c r="U106" s="62">
        <f>IF($V106="","",IF($V106="Macro",ROW(),IFERROR(LOOKUP(2,1/($V$5:$V106="Macro"),ROW($V$5:$V106)),0)))</f>
        <v/>
      </c>
      <c r="V106" s="62">
        <f>IF(NOT((COUNTA($B106:$D106)+COUNTA($G106:$H106)+COUNTA($Q106))&gt;0),"",IF($B106="Subactividad","Sub","Macro"))</f>
        <v/>
      </c>
      <c r="W106" s="62">
        <f>IF($V106="Macro",COUNTIFS($U$5:$U$1000,ROW(),$V$5:$V$1000,"Sub"),"")</f>
        <v/>
      </c>
      <c r="X106" s="62">
        <f>IF($V106&lt;&gt;"Sub","",IF(AND(ISNUMBER($H106),N($H106)&gt;0),$H106,IFERROR(MAX(0,1-SUMIFS($H$5:$H$1000,$U$5:$U$1000,$U106,$V$5:$V$1000,"Sub"))/(COUNTIFS($U$5:$U$1000,$U106,$V$5:$V$1000,"Sub")-COUNTIFS($U$5:$U$1000,$U106,$V$5:$V$1000,"Sub",$H$5:$H$1000,"&gt;0")),0)))</f>
        <v/>
      </c>
      <c r="Y106" s="62">
        <f>IF($V106="","",IF($V106="Sub",N($X106)*IF(ISNUMBER($G106),1,MIN(1,MAX(0,IFERROR(LOOKUP(2,1/ISNUMBER($I106:$L106),$I106:$L106),0)))),IF(ISNUMBER($G106),1,IFERROR(LOOKUP(2,1/($I106:$L106&lt;&gt;""),$I106:$L106),0))))</f>
        <v/>
      </c>
      <c r="Z106" s="62">
        <f>IF($V106="","",IF(AND(ISNUMBER($G106),$G106&lt;=IF($S106=MesCiclo,InicioCiclo,$S106+MOD(2-WEEKDAY($S106),7))+6),1,IF(ISNUMBER($I106),$I106,0)))</f>
        <v/>
      </c>
      <c r="AA106" s="62">
        <f>IF($V106="","",IF(AND(ISNUMBER($G106),$G106&lt;=IF($S106=MesCiclo,InicioCiclo,$S106+MOD(2-WEEKDAY($S106),7))+13),1,IF(ISNUMBER($J106),$J106,$Z106)))</f>
        <v/>
      </c>
      <c r="AB106" s="62">
        <f>IF($V106="","",IF(AND(ISNUMBER($G106),$G106&lt;=IF($S106=MesCiclo,InicioCiclo,$S106+MOD(2-WEEKDAY($S106),7))+20),1,IF(ISNUMBER($K106),$K106,$AA106)))</f>
        <v/>
      </c>
      <c r="AC106" s="62">
        <f>IF($V106="","",IF(AND(ISNUMBER($G106),$G106&lt;=IF($S106=MesCiclo,InicioCiclo,$S106+MOD(2-WEEKDAY($S106),7))+27),1,IF(ISNUMBER($L106),$L106,$AB106)))</f>
        <v/>
      </c>
      <c r="AD106" s="62">
        <f>IF($V106&lt;&gt;"Sub","",N($X106)*IF(AND(ISNUMBER($G106),$G106&lt;=IF($S106=MesCiclo,InicioCiclo,$S106+MOD(2-WEEKDAY($S106),7))+6),1,MIN(1,MAX(0,IF(ISNUMBER(OFFSET($A$1,ROW()-1,8)),OFFSET($A$1,ROW()-1,8),0)))))</f>
        <v/>
      </c>
      <c r="AE106" s="62">
        <f>IF($V106&lt;&gt;"Sub","",N($X106)*IF(AND(ISNUMBER($G106),$G106&lt;=IF($S106=MesCiclo,InicioCiclo,$S106+MOD(2-WEEKDAY($S106),7))+13),1,MIN(1,MAX(0,IF(ISNUMBER(OFFSET($A$1,ROW()-1,9)),OFFSET($A$1,ROW()-1,9),IF(ISNUMBER(OFFSET($A$1,ROW()-1,8)),OFFSET($A$1,ROW()-1,8),0))))))</f>
        <v/>
      </c>
      <c r="AF106" s="62">
        <f>IF($V106&lt;&gt;"Sub","",N($X106)*IF(AND(ISNUMBER($G106),$G106&lt;=IF($S106=MesCiclo,InicioCiclo,$S106+MOD(2-WEEKDAY($S106),7))+20),1,MIN(1,MAX(0,IF(ISNUMBER(OFFSET($A$1,ROW()-1,10)),OFFSET($A$1,ROW()-1,10),IF(ISNUMBER(OFFSET($A$1,ROW()-1,9)),OFFSET($A$1,ROW()-1,9),IF(ISNUMBER(OFFSET($A$1,ROW()-1,8)),OFFSET($A$1,ROW()-1,8),0)))))))</f>
        <v/>
      </c>
      <c r="AG106" s="62">
        <f>IF($V106&lt;&gt;"Sub","",N($X106)*IF(AND(ISNUMBER($G106),$G106&lt;=IF($S106=MesCiclo,InicioCiclo,$S106+MOD(2-WEEKDAY($S106),7))+27),1,MIN(1,MAX(0,IF(ISNUMBER(OFFSET($A$1,ROW()-1,11)),OFFSET($A$1,ROW()-1,11),IF(ISNUMBER(OFFSET($A$1,ROW()-1,10)),OFFSET($A$1,ROW()-1,10),IF(ISNUMBER(OFFSET($A$1,ROW()-1,9)),OFFSET($A$1,ROW()-1,9),IF(ISNUMBER(OFFSET($A$1,ROW()-1,8)),OFFSET($A$1,ROW()-1,8),0))))))))</f>
        <v/>
      </c>
      <c r="AH106" s="62">
        <f>IF($V106="","",IF(AND(ISNUMBER($G106),$G106&lt;=IF($S106=MesCiclo,InicioCiclo,$S106+MOD(2-WEEKDAY($S106),7))+6),1,IF(N($W106)&gt;0,MIN(1,SUMIFS($AD$5:$AD$1000,$U$5:$U$1000,ROW(),$V$5:$V$1000,"Sub")),$Z106)))</f>
        <v/>
      </c>
      <c r="AI106" s="62">
        <f>IF($V106="","",IF(AND(ISNUMBER($G106),$G106&lt;=IF($S106=MesCiclo,InicioCiclo,$S106+MOD(2-WEEKDAY($S106),7))+13),1,IF(N($W106)&gt;0,MIN(1,SUMIFS($AE$5:$AE$1000,$U$5:$U$1000,ROW(),$V$5:$V$1000,"Sub")),$AA106)))</f>
        <v/>
      </c>
      <c r="AJ106" s="62">
        <f>IF($V106="","",IF(AND(ISNUMBER($G106),$G106&lt;=IF($S106=MesCiclo,InicioCiclo,$S106+MOD(2-WEEKDAY($S106),7))+20),1,IF(N($W106)&gt;0,MIN(1,SUMIFS($AF$5:$AF$1000,$U$5:$U$1000,ROW(),$V$5:$V$1000,"Sub")),$AB106)))</f>
        <v/>
      </c>
      <c r="AK106" s="62">
        <f>IF($V106="","",IF(AND(ISNUMBER($G106),$G106&lt;=IF($S106=MesCiclo,InicioCiclo,$S106+MOD(2-WEEKDAY($S106),7))+27),1,IF(N($W106)&gt;0,MIN(1,SUMIFS($AG$5:$AG$1000,$U$5:$U$1000,ROW(),$V$5:$V$1000,"Sub")),$AC106)))</f>
        <v/>
      </c>
      <c r="AL106" s="62">
        <f>IF($V106&lt;&gt;"Macro","",IF(COUNTIFS($S$5:$S$1000,$S106,$V$5:$V$1000,"Macro",$H$5:$H$1000,"&gt;0")=0,1/COUNTIFS($S$5:$S$1000,$S106,$V$5:$V$1000,"Macro"),IF(AND(ISNUMBER($H106),N($H106)&gt;0),$H106,SUMIFS($H$5:$H$1000,$S$5:$S$1000,$S106,$V$5:$V$1000,"Macro")/COUNTIFS($S$5:$S$1000,$S106,$V$5:$V$1000,"Macro",$H$5:$H$1000,"&gt;0"))/(COUNTIFS($S$5:$S$1000,$S106,$V$5:$V$1000,"Macro")*SUMIFS($H$5:$H$1000,$S$5:$S$1000,$S106,$V$5:$V$1000,"Macro")/COUNTIFS($S$5:$S$1000,$S106,$V$5:$V$1000,"Macro",$H$5:$H$1000,"&gt;0"))))</f>
        <v/>
      </c>
      <c r="AM106" s="62" t="n"/>
      <c r="AN106" s="62" t="n"/>
      <c r="AO106" s="62" t="n"/>
      <c r="AP106" s="62" t="n"/>
      <c r="AQ106" s="62">
        <f>IF(LEFT($C106,11)="[Jefatura] ",IFERROR(MATCH("Asistente Técnico de Riesgo|"&amp;MID($C106,12,500),rDname_ADM,0),0),"")</f>
        <v/>
      </c>
      <c r="AR106" s="62">
        <f>IF(N($AQ106)&gt;0,INDEX(rIni_ADM,$AQ106),IF(ISNUMBER($E106),$E106,""))</f>
        <v/>
      </c>
      <c r="AS106" s="62">
        <f>IF(N($AQ106)&gt;0,INDEX(rLim_ADM,$AQ106),IF(ISNUMBER($F106),$F106,""))</f>
        <v/>
      </c>
    </row>
    <row r="107">
      <c r="A107" s="56">
        <f>IF(NOT((COUNTA($B107:$D107)+COUNTA($G107:$H107)+COUNTA($Q107))&gt;0),"",IF($V107="Macro",COUNTIFS($V$5:$V107,"Macro",$S$5:$S107,$S107),IF(N($U107)=0,"?",COUNTIFS(INDEX($V$5:$V$1000,1):INDEX($V$5:$V$1000,$U107-4),"Macro",INDEX($S$5:$S$1000,1):INDEX($S$5:$S$1000,$U107-4),INDEX($S$5:$S$1000,$U107-4))&amp;"."&amp;COUNTIFS($U$5:$U107,$U107,$V$5:$V107,"Sub"))))</f>
        <v/>
      </c>
      <c r="B107" s="57" t="n"/>
      <c r="C107" s="58" t="n"/>
      <c r="D107" s="58" t="n"/>
      <c r="E107" s="59">
        <f>IF(N($AQ107)&gt;0,INDEX(rIni_ADM,$AQ107),"")</f>
        <v/>
      </c>
      <c r="F107" s="59">
        <f>IF(N($AQ107)&gt;0,INDEX(rLim_ADM,$AQ107),"")</f>
        <v/>
      </c>
      <c r="G107" s="59" t="n"/>
      <c r="H107" s="60" t="n"/>
      <c r="I107" s="60">
        <f>IF(N($W107)=0,"",IF(AND($S107=MesCiclo,1&gt;SemanaActual),"",MIN(1,SUMIFS(OFFSET($A$1,ROW(),29,1000-ROW(),1),OFFSET($A$1,ROW(),20,1000-ROW(),1),ROW(),OFFSET($A$1,ROW(),21,1000-ROW(),1),"Sub"))))</f>
        <v/>
      </c>
      <c r="J107" s="60">
        <f>IF(N($W107)=0,"",IF(AND($S107=MesCiclo,2&gt;SemanaActual),"",MIN(1,SUMIFS(OFFSET($A$1,ROW(),30,1000-ROW(),1),OFFSET($A$1,ROW(),20,1000-ROW(),1),ROW(),OFFSET($A$1,ROW(),21,1000-ROW(),1),"Sub"))))</f>
        <v/>
      </c>
      <c r="K107" s="60">
        <f>IF(N($W107)=0,"",IF(AND($S107=MesCiclo,3&gt;SemanaActual),"",MIN(1,SUMIFS(OFFSET($A$1,ROW(),31,1000-ROW(),1),OFFSET($A$1,ROW(),20,1000-ROW(),1),ROW(),OFFSET($A$1,ROW(),21,1000-ROW(),1),"Sub"))))</f>
        <v/>
      </c>
      <c r="L107" s="60">
        <f>IF(N($W107)=0,"",IF(AND($S107=MesCiclo,4&gt;SemanaActual),"",MIN(1,SUMIFS(OFFSET($A$1,ROW(),32,1000-ROW(),1),OFFSET($A$1,ROW(),20,1000-ROW(),1),ROW(),OFFSET($A$1,ROW(),21,1000-ROW(),1),"Sub"))))</f>
        <v/>
      </c>
      <c r="M107" s="61">
        <f>IF(OR(NOT((COUNTA($B107:$D107)+COUNTA($G107:$H107)+COUNTA($Q107))&gt;0),$V107="Sub"),"",IF(ISNUMBER($G107),1,IF(N($W107)&gt;0,MIN(1,SUMIFS($Y$5:$Y$1000,$U$5:$U$1000,ROW(),$V$5:$V$1000,"Sub")),$Y107)))</f>
        <v/>
      </c>
      <c r="N107" s="56">
        <f>IF(OR($M107="",$V107="Sub"),"",IF($M107&gt;=1,"Completado",IF($M107&gt;0,"En curso","Pendiente")))</f>
        <v/>
      </c>
      <c r="O107" s="56">
        <f>IF(OR(NOT((COUNTA($B107:$D107)+COUNTA($G107:$H107)+COUNTA($Q107))&gt;0),$V107="Sub"),"",IF(ISNUMBER($G107),IF(AND(ISNUMBER($AS107),$G107&gt;$AS107),"Cumplida con "&amp;($G107-$AS107)&amp;IF($G107-$AS107=1," día"," días")&amp;" de retraso","Cumplida"),IF(N($M107)&gt;=1,"Cumplida",IF(NOT(ISNUMBER($AS107)),"Sin fecha límite",IF($AS107&lt;FechaRef,"Vencida hace "&amp;(FechaRef-$AS107)&amp;IF(FechaRef-$AS107=1," día"," días"),IF($AS107=FechaRef,"Vence hoy",IF($AS107-FechaRef&lt;=DiasAlerta,"Vence en "&amp;($AS107-FechaRef)&amp;IF($AS107-FechaRef=1," día"," días"),"En plazo")))))))</f>
        <v/>
      </c>
      <c r="P107" s="62" t="n"/>
      <c r="Q107" s="58" t="n"/>
      <c r="R107" s="63">
        <f>IF(NOT((COUNTA($B107:$D107)+COUNTA($G107:$H107)+COUNTA($Q107))&gt;0),"",IF((IF($C107="","Falta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 OK","⚠ "&amp;LEFT(IF($C107="","Falta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",""),LEN(IF($C107="","Falta el nombre de la actividad"&amp;" · ","")&amp;IF(AND($V107="Sub",N($U107)=0),"Subactividad sin macroactividad arriba"&amp;" · ","")&amp;IF(AND($V107="Macro",$AR107=""),"Sin fecha de inicio"&amp;" · ","")&amp;IF(AND($V107="Macro",$AS107=""),"Sin fecha límite"&amp;" · ","")&amp;IF(AND(LEFT($C107,11)="[Jefatura] ",N($AQ107)=0),"No se encuentra en la hoja de la jefatura (elíjala de nuevo en la lista)"&amp;" · ","")&amp;IF(OR(AND($E107&lt;&gt;"",NOT(ISNUMBER($E107))),AND($F107&lt;&gt;"",NOT(ISNUMBER($F107))),AND($G107&lt;&gt;"",NOT(ISNUMBER($G107)))),"Fecha no válida"&amp;" · ","")&amp;IF(AND(ISNUMBER($AR107),ISNUMBER($AS107),$AR107&gt;$AS107),"Inicio posterior a fecha límite"&amp;" · ","")&amp;IF(AND($V107="Macro",$H107&lt;&gt;"",OR(NOT(ISNUMBER($H107)),$H107&lt;0,$H107&gt;1)),"Peso fuera de rango"&amp;" · ","")&amp;IF(AND($V107="Sub",$H107&lt;&gt;"",OR(NOT(ISNUMBER($H107)),$H107&lt;0,$H107&gt;1)),"% de la subactividad fuera de rango 0-100%"&amp;" · ","")&amp;IF(AND(N($W107)&gt;0,SUMIFS($H$5:$H$1000,$U$5:$U$1000,ROW(),$V$5:$V$1000,"Sub")&gt;1.0001),"Las subactividades suman más de 100%"&amp;" · ","")&amp;IF(AND(N($W107)&gt;0,OR(IF(ISNUMBER($I107),ROUND($I107,6)&lt;&gt;ROUND(MIN(1,SUMIFS($AD$5:$AD$1000,$U$5:$U$1000,ROW(),$V$5:$V$1000,"Sub")),6),FALSE),IF(ISNUMBER($J107),ROUND($J107,6)&lt;&gt;ROUND(MIN(1,SUMIFS($AE$5:$AE$1000,$U$5:$U$1000,ROW(),$V$5:$V$1000,"Sub")),6),FALSE),IF(ISNUMBER($K107),ROUND($K107,6)&lt;&gt;ROUND(MIN(1,SUMIFS($AF$5:$AF$1000,$U$5:$U$1000,ROW(),$V$5:$V$1000,"Sub")),6),FALSE),IF(ISNUMBER($L107),ROUND($L107,6)&lt;&gt;ROUND(MIN(1,SUMIFS($AG$5:$AG$1000,$U$5:$U$1000,ROW(),$V$5:$V$1000,"Sub")),6),FALSE))),"Con subactividades: no escriba en las semanas (se llenan solas)"&amp;" · ","")&amp;IF((COUNTIF($I107:$L107,"&gt;1")+COUNTIF($I107:$L107,"&lt;0")+SUMPRODUCT((LEN($I107:$L107)&gt;0)*NOT(ISNUMBER($I107:$L107))))&gt;0,"Avance fuera de rango 0-100%"&amp;" · ","")&amp;IF(OR(AND(ISNUMBER($J107),$J107&lt;N($I107)),AND(ISNUMBER($K107),$K107&lt;MAX($I107:$J107)),AND(ISNUMBER($L107),$L107&lt;MAX($I107:$K107))),"Avance semanal decreciente"&amp;" · ","")&amp;IF(AND(ISNUMBER($AS107),$AS107&lt;FechaRef,IF($V107="Sub",1,N($M107))&lt;1),"Vencida"&amp;" · ","")&amp;IF(AND(ObsObligatoria="Sí",ISNUMBER($AS107),$AS107&lt;FechaRef,IF($V107="Sub",1,N($M107))&lt;1,$Q107=""),"Vencida sin observación"&amp;" · ",""))-3)))</f>
        <v/>
      </c>
      <c r="S107" s="64">
        <f>IF(NOT((COUNTA($B107:$D107)+COUNTA($G107:$H107)+COUNTA($Q107))&gt;0),"",IF(AND($V107="Sub",N($U107)&gt;0),IF(ISNUMBER(INDEX($AR$5:$AR$1000,$U107-4)),DATE(YEAR(INDEX($AR$5:$AR$1000,$U107-4)),MONTH(INDEX($AR$5:$AR$1000,$U107-4)),1),IF(ISNUMBER(INDEX($AS$5:$AS$1000,$U107-4)),DATE(YEAR(INDEX($AS$5:$AS$1000,$U107-4)),MONTH(INDEX($AS$5:$AS$1000,$U107-4)),1),MesCiclo)),IF(ISNUMBER($AR107),DATE(YEAR($AR107),MONTH($AR107),1),IF(ISNUMBER($AS107),DATE(YEAR($AS107),MONTH($AS107),1),MesCiclo))))</f>
        <v/>
      </c>
      <c r="T107" s="62">
        <f>IF(OR($S107="",$S107&lt;&gt;MesCiclo,$V107&lt;&gt;"Macro"),"",COUNTIFS($S$5:$S107,MesCiclo,$V$5:$V107,"Macro"))</f>
        <v/>
      </c>
      <c r="U107" s="62">
        <f>IF($V107="","",IF($V107="Macro",ROW(),IFERROR(LOOKUP(2,1/($V$5:$V107="Macro"),ROW($V$5:$V107)),0)))</f>
        <v/>
      </c>
      <c r="V107" s="62">
        <f>IF(NOT((COUNTA($B107:$D107)+COUNTA($G107:$H107)+COUNTA($Q107))&gt;0),"",IF($B107="Subactividad","Sub","Macro"))</f>
        <v/>
      </c>
      <c r="W107" s="62">
        <f>IF($V107="Macro",COUNTIFS($U$5:$U$1000,ROW(),$V$5:$V$1000,"Sub"),"")</f>
        <v/>
      </c>
      <c r="X107" s="62">
        <f>IF($V107&lt;&gt;"Sub","",IF(AND(ISNUMBER($H107),N($H107)&gt;0),$H107,IFERROR(MAX(0,1-SUMIFS($H$5:$H$1000,$U$5:$U$1000,$U107,$V$5:$V$1000,"Sub"))/(COUNTIFS($U$5:$U$1000,$U107,$V$5:$V$1000,"Sub")-COUNTIFS($U$5:$U$1000,$U107,$V$5:$V$1000,"Sub",$H$5:$H$1000,"&gt;0")),0)))</f>
        <v/>
      </c>
      <c r="Y107" s="62">
        <f>IF($V107="","",IF($V107="Sub",N($X107)*IF(ISNUMBER($G107),1,MIN(1,MAX(0,IFERROR(LOOKUP(2,1/ISNUMBER($I107:$L107),$I107:$L107),0)))),IF(ISNUMBER($G107),1,IFERROR(LOOKUP(2,1/($I107:$L107&lt;&gt;""),$I107:$L107),0))))</f>
        <v/>
      </c>
      <c r="Z107" s="62">
        <f>IF($V107="","",IF(AND(ISNUMBER($G107),$G107&lt;=IF($S107=MesCiclo,InicioCiclo,$S107+MOD(2-WEEKDAY($S107),7))+6),1,IF(ISNUMBER($I107),$I107,0)))</f>
        <v/>
      </c>
      <c r="AA107" s="62">
        <f>IF($V107="","",IF(AND(ISNUMBER($G107),$G107&lt;=IF($S107=MesCiclo,InicioCiclo,$S107+MOD(2-WEEKDAY($S107),7))+13),1,IF(ISNUMBER($J107),$J107,$Z107)))</f>
        <v/>
      </c>
      <c r="AB107" s="62">
        <f>IF($V107="","",IF(AND(ISNUMBER($G107),$G107&lt;=IF($S107=MesCiclo,InicioCiclo,$S107+MOD(2-WEEKDAY($S107),7))+20),1,IF(ISNUMBER($K107),$K107,$AA107)))</f>
        <v/>
      </c>
      <c r="AC107" s="62">
        <f>IF($V107="","",IF(AND(ISNUMBER($G107),$G107&lt;=IF($S107=MesCiclo,InicioCiclo,$S107+MOD(2-WEEKDAY($S107),7))+27),1,IF(ISNUMBER($L107),$L107,$AB107)))</f>
        <v/>
      </c>
      <c r="AD107" s="62">
        <f>IF($V107&lt;&gt;"Sub","",N($X107)*IF(AND(ISNUMBER($G107),$G107&lt;=IF($S107=MesCiclo,InicioCiclo,$S107+MOD(2-WEEKDAY($S107),7))+6),1,MIN(1,MAX(0,IF(ISNUMBER(OFFSET($A$1,ROW()-1,8)),OFFSET($A$1,ROW()-1,8),0)))))</f>
        <v/>
      </c>
      <c r="AE107" s="62">
        <f>IF($V107&lt;&gt;"Sub","",N($X107)*IF(AND(ISNUMBER($G107),$G107&lt;=IF($S107=MesCiclo,InicioCiclo,$S107+MOD(2-WEEKDAY($S107),7))+13),1,MIN(1,MAX(0,IF(ISNUMBER(OFFSET($A$1,ROW()-1,9)),OFFSET($A$1,ROW()-1,9),IF(ISNUMBER(OFFSET($A$1,ROW()-1,8)),OFFSET($A$1,ROW()-1,8),0))))))</f>
        <v/>
      </c>
      <c r="AF107" s="62">
        <f>IF($V107&lt;&gt;"Sub","",N($X107)*IF(AND(ISNUMBER($G107),$G107&lt;=IF($S107=MesCiclo,InicioCiclo,$S107+MOD(2-WEEKDAY($S107),7))+20),1,MIN(1,MAX(0,IF(ISNUMBER(OFFSET($A$1,ROW()-1,10)),OFFSET($A$1,ROW()-1,10),IF(ISNUMBER(OFFSET($A$1,ROW()-1,9)),OFFSET($A$1,ROW()-1,9),IF(ISNUMBER(OFFSET($A$1,ROW()-1,8)),OFFSET($A$1,ROW()-1,8),0)))))))</f>
        <v/>
      </c>
      <c r="AG107" s="62">
        <f>IF($V107&lt;&gt;"Sub","",N($X107)*IF(AND(ISNUMBER($G107),$G107&lt;=IF($S107=MesCiclo,InicioCiclo,$S107+MOD(2-WEEKDAY($S107),7))+27),1,MIN(1,MAX(0,IF(ISNUMBER(OFFSET($A$1,ROW()-1,11)),OFFSET($A$1,ROW()-1,11),IF(ISNUMBER(OFFSET($A$1,ROW()-1,10)),OFFSET($A$1,ROW()-1,10),IF(ISNUMBER(OFFSET($A$1,ROW()-1,9)),OFFSET($A$1,ROW()-1,9),IF(ISNUMBER(OFFSET($A$1,ROW()-1,8)),OFFSET($A$1,ROW()-1,8),0))))))))</f>
        <v/>
      </c>
      <c r="AH107" s="62">
        <f>IF($V107="","",IF(AND(ISNUMBER($G107),$G107&lt;=IF($S107=MesCiclo,InicioCiclo,$S107+MOD(2-WEEKDAY($S107),7))+6),1,IF(N($W107)&gt;0,MIN(1,SUMIFS($AD$5:$AD$1000,$U$5:$U$1000,ROW(),$V$5:$V$1000,"Sub")),$Z107)))</f>
        <v/>
      </c>
      <c r="AI107" s="62">
        <f>IF($V107="","",IF(AND(ISNUMBER($G107),$G107&lt;=IF($S107=MesCiclo,InicioCiclo,$S107+MOD(2-WEEKDAY($S107),7))+13),1,IF(N($W107)&gt;0,MIN(1,SUMIFS($AE$5:$AE$1000,$U$5:$U$1000,ROW(),$V$5:$V$1000,"Sub")),$AA107)))</f>
        <v/>
      </c>
      <c r="AJ107" s="62">
        <f>IF($V107="","",IF(AND(ISNUMBER($G107),$G107&lt;=IF($S107=MesCiclo,InicioCiclo,$S107+MOD(2-WEEKDAY($S107),7))+20),1,IF(N($W107)&gt;0,MIN(1,SUMIFS($AF$5:$AF$1000,$U$5:$U$1000,ROW(),$V$5:$V$1000,"Sub")),$AB107)))</f>
        <v/>
      </c>
      <c r="AK107" s="62">
        <f>IF($V107="","",IF(AND(ISNUMBER($G107),$G107&lt;=IF($S107=MesCiclo,InicioCiclo,$S107+MOD(2-WEEKDAY($S107),7))+27),1,IF(N($W107)&gt;0,MIN(1,SUMIFS($AG$5:$AG$1000,$U$5:$U$1000,ROW(),$V$5:$V$1000,"Sub")),$AC107)))</f>
        <v/>
      </c>
      <c r="AL107" s="62">
        <f>IF($V107&lt;&gt;"Macro","",IF(COUNTIFS($S$5:$S$1000,$S107,$V$5:$V$1000,"Macro",$H$5:$H$1000,"&gt;0")=0,1/COUNTIFS($S$5:$S$1000,$S107,$V$5:$V$1000,"Macro"),IF(AND(ISNUMBER($H107),N($H107)&gt;0),$H107,SUMIFS($H$5:$H$1000,$S$5:$S$1000,$S107,$V$5:$V$1000,"Macro")/COUNTIFS($S$5:$S$1000,$S107,$V$5:$V$1000,"Macro",$H$5:$H$1000,"&gt;0"))/(COUNTIFS($S$5:$S$1000,$S107,$V$5:$V$1000,"Macro")*SUMIFS($H$5:$H$1000,$S$5:$S$1000,$S107,$V$5:$V$1000,"Macro")/COUNTIFS($S$5:$S$1000,$S107,$V$5:$V$1000,"Macro",$H$5:$H$1000,"&gt;0"))))</f>
        <v/>
      </c>
      <c r="AM107" s="62" t="n"/>
      <c r="AN107" s="62" t="n"/>
      <c r="AO107" s="62" t="n"/>
      <c r="AP107" s="62" t="n"/>
      <c r="AQ107" s="62">
        <f>IF(LEFT($C107,11)="[Jefatura] ",IFERROR(MATCH("Asistente Técnico de Riesgo|"&amp;MID($C107,12,500),rDname_ADM,0),0),"")</f>
        <v/>
      </c>
      <c r="AR107" s="62">
        <f>IF(N($AQ107)&gt;0,INDEX(rIni_ADM,$AQ107),IF(ISNUMBER($E107),$E107,""))</f>
        <v/>
      </c>
      <c r="AS107" s="62">
        <f>IF(N($AQ107)&gt;0,INDEX(rLim_ADM,$AQ107),IF(ISNUMBER($F107),$F107,""))</f>
        <v/>
      </c>
    </row>
    <row r="108">
      <c r="A108" s="56">
        <f>IF(NOT((COUNTA($B108:$D108)+COUNTA($G108:$H108)+COUNTA($Q108))&gt;0),"",IF($V108="Macro",COUNTIFS($V$5:$V108,"Macro",$S$5:$S108,$S108),IF(N($U108)=0,"?",COUNTIFS(INDEX($V$5:$V$1000,1):INDEX($V$5:$V$1000,$U108-4),"Macro",INDEX($S$5:$S$1000,1):INDEX($S$5:$S$1000,$U108-4),INDEX($S$5:$S$1000,$U108-4))&amp;"."&amp;COUNTIFS($U$5:$U108,$U108,$V$5:$V108,"Sub"))))</f>
        <v/>
      </c>
      <c r="B108" s="57" t="n"/>
      <c r="C108" s="58" t="n"/>
      <c r="D108" s="58" t="n"/>
      <c r="E108" s="59">
        <f>IF(N($AQ108)&gt;0,INDEX(rIni_ADM,$AQ108),"")</f>
        <v/>
      </c>
      <c r="F108" s="59">
        <f>IF(N($AQ108)&gt;0,INDEX(rLim_ADM,$AQ108),"")</f>
        <v/>
      </c>
      <c r="G108" s="59" t="n"/>
      <c r="H108" s="60" t="n"/>
      <c r="I108" s="60">
        <f>IF(N($W108)=0,"",IF(AND($S108=MesCiclo,1&gt;SemanaActual),"",MIN(1,SUMIFS(OFFSET($A$1,ROW(),29,1000-ROW(),1),OFFSET($A$1,ROW(),20,1000-ROW(),1),ROW(),OFFSET($A$1,ROW(),21,1000-ROW(),1),"Sub"))))</f>
        <v/>
      </c>
      <c r="J108" s="60">
        <f>IF(N($W108)=0,"",IF(AND($S108=MesCiclo,2&gt;SemanaActual),"",MIN(1,SUMIFS(OFFSET($A$1,ROW(),30,1000-ROW(),1),OFFSET($A$1,ROW(),20,1000-ROW(),1),ROW(),OFFSET($A$1,ROW(),21,1000-ROW(),1),"Sub"))))</f>
        <v/>
      </c>
      <c r="K108" s="60">
        <f>IF(N($W108)=0,"",IF(AND($S108=MesCiclo,3&gt;SemanaActual),"",MIN(1,SUMIFS(OFFSET($A$1,ROW(),31,1000-ROW(),1),OFFSET($A$1,ROW(),20,1000-ROW(),1),ROW(),OFFSET($A$1,ROW(),21,1000-ROW(),1),"Sub"))))</f>
        <v/>
      </c>
      <c r="L108" s="60">
        <f>IF(N($W108)=0,"",IF(AND($S108=MesCiclo,4&gt;SemanaActual),"",MIN(1,SUMIFS(OFFSET($A$1,ROW(),32,1000-ROW(),1),OFFSET($A$1,ROW(),20,1000-ROW(),1),ROW(),OFFSET($A$1,ROW(),21,1000-ROW(),1),"Sub"))))</f>
        <v/>
      </c>
      <c r="M108" s="61">
        <f>IF(OR(NOT((COUNTA($B108:$D108)+COUNTA($G108:$H108)+COUNTA($Q108))&gt;0),$V108="Sub"),"",IF(ISNUMBER($G108),1,IF(N($W108)&gt;0,MIN(1,SUMIFS($Y$5:$Y$1000,$U$5:$U$1000,ROW(),$V$5:$V$1000,"Sub")),$Y108)))</f>
        <v/>
      </c>
      <c r="N108" s="56">
        <f>IF(OR($M108="",$V108="Sub"),"",IF($M108&gt;=1,"Completado",IF($M108&gt;0,"En curso","Pendiente")))</f>
        <v/>
      </c>
      <c r="O108" s="56">
        <f>IF(OR(NOT((COUNTA($B108:$D108)+COUNTA($G108:$H108)+COUNTA($Q108))&gt;0),$V108="Sub"),"",IF(ISNUMBER($G108),IF(AND(ISNUMBER($AS108),$G108&gt;$AS108),"Cumplida con "&amp;($G108-$AS108)&amp;IF($G108-$AS108=1," día"," días")&amp;" de retraso","Cumplida"),IF(N($M108)&gt;=1,"Cumplida",IF(NOT(ISNUMBER($AS108)),"Sin fecha límite",IF($AS108&lt;FechaRef,"Vencida hace "&amp;(FechaRef-$AS108)&amp;IF(FechaRef-$AS108=1," día"," días"),IF($AS108=FechaRef,"Vence hoy",IF($AS108-FechaRef&lt;=DiasAlerta,"Vence en "&amp;($AS108-FechaRef)&amp;IF($AS108-FechaRef=1," día"," días"),"En plazo")))))))</f>
        <v/>
      </c>
      <c r="P108" s="62" t="n"/>
      <c r="Q108" s="58" t="n"/>
      <c r="R108" s="63">
        <f>IF(NOT((COUNTA($B108:$D108)+COUNTA($G108:$H108)+COUNTA($Q108))&gt;0),"",IF((IF($C108="","Falta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 OK","⚠ "&amp;LEFT(IF($C108="","Falta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",""),LEN(IF($C108="","Falta el nombre de la actividad"&amp;" · ","")&amp;IF(AND($V108="Sub",N($U108)=0),"Subactividad sin macroactividad arriba"&amp;" · ","")&amp;IF(AND($V108="Macro",$AR108=""),"Sin fecha de inicio"&amp;" · ","")&amp;IF(AND($V108="Macro",$AS108=""),"Sin fecha límite"&amp;" · ","")&amp;IF(AND(LEFT($C108,11)="[Jefatura] ",N($AQ108)=0),"No se encuentra en la hoja de la jefatura (elíjala de nuevo en la lista)"&amp;" · ","")&amp;IF(OR(AND($E108&lt;&gt;"",NOT(ISNUMBER($E108))),AND($F108&lt;&gt;"",NOT(ISNUMBER($F108))),AND($G108&lt;&gt;"",NOT(ISNUMBER($G108)))),"Fecha no válida"&amp;" · ","")&amp;IF(AND(ISNUMBER($AR108),ISNUMBER($AS108),$AR108&gt;$AS108),"Inicio posterior a fecha límite"&amp;" · ","")&amp;IF(AND($V108="Macro",$H108&lt;&gt;"",OR(NOT(ISNUMBER($H108)),$H108&lt;0,$H108&gt;1)),"Peso fuera de rango"&amp;" · ","")&amp;IF(AND($V108="Sub",$H108&lt;&gt;"",OR(NOT(ISNUMBER($H108)),$H108&lt;0,$H108&gt;1)),"% de la subactividad fuera de rango 0-100%"&amp;" · ","")&amp;IF(AND(N($W108)&gt;0,SUMIFS($H$5:$H$1000,$U$5:$U$1000,ROW(),$V$5:$V$1000,"Sub")&gt;1.0001),"Las subactividades suman más de 100%"&amp;" · ","")&amp;IF(AND(N($W108)&gt;0,OR(IF(ISNUMBER($I108),ROUND($I108,6)&lt;&gt;ROUND(MIN(1,SUMIFS($AD$5:$AD$1000,$U$5:$U$1000,ROW(),$V$5:$V$1000,"Sub")),6),FALSE),IF(ISNUMBER($J108),ROUND($J108,6)&lt;&gt;ROUND(MIN(1,SUMIFS($AE$5:$AE$1000,$U$5:$U$1000,ROW(),$V$5:$V$1000,"Sub")),6),FALSE),IF(ISNUMBER($K108),ROUND($K108,6)&lt;&gt;ROUND(MIN(1,SUMIFS($AF$5:$AF$1000,$U$5:$U$1000,ROW(),$V$5:$V$1000,"Sub")),6),FALSE),IF(ISNUMBER($L108),ROUND($L108,6)&lt;&gt;ROUND(MIN(1,SUMIFS($AG$5:$AG$1000,$U$5:$U$1000,ROW(),$V$5:$V$1000,"Sub")),6),FALSE))),"Con subactividades: no escriba en las semanas (se llenan solas)"&amp;" · ","")&amp;IF((COUNTIF($I108:$L108,"&gt;1")+COUNTIF($I108:$L108,"&lt;0")+SUMPRODUCT((LEN($I108:$L108)&gt;0)*NOT(ISNUMBER($I108:$L108))))&gt;0,"Avance fuera de rango 0-100%"&amp;" · ","")&amp;IF(OR(AND(ISNUMBER($J108),$J108&lt;N($I108)),AND(ISNUMBER($K108),$K108&lt;MAX($I108:$J108)),AND(ISNUMBER($L108),$L108&lt;MAX($I108:$K108))),"Avance semanal decreciente"&amp;" · ","")&amp;IF(AND(ISNUMBER($AS108),$AS108&lt;FechaRef,IF($V108="Sub",1,N($M108))&lt;1),"Vencida"&amp;" · ","")&amp;IF(AND(ObsObligatoria="Sí",ISNUMBER($AS108),$AS108&lt;FechaRef,IF($V108="Sub",1,N($M108))&lt;1,$Q108=""),"Vencida sin observación"&amp;" · ",""))-3)))</f>
        <v/>
      </c>
      <c r="S108" s="64">
        <f>IF(NOT((COUNTA($B108:$D108)+COUNTA($G108:$H108)+COUNTA($Q108))&gt;0),"",IF(AND($V108="Sub",N($U108)&gt;0),IF(ISNUMBER(INDEX($AR$5:$AR$1000,$U108-4)),DATE(YEAR(INDEX($AR$5:$AR$1000,$U108-4)),MONTH(INDEX($AR$5:$AR$1000,$U108-4)),1),IF(ISNUMBER(INDEX($AS$5:$AS$1000,$U108-4)),DATE(YEAR(INDEX($AS$5:$AS$1000,$U108-4)),MONTH(INDEX($AS$5:$AS$1000,$U108-4)),1),MesCiclo)),IF(ISNUMBER($AR108),DATE(YEAR($AR108),MONTH($AR108),1),IF(ISNUMBER($AS108),DATE(YEAR($AS108),MONTH($AS108),1),MesCiclo))))</f>
        <v/>
      </c>
      <c r="T108" s="62">
        <f>IF(OR($S108="",$S108&lt;&gt;MesCiclo,$V108&lt;&gt;"Macro"),"",COUNTIFS($S$5:$S108,MesCiclo,$V$5:$V108,"Macro"))</f>
        <v/>
      </c>
      <c r="U108" s="62">
        <f>IF($V108="","",IF($V108="Macro",ROW(),IFERROR(LOOKUP(2,1/($V$5:$V108="Macro"),ROW($V$5:$V108)),0)))</f>
        <v/>
      </c>
      <c r="V108" s="62">
        <f>IF(NOT((COUNTA($B108:$D108)+COUNTA($G108:$H108)+COUNTA($Q108))&gt;0),"",IF($B108="Subactividad","Sub","Macro"))</f>
        <v/>
      </c>
      <c r="W108" s="62">
        <f>IF($V108="Macro",COUNTIFS($U$5:$U$1000,ROW(),$V$5:$V$1000,"Sub"),"")</f>
        <v/>
      </c>
      <c r="X108" s="62">
        <f>IF($V108&lt;&gt;"Sub","",IF(AND(ISNUMBER($H108),N($H108)&gt;0),$H108,IFERROR(MAX(0,1-SUMIFS($H$5:$H$1000,$U$5:$U$1000,$U108,$V$5:$V$1000,"Sub"))/(COUNTIFS($U$5:$U$1000,$U108,$V$5:$V$1000,"Sub")-COUNTIFS($U$5:$U$1000,$U108,$V$5:$V$1000,"Sub",$H$5:$H$1000,"&gt;0")),0)))</f>
        <v/>
      </c>
      <c r="Y108" s="62">
        <f>IF($V108="","",IF($V108="Sub",N($X108)*IF(ISNUMBER($G108),1,MIN(1,MAX(0,IFERROR(LOOKUP(2,1/ISNUMBER($I108:$L108),$I108:$L108),0)))),IF(ISNUMBER($G108),1,IFERROR(LOOKUP(2,1/($I108:$L108&lt;&gt;""),$I108:$L108),0))))</f>
        <v/>
      </c>
      <c r="Z108" s="62">
        <f>IF($V108="","",IF(AND(ISNUMBER($G108),$G108&lt;=IF($S108=MesCiclo,InicioCiclo,$S108+MOD(2-WEEKDAY($S108),7))+6),1,IF(ISNUMBER($I108),$I108,0)))</f>
        <v/>
      </c>
      <c r="AA108" s="62">
        <f>IF($V108="","",IF(AND(ISNUMBER($G108),$G108&lt;=IF($S108=MesCiclo,InicioCiclo,$S108+MOD(2-WEEKDAY($S108),7))+13),1,IF(ISNUMBER($J108),$J108,$Z108)))</f>
        <v/>
      </c>
      <c r="AB108" s="62">
        <f>IF($V108="","",IF(AND(ISNUMBER($G108),$G108&lt;=IF($S108=MesCiclo,InicioCiclo,$S108+MOD(2-WEEKDAY($S108),7))+20),1,IF(ISNUMBER($K108),$K108,$AA108)))</f>
        <v/>
      </c>
      <c r="AC108" s="62">
        <f>IF($V108="","",IF(AND(ISNUMBER($G108),$G108&lt;=IF($S108=MesCiclo,InicioCiclo,$S108+MOD(2-WEEKDAY($S108),7))+27),1,IF(ISNUMBER($L108),$L108,$AB108)))</f>
        <v/>
      </c>
      <c r="AD108" s="62">
        <f>IF($V108&lt;&gt;"Sub","",N($X108)*IF(AND(ISNUMBER($G108),$G108&lt;=IF($S108=MesCiclo,InicioCiclo,$S108+MOD(2-WEEKDAY($S108),7))+6),1,MIN(1,MAX(0,IF(ISNUMBER(OFFSET($A$1,ROW()-1,8)),OFFSET($A$1,ROW()-1,8),0)))))</f>
        <v/>
      </c>
      <c r="AE108" s="62">
        <f>IF($V108&lt;&gt;"Sub","",N($X108)*IF(AND(ISNUMBER($G108),$G108&lt;=IF($S108=MesCiclo,InicioCiclo,$S108+MOD(2-WEEKDAY($S108),7))+13),1,MIN(1,MAX(0,IF(ISNUMBER(OFFSET($A$1,ROW()-1,9)),OFFSET($A$1,ROW()-1,9),IF(ISNUMBER(OFFSET($A$1,ROW()-1,8)),OFFSET($A$1,ROW()-1,8),0))))))</f>
        <v/>
      </c>
      <c r="AF108" s="62">
        <f>IF($V108&lt;&gt;"Sub","",N($X108)*IF(AND(ISNUMBER($G108),$G108&lt;=IF($S108=MesCiclo,InicioCiclo,$S108+MOD(2-WEEKDAY($S108),7))+20),1,MIN(1,MAX(0,IF(ISNUMBER(OFFSET($A$1,ROW()-1,10)),OFFSET($A$1,ROW()-1,10),IF(ISNUMBER(OFFSET($A$1,ROW()-1,9)),OFFSET($A$1,ROW()-1,9),IF(ISNUMBER(OFFSET($A$1,ROW()-1,8)),OFFSET($A$1,ROW()-1,8),0)))))))</f>
        <v/>
      </c>
      <c r="AG108" s="62">
        <f>IF($V108&lt;&gt;"Sub","",N($X108)*IF(AND(ISNUMBER($G108),$G108&lt;=IF($S108=MesCiclo,InicioCiclo,$S108+MOD(2-WEEKDAY($S108),7))+27),1,MIN(1,MAX(0,IF(ISNUMBER(OFFSET($A$1,ROW()-1,11)),OFFSET($A$1,ROW()-1,11),IF(ISNUMBER(OFFSET($A$1,ROW()-1,10)),OFFSET($A$1,ROW()-1,10),IF(ISNUMBER(OFFSET($A$1,ROW()-1,9)),OFFSET($A$1,ROW()-1,9),IF(ISNUMBER(OFFSET($A$1,ROW()-1,8)),OFFSET($A$1,ROW()-1,8),0))))))))</f>
        <v/>
      </c>
      <c r="AH108" s="62">
        <f>IF($V108="","",IF(AND(ISNUMBER($G108),$G108&lt;=IF($S108=MesCiclo,InicioCiclo,$S108+MOD(2-WEEKDAY($S108),7))+6),1,IF(N($W108)&gt;0,MIN(1,SUMIFS($AD$5:$AD$1000,$U$5:$U$1000,ROW(),$V$5:$V$1000,"Sub")),$Z108)))</f>
        <v/>
      </c>
      <c r="AI108" s="62">
        <f>IF($V108="","",IF(AND(ISNUMBER($G108),$G108&lt;=IF($S108=MesCiclo,InicioCiclo,$S108+MOD(2-WEEKDAY($S108),7))+13),1,IF(N($W108)&gt;0,MIN(1,SUMIFS($AE$5:$AE$1000,$U$5:$U$1000,ROW(),$V$5:$V$1000,"Sub")),$AA108)))</f>
        <v/>
      </c>
      <c r="AJ108" s="62">
        <f>IF($V108="","",IF(AND(ISNUMBER($G108),$G108&lt;=IF($S108=MesCiclo,InicioCiclo,$S108+MOD(2-WEEKDAY($S108),7))+20),1,IF(N($W108)&gt;0,MIN(1,SUMIFS($AF$5:$AF$1000,$U$5:$U$1000,ROW(),$V$5:$V$1000,"Sub")),$AB108)))</f>
        <v/>
      </c>
      <c r="AK108" s="62">
        <f>IF($V108="","",IF(AND(ISNUMBER($G108),$G108&lt;=IF($S108=MesCiclo,InicioCiclo,$S108+MOD(2-WEEKDAY($S108),7))+27),1,IF(N($W108)&gt;0,MIN(1,SUMIFS($AG$5:$AG$1000,$U$5:$U$1000,ROW(),$V$5:$V$1000,"Sub")),$AC108)))</f>
        <v/>
      </c>
      <c r="AL108" s="62">
        <f>IF($V108&lt;&gt;"Macro","",IF(COUNTIFS($S$5:$S$1000,$S108,$V$5:$V$1000,"Macro",$H$5:$H$1000,"&gt;0")=0,1/COUNTIFS($S$5:$S$1000,$S108,$V$5:$V$1000,"Macro"),IF(AND(ISNUMBER($H108),N($H108)&gt;0),$H108,SUMIFS($H$5:$H$1000,$S$5:$S$1000,$S108,$V$5:$V$1000,"Macro")/COUNTIFS($S$5:$S$1000,$S108,$V$5:$V$1000,"Macro",$H$5:$H$1000,"&gt;0"))/(COUNTIFS($S$5:$S$1000,$S108,$V$5:$V$1000,"Macro")*SUMIFS($H$5:$H$1000,$S$5:$S$1000,$S108,$V$5:$V$1000,"Macro")/COUNTIFS($S$5:$S$1000,$S108,$V$5:$V$1000,"Macro",$H$5:$H$1000,"&gt;0"))))</f>
        <v/>
      </c>
      <c r="AM108" s="62" t="n"/>
      <c r="AN108" s="62" t="n"/>
      <c r="AO108" s="62" t="n"/>
      <c r="AP108" s="62" t="n"/>
      <c r="AQ108" s="62">
        <f>IF(LEFT($C108,11)="[Jefatura] ",IFERROR(MATCH("Asistente Técnico de Riesgo|"&amp;MID($C108,12,500),rDname_ADM,0),0),"")</f>
        <v/>
      </c>
      <c r="AR108" s="62">
        <f>IF(N($AQ108)&gt;0,INDEX(rIni_ADM,$AQ108),IF(ISNUMBER($E108),$E108,""))</f>
        <v/>
      </c>
      <c r="AS108" s="62">
        <f>IF(N($AQ108)&gt;0,INDEX(rLim_ADM,$AQ108),IF(ISNUMBER($F108),$F108,""))</f>
        <v/>
      </c>
    </row>
    <row r="109">
      <c r="A109" s="56">
        <f>IF(NOT((COUNTA($B109:$D109)+COUNTA($G109:$H109)+COUNTA($Q109))&gt;0),"",IF($V109="Macro",COUNTIFS($V$5:$V109,"Macro",$S$5:$S109,$S109),IF(N($U109)=0,"?",COUNTIFS(INDEX($V$5:$V$1000,1):INDEX($V$5:$V$1000,$U109-4),"Macro",INDEX($S$5:$S$1000,1):INDEX($S$5:$S$1000,$U109-4),INDEX($S$5:$S$1000,$U109-4))&amp;"."&amp;COUNTIFS($U$5:$U109,$U109,$V$5:$V109,"Sub"))))</f>
        <v/>
      </c>
      <c r="B109" s="57" t="n"/>
      <c r="C109" s="58" t="n"/>
      <c r="D109" s="58" t="n"/>
      <c r="E109" s="59">
        <f>IF(N($AQ109)&gt;0,INDEX(rIni_ADM,$AQ109),"")</f>
        <v/>
      </c>
      <c r="F109" s="59">
        <f>IF(N($AQ109)&gt;0,INDEX(rLim_ADM,$AQ109),"")</f>
        <v/>
      </c>
      <c r="G109" s="59" t="n"/>
      <c r="H109" s="60" t="n"/>
      <c r="I109" s="60">
        <f>IF(N($W109)=0,"",IF(AND($S109=MesCiclo,1&gt;SemanaActual),"",MIN(1,SUMIFS(OFFSET($A$1,ROW(),29,1000-ROW(),1),OFFSET($A$1,ROW(),20,1000-ROW(),1),ROW(),OFFSET($A$1,ROW(),21,1000-ROW(),1),"Sub"))))</f>
        <v/>
      </c>
      <c r="J109" s="60">
        <f>IF(N($W109)=0,"",IF(AND($S109=MesCiclo,2&gt;SemanaActual),"",MIN(1,SUMIFS(OFFSET($A$1,ROW(),30,1000-ROW(),1),OFFSET($A$1,ROW(),20,1000-ROW(),1),ROW(),OFFSET($A$1,ROW(),21,1000-ROW(),1),"Sub"))))</f>
        <v/>
      </c>
      <c r="K109" s="60">
        <f>IF(N($W109)=0,"",IF(AND($S109=MesCiclo,3&gt;SemanaActual),"",MIN(1,SUMIFS(OFFSET($A$1,ROW(),31,1000-ROW(),1),OFFSET($A$1,ROW(),20,1000-ROW(),1),ROW(),OFFSET($A$1,ROW(),21,1000-ROW(),1),"Sub"))))</f>
        <v/>
      </c>
      <c r="L109" s="60">
        <f>IF(N($W109)=0,"",IF(AND($S109=MesCiclo,4&gt;SemanaActual),"",MIN(1,SUMIFS(OFFSET($A$1,ROW(),32,1000-ROW(),1),OFFSET($A$1,ROW(),20,1000-ROW(),1),ROW(),OFFSET($A$1,ROW(),21,1000-ROW(),1),"Sub"))))</f>
        <v/>
      </c>
      <c r="M109" s="61">
        <f>IF(OR(NOT((COUNTA($B109:$D109)+COUNTA($G109:$H109)+COUNTA($Q109))&gt;0),$V109="Sub"),"",IF(ISNUMBER($G109),1,IF(N($W109)&gt;0,MIN(1,SUMIFS($Y$5:$Y$1000,$U$5:$U$1000,ROW(),$V$5:$V$1000,"Sub")),$Y109)))</f>
        <v/>
      </c>
      <c r="N109" s="56">
        <f>IF(OR($M109="",$V109="Sub"),"",IF($M109&gt;=1,"Completado",IF($M109&gt;0,"En curso","Pendiente")))</f>
        <v/>
      </c>
      <c r="O109" s="56">
        <f>IF(OR(NOT((COUNTA($B109:$D109)+COUNTA($G109:$H109)+COUNTA($Q109))&gt;0),$V109="Sub"),"",IF(ISNUMBER($G109),IF(AND(ISNUMBER($AS109),$G109&gt;$AS109),"Cumplida con "&amp;($G109-$AS109)&amp;IF($G109-$AS109=1," día"," días")&amp;" de retraso","Cumplida"),IF(N($M109)&gt;=1,"Cumplida",IF(NOT(ISNUMBER($AS109)),"Sin fecha límite",IF($AS109&lt;FechaRef,"Vencida hace "&amp;(FechaRef-$AS109)&amp;IF(FechaRef-$AS109=1," día"," días"),IF($AS109=FechaRef,"Vence hoy",IF($AS109-FechaRef&lt;=DiasAlerta,"Vence en "&amp;($AS109-FechaRef)&amp;IF($AS109-FechaRef=1," día"," días"),"En plazo")))))))</f>
        <v/>
      </c>
      <c r="P109" s="62" t="n"/>
      <c r="Q109" s="58" t="n"/>
      <c r="R109" s="63">
        <f>IF(NOT((COUNTA($B109:$D109)+COUNTA($G109:$H109)+COUNTA($Q109))&gt;0),"",IF((IF($C109="","Falta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 OK","⚠ "&amp;LEFT(IF($C109="","Falta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",""),LEN(IF($C109="","Falta el nombre de la actividad"&amp;" · ","")&amp;IF(AND($V109="Sub",N($U109)=0),"Subactividad sin macroactividad arriba"&amp;" · ","")&amp;IF(AND($V109="Macro",$AR109=""),"Sin fecha de inicio"&amp;" · ","")&amp;IF(AND($V109="Macro",$AS109=""),"Sin fecha límite"&amp;" · ","")&amp;IF(AND(LEFT($C109,11)="[Jefatura] ",N($AQ109)=0),"No se encuentra en la hoja de la jefatura (elíjala de nuevo en la lista)"&amp;" · ","")&amp;IF(OR(AND($E109&lt;&gt;"",NOT(ISNUMBER($E109))),AND($F109&lt;&gt;"",NOT(ISNUMBER($F109))),AND($G109&lt;&gt;"",NOT(ISNUMBER($G109)))),"Fecha no válida"&amp;" · ","")&amp;IF(AND(ISNUMBER($AR109),ISNUMBER($AS109),$AR109&gt;$AS109),"Inicio posterior a fecha límite"&amp;" · ","")&amp;IF(AND($V109="Macro",$H109&lt;&gt;"",OR(NOT(ISNUMBER($H109)),$H109&lt;0,$H109&gt;1)),"Peso fuera de rango"&amp;" · ","")&amp;IF(AND($V109="Sub",$H109&lt;&gt;"",OR(NOT(ISNUMBER($H109)),$H109&lt;0,$H109&gt;1)),"% de la subactividad fuera de rango 0-100%"&amp;" · ","")&amp;IF(AND(N($W109)&gt;0,SUMIFS($H$5:$H$1000,$U$5:$U$1000,ROW(),$V$5:$V$1000,"Sub")&gt;1.0001),"Las subactividades suman más de 100%"&amp;" · ","")&amp;IF(AND(N($W109)&gt;0,OR(IF(ISNUMBER($I109),ROUND($I109,6)&lt;&gt;ROUND(MIN(1,SUMIFS($AD$5:$AD$1000,$U$5:$U$1000,ROW(),$V$5:$V$1000,"Sub")),6),FALSE),IF(ISNUMBER($J109),ROUND($J109,6)&lt;&gt;ROUND(MIN(1,SUMIFS($AE$5:$AE$1000,$U$5:$U$1000,ROW(),$V$5:$V$1000,"Sub")),6),FALSE),IF(ISNUMBER($K109),ROUND($K109,6)&lt;&gt;ROUND(MIN(1,SUMIFS($AF$5:$AF$1000,$U$5:$U$1000,ROW(),$V$5:$V$1000,"Sub")),6),FALSE),IF(ISNUMBER($L109),ROUND($L109,6)&lt;&gt;ROUND(MIN(1,SUMIFS($AG$5:$AG$1000,$U$5:$U$1000,ROW(),$V$5:$V$1000,"Sub")),6),FALSE))),"Con subactividades: no escriba en las semanas (se llenan solas)"&amp;" · ","")&amp;IF((COUNTIF($I109:$L109,"&gt;1")+COUNTIF($I109:$L109,"&lt;0")+SUMPRODUCT((LEN($I109:$L109)&gt;0)*NOT(ISNUMBER($I109:$L109))))&gt;0,"Avance fuera de rango 0-100%"&amp;" · ","")&amp;IF(OR(AND(ISNUMBER($J109),$J109&lt;N($I109)),AND(ISNUMBER($K109),$K109&lt;MAX($I109:$J109)),AND(ISNUMBER($L109),$L109&lt;MAX($I109:$K109))),"Avance semanal decreciente"&amp;" · ","")&amp;IF(AND(ISNUMBER($AS109),$AS109&lt;FechaRef,IF($V109="Sub",1,N($M109))&lt;1),"Vencida"&amp;" · ","")&amp;IF(AND(ObsObligatoria="Sí",ISNUMBER($AS109),$AS109&lt;FechaRef,IF($V109="Sub",1,N($M109))&lt;1,$Q109=""),"Vencida sin observación"&amp;" · ",""))-3)))</f>
        <v/>
      </c>
      <c r="S109" s="64">
        <f>IF(NOT((COUNTA($B109:$D109)+COUNTA($G109:$H109)+COUNTA($Q109))&gt;0),"",IF(AND($V109="Sub",N($U109)&gt;0),IF(ISNUMBER(INDEX($AR$5:$AR$1000,$U109-4)),DATE(YEAR(INDEX($AR$5:$AR$1000,$U109-4)),MONTH(INDEX($AR$5:$AR$1000,$U109-4)),1),IF(ISNUMBER(INDEX($AS$5:$AS$1000,$U109-4)),DATE(YEAR(INDEX($AS$5:$AS$1000,$U109-4)),MONTH(INDEX($AS$5:$AS$1000,$U109-4)),1),MesCiclo)),IF(ISNUMBER($AR109),DATE(YEAR($AR109),MONTH($AR109),1),IF(ISNUMBER($AS109),DATE(YEAR($AS109),MONTH($AS109),1),MesCiclo))))</f>
        <v/>
      </c>
      <c r="T109" s="62">
        <f>IF(OR($S109="",$S109&lt;&gt;MesCiclo,$V109&lt;&gt;"Macro"),"",COUNTIFS($S$5:$S109,MesCiclo,$V$5:$V109,"Macro"))</f>
        <v/>
      </c>
      <c r="U109" s="62">
        <f>IF($V109="","",IF($V109="Macro",ROW(),IFERROR(LOOKUP(2,1/($V$5:$V109="Macro"),ROW($V$5:$V109)),0)))</f>
        <v/>
      </c>
      <c r="V109" s="62">
        <f>IF(NOT((COUNTA($B109:$D109)+COUNTA($G109:$H109)+COUNTA($Q109))&gt;0),"",IF($B109="Subactividad","Sub","Macro"))</f>
        <v/>
      </c>
      <c r="W109" s="62">
        <f>IF($V109="Macro",COUNTIFS($U$5:$U$1000,ROW(),$V$5:$V$1000,"Sub"),"")</f>
        <v/>
      </c>
      <c r="X109" s="62">
        <f>IF($V109&lt;&gt;"Sub","",IF(AND(ISNUMBER($H109),N($H109)&gt;0),$H109,IFERROR(MAX(0,1-SUMIFS($H$5:$H$1000,$U$5:$U$1000,$U109,$V$5:$V$1000,"Sub"))/(COUNTIFS($U$5:$U$1000,$U109,$V$5:$V$1000,"Sub")-COUNTIFS($U$5:$U$1000,$U109,$V$5:$V$1000,"Sub",$H$5:$H$1000,"&gt;0")),0)))</f>
        <v/>
      </c>
      <c r="Y109" s="62">
        <f>IF($V109="","",IF($V109="Sub",N($X109)*IF(ISNUMBER($G109),1,MIN(1,MAX(0,IFERROR(LOOKUP(2,1/ISNUMBER($I109:$L109),$I109:$L109),0)))),IF(ISNUMBER($G109),1,IFERROR(LOOKUP(2,1/($I109:$L109&lt;&gt;""),$I109:$L109),0))))</f>
        <v/>
      </c>
      <c r="Z109" s="62">
        <f>IF($V109="","",IF(AND(ISNUMBER($G109),$G109&lt;=IF($S109=MesCiclo,InicioCiclo,$S109+MOD(2-WEEKDAY($S109),7))+6),1,IF(ISNUMBER($I109),$I109,0)))</f>
        <v/>
      </c>
      <c r="AA109" s="62">
        <f>IF($V109="","",IF(AND(ISNUMBER($G109),$G109&lt;=IF($S109=MesCiclo,InicioCiclo,$S109+MOD(2-WEEKDAY($S109),7))+13),1,IF(ISNUMBER($J109),$J109,$Z109)))</f>
        <v/>
      </c>
      <c r="AB109" s="62">
        <f>IF($V109="","",IF(AND(ISNUMBER($G109),$G109&lt;=IF($S109=MesCiclo,InicioCiclo,$S109+MOD(2-WEEKDAY($S109),7))+20),1,IF(ISNUMBER($K109),$K109,$AA109)))</f>
        <v/>
      </c>
      <c r="AC109" s="62">
        <f>IF($V109="","",IF(AND(ISNUMBER($G109),$G109&lt;=IF($S109=MesCiclo,InicioCiclo,$S109+MOD(2-WEEKDAY($S109),7))+27),1,IF(ISNUMBER($L109),$L109,$AB109)))</f>
        <v/>
      </c>
      <c r="AD109" s="62">
        <f>IF($V109&lt;&gt;"Sub","",N($X109)*IF(AND(ISNUMBER($G109),$G109&lt;=IF($S109=MesCiclo,InicioCiclo,$S109+MOD(2-WEEKDAY($S109),7))+6),1,MIN(1,MAX(0,IF(ISNUMBER(OFFSET($A$1,ROW()-1,8)),OFFSET($A$1,ROW()-1,8),0)))))</f>
        <v/>
      </c>
      <c r="AE109" s="62">
        <f>IF($V109&lt;&gt;"Sub","",N($X109)*IF(AND(ISNUMBER($G109),$G109&lt;=IF($S109=MesCiclo,InicioCiclo,$S109+MOD(2-WEEKDAY($S109),7))+13),1,MIN(1,MAX(0,IF(ISNUMBER(OFFSET($A$1,ROW()-1,9)),OFFSET($A$1,ROW()-1,9),IF(ISNUMBER(OFFSET($A$1,ROW()-1,8)),OFFSET($A$1,ROW()-1,8),0))))))</f>
        <v/>
      </c>
      <c r="AF109" s="62">
        <f>IF($V109&lt;&gt;"Sub","",N($X109)*IF(AND(ISNUMBER($G109),$G109&lt;=IF($S109=MesCiclo,InicioCiclo,$S109+MOD(2-WEEKDAY($S109),7))+20),1,MIN(1,MAX(0,IF(ISNUMBER(OFFSET($A$1,ROW()-1,10)),OFFSET($A$1,ROW()-1,10),IF(ISNUMBER(OFFSET($A$1,ROW()-1,9)),OFFSET($A$1,ROW()-1,9),IF(ISNUMBER(OFFSET($A$1,ROW()-1,8)),OFFSET($A$1,ROW()-1,8),0)))))))</f>
        <v/>
      </c>
      <c r="AG109" s="62">
        <f>IF($V109&lt;&gt;"Sub","",N($X109)*IF(AND(ISNUMBER($G109),$G109&lt;=IF($S109=MesCiclo,InicioCiclo,$S109+MOD(2-WEEKDAY($S109),7))+27),1,MIN(1,MAX(0,IF(ISNUMBER(OFFSET($A$1,ROW()-1,11)),OFFSET($A$1,ROW()-1,11),IF(ISNUMBER(OFFSET($A$1,ROW()-1,10)),OFFSET($A$1,ROW()-1,10),IF(ISNUMBER(OFFSET($A$1,ROW()-1,9)),OFFSET($A$1,ROW()-1,9),IF(ISNUMBER(OFFSET($A$1,ROW()-1,8)),OFFSET($A$1,ROW()-1,8),0))))))))</f>
        <v/>
      </c>
      <c r="AH109" s="62">
        <f>IF($V109="","",IF(AND(ISNUMBER($G109),$G109&lt;=IF($S109=MesCiclo,InicioCiclo,$S109+MOD(2-WEEKDAY($S109),7))+6),1,IF(N($W109)&gt;0,MIN(1,SUMIFS($AD$5:$AD$1000,$U$5:$U$1000,ROW(),$V$5:$V$1000,"Sub")),$Z109)))</f>
        <v/>
      </c>
      <c r="AI109" s="62">
        <f>IF($V109="","",IF(AND(ISNUMBER($G109),$G109&lt;=IF($S109=MesCiclo,InicioCiclo,$S109+MOD(2-WEEKDAY($S109),7))+13),1,IF(N($W109)&gt;0,MIN(1,SUMIFS($AE$5:$AE$1000,$U$5:$U$1000,ROW(),$V$5:$V$1000,"Sub")),$AA109)))</f>
        <v/>
      </c>
      <c r="AJ109" s="62">
        <f>IF($V109="","",IF(AND(ISNUMBER($G109),$G109&lt;=IF($S109=MesCiclo,InicioCiclo,$S109+MOD(2-WEEKDAY($S109),7))+20),1,IF(N($W109)&gt;0,MIN(1,SUMIFS($AF$5:$AF$1000,$U$5:$U$1000,ROW(),$V$5:$V$1000,"Sub")),$AB109)))</f>
        <v/>
      </c>
      <c r="AK109" s="62">
        <f>IF($V109="","",IF(AND(ISNUMBER($G109),$G109&lt;=IF($S109=MesCiclo,InicioCiclo,$S109+MOD(2-WEEKDAY($S109),7))+27),1,IF(N($W109)&gt;0,MIN(1,SUMIFS($AG$5:$AG$1000,$U$5:$U$1000,ROW(),$V$5:$V$1000,"Sub")),$AC109)))</f>
        <v/>
      </c>
      <c r="AL109" s="62">
        <f>IF($V109&lt;&gt;"Macro","",IF(COUNTIFS($S$5:$S$1000,$S109,$V$5:$V$1000,"Macro",$H$5:$H$1000,"&gt;0")=0,1/COUNTIFS($S$5:$S$1000,$S109,$V$5:$V$1000,"Macro"),IF(AND(ISNUMBER($H109),N($H109)&gt;0),$H109,SUMIFS($H$5:$H$1000,$S$5:$S$1000,$S109,$V$5:$V$1000,"Macro")/COUNTIFS($S$5:$S$1000,$S109,$V$5:$V$1000,"Macro",$H$5:$H$1000,"&gt;0"))/(COUNTIFS($S$5:$S$1000,$S109,$V$5:$V$1000,"Macro")*SUMIFS($H$5:$H$1000,$S$5:$S$1000,$S109,$V$5:$V$1000,"Macro")/COUNTIFS($S$5:$S$1000,$S109,$V$5:$V$1000,"Macro",$H$5:$H$1000,"&gt;0"))))</f>
        <v/>
      </c>
      <c r="AM109" s="62" t="n"/>
      <c r="AN109" s="62" t="n"/>
      <c r="AO109" s="62" t="n"/>
      <c r="AP109" s="62" t="n"/>
      <c r="AQ109" s="62">
        <f>IF(LEFT($C109,11)="[Jefatura] ",IFERROR(MATCH("Asistente Técnico de Riesgo|"&amp;MID($C109,12,500),rDname_ADM,0),0),"")</f>
        <v/>
      </c>
      <c r="AR109" s="62">
        <f>IF(N($AQ109)&gt;0,INDEX(rIni_ADM,$AQ109),IF(ISNUMBER($E109),$E109,""))</f>
        <v/>
      </c>
      <c r="AS109" s="62">
        <f>IF(N($AQ109)&gt;0,INDEX(rLim_ADM,$AQ109),IF(ISNUMBER($F109),$F109,""))</f>
        <v/>
      </c>
    </row>
    <row r="110">
      <c r="A110" s="56">
        <f>IF(NOT((COUNTA($B110:$D110)+COUNTA($G110:$H110)+COUNTA($Q110))&gt;0),"",IF($V110="Macro",COUNTIFS($V$5:$V110,"Macro",$S$5:$S110,$S110),IF(N($U110)=0,"?",COUNTIFS(INDEX($V$5:$V$1000,1):INDEX($V$5:$V$1000,$U110-4),"Macro",INDEX($S$5:$S$1000,1):INDEX($S$5:$S$1000,$U110-4),INDEX($S$5:$S$1000,$U110-4))&amp;"."&amp;COUNTIFS($U$5:$U110,$U110,$V$5:$V110,"Sub"))))</f>
        <v/>
      </c>
      <c r="B110" s="57" t="n"/>
      <c r="C110" s="58" t="n"/>
      <c r="D110" s="58" t="n"/>
      <c r="E110" s="59">
        <f>IF(N($AQ110)&gt;0,INDEX(rIni_ADM,$AQ110),"")</f>
        <v/>
      </c>
      <c r="F110" s="59">
        <f>IF(N($AQ110)&gt;0,INDEX(rLim_ADM,$AQ110),"")</f>
        <v/>
      </c>
      <c r="G110" s="59" t="n"/>
      <c r="H110" s="60" t="n"/>
      <c r="I110" s="60">
        <f>IF(N($W110)=0,"",IF(AND($S110=MesCiclo,1&gt;SemanaActual),"",MIN(1,SUMIFS(OFFSET($A$1,ROW(),29,1000-ROW(),1),OFFSET($A$1,ROW(),20,1000-ROW(),1),ROW(),OFFSET($A$1,ROW(),21,1000-ROW(),1),"Sub"))))</f>
        <v/>
      </c>
      <c r="J110" s="60">
        <f>IF(N($W110)=0,"",IF(AND($S110=MesCiclo,2&gt;SemanaActual),"",MIN(1,SUMIFS(OFFSET($A$1,ROW(),30,1000-ROW(),1),OFFSET($A$1,ROW(),20,1000-ROW(),1),ROW(),OFFSET($A$1,ROW(),21,1000-ROW(),1),"Sub"))))</f>
        <v/>
      </c>
      <c r="K110" s="60">
        <f>IF(N($W110)=0,"",IF(AND($S110=MesCiclo,3&gt;SemanaActual),"",MIN(1,SUMIFS(OFFSET($A$1,ROW(),31,1000-ROW(),1),OFFSET($A$1,ROW(),20,1000-ROW(),1),ROW(),OFFSET($A$1,ROW(),21,1000-ROW(),1),"Sub"))))</f>
        <v/>
      </c>
      <c r="L110" s="60">
        <f>IF(N($W110)=0,"",IF(AND($S110=MesCiclo,4&gt;SemanaActual),"",MIN(1,SUMIFS(OFFSET($A$1,ROW(),32,1000-ROW(),1),OFFSET($A$1,ROW(),20,1000-ROW(),1),ROW(),OFFSET($A$1,ROW(),21,1000-ROW(),1),"Sub"))))</f>
        <v/>
      </c>
      <c r="M110" s="61">
        <f>IF(OR(NOT((COUNTA($B110:$D110)+COUNTA($G110:$H110)+COUNTA($Q110))&gt;0),$V110="Sub"),"",IF(ISNUMBER($G110),1,IF(N($W110)&gt;0,MIN(1,SUMIFS($Y$5:$Y$1000,$U$5:$U$1000,ROW(),$V$5:$V$1000,"Sub")),$Y110)))</f>
        <v/>
      </c>
      <c r="N110" s="56">
        <f>IF(OR($M110="",$V110="Sub"),"",IF($M110&gt;=1,"Completado",IF($M110&gt;0,"En curso","Pendiente")))</f>
        <v/>
      </c>
      <c r="O110" s="56">
        <f>IF(OR(NOT((COUNTA($B110:$D110)+COUNTA($G110:$H110)+COUNTA($Q110))&gt;0),$V110="Sub"),"",IF(ISNUMBER($G110),IF(AND(ISNUMBER($AS110),$G110&gt;$AS110),"Cumplida con "&amp;($G110-$AS110)&amp;IF($G110-$AS110=1," día"," días")&amp;" de retraso","Cumplida"),IF(N($M110)&gt;=1,"Cumplida",IF(NOT(ISNUMBER($AS110)),"Sin fecha límite",IF($AS110&lt;FechaRef,"Vencida hace "&amp;(FechaRef-$AS110)&amp;IF(FechaRef-$AS110=1," día"," días"),IF($AS110=FechaRef,"Vence hoy",IF($AS110-FechaRef&lt;=DiasAlerta,"Vence en "&amp;($AS110-FechaRef)&amp;IF($AS110-FechaRef=1," día"," días"),"En plazo")))))))</f>
        <v/>
      </c>
      <c r="P110" s="62" t="n"/>
      <c r="Q110" s="58" t="n"/>
      <c r="R110" s="63">
        <f>IF(NOT((COUNTA($B110:$D110)+COUNTA($G110:$H110)+COUNTA($Q110))&gt;0),"",IF((IF($C110="","Falta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 OK","⚠ "&amp;LEFT(IF($C110="","Falta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",""),LEN(IF($C110="","Falta el nombre de la actividad"&amp;" · ","")&amp;IF(AND($V110="Sub",N($U110)=0),"Subactividad sin macroactividad arriba"&amp;" · ","")&amp;IF(AND($V110="Macro",$AR110=""),"Sin fecha de inicio"&amp;" · ","")&amp;IF(AND($V110="Macro",$AS110=""),"Sin fecha límite"&amp;" · ","")&amp;IF(AND(LEFT($C110,11)="[Jefatura] ",N($AQ110)=0),"No se encuentra en la hoja de la jefatura (elíjala de nuevo en la lista)"&amp;" · ","")&amp;IF(OR(AND($E110&lt;&gt;"",NOT(ISNUMBER($E110))),AND($F110&lt;&gt;"",NOT(ISNUMBER($F110))),AND($G110&lt;&gt;"",NOT(ISNUMBER($G110)))),"Fecha no válida"&amp;" · ","")&amp;IF(AND(ISNUMBER($AR110),ISNUMBER($AS110),$AR110&gt;$AS110),"Inicio posterior a fecha límite"&amp;" · ","")&amp;IF(AND($V110="Macro",$H110&lt;&gt;"",OR(NOT(ISNUMBER($H110)),$H110&lt;0,$H110&gt;1)),"Peso fuera de rango"&amp;" · ","")&amp;IF(AND($V110="Sub",$H110&lt;&gt;"",OR(NOT(ISNUMBER($H110)),$H110&lt;0,$H110&gt;1)),"% de la subactividad fuera de rango 0-100%"&amp;" · ","")&amp;IF(AND(N($W110)&gt;0,SUMIFS($H$5:$H$1000,$U$5:$U$1000,ROW(),$V$5:$V$1000,"Sub")&gt;1.0001),"Las subactividades suman más de 100%"&amp;" · ","")&amp;IF(AND(N($W110)&gt;0,OR(IF(ISNUMBER($I110),ROUND($I110,6)&lt;&gt;ROUND(MIN(1,SUMIFS($AD$5:$AD$1000,$U$5:$U$1000,ROW(),$V$5:$V$1000,"Sub")),6),FALSE),IF(ISNUMBER($J110),ROUND($J110,6)&lt;&gt;ROUND(MIN(1,SUMIFS($AE$5:$AE$1000,$U$5:$U$1000,ROW(),$V$5:$V$1000,"Sub")),6),FALSE),IF(ISNUMBER($K110),ROUND($K110,6)&lt;&gt;ROUND(MIN(1,SUMIFS($AF$5:$AF$1000,$U$5:$U$1000,ROW(),$V$5:$V$1000,"Sub")),6),FALSE),IF(ISNUMBER($L110),ROUND($L110,6)&lt;&gt;ROUND(MIN(1,SUMIFS($AG$5:$AG$1000,$U$5:$U$1000,ROW(),$V$5:$V$1000,"Sub")),6),FALSE))),"Con subactividades: no escriba en las semanas (se llenan solas)"&amp;" · ","")&amp;IF((COUNTIF($I110:$L110,"&gt;1")+COUNTIF($I110:$L110,"&lt;0")+SUMPRODUCT((LEN($I110:$L110)&gt;0)*NOT(ISNUMBER($I110:$L110))))&gt;0,"Avance fuera de rango 0-100%"&amp;" · ","")&amp;IF(OR(AND(ISNUMBER($J110),$J110&lt;N($I110)),AND(ISNUMBER($K110),$K110&lt;MAX($I110:$J110)),AND(ISNUMBER($L110),$L110&lt;MAX($I110:$K110))),"Avance semanal decreciente"&amp;" · ","")&amp;IF(AND(ISNUMBER($AS110),$AS110&lt;FechaRef,IF($V110="Sub",1,N($M110))&lt;1),"Vencida"&amp;" · ","")&amp;IF(AND(ObsObligatoria="Sí",ISNUMBER($AS110),$AS110&lt;FechaRef,IF($V110="Sub",1,N($M110))&lt;1,$Q110=""),"Vencida sin observación"&amp;" · ",""))-3)))</f>
        <v/>
      </c>
      <c r="S110" s="64">
        <f>IF(NOT((COUNTA($B110:$D110)+COUNTA($G110:$H110)+COUNTA($Q110))&gt;0),"",IF(AND($V110="Sub",N($U110)&gt;0),IF(ISNUMBER(INDEX($AR$5:$AR$1000,$U110-4)),DATE(YEAR(INDEX($AR$5:$AR$1000,$U110-4)),MONTH(INDEX($AR$5:$AR$1000,$U110-4)),1),IF(ISNUMBER(INDEX($AS$5:$AS$1000,$U110-4)),DATE(YEAR(INDEX($AS$5:$AS$1000,$U110-4)),MONTH(INDEX($AS$5:$AS$1000,$U110-4)),1),MesCiclo)),IF(ISNUMBER($AR110),DATE(YEAR($AR110),MONTH($AR110),1),IF(ISNUMBER($AS110),DATE(YEAR($AS110),MONTH($AS110),1),MesCiclo))))</f>
        <v/>
      </c>
      <c r="T110" s="62">
        <f>IF(OR($S110="",$S110&lt;&gt;MesCiclo,$V110&lt;&gt;"Macro"),"",COUNTIFS($S$5:$S110,MesCiclo,$V$5:$V110,"Macro"))</f>
        <v/>
      </c>
      <c r="U110" s="62">
        <f>IF($V110="","",IF($V110="Macro",ROW(),IFERROR(LOOKUP(2,1/($V$5:$V110="Macro"),ROW($V$5:$V110)),0)))</f>
        <v/>
      </c>
      <c r="V110" s="62">
        <f>IF(NOT((COUNTA($B110:$D110)+COUNTA($G110:$H110)+COUNTA($Q110))&gt;0),"",IF($B110="Subactividad","Sub","Macro"))</f>
        <v/>
      </c>
      <c r="W110" s="62">
        <f>IF($V110="Macro",COUNTIFS($U$5:$U$1000,ROW(),$V$5:$V$1000,"Sub"),"")</f>
        <v/>
      </c>
      <c r="X110" s="62">
        <f>IF($V110&lt;&gt;"Sub","",IF(AND(ISNUMBER($H110),N($H110)&gt;0),$H110,IFERROR(MAX(0,1-SUMIFS($H$5:$H$1000,$U$5:$U$1000,$U110,$V$5:$V$1000,"Sub"))/(COUNTIFS($U$5:$U$1000,$U110,$V$5:$V$1000,"Sub")-COUNTIFS($U$5:$U$1000,$U110,$V$5:$V$1000,"Sub",$H$5:$H$1000,"&gt;0")),0)))</f>
        <v/>
      </c>
      <c r="Y110" s="62">
        <f>IF($V110="","",IF($V110="Sub",N($X110)*IF(ISNUMBER($G110),1,MIN(1,MAX(0,IFERROR(LOOKUP(2,1/ISNUMBER($I110:$L110),$I110:$L110),0)))),IF(ISNUMBER($G110),1,IFERROR(LOOKUP(2,1/($I110:$L110&lt;&gt;""),$I110:$L110),0))))</f>
        <v/>
      </c>
      <c r="Z110" s="62">
        <f>IF($V110="","",IF(AND(ISNUMBER($G110),$G110&lt;=IF($S110=MesCiclo,InicioCiclo,$S110+MOD(2-WEEKDAY($S110),7))+6),1,IF(ISNUMBER($I110),$I110,0)))</f>
        <v/>
      </c>
      <c r="AA110" s="62">
        <f>IF($V110="","",IF(AND(ISNUMBER($G110),$G110&lt;=IF($S110=MesCiclo,InicioCiclo,$S110+MOD(2-WEEKDAY($S110),7))+13),1,IF(ISNUMBER($J110),$J110,$Z110)))</f>
        <v/>
      </c>
      <c r="AB110" s="62">
        <f>IF($V110="","",IF(AND(ISNUMBER($G110),$G110&lt;=IF($S110=MesCiclo,InicioCiclo,$S110+MOD(2-WEEKDAY($S110),7))+20),1,IF(ISNUMBER($K110),$K110,$AA110)))</f>
        <v/>
      </c>
      <c r="AC110" s="62">
        <f>IF($V110="","",IF(AND(ISNUMBER($G110),$G110&lt;=IF($S110=MesCiclo,InicioCiclo,$S110+MOD(2-WEEKDAY($S110),7))+27),1,IF(ISNUMBER($L110),$L110,$AB110)))</f>
        <v/>
      </c>
      <c r="AD110" s="62">
        <f>IF($V110&lt;&gt;"Sub","",N($X110)*IF(AND(ISNUMBER($G110),$G110&lt;=IF($S110=MesCiclo,InicioCiclo,$S110+MOD(2-WEEKDAY($S110),7))+6),1,MIN(1,MAX(0,IF(ISNUMBER(OFFSET($A$1,ROW()-1,8)),OFFSET($A$1,ROW()-1,8),0)))))</f>
        <v/>
      </c>
      <c r="AE110" s="62">
        <f>IF($V110&lt;&gt;"Sub","",N($X110)*IF(AND(ISNUMBER($G110),$G110&lt;=IF($S110=MesCiclo,InicioCiclo,$S110+MOD(2-WEEKDAY($S110),7))+13),1,MIN(1,MAX(0,IF(ISNUMBER(OFFSET($A$1,ROW()-1,9)),OFFSET($A$1,ROW()-1,9),IF(ISNUMBER(OFFSET($A$1,ROW()-1,8)),OFFSET($A$1,ROW()-1,8),0))))))</f>
        <v/>
      </c>
      <c r="AF110" s="62">
        <f>IF($V110&lt;&gt;"Sub","",N($X110)*IF(AND(ISNUMBER($G110),$G110&lt;=IF($S110=MesCiclo,InicioCiclo,$S110+MOD(2-WEEKDAY($S110),7))+20),1,MIN(1,MAX(0,IF(ISNUMBER(OFFSET($A$1,ROW()-1,10)),OFFSET($A$1,ROW()-1,10),IF(ISNUMBER(OFFSET($A$1,ROW()-1,9)),OFFSET($A$1,ROW()-1,9),IF(ISNUMBER(OFFSET($A$1,ROW()-1,8)),OFFSET($A$1,ROW()-1,8),0)))))))</f>
        <v/>
      </c>
      <c r="AG110" s="62">
        <f>IF($V110&lt;&gt;"Sub","",N($X110)*IF(AND(ISNUMBER($G110),$G110&lt;=IF($S110=MesCiclo,InicioCiclo,$S110+MOD(2-WEEKDAY($S110),7))+27),1,MIN(1,MAX(0,IF(ISNUMBER(OFFSET($A$1,ROW()-1,11)),OFFSET($A$1,ROW()-1,11),IF(ISNUMBER(OFFSET($A$1,ROW()-1,10)),OFFSET($A$1,ROW()-1,10),IF(ISNUMBER(OFFSET($A$1,ROW()-1,9)),OFFSET($A$1,ROW()-1,9),IF(ISNUMBER(OFFSET($A$1,ROW()-1,8)),OFFSET($A$1,ROW()-1,8),0))))))))</f>
        <v/>
      </c>
      <c r="AH110" s="62">
        <f>IF($V110="","",IF(AND(ISNUMBER($G110),$G110&lt;=IF($S110=MesCiclo,InicioCiclo,$S110+MOD(2-WEEKDAY($S110),7))+6),1,IF(N($W110)&gt;0,MIN(1,SUMIFS($AD$5:$AD$1000,$U$5:$U$1000,ROW(),$V$5:$V$1000,"Sub")),$Z110)))</f>
        <v/>
      </c>
      <c r="AI110" s="62">
        <f>IF($V110="","",IF(AND(ISNUMBER($G110),$G110&lt;=IF($S110=MesCiclo,InicioCiclo,$S110+MOD(2-WEEKDAY($S110),7))+13),1,IF(N($W110)&gt;0,MIN(1,SUMIFS($AE$5:$AE$1000,$U$5:$U$1000,ROW(),$V$5:$V$1000,"Sub")),$AA110)))</f>
        <v/>
      </c>
      <c r="AJ110" s="62">
        <f>IF($V110="","",IF(AND(ISNUMBER($G110),$G110&lt;=IF($S110=MesCiclo,InicioCiclo,$S110+MOD(2-WEEKDAY($S110),7))+20),1,IF(N($W110)&gt;0,MIN(1,SUMIFS($AF$5:$AF$1000,$U$5:$U$1000,ROW(),$V$5:$V$1000,"Sub")),$AB110)))</f>
        <v/>
      </c>
      <c r="AK110" s="62">
        <f>IF($V110="","",IF(AND(ISNUMBER($G110),$G110&lt;=IF($S110=MesCiclo,InicioCiclo,$S110+MOD(2-WEEKDAY($S110),7))+27),1,IF(N($W110)&gt;0,MIN(1,SUMIFS($AG$5:$AG$1000,$U$5:$U$1000,ROW(),$V$5:$V$1000,"Sub")),$AC110)))</f>
        <v/>
      </c>
      <c r="AL110" s="62">
        <f>IF($V110&lt;&gt;"Macro","",IF(COUNTIFS($S$5:$S$1000,$S110,$V$5:$V$1000,"Macro",$H$5:$H$1000,"&gt;0")=0,1/COUNTIFS($S$5:$S$1000,$S110,$V$5:$V$1000,"Macro"),IF(AND(ISNUMBER($H110),N($H110)&gt;0),$H110,SUMIFS($H$5:$H$1000,$S$5:$S$1000,$S110,$V$5:$V$1000,"Macro")/COUNTIFS($S$5:$S$1000,$S110,$V$5:$V$1000,"Macro",$H$5:$H$1000,"&gt;0"))/(COUNTIFS($S$5:$S$1000,$S110,$V$5:$V$1000,"Macro")*SUMIFS($H$5:$H$1000,$S$5:$S$1000,$S110,$V$5:$V$1000,"Macro")/COUNTIFS($S$5:$S$1000,$S110,$V$5:$V$1000,"Macro",$H$5:$H$1000,"&gt;0"))))</f>
        <v/>
      </c>
      <c r="AM110" s="62" t="n"/>
      <c r="AN110" s="62" t="n"/>
      <c r="AO110" s="62" t="n"/>
      <c r="AP110" s="62" t="n"/>
      <c r="AQ110" s="62">
        <f>IF(LEFT($C110,11)="[Jefatura] ",IFERROR(MATCH("Asistente Técnico de Riesgo|"&amp;MID($C110,12,500),rDname_ADM,0),0),"")</f>
        <v/>
      </c>
      <c r="AR110" s="62">
        <f>IF(N($AQ110)&gt;0,INDEX(rIni_ADM,$AQ110),IF(ISNUMBER($E110),$E110,""))</f>
        <v/>
      </c>
      <c r="AS110" s="62">
        <f>IF(N($AQ110)&gt;0,INDEX(rLim_ADM,$AQ110),IF(ISNUMBER($F110),$F110,""))</f>
        <v/>
      </c>
    </row>
    <row r="111">
      <c r="A111" s="56">
        <f>IF(NOT((COUNTA($B111:$D111)+COUNTA($G111:$H111)+COUNTA($Q111))&gt;0),"",IF($V111="Macro",COUNTIFS($V$5:$V111,"Macro",$S$5:$S111,$S111),IF(N($U111)=0,"?",COUNTIFS(INDEX($V$5:$V$1000,1):INDEX($V$5:$V$1000,$U111-4),"Macro",INDEX($S$5:$S$1000,1):INDEX($S$5:$S$1000,$U111-4),INDEX($S$5:$S$1000,$U111-4))&amp;"."&amp;COUNTIFS($U$5:$U111,$U111,$V$5:$V111,"Sub"))))</f>
        <v/>
      </c>
      <c r="B111" s="57" t="n"/>
      <c r="C111" s="58" t="n"/>
      <c r="D111" s="58" t="n"/>
      <c r="E111" s="59">
        <f>IF(N($AQ111)&gt;0,INDEX(rIni_ADM,$AQ111),"")</f>
        <v/>
      </c>
      <c r="F111" s="59">
        <f>IF(N($AQ111)&gt;0,INDEX(rLim_ADM,$AQ111),"")</f>
        <v/>
      </c>
      <c r="G111" s="59" t="n"/>
      <c r="H111" s="60" t="n"/>
      <c r="I111" s="60">
        <f>IF(N($W111)=0,"",IF(AND($S111=MesCiclo,1&gt;SemanaActual),"",MIN(1,SUMIFS(OFFSET($A$1,ROW(),29,1000-ROW(),1),OFFSET($A$1,ROW(),20,1000-ROW(),1),ROW(),OFFSET($A$1,ROW(),21,1000-ROW(),1),"Sub"))))</f>
        <v/>
      </c>
      <c r="J111" s="60">
        <f>IF(N($W111)=0,"",IF(AND($S111=MesCiclo,2&gt;SemanaActual),"",MIN(1,SUMIFS(OFFSET($A$1,ROW(),30,1000-ROW(),1),OFFSET($A$1,ROW(),20,1000-ROW(),1),ROW(),OFFSET($A$1,ROW(),21,1000-ROW(),1),"Sub"))))</f>
        <v/>
      </c>
      <c r="K111" s="60">
        <f>IF(N($W111)=0,"",IF(AND($S111=MesCiclo,3&gt;SemanaActual),"",MIN(1,SUMIFS(OFFSET($A$1,ROW(),31,1000-ROW(),1),OFFSET($A$1,ROW(),20,1000-ROW(),1),ROW(),OFFSET($A$1,ROW(),21,1000-ROW(),1),"Sub"))))</f>
        <v/>
      </c>
      <c r="L111" s="60">
        <f>IF(N($W111)=0,"",IF(AND($S111=MesCiclo,4&gt;SemanaActual),"",MIN(1,SUMIFS(OFFSET($A$1,ROW(),32,1000-ROW(),1),OFFSET($A$1,ROW(),20,1000-ROW(),1),ROW(),OFFSET($A$1,ROW(),21,1000-ROW(),1),"Sub"))))</f>
        <v/>
      </c>
      <c r="M111" s="61">
        <f>IF(OR(NOT((COUNTA($B111:$D111)+COUNTA($G111:$H111)+COUNTA($Q111))&gt;0),$V111="Sub"),"",IF(ISNUMBER($G111),1,IF(N($W111)&gt;0,MIN(1,SUMIFS($Y$5:$Y$1000,$U$5:$U$1000,ROW(),$V$5:$V$1000,"Sub")),$Y111)))</f>
        <v/>
      </c>
      <c r="N111" s="56">
        <f>IF(OR($M111="",$V111="Sub"),"",IF($M111&gt;=1,"Completado",IF($M111&gt;0,"En curso","Pendiente")))</f>
        <v/>
      </c>
      <c r="O111" s="56">
        <f>IF(OR(NOT((COUNTA($B111:$D111)+COUNTA($G111:$H111)+COUNTA($Q111))&gt;0),$V111="Sub"),"",IF(ISNUMBER($G111),IF(AND(ISNUMBER($AS111),$G111&gt;$AS111),"Cumplida con "&amp;($G111-$AS111)&amp;IF($G111-$AS111=1," día"," días")&amp;" de retraso","Cumplida"),IF(N($M111)&gt;=1,"Cumplida",IF(NOT(ISNUMBER($AS111)),"Sin fecha límite",IF($AS111&lt;FechaRef,"Vencida hace "&amp;(FechaRef-$AS111)&amp;IF(FechaRef-$AS111=1," día"," días"),IF($AS111=FechaRef,"Vence hoy",IF($AS111-FechaRef&lt;=DiasAlerta,"Vence en "&amp;($AS111-FechaRef)&amp;IF($AS111-FechaRef=1," día"," días"),"En plazo")))))))</f>
        <v/>
      </c>
      <c r="P111" s="62" t="n"/>
      <c r="Q111" s="58" t="n"/>
      <c r="R111" s="63">
        <f>IF(NOT((COUNTA($B111:$D111)+COUNTA($G111:$H111)+COUNTA($Q111))&gt;0),"",IF((IF($C111="","Falta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 OK","⚠ "&amp;LEFT(IF($C111="","Falta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",""),LEN(IF($C111="","Falta el nombre de la actividad"&amp;" · ","")&amp;IF(AND($V111="Sub",N($U111)=0),"Subactividad sin macroactividad arriba"&amp;" · ","")&amp;IF(AND($V111="Macro",$AR111=""),"Sin fecha de inicio"&amp;" · ","")&amp;IF(AND($V111="Macro",$AS111=""),"Sin fecha límite"&amp;" · ","")&amp;IF(AND(LEFT($C111,11)="[Jefatura] ",N($AQ111)=0),"No se encuentra en la hoja de la jefatura (elíjala de nuevo en la lista)"&amp;" · ","")&amp;IF(OR(AND($E111&lt;&gt;"",NOT(ISNUMBER($E111))),AND($F111&lt;&gt;"",NOT(ISNUMBER($F111))),AND($G111&lt;&gt;"",NOT(ISNUMBER($G111)))),"Fecha no válida"&amp;" · ","")&amp;IF(AND(ISNUMBER($AR111),ISNUMBER($AS111),$AR111&gt;$AS111),"Inicio posterior a fecha límite"&amp;" · ","")&amp;IF(AND($V111="Macro",$H111&lt;&gt;"",OR(NOT(ISNUMBER($H111)),$H111&lt;0,$H111&gt;1)),"Peso fuera de rango"&amp;" · ","")&amp;IF(AND($V111="Sub",$H111&lt;&gt;"",OR(NOT(ISNUMBER($H111)),$H111&lt;0,$H111&gt;1)),"% de la subactividad fuera de rango 0-100%"&amp;" · ","")&amp;IF(AND(N($W111)&gt;0,SUMIFS($H$5:$H$1000,$U$5:$U$1000,ROW(),$V$5:$V$1000,"Sub")&gt;1.0001),"Las subactividades suman más de 100%"&amp;" · ","")&amp;IF(AND(N($W111)&gt;0,OR(IF(ISNUMBER($I111),ROUND($I111,6)&lt;&gt;ROUND(MIN(1,SUMIFS($AD$5:$AD$1000,$U$5:$U$1000,ROW(),$V$5:$V$1000,"Sub")),6),FALSE),IF(ISNUMBER($J111),ROUND($J111,6)&lt;&gt;ROUND(MIN(1,SUMIFS($AE$5:$AE$1000,$U$5:$U$1000,ROW(),$V$5:$V$1000,"Sub")),6),FALSE),IF(ISNUMBER($K111),ROUND($K111,6)&lt;&gt;ROUND(MIN(1,SUMIFS($AF$5:$AF$1000,$U$5:$U$1000,ROW(),$V$5:$V$1000,"Sub")),6),FALSE),IF(ISNUMBER($L111),ROUND($L111,6)&lt;&gt;ROUND(MIN(1,SUMIFS($AG$5:$AG$1000,$U$5:$U$1000,ROW(),$V$5:$V$1000,"Sub")),6),FALSE))),"Con subactividades: no escriba en las semanas (se llenan solas)"&amp;" · ","")&amp;IF((COUNTIF($I111:$L111,"&gt;1")+COUNTIF($I111:$L111,"&lt;0")+SUMPRODUCT((LEN($I111:$L111)&gt;0)*NOT(ISNUMBER($I111:$L111))))&gt;0,"Avance fuera de rango 0-100%"&amp;" · ","")&amp;IF(OR(AND(ISNUMBER($J111),$J111&lt;N($I111)),AND(ISNUMBER($K111),$K111&lt;MAX($I111:$J111)),AND(ISNUMBER($L111),$L111&lt;MAX($I111:$K111))),"Avance semanal decreciente"&amp;" · ","")&amp;IF(AND(ISNUMBER($AS111),$AS111&lt;FechaRef,IF($V111="Sub",1,N($M111))&lt;1),"Vencida"&amp;" · ","")&amp;IF(AND(ObsObligatoria="Sí",ISNUMBER($AS111),$AS111&lt;FechaRef,IF($V111="Sub",1,N($M111))&lt;1,$Q111=""),"Vencida sin observación"&amp;" · ",""))-3)))</f>
        <v/>
      </c>
      <c r="S111" s="64">
        <f>IF(NOT((COUNTA($B111:$D111)+COUNTA($G111:$H111)+COUNTA($Q111))&gt;0),"",IF(AND($V111="Sub",N($U111)&gt;0),IF(ISNUMBER(INDEX($AR$5:$AR$1000,$U111-4)),DATE(YEAR(INDEX($AR$5:$AR$1000,$U111-4)),MONTH(INDEX($AR$5:$AR$1000,$U111-4)),1),IF(ISNUMBER(INDEX($AS$5:$AS$1000,$U111-4)),DATE(YEAR(INDEX($AS$5:$AS$1000,$U111-4)),MONTH(INDEX($AS$5:$AS$1000,$U111-4)),1),MesCiclo)),IF(ISNUMBER($AR111),DATE(YEAR($AR111),MONTH($AR111),1),IF(ISNUMBER($AS111),DATE(YEAR($AS111),MONTH($AS111),1),MesCiclo))))</f>
        <v/>
      </c>
      <c r="T111" s="62">
        <f>IF(OR($S111="",$S111&lt;&gt;MesCiclo,$V111&lt;&gt;"Macro"),"",COUNTIFS($S$5:$S111,MesCiclo,$V$5:$V111,"Macro"))</f>
        <v/>
      </c>
      <c r="U111" s="62">
        <f>IF($V111="","",IF($V111="Macro",ROW(),IFERROR(LOOKUP(2,1/($V$5:$V111="Macro"),ROW($V$5:$V111)),0)))</f>
        <v/>
      </c>
      <c r="V111" s="62">
        <f>IF(NOT((COUNTA($B111:$D111)+COUNTA($G111:$H111)+COUNTA($Q111))&gt;0),"",IF($B111="Subactividad","Sub","Macro"))</f>
        <v/>
      </c>
      <c r="W111" s="62">
        <f>IF($V111="Macro",COUNTIFS($U$5:$U$1000,ROW(),$V$5:$V$1000,"Sub"),"")</f>
        <v/>
      </c>
      <c r="X111" s="62">
        <f>IF($V111&lt;&gt;"Sub","",IF(AND(ISNUMBER($H111),N($H111)&gt;0),$H111,IFERROR(MAX(0,1-SUMIFS($H$5:$H$1000,$U$5:$U$1000,$U111,$V$5:$V$1000,"Sub"))/(COUNTIFS($U$5:$U$1000,$U111,$V$5:$V$1000,"Sub")-COUNTIFS($U$5:$U$1000,$U111,$V$5:$V$1000,"Sub",$H$5:$H$1000,"&gt;0")),0)))</f>
        <v/>
      </c>
      <c r="Y111" s="62">
        <f>IF($V111="","",IF($V111="Sub",N($X111)*IF(ISNUMBER($G111),1,MIN(1,MAX(0,IFERROR(LOOKUP(2,1/ISNUMBER($I111:$L111),$I111:$L111),0)))),IF(ISNUMBER($G111),1,IFERROR(LOOKUP(2,1/($I111:$L111&lt;&gt;""),$I111:$L111),0))))</f>
        <v/>
      </c>
      <c r="Z111" s="62">
        <f>IF($V111="","",IF(AND(ISNUMBER($G111),$G111&lt;=IF($S111=MesCiclo,InicioCiclo,$S111+MOD(2-WEEKDAY($S111),7))+6),1,IF(ISNUMBER($I111),$I111,0)))</f>
        <v/>
      </c>
      <c r="AA111" s="62">
        <f>IF($V111="","",IF(AND(ISNUMBER($G111),$G111&lt;=IF($S111=MesCiclo,InicioCiclo,$S111+MOD(2-WEEKDAY($S111),7))+13),1,IF(ISNUMBER($J111),$J111,$Z111)))</f>
        <v/>
      </c>
      <c r="AB111" s="62">
        <f>IF($V111="","",IF(AND(ISNUMBER($G111),$G111&lt;=IF($S111=MesCiclo,InicioCiclo,$S111+MOD(2-WEEKDAY($S111),7))+20),1,IF(ISNUMBER($K111),$K111,$AA111)))</f>
        <v/>
      </c>
      <c r="AC111" s="62">
        <f>IF($V111="","",IF(AND(ISNUMBER($G111),$G111&lt;=IF($S111=MesCiclo,InicioCiclo,$S111+MOD(2-WEEKDAY($S111),7))+27),1,IF(ISNUMBER($L111),$L111,$AB111)))</f>
        <v/>
      </c>
      <c r="AD111" s="62">
        <f>IF($V111&lt;&gt;"Sub","",N($X111)*IF(AND(ISNUMBER($G111),$G111&lt;=IF($S111=MesCiclo,InicioCiclo,$S111+MOD(2-WEEKDAY($S111),7))+6),1,MIN(1,MAX(0,IF(ISNUMBER(OFFSET($A$1,ROW()-1,8)),OFFSET($A$1,ROW()-1,8),0)))))</f>
        <v/>
      </c>
      <c r="AE111" s="62">
        <f>IF($V111&lt;&gt;"Sub","",N($X111)*IF(AND(ISNUMBER($G111),$G111&lt;=IF($S111=MesCiclo,InicioCiclo,$S111+MOD(2-WEEKDAY($S111),7))+13),1,MIN(1,MAX(0,IF(ISNUMBER(OFFSET($A$1,ROW()-1,9)),OFFSET($A$1,ROW()-1,9),IF(ISNUMBER(OFFSET($A$1,ROW()-1,8)),OFFSET($A$1,ROW()-1,8),0))))))</f>
        <v/>
      </c>
      <c r="AF111" s="62">
        <f>IF($V111&lt;&gt;"Sub","",N($X111)*IF(AND(ISNUMBER($G111),$G111&lt;=IF($S111=MesCiclo,InicioCiclo,$S111+MOD(2-WEEKDAY($S111),7))+20),1,MIN(1,MAX(0,IF(ISNUMBER(OFFSET($A$1,ROW()-1,10)),OFFSET($A$1,ROW()-1,10),IF(ISNUMBER(OFFSET($A$1,ROW()-1,9)),OFFSET($A$1,ROW()-1,9),IF(ISNUMBER(OFFSET($A$1,ROW()-1,8)),OFFSET($A$1,ROW()-1,8),0)))))))</f>
        <v/>
      </c>
      <c r="AG111" s="62">
        <f>IF($V111&lt;&gt;"Sub","",N($X111)*IF(AND(ISNUMBER($G111),$G111&lt;=IF($S111=MesCiclo,InicioCiclo,$S111+MOD(2-WEEKDAY($S111),7))+27),1,MIN(1,MAX(0,IF(ISNUMBER(OFFSET($A$1,ROW()-1,11)),OFFSET($A$1,ROW()-1,11),IF(ISNUMBER(OFFSET($A$1,ROW()-1,10)),OFFSET($A$1,ROW()-1,10),IF(ISNUMBER(OFFSET($A$1,ROW()-1,9)),OFFSET($A$1,ROW()-1,9),IF(ISNUMBER(OFFSET($A$1,ROW()-1,8)),OFFSET($A$1,ROW()-1,8),0))))))))</f>
        <v/>
      </c>
      <c r="AH111" s="62">
        <f>IF($V111="","",IF(AND(ISNUMBER($G111),$G111&lt;=IF($S111=MesCiclo,InicioCiclo,$S111+MOD(2-WEEKDAY($S111),7))+6),1,IF(N($W111)&gt;0,MIN(1,SUMIFS($AD$5:$AD$1000,$U$5:$U$1000,ROW(),$V$5:$V$1000,"Sub")),$Z111)))</f>
        <v/>
      </c>
      <c r="AI111" s="62">
        <f>IF($V111="","",IF(AND(ISNUMBER($G111),$G111&lt;=IF($S111=MesCiclo,InicioCiclo,$S111+MOD(2-WEEKDAY($S111),7))+13),1,IF(N($W111)&gt;0,MIN(1,SUMIFS($AE$5:$AE$1000,$U$5:$U$1000,ROW(),$V$5:$V$1000,"Sub")),$AA111)))</f>
        <v/>
      </c>
      <c r="AJ111" s="62">
        <f>IF($V111="","",IF(AND(ISNUMBER($G111),$G111&lt;=IF($S111=MesCiclo,InicioCiclo,$S111+MOD(2-WEEKDAY($S111),7))+20),1,IF(N($W111)&gt;0,MIN(1,SUMIFS($AF$5:$AF$1000,$U$5:$U$1000,ROW(),$V$5:$V$1000,"Sub")),$AB111)))</f>
        <v/>
      </c>
      <c r="AK111" s="62">
        <f>IF($V111="","",IF(AND(ISNUMBER($G111),$G111&lt;=IF($S111=MesCiclo,InicioCiclo,$S111+MOD(2-WEEKDAY($S111),7))+27),1,IF(N($W111)&gt;0,MIN(1,SUMIFS($AG$5:$AG$1000,$U$5:$U$1000,ROW(),$V$5:$V$1000,"Sub")),$AC111)))</f>
        <v/>
      </c>
      <c r="AL111" s="62">
        <f>IF($V111&lt;&gt;"Macro","",IF(COUNTIFS($S$5:$S$1000,$S111,$V$5:$V$1000,"Macro",$H$5:$H$1000,"&gt;0")=0,1/COUNTIFS($S$5:$S$1000,$S111,$V$5:$V$1000,"Macro"),IF(AND(ISNUMBER($H111),N($H111)&gt;0),$H111,SUMIFS($H$5:$H$1000,$S$5:$S$1000,$S111,$V$5:$V$1000,"Macro")/COUNTIFS($S$5:$S$1000,$S111,$V$5:$V$1000,"Macro",$H$5:$H$1000,"&gt;0"))/(COUNTIFS($S$5:$S$1000,$S111,$V$5:$V$1000,"Macro")*SUMIFS($H$5:$H$1000,$S$5:$S$1000,$S111,$V$5:$V$1000,"Macro")/COUNTIFS($S$5:$S$1000,$S111,$V$5:$V$1000,"Macro",$H$5:$H$1000,"&gt;0"))))</f>
        <v/>
      </c>
      <c r="AM111" s="62" t="n"/>
      <c r="AN111" s="62" t="n"/>
      <c r="AO111" s="62" t="n"/>
      <c r="AP111" s="62" t="n"/>
      <c r="AQ111" s="62">
        <f>IF(LEFT($C111,11)="[Jefatura] ",IFERROR(MATCH("Asistente Técnico de Riesgo|"&amp;MID($C111,12,500),rDname_ADM,0),0),"")</f>
        <v/>
      </c>
      <c r="AR111" s="62">
        <f>IF(N($AQ111)&gt;0,INDEX(rIni_ADM,$AQ111),IF(ISNUMBER($E111),$E111,""))</f>
        <v/>
      </c>
      <c r="AS111" s="62">
        <f>IF(N($AQ111)&gt;0,INDEX(rLim_ADM,$AQ111),IF(ISNUMBER($F111),$F111,""))</f>
        <v/>
      </c>
    </row>
    <row r="112">
      <c r="A112" s="56">
        <f>IF(NOT((COUNTA($B112:$D112)+COUNTA($G112:$H112)+COUNTA($Q112))&gt;0),"",IF($V112="Macro",COUNTIFS($V$5:$V112,"Macro",$S$5:$S112,$S112),IF(N($U112)=0,"?",COUNTIFS(INDEX($V$5:$V$1000,1):INDEX($V$5:$V$1000,$U112-4),"Macro",INDEX($S$5:$S$1000,1):INDEX($S$5:$S$1000,$U112-4),INDEX($S$5:$S$1000,$U112-4))&amp;"."&amp;COUNTIFS($U$5:$U112,$U112,$V$5:$V112,"Sub"))))</f>
        <v/>
      </c>
      <c r="B112" s="57" t="n"/>
      <c r="C112" s="58" t="n"/>
      <c r="D112" s="58" t="n"/>
      <c r="E112" s="59">
        <f>IF(N($AQ112)&gt;0,INDEX(rIni_ADM,$AQ112),"")</f>
        <v/>
      </c>
      <c r="F112" s="59">
        <f>IF(N($AQ112)&gt;0,INDEX(rLim_ADM,$AQ112),"")</f>
        <v/>
      </c>
      <c r="G112" s="59" t="n"/>
      <c r="H112" s="60" t="n"/>
      <c r="I112" s="60">
        <f>IF(N($W112)=0,"",IF(AND($S112=MesCiclo,1&gt;SemanaActual),"",MIN(1,SUMIFS(OFFSET($A$1,ROW(),29,1000-ROW(),1),OFFSET($A$1,ROW(),20,1000-ROW(),1),ROW(),OFFSET($A$1,ROW(),21,1000-ROW(),1),"Sub"))))</f>
        <v/>
      </c>
      <c r="J112" s="60">
        <f>IF(N($W112)=0,"",IF(AND($S112=MesCiclo,2&gt;SemanaActual),"",MIN(1,SUMIFS(OFFSET($A$1,ROW(),30,1000-ROW(),1),OFFSET($A$1,ROW(),20,1000-ROW(),1),ROW(),OFFSET($A$1,ROW(),21,1000-ROW(),1),"Sub"))))</f>
        <v/>
      </c>
      <c r="K112" s="60">
        <f>IF(N($W112)=0,"",IF(AND($S112=MesCiclo,3&gt;SemanaActual),"",MIN(1,SUMIFS(OFFSET($A$1,ROW(),31,1000-ROW(),1),OFFSET($A$1,ROW(),20,1000-ROW(),1),ROW(),OFFSET($A$1,ROW(),21,1000-ROW(),1),"Sub"))))</f>
        <v/>
      </c>
      <c r="L112" s="60">
        <f>IF(N($W112)=0,"",IF(AND($S112=MesCiclo,4&gt;SemanaActual),"",MIN(1,SUMIFS(OFFSET($A$1,ROW(),32,1000-ROW(),1),OFFSET($A$1,ROW(),20,1000-ROW(),1),ROW(),OFFSET($A$1,ROW(),21,1000-ROW(),1),"Sub"))))</f>
        <v/>
      </c>
      <c r="M112" s="61">
        <f>IF(OR(NOT((COUNTA($B112:$D112)+COUNTA($G112:$H112)+COUNTA($Q112))&gt;0),$V112="Sub"),"",IF(ISNUMBER($G112),1,IF(N($W112)&gt;0,MIN(1,SUMIFS($Y$5:$Y$1000,$U$5:$U$1000,ROW(),$V$5:$V$1000,"Sub")),$Y112)))</f>
        <v/>
      </c>
      <c r="N112" s="56">
        <f>IF(OR($M112="",$V112="Sub"),"",IF($M112&gt;=1,"Completado",IF($M112&gt;0,"En curso","Pendiente")))</f>
        <v/>
      </c>
      <c r="O112" s="56">
        <f>IF(OR(NOT((COUNTA($B112:$D112)+COUNTA($G112:$H112)+COUNTA($Q112))&gt;0),$V112="Sub"),"",IF(ISNUMBER($G112),IF(AND(ISNUMBER($AS112),$G112&gt;$AS112),"Cumplida con "&amp;($G112-$AS112)&amp;IF($G112-$AS112=1," día"," días")&amp;" de retraso","Cumplida"),IF(N($M112)&gt;=1,"Cumplida",IF(NOT(ISNUMBER($AS112)),"Sin fecha límite",IF($AS112&lt;FechaRef,"Vencida hace "&amp;(FechaRef-$AS112)&amp;IF(FechaRef-$AS112=1," día"," días"),IF($AS112=FechaRef,"Vence hoy",IF($AS112-FechaRef&lt;=DiasAlerta,"Vence en "&amp;($AS112-FechaRef)&amp;IF($AS112-FechaRef=1," día"," días"),"En plazo")))))))</f>
        <v/>
      </c>
      <c r="P112" s="62" t="n"/>
      <c r="Q112" s="58" t="n"/>
      <c r="R112" s="63">
        <f>IF(NOT((COUNTA($B112:$D112)+COUNTA($G112:$H112)+COUNTA($Q112))&gt;0),"",IF((IF($C112="","Falta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 OK","⚠ "&amp;LEFT(IF($C112="","Falta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",""),LEN(IF($C112="","Falta el nombre de la actividad"&amp;" · ","")&amp;IF(AND($V112="Sub",N($U112)=0),"Subactividad sin macroactividad arriba"&amp;" · ","")&amp;IF(AND($V112="Macro",$AR112=""),"Sin fecha de inicio"&amp;" · ","")&amp;IF(AND($V112="Macro",$AS112=""),"Sin fecha límite"&amp;" · ","")&amp;IF(AND(LEFT($C112,11)="[Jefatura] ",N($AQ112)=0),"No se encuentra en la hoja de la jefatura (elíjala de nuevo en la lista)"&amp;" · ","")&amp;IF(OR(AND($E112&lt;&gt;"",NOT(ISNUMBER($E112))),AND($F112&lt;&gt;"",NOT(ISNUMBER($F112))),AND($G112&lt;&gt;"",NOT(ISNUMBER($G112)))),"Fecha no válida"&amp;" · ","")&amp;IF(AND(ISNUMBER($AR112),ISNUMBER($AS112),$AR112&gt;$AS112),"Inicio posterior a fecha límite"&amp;" · ","")&amp;IF(AND($V112="Macro",$H112&lt;&gt;"",OR(NOT(ISNUMBER($H112)),$H112&lt;0,$H112&gt;1)),"Peso fuera de rango"&amp;" · ","")&amp;IF(AND($V112="Sub",$H112&lt;&gt;"",OR(NOT(ISNUMBER($H112)),$H112&lt;0,$H112&gt;1)),"% de la subactividad fuera de rango 0-100%"&amp;" · ","")&amp;IF(AND(N($W112)&gt;0,SUMIFS($H$5:$H$1000,$U$5:$U$1000,ROW(),$V$5:$V$1000,"Sub")&gt;1.0001),"Las subactividades suman más de 100%"&amp;" · ","")&amp;IF(AND(N($W112)&gt;0,OR(IF(ISNUMBER($I112),ROUND($I112,6)&lt;&gt;ROUND(MIN(1,SUMIFS($AD$5:$AD$1000,$U$5:$U$1000,ROW(),$V$5:$V$1000,"Sub")),6),FALSE),IF(ISNUMBER($J112),ROUND($J112,6)&lt;&gt;ROUND(MIN(1,SUMIFS($AE$5:$AE$1000,$U$5:$U$1000,ROW(),$V$5:$V$1000,"Sub")),6),FALSE),IF(ISNUMBER($K112),ROUND($K112,6)&lt;&gt;ROUND(MIN(1,SUMIFS($AF$5:$AF$1000,$U$5:$U$1000,ROW(),$V$5:$V$1000,"Sub")),6),FALSE),IF(ISNUMBER($L112),ROUND($L112,6)&lt;&gt;ROUND(MIN(1,SUMIFS($AG$5:$AG$1000,$U$5:$U$1000,ROW(),$V$5:$V$1000,"Sub")),6),FALSE))),"Con subactividades: no escriba en las semanas (se llenan solas)"&amp;" · ","")&amp;IF((COUNTIF($I112:$L112,"&gt;1")+COUNTIF($I112:$L112,"&lt;0")+SUMPRODUCT((LEN($I112:$L112)&gt;0)*NOT(ISNUMBER($I112:$L112))))&gt;0,"Avance fuera de rango 0-100%"&amp;" · ","")&amp;IF(OR(AND(ISNUMBER($J112),$J112&lt;N($I112)),AND(ISNUMBER($K112),$K112&lt;MAX($I112:$J112)),AND(ISNUMBER($L112),$L112&lt;MAX($I112:$K112))),"Avance semanal decreciente"&amp;" · ","")&amp;IF(AND(ISNUMBER($AS112),$AS112&lt;FechaRef,IF($V112="Sub",1,N($M112))&lt;1),"Vencida"&amp;" · ","")&amp;IF(AND(ObsObligatoria="Sí",ISNUMBER($AS112),$AS112&lt;FechaRef,IF($V112="Sub",1,N($M112))&lt;1,$Q112=""),"Vencida sin observación"&amp;" · ",""))-3)))</f>
        <v/>
      </c>
      <c r="S112" s="64">
        <f>IF(NOT((COUNTA($B112:$D112)+COUNTA($G112:$H112)+COUNTA($Q112))&gt;0),"",IF(AND($V112="Sub",N($U112)&gt;0),IF(ISNUMBER(INDEX($AR$5:$AR$1000,$U112-4)),DATE(YEAR(INDEX($AR$5:$AR$1000,$U112-4)),MONTH(INDEX($AR$5:$AR$1000,$U112-4)),1),IF(ISNUMBER(INDEX($AS$5:$AS$1000,$U112-4)),DATE(YEAR(INDEX($AS$5:$AS$1000,$U112-4)),MONTH(INDEX($AS$5:$AS$1000,$U112-4)),1),MesCiclo)),IF(ISNUMBER($AR112),DATE(YEAR($AR112),MONTH($AR112),1),IF(ISNUMBER($AS112),DATE(YEAR($AS112),MONTH($AS112),1),MesCiclo))))</f>
        <v/>
      </c>
      <c r="T112" s="62">
        <f>IF(OR($S112="",$S112&lt;&gt;MesCiclo,$V112&lt;&gt;"Macro"),"",COUNTIFS($S$5:$S112,MesCiclo,$V$5:$V112,"Macro"))</f>
        <v/>
      </c>
      <c r="U112" s="62">
        <f>IF($V112="","",IF($V112="Macro",ROW(),IFERROR(LOOKUP(2,1/($V$5:$V112="Macro"),ROW($V$5:$V112)),0)))</f>
        <v/>
      </c>
      <c r="V112" s="62">
        <f>IF(NOT((COUNTA($B112:$D112)+COUNTA($G112:$H112)+COUNTA($Q112))&gt;0),"",IF($B112="Subactividad","Sub","Macro"))</f>
        <v/>
      </c>
      <c r="W112" s="62">
        <f>IF($V112="Macro",COUNTIFS($U$5:$U$1000,ROW(),$V$5:$V$1000,"Sub"),"")</f>
        <v/>
      </c>
      <c r="X112" s="62">
        <f>IF($V112&lt;&gt;"Sub","",IF(AND(ISNUMBER($H112),N($H112)&gt;0),$H112,IFERROR(MAX(0,1-SUMIFS($H$5:$H$1000,$U$5:$U$1000,$U112,$V$5:$V$1000,"Sub"))/(COUNTIFS($U$5:$U$1000,$U112,$V$5:$V$1000,"Sub")-COUNTIFS($U$5:$U$1000,$U112,$V$5:$V$1000,"Sub",$H$5:$H$1000,"&gt;0")),0)))</f>
        <v/>
      </c>
      <c r="Y112" s="62">
        <f>IF($V112="","",IF($V112="Sub",N($X112)*IF(ISNUMBER($G112),1,MIN(1,MAX(0,IFERROR(LOOKUP(2,1/ISNUMBER($I112:$L112),$I112:$L112),0)))),IF(ISNUMBER($G112),1,IFERROR(LOOKUP(2,1/($I112:$L112&lt;&gt;""),$I112:$L112),0))))</f>
        <v/>
      </c>
      <c r="Z112" s="62">
        <f>IF($V112="","",IF(AND(ISNUMBER($G112),$G112&lt;=IF($S112=MesCiclo,InicioCiclo,$S112+MOD(2-WEEKDAY($S112),7))+6),1,IF(ISNUMBER($I112),$I112,0)))</f>
        <v/>
      </c>
      <c r="AA112" s="62">
        <f>IF($V112="","",IF(AND(ISNUMBER($G112),$G112&lt;=IF($S112=MesCiclo,InicioCiclo,$S112+MOD(2-WEEKDAY($S112),7))+13),1,IF(ISNUMBER($J112),$J112,$Z112)))</f>
        <v/>
      </c>
      <c r="AB112" s="62">
        <f>IF($V112="","",IF(AND(ISNUMBER($G112),$G112&lt;=IF($S112=MesCiclo,InicioCiclo,$S112+MOD(2-WEEKDAY($S112),7))+20),1,IF(ISNUMBER($K112),$K112,$AA112)))</f>
        <v/>
      </c>
      <c r="AC112" s="62">
        <f>IF($V112="","",IF(AND(ISNUMBER($G112),$G112&lt;=IF($S112=MesCiclo,InicioCiclo,$S112+MOD(2-WEEKDAY($S112),7))+27),1,IF(ISNUMBER($L112),$L112,$AB112)))</f>
        <v/>
      </c>
      <c r="AD112" s="62">
        <f>IF($V112&lt;&gt;"Sub","",N($X112)*IF(AND(ISNUMBER($G112),$G112&lt;=IF($S112=MesCiclo,InicioCiclo,$S112+MOD(2-WEEKDAY($S112),7))+6),1,MIN(1,MAX(0,IF(ISNUMBER(OFFSET($A$1,ROW()-1,8)),OFFSET($A$1,ROW()-1,8),0)))))</f>
        <v/>
      </c>
      <c r="AE112" s="62">
        <f>IF($V112&lt;&gt;"Sub","",N($X112)*IF(AND(ISNUMBER($G112),$G112&lt;=IF($S112=MesCiclo,InicioCiclo,$S112+MOD(2-WEEKDAY($S112),7))+13),1,MIN(1,MAX(0,IF(ISNUMBER(OFFSET($A$1,ROW()-1,9)),OFFSET($A$1,ROW()-1,9),IF(ISNUMBER(OFFSET($A$1,ROW()-1,8)),OFFSET($A$1,ROW()-1,8),0))))))</f>
        <v/>
      </c>
      <c r="AF112" s="62">
        <f>IF($V112&lt;&gt;"Sub","",N($X112)*IF(AND(ISNUMBER($G112),$G112&lt;=IF($S112=MesCiclo,InicioCiclo,$S112+MOD(2-WEEKDAY($S112),7))+20),1,MIN(1,MAX(0,IF(ISNUMBER(OFFSET($A$1,ROW()-1,10)),OFFSET($A$1,ROW()-1,10),IF(ISNUMBER(OFFSET($A$1,ROW()-1,9)),OFFSET($A$1,ROW()-1,9),IF(ISNUMBER(OFFSET($A$1,ROW()-1,8)),OFFSET($A$1,ROW()-1,8),0)))))))</f>
        <v/>
      </c>
      <c r="AG112" s="62">
        <f>IF($V112&lt;&gt;"Sub","",N($X112)*IF(AND(ISNUMBER($G112),$G112&lt;=IF($S112=MesCiclo,InicioCiclo,$S112+MOD(2-WEEKDAY($S112),7))+27),1,MIN(1,MAX(0,IF(ISNUMBER(OFFSET($A$1,ROW()-1,11)),OFFSET($A$1,ROW()-1,11),IF(ISNUMBER(OFFSET($A$1,ROW()-1,10)),OFFSET($A$1,ROW()-1,10),IF(ISNUMBER(OFFSET($A$1,ROW()-1,9)),OFFSET($A$1,ROW()-1,9),IF(ISNUMBER(OFFSET($A$1,ROW()-1,8)),OFFSET($A$1,ROW()-1,8),0))))))))</f>
        <v/>
      </c>
      <c r="AH112" s="62">
        <f>IF($V112="","",IF(AND(ISNUMBER($G112),$G112&lt;=IF($S112=MesCiclo,InicioCiclo,$S112+MOD(2-WEEKDAY($S112),7))+6),1,IF(N($W112)&gt;0,MIN(1,SUMIFS($AD$5:$AD$1000,$U$5:$U$1000,ROW(),$V$5:$V$1000,"Sub")),$Z112)))</f>
        <v/>
      </c>
      <c r="AI112" s="62">
        <f>IF($V112="","",IF(AND(ISNUMBER($G112),$G112&lt;=IF($S112=MesCiclo,InicioCiclo,$S112+MOD(2-WEEKDAY($S112),7))+13),1,IF(N($W112)&gt;0,MIN(1,SUMIFS($AE$5:$AE$1000,$U$5:$U$1000,ROW(),$V$5:$V$1000,"Sub")),$AA112)))</f>
        <v/>
      </c>
      <c r="AJ112" s="62">
        <f>IF($V112="","",IF(AND(ISNUMBER($G112),$G112&lt;=IF($S112=MesCiclo,InicioCiclo,$S112+MOD(2-WEEKDAY($S112),7))+20),1,IF(N($W112)&gt;0,MIN(1,SUMIFS($AF$5:$AF$1000,$U$5:$U$1000,ROW(),$V$5:$V$1000,"Sub")),$AB112)))</f>
        <v/>
      </c>
      <c r="AK112" s="62">
        <f>IF($V112="","",IF(AND(ISNUMBER($G112),$G112&lt;=IF($S112=MesCiclo,InicioCiclo,$S112+MOD(2-WEEKDAY($S112),7))+27),1,IF(N($W112)&gt;0,MIN(1,SUMIFS($AG$5:$AG$1000,$U$5:$U$1000,ROW(),$V$5:$V$1000,"Sub")),$AC112)))</f>
        <v/>
      </c>
      <c r="AL112" s="62">
        <f>IF($V112&lt;&gt;"Macro","",IF(COUNTIFS($S$5:$S$1000,$S112,$V$5:$V$1000,"Macro",$H$5:$H$1000,"&gt;0")=0,1/COUNTIFS($S$5:$S$1000,$S112,$V$5:$V$1000,"Macro"),IF(AND(ISNUMBER($H112),N($H112)&gt;0),$H112,SUMIFS($H$5:$H$1000,$S$5:$S$1000,$S112,$V$5:$V$1000,"Macro")/COUNTIFS($S$5:$S$1000,$S112,$V$5:$V$1000,"Macro",$H$5:$H$1000,"&gt;0"))/(COUNTIFS($S$5:$S$1000,$S112,$V$5:$V$1000,"Macro")*SUMIFS($H$5:$H$1000,$S$5:$S$1000,$S112,$V$5:$V$1000,"Macro")/COUNTIFS($S$5:$S$1000,$S112,$V$5:$V$1000,"Macro",$H$5:$H$1000,"&gt;0"))))</f>
        <v/>
      </c>
      <c r="AM112" s="62" t="n"/>
      <c r="AN112" s="62" t="n"/>
      <c r="AO112" s="62" t="n"/>
      <c r="AP112" s="62" t="n"/>
      <c r="AQ112" s="62">
        <f>IF(LEFT($C112,11)="[Jefatura] ",IFERROR(MATCH("Asistente Técnico de Riesgo|"&amp;MID($C112,12,500),rDname_ADM,0),0),"")</f>
        <v/>
      </c>
      <c r="AR112" s="62">
        <f>IF(N($AQ112)&gt;0,INDEX(rIni_ADM,$AQ112),IF(ISNUMBER($E112),$E112,""))</f>
        <v/>
      </c>
      <c r="AS112" s="62">
        <f>IF(N($AQ112)&gt;0,INDEX(rLim_ADM,$AQ112),IF(ISNUMBER($F112),$F112,""))</f>
        <v/>
      </c>
    </row>
    <row r="113">
      <c r="A113" s="56">
        <f>IF(NOT((COUNTA($B113:$D113)+COUNTA($G113:$H113)+COUNTA($Q113))&gt;0),"",IF($V113="Macro",COUNTIFS($V$5:$V113,"Macro",$S$5:$S113,$S113),IF(N($U113)=0,"?",COUNTIFS(INDEX($V$5:$V$1000,1):INDEX($V$5:$V$1000,$U113-4),"Macro",INDEX($S$5:$S$1000,1):INDEX($S$5:$S$1000,$U113-4),INDEX($S$5:$S$1000,$U113-4))&amp;"."&amp;COUNTIFS($U$5:$U113,$U113,$V$5:$V113,"Sub"))))</f>
        <v/>
      </c>
      <c r="B113" s="57" t="n"/>
      <c r="C113" s="58" t="n"/>
      <c r="D113" s="58" t="n"/>
      <c r="E113" s="59">
        <f>IF(N($AQ113)&gt;0,INDEX(rIni_ADM,$AQ113),"")</f>
        <v/>
      </c>
      <c r="F113" s="59">
        <f>IF(N($AQ113)&gt;0,INDEX(rLim_ADM,$AQ113),"")</f>
        <v/>
      </c>
      <c r="G113" s="59" t="n"/>
      <c r="H113" s="60" t="n"/>
      <c r="I113" s="60">
        <f>IF(N($W113)=0,"",IF(AND($S113=MesCiclo,1&gt;SemanaActual),"",MIN(1,SUMIFS(OFFSET($A$1,ROW(),29,1000-ROW(),1),OFFSET($A$1,ROW(),20,1000-ROW(),1),ROW(),OFFSET($A$1,ROW(),21,1000-ROW(),1),"Sub"))))</f>
        <v/>
      </c>
      <c r="J113" s="60">
        <f>IF(N($W113)=0,"",IF(AND($S113=MesCiclo,2&gt;SemanaActual),"",MIN(1,SUMIFS(OFFSET($A$1,ROW(),30,1000-ROW(),1),OFFSET($A$1,ROW(),20,1000-ROW(),1),ROW(),OFFSET($A$1,ROW(),21,1000-ROW(),1),"Sub"))))</f>
        <v/>
      </c>
      <c r="K113" s="60">
        <f>IF(N($W113)=0,"",IF(AND($S113=MesCiclo,3&gt;SemanaActual),"",MIN(1,SUMIFS(OFFSET($A$1,ROW(),31,1000-ROW(),1),OFFSET($A$1,ROW(),20,1000-ROW(),1),ROW(),OFFSET($A$1,ROW(),21,1000-ROW(),1),"Sub"))))</f>
        <v/>
      </c>
      <c r="L113" s="60">
        <f>IF(N($W113)=0,"",IF(AND($S113=MesCiclo,4&gt;SemanaActual),"",MIN(1,SUMIFS(OFFSET($A$1,ROW(),32,1000-ROW(),1),OFFSET($A$1,ROW(),20,1000-ROW(),1),ROW(),OFFSET($A$1,ROW(),21,1000-ROW(),1),"Sub"))))</f>
        <v/>
      </c>
      <c r="M113" s="61">
        <f>IF(OR(NOT((COUNTA($B113:$D113)+COUNTA($G113:$H113)+COUNTA($Q113))&gt;0),$V113="Sub"),"",IF(ISNUMBER($G113),1,IF(N($W113)&gt;0,MIN(1,SUMIFS($Y$5:$Y$1000,$U$5:$U$1000,ROW(),$V$5:$V$1000,"Sub")),$Y113)))</f>
        <v/>
      </c>
      <c r="N113" s="56">
        <f>IF(OR($M113="",$V113="Sub"),"",IF($M113&gt;=1,"Completado",IF($M113&gt;0,"En curso","Pendiente")))</f>
        <v/>
      </c>
      <c r="O113" s="56">
        <f>IF(OR(NOT((COUNTA($B113:$D113)+COUNTA($G113:$H113)+COUNTA($Q113))&gt;0),$V113="Sub"),"",IF(ISNUMBER($G113),IF(AND(ISNUMBER($AS113),$G113&gt;$AS113),"Cumplida con "&amp;($G113-$AS113)&amp;IF($G113-$AS113=1," día"," días")&amp;" de retraso","Cumplida"),IF(N($M113)&gt;=1,"Cumplida",IF(NOT(ISNUMBER($AS113)),"Sin fecha límite",IF($AS113&lt;FechaRef,"Vencida hace "&amp;(FechaRef-$AS113)&amp;IF(FechaRef-$AS113=1," día"," días"),IF($AS113=FechaRef,"Vence hoy",IF($AS113-FechaRef&lt;=DiasAlerta,"Vence en "&amp;($AS113-FechaRef)&amp;IF($AS113-FechaRef=1," día"," días"),"En plazo")))))))</f>
        <v/>
      </c>
      <c r="P113" s="62" t="n"/>
      <c r="Q113" s="58" t="n"/>
      <c r="R113" s="63">
        <f>IF(NOT((COUNTA($B113:$D113)+COUNTA($G113:$H113)+COUNTA($Q113))&gt;0),"",IF((IF($C113="","Falta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 OK","⚠ "&amp;LEFT(IF($C113="","Falta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",""),LEN(IF($C113="","Falta el nombre de la actividad"&amp;" · ","")&amp;IF(AND($V113="Sub",N($U113)=0),"Subactividad sin macroactividad arriba"&amp;" · ","")&amp;IF(AND($V113="Macro",$AR113=""),"Sin fecha de inicio"&amp;" · ","")&amp;IF(AND($V113="Macro",$AS113=""),"Sin fecha límite"&amp;" · ","")&amp;IF(AND(LEFT($C113,11)="[Jefatura] ",N($AQ113)=0),"No se encuentra en la hoja de la jefatura (elíjala de nuevo en la lista)"&amp;" · ","")&amp;IF(OR(AND($E113&lt;&gt;"",NOT(ISNUMBER($E113))),AND($F113&lt;&gt;"",NOT(ISNUMBER($F113))),AND($G113&lt;&gt;"",NOT(ISNUMBER($G113)))),"Fecha no válida"&amp;" · ","")&amp;IF(AND(ISNUMBER($AR113),ISNUMBER($AS113),$AR113&gt;$AS113),"Inicio posterior a fecha límite"&amp;" · ","")&amp;IF(AND($V113="Macro",$H113&lt;&gt;"",OR(NOT(ISNUMBER($H113)),$H113&lt;0,$H113&gt;1)),"Peso fuera de rango"&amp;" · ","")&amp;IF(AND($V113="Sub",$H113&lt;&gt;"",OR(NOT(ISNUMBER($H113)),$H113&lt;0,$H113&gt;1)),"% de la subactividad fuera de rango 0-100%"&amp;" · ","")&amp;IF(AND(N($W113)&gt;0,SUMIFS($H$5:$H$1000,$U$5:$U$1000,ROW(),$V$5:$V$1000,"Sub")&gt;1.0001),"Las subactividades suman más de 100%"&amp;" · ","")&amp;IF(AND(N($W113)&gt;0,OR(IF(ISNUMBER($I113),ROUND($I113,6)&lt;&gt;ROUND(MIN(1,SUMIFS($AD$5:$AD$1000,$U$5:$U$1000,ROW(),$V$5:$V$1000,"Sub")),6),FALSE),IF(ISNUMBER($J113),ROUND($J113,6)&lt;&gt;ROUND(MIN(1,SUMIFS($AE$5:$AE$1000,$U$5:$U$1000,ROW(),$V$5:$V$1000,"Sub")),6),FALSE),IF(ISNUMBER($K113),ROUND($K113,6)&lt;&gt;ROUND(MIN(1,SUMIFS($AF$5:$AF$1000,$U$5:$U$1000,ROW(),$V$5:$V$1000,"Sub")),6),FALSE),IF(ISNUMBER($L113),ROUND($L113,6)&lt;&gt;ROUND(MIN(1,SUMIFS($AG$5:$AG$1000,$U$5:$U$1000,ROW(),$V$5:$V$1000,"Sub")),6),FALSE))),"Con subactividades: no escriba en las semanas (se llenan solas)"&amp;" · ","")&amp;IF((COUNTIF($I113:$L113,"&gt;1")+COUNTIF($I113:$L113,"&lt;0")+SUMPRODUCT((LEN($I113:$L113)&gt;0)*NOT(ISNUMBER($I113:$L113))))&gt;0,"Avance fuera de rango 0-100%"&amp;" · ","")&amp;IF(OR(AND(ISNUMBER($J113),$J113&lt;N($I113)),AND(ISNUMBER($K113),$K113&lt;MAX($I113:$J113)),AND(ISNUMBER($L113),$L113&lt;MAX($I113:$K113))),"Avance semanal decreciente"&amp;" · ","")&amp;IF(AND(ISNUMBER($AS113),$AS113&lt;FechaRef,IF($V113="Sub",1,N($M113))&lt;1),"Vencida"&amp;" · ","")&amp;IF(AND(ObsObligatoria="Sí",ISNUMBER($AS113),$AS113&lt;FechaRef,IF($V113="Sub",1,N($M113))&lt;1,$Q113=""),"Vencida sin observación"&amp;" · ",""))-3)))</f>
        <v/>
      </c>
      <c r="S113" s="64">
        <f>IF(NOT((COUNTA($B113:$D113)+COUNTA($G113:$H113)+COUNTA($Q113))&gt;0),"",IF(AND($V113="Sub",N($U113)&gt;0),IF(ISNUMBER(INDEX($AR$5:$AR$1000,$U113-4)),DATE(YEAR(INDEX($AR$5:$AR$1000,$U113-4)),MONTH(INDEX($AR$5:$AR$1000,$U113-4)),1),IF(ISNUMBER(INDEX($AS$5:$AS$1000,$U113-4)),DATE(YEAR(INDEX($AS$5:$AS$1000,$U113-4)),MONTH(INDEX($AS$5:$AS$1000,$U113-4)),1),MesCiclo)),IF(ISNUMBER($AR113),DATE(YEAR($AR113),MONTH($AR113),1),IF(ISNUMBER($AS113),DATE(YEAR($AS113),MONTH($AS113),1),MesCiclo))))</f>
        <v/>
      </c>
      <c r="T113" s="62">
        <f>IF(OR($S113="",$S113&lt;&gt;MesCiclo,$V113&lt;&gt;"Macro"),"",COUNTIFS($S$5:$S113,MesCiclo,$V$5:$V113,"Macro"))</f>
        <v/>
      </c>
      <c r="U113" s="62">
        <f>IF($V113="","",IF($V113="Macro",ROW(),IFERROR(LOOKUP(2,1/($V$5:$V113="Macro"),ROW($V$5:$V113)),0)))</f>
        <v/>
      </c>
      <c r="V113" s="62">
        <f>IF(NOT((COUNTA($B113:$D113)+COUNTA($G113:$H113)+COUNTA($Q113))&gt;0),"",IF($B113="Subactividad","Sub","Macro"))</f>
        <v/>
      </c>
      <c r="W113" s="62">
        <f>IF($V113="Macro",COUNTIFS($U$5:$U$1000,ROW(),$V$5:$V$1000,"Sub"),"")</f>
        <v/>
      </c>
      <c r="X113" s="62">
        <f>IF($V113&lt;&gt;"Sub","",IF(AND(ISNUMBER($H113),N($H113)&gt;0),$H113,IFERROR(MAX(0,1-SUMIFS($H$5:$H$1000,$U$5:$U$1000,$U113,$V$5:$V$1000,"Sub"))/(COUNTIFS($U$5:$U$1000,$U113,$V$5:$V$1000,"Sub")-COUNTIFS($U$5:$U$1000,$U113,$V$5:$V$1000,"Sub",$H$5:$H$1000,"&gt;0")),0)))</f>
        <v/>
      </c>
      <c r="Y113" s="62">
        <f>IF($V113="","",IF($V113="Sub",N($X113)*IF(ISNUMBER($G113),1,MIN(1,MAX(0,IFERROR(LOOKUP(2,1/ISNUMBER($I113:$L113),$I113:$L113),0)))),IF(ISNUMBER($G113),1,IFERROR(LOOKUP(2,1/($I113:$L113&lt;&gt;""),$I113:$L113),0))))</f>
        <v/>
      </c>
      <c r="Z113" s="62">
        <f>IF($V113="","",IF(AND(ISNUMBER($G113),$G113&lt;=IF($S113=MesCiclo,InicioCiclo,$S113+MOD(2-WEEKDAY($S113),7))+6),1,IF(ISNUMBER($I113),$I113,0)))</f>
        <v/>
      </c>
      <c r="AA113" s="62">
        <f>IF($V113="","",IF(AND(ISNUMBER($G113),$G113&lt;=IF($S113=MesCiclo,InicioCiclo,$S113+MOD(2-WEEKDAY($S113),7))+13),1,IF(ISNUMBER($J113),$J113,$Z113)))</f>
        <v/>
      </c>
      <c r="AB113" s="62">
        <f>IF($V113="","",IF(AND(ISNUMBER($G113),$G113&lt;=IF($S113=MesCiclo,InicioCiclo,$S113+MOD(2-WEEKDAY($S113),7))+20),1,IF(ISNUMBER($K113),$K113,$AA113)))</f>
        <v/>
      </c>
      <c r="AC113" s="62">
        <f>IF($V113="","",IF(AND(ISNUMBER($G113),$G113&lt;=IF($S113=MesCiclo,InicioCiclo,$S113+MOD(2-WEEKDAY($S113),7))+27),1,IF(ISNUMBER($L113),$L113,$AB113)))</f>
        <v/>
      </c>
      <c r="AD113" s="62">
        <f>IF($V113&lt;&gt;"Sub","",N($X113)*IF(AND(ISNUMBER($G113),$G113&lt;=IF($S113=MesCiclo,InicioCiclo,$S113+MOD(2-WEEKDAY($S113),7))+6),1,MIN(1,MAX(0,IF(ISNUMBER(OFFSET($A$1,ROW()-1,8)),OFFSET($A$1,ROW()-1,8),0)))))</f>
        <v/>
      </c>
      <c r="AE113" s="62">
        <f>IF($V113&lt;&gt;"Sub","",N($X113)*IF(AND(ISNUMBER($G113),$G113&lt;=IF($S113=MesCiclo,InicioCiclo,$S113+MOD(2-WEEKDAY($S113),7))+13),1,MIN(1,MAX(0,IF(ISNUMBER(OFFSET($A$1,ROW()-1,9)),OFFSET($A$1,ROW()-1,9),IF(ISNUMBER(OFFSET($A$1,ROW()-1,8)),OFFSET($A$1,ROW()-1,8),0))))))</f>
        <v/>
      </c>
      <c r="AF113" s="62">
        <f>IF($V113&lt;&gt;"Sub","",N($X113)*IF(AND(ISNUMBER($G113),$G113&lt;=IF($S113=MesCiclo,InicioCiclo,$S113+MOD(2-WEEKDAY($S113),7))+20),1,MIN(1,MAX(0,IF(ISNUMBER(OFFSET($A$1,ROW()-1,10)),OFFSET($A$1,ROW()-1,10),IF(ISNUMBER(OFFSET($A$1,ROW()-1,9)),OFFSET($A$1,ROW()-1,9),IF(ISNUMBER(OFFSET($A$1,ROW()-1,8)),OFFSET($A$1,ROW()-1,8),0)))))))</f>
        <v/>
      </c>
      <c r="AG113" s="62">
        <f>IF($V113&lt;&gt;"Sub","",N($X113)*IF(AND(ISNUMBER($G113),$G113&lt;=IF($S113=MesCiclo,InicioCiclo,$S113+MOD(2-WEEKDAY($S113),7))+27),1,MIN(1,MAX(0,IF(ISNUMBER(OFFSET($A$1,ROW()-1,11)),OFFSET($A$1,ROW()-1,11),IF(ISNUMBER(OFFSET($A$1,ROW()-1,10)),OFFSET($A$1,ROW()-1,10),IF(ISNUMBER(OFFSET($A$1,ROW()-1,9)),OFFSET($A$1,ROW()-1,9),IF(ISNUMBER(OFFSET($A$1,ROW()-1,8)),OFFSET($A$1,ROW()-1,8),0))))))))</f>
        <v/>
      </c>
      <c r="AH113" s="62">
        <f>IF($V113="","",IF(AND(ISNUMBER($G113),$G113&lt;=IF($S113=MesCiclo,InicioCiclo,$S113+MOD(2-WEEKDAY($S113),7))+6),1,IF(N($W113)&gt;0,MIN(1,SUMIFS($AD$5:$AD$1000,$U$5:$U$1000,ROW(),$V$5:$V$1000,"Sub")),$Z113)))</f>
        <v/>
      </c>
      <c r="AI113" s="62">
        <f>IF($V113="","",IF(AND(ISNUMBER($G113),$G113&lt;=IF($S113=MesCiclo,InicioCiclo,$S113+MOD(2-WEEKDAY($S113),7))+13),1,IF(N($W113)&gt;0,MIN(1,SUMIFS($AE$5:$AE$1000,$U$5:$U$1000,ROW(),$V$5:$V$1000,"Sub")),$AA113)))</f>
        <v/>
      </c>
      <c r="AJ113" s="62">
        <f>IF($V113="","",IF(AND(ISNUMBER($G113),$G113&lt;=IF($S113=MesCiclo,InicioCiclo,$S113+MOD(2-WEEKDAY($S113),7))+20),1,IF(N($W113)&gt;0,MIN(1,SUMIFS($AF$5:$AF$1000,$U$5:$U$1000,ROW(),$V$5:$V$1000,"Sub")),$AB113)))</f>
        <v/>
      </c>
      <c r="AK113" s="62">
        <f>IF($V113="","",IF(AND(ISNUMBER($G113),$G113&lt;=IF($S113=MesCiclo,InicioCiclo,$S113+MOD(2-WEEKDAY($S113),7))+27),1,IF(N($W113)&gt;0,MIN(1,SUMIFS($AG$5:$AG$1000,$U$5:$U$1000,ROW(),$V$5:$V$1000,"Sub")),$AC113)))</f>
        <v/>
      </c>
      <c r="AL113" s="62">
        <f>IF($V113&lt;&gt;"Macro","",IF(COUNTIFS($S$5:$S$1000,$S113,$V$5:$V$1000,"Macro",$H$5:$H$1000,"&gt;0")=0,1/COUNTIFS($S$5:$S$1000,$S113,$V$5:$V$1000,"Macro"),IF(AND(ISNUMBER($H113),N($H113)&gt;0),$H113,SUMIFS($H$5:$H$1000,$S$5:$S$1000,$S113,$V$5:$V$1000,"Macro")/COUNTIFS($S$5:$S$1000,$S113,$V$5:$V$1000,"Macro",$H$5:$H$1000,"&gt;0"))/(COUNTIFS($S$5:$S$1000,$S113,$V$5:$V$1000,"Macro")*SUMIFS($H$5:$H$1000,$S$5:$S$1000,$S113,$V$5:$V$1000,"Macro")/COUNTIFS($S$5:$S$1000,$S113,$V$5:$V$1000,"Macro",$H$5:$H$1000,"&gt;0"))))</f>
        <v/>
      </c>
      <c r="AM113" s="62" t="n"/>
      <c r="AN113" s="62" t="n"/>
      <c r="AO113" s="62" t="n"/>
      <c r="AP113" s="62" t="n"/>
      <c r="AQ113" s="62">
        <f>IF(LEFT($C113,11)="[Jefatura] ",IFERROR(MATCH("Asistente Técnico de Riesgo|"&amp;MID($C113,12,500),rDname_ADM,0),0),"")</f>
        <v/>
      </c>
      <c r="AR113" s="62">
        <f>IF(N($AQ113)&gt;0,INDEX(rIni_ADM,$AQ113),IF(ISNUMBER($E113),$E113,""))</f>
        <v/>
      </c>
      <c r="AS113" s="62">
        <f>IF(N($AQ113)&gt;0,INDEX(rLim_ADM,$AQ113),IF(ISNUMBER($F113),$F113,""))</f>
        <v/>
      </c>
    </row>
    <row r="114">
      <c r="A114" s="56">
        <f>IF(NOT((COUNTA($B114:$D114)+COUNTA($G114:$H114)+COUNTA($Q114))&gt;0),"",IF($V114="Macro",COUNTIFS($V$5:$V114,"Macro",$S$5:$S114,$S114),IF(N($U114)=0,"?",COUNTIFS(INDEX($V$5:$V$1000,1):INDEX($V$5:$V$1000,$U114-4),"Macro",INDEX($S$5:$S$1000,1):INDEX($S$5:$S$1000,$U114-4),INDEX($S$5:$S$1000,$U114-4))&amp;"."&amp;COUNTIFS($U$5:$U114,$U114,$V$5:$V114,"Sub"))))</f>
        <v/>
      </c>
      <c r="B114" s="57" t="n"/>
      <c r="C114" s="58" t="n"/>
      <c r="D114" s="58" t="n"/>
      <c r="E114" s="59">
        <f>IF(N($AQ114)&gt;0,INDEX(rIni_ADM,$AQ114),"")</f>
        <v/>
      </c>
      <c r="F114" s="59">
        <f>IF(N($AQ114)&gt;0,INDEX(rLim_ADM,$AQ114),"")</f>
        <v/>
      </c>
      <c r="G114" s="59" t="n"/>
      <c r="H114" s="60" t="n"/>
      <c r="I114" s="60">
        <f>IF(N($W114)=0,"",IF(AND($S114=MesCiclo,1&gt;SemanaActual),"",MIN(1,SUMIFS(OFFSET($A$1,ROW(),29,1000-ROW(),1),OFFSET($A$1,ROW(),20,1000-ROW(),1),ROW(),OFFSET($A$1,ROW(),21,1000-ROW(),1),"Sub"))))</f>
        <v/>
      </c>
      <c r="J114" s="60">
        <f>IF(N($W114)=0,"",IF(AND($S114=MesCiclo,2&gt;SemanaActual),"",MIN(1,SUMIFS(OFFSET($A$1,ROW(),30,1000-ROW(),1),OFFSET($A$1,ROW(),20,1000-ROW(),1),ROW(),OFFSET($A$1,ROW(),21,1000-ROW(),1),"Sub"))))</f>
        <v/>
      </c>
      <c r="K114" s="60">
        <f>IF(N($W114)=0,"",IF(AND($S114=MesCiclo,3&gt;SemanaActual),"",MIN(1,SUMIFS(OFFSET($A$1,ROW(),31,1000-ROW(),1),OFFSET($A$1,ROW(),20,1000-ROW(),1),ROW(),OFFSET($A$1,ROW(),21,1000-ROW(),1),"Sub"))))</f>
        <v/>
      </c>
      <c r="L114" s="60">
        <f>IF(N($W114)=0,"",IF(AND($S114=MesCiclo,4&gt;SemanaActual),"",MIN(1,SUMIFS(OFFSET($A$1,ROW(),32,1000-ROW(),1),OFFSET($A$1,ROW(),20,1000-ROW(),1),ROW(),OFFSET($A$1,ROW(),21,1000-ROW(),1),"Sub"))))</f>
        <v/>
      </c>
      <c r="M114" s="61">
        <f>IF(OR(NOT((COUNTA($B114:$D114)+COUNTA($G114:$H114)+COUNTA($Q114))&gt;0),$V114="Sub"),"",IF(ISNUMBER($G114),1,IF(N($W114)&gt;0,MIN(1,SUMIFS($Y$5:$Y$1000,$U$5:$U$1000,ROW(),$V$5:$V$1000,"Sub")),$Y114)))</f>
        <v/>
      </c>
      <c r="N114" s="56">
        <f>IF(OR($M114="",$V114="Sub"),"",IF($M114&gt;=1,"Completado",IF($M114&gt;0,"En curso","Pendiente")))</f>
        <v/>
      </c>
      <c r="O114" s="56">
        <f>IF(OR(NOT((COUNTA($B114:$D114)+COUNTA($G114:$H114)+COUNTA($Q114))&gt;0),$V114="Sub"),"",IF(ISNUMBER($G114),IF(AND(ISNUMBER($AS114),$G114&gt;$AS114),"Cumplida con "&amp;($G114-$AS114)&amp;IF($G114-$AS114=1," día"," días")&amp;" de retraso","Cumplida"),IF(N($M114)&gt;=1,"Cumplida",IF(NOT(ISNUMBER($AS114)),"Sin fecha límite",IF($AS114&lt;FechaRef,"Vencida hace "&amp;(FechaRef-$AS114)&amp;IF(FechaRef-$AS114=1," día"," días"),IF($AS114=FechaRef,"Vence hoy",IF($AS114-FechaRef&lt;=DiasAlerta,"Vence en "&amp;($AS114-FechaRef)&amp;IF($AS114-FechaRef=1," día"," días"),"En plazo")))))))</f>
        <v/>
      </c>
      <c r="P114" s="62" t="n"/>
      <c r="Q114" s="58" t="n"/>
      <c r="R114" s="63">
        <f>IF(NOT((COUNTA($B114:$D114)+COUNTA($G114:$H114)+COUNTA($Q114))&gt;0),"",IF((IF($C114="","Falta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 OK","⚠ "&amp;LEFT(IF($C114="","Falta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",""),LEN(IF($C114="","Falta el nombre de la actividad"&amp;" · ","")&amp;IF(AND($V114="Sub",N($U114)=0),"Subactividad sin macroactividad arriba"&amp;" · ","")&amp;IF(AND($V114="Macro",$AR114=""),"Sin fecha de inicio"&amp;" · ","")&amp;IF(AND($V114="Macro",$AS114=""),"Sin fecha límite"&amp;" · ","")&amp;IF(AND(LEFT($C114,11)="[Jefatura] ",N($AQ114)=0),"No se encuentra en la hoja de la jefatura (elíjala de nuevo en la lista)"&amp;" · ","")&amp;IF(OR(AND($E114&lt;&gt;"",NOT(ISNUMBER($E114))),AND($F114&lt;&gt;"",NOT(ISNUMBER($F114))),AND($G114&lt;&gt;"",NOT(ISNUMBER($G114)))),"Fecha no válida"&amp;" · ","")&amp;IF(AND(ISNUMBER($AR114),ISNUMBER($AS114),$AR114&gt;$AS114),"Inicio posterior a fecha límite"&amp;" · ","")&amp;IF(AND($V114="Macro",$H114&lt;&gt;"",OR(NOT(ISNUMBER($H114)),$H114&lt;0,$H114&gt;1)),"Peso fuera de rango"&amp;" · ","")&amp;IF(AND($V114="Sub",$H114&lt;&gt;"",OR(NOT(ISNUMBER($H114)),$H114&lt;0,$H114&gt;1)),"% de la subactividad fuera de rango 0-100%"&amp;" · ","")&amp;IF(AND(N($W114)&gt;0,SUMIFS($H$5:$H$1000,$U$5:$U$1000,ROW(),$V$5:$V$1000,"Sub")&gt;1.0001),"Las subactividades suman más de 100%"&amp;" · ","")&amp;IF(AND(N($W114)&gt;0,OR(IF(ISNUMBER($I114),ROUND($I114,6)&lt;&gt;ROUND(MIN(1,SUMIFS($AD$5:$AD$1000,$U$5:$U$1000,ROW(),$V$5:$V$1000,"Sub")),6),FALSE),IF(ISNUMBER($J114),ROUND($J114,6)&lt;&gt;ROUND(MIN(1,SUMIFS($AE$5:$AE$1000,$U$5:$U$1000,ROW(),$V$5:$V$1000,"Sub")),6),FALSE),IF(ISNUMBER($K114),ROUND($K114,6)&lt;&gt;ROUND(MIN(1,SUMIFS($AF$5:$AF$1000,$U$5:$U$1000,ROW(),$V$5:$V$1000,"Sub")),6),FALSE),IF(ISNUMBER($L114),ROUND($L114,6)&lt;&gt;ROUND(MIN(1,SUMIFS($AG$5:$AG$1000,$U$5:$U$1000,ROW(),$V$5:$V$1000,"Sub")),6),FALSE))),"Con subactividades: no escriba en las semanas (se llenan solas)"&amp;" · ","")&amp;IF((COUNTIF($I114:$L114,"&gt;1")+COUNTIF($I114:$L114,"&lt;0")+SUMPRODUCT((LEN($I114:$L114)&gt;0)*NOT(ISNUMBER($I114:$L114))))&gt;0,"Avance fuera de rango 0-100%"&amp;" · ","")&amp;IF(OR(AND(ISNUMBER($J114),$J114&lt;N($I114)),AND(ISNUMBER($K114),$K114&lt;MAX($I114:$J114)),AND(ISNUMBER($L114),$L114&lt;MAX($I114:$K114))),"Avance semanal decreciente"&amp;" · ","")&amp;IF(AND(ISNUMBER($AS114),$AS114&lt;FechaRef,IF($V114="Sub",1,N($M114))&lt;1),"Vencida"&amp;" · ","")&amp;IF(AND(ObsObligatoria="Sí",ISNUMBER($AS114),$AS114&lt;FechaRef,IF($V114="Sub",1,N($M114))&lt;1,$Q114=""),"Vencida sin observación"&amp;" · ",""))-3)))</f>
        <v/>
      </c>
      <c r="S114" s="64">
        <f>IF(NOT((COUNTA($B114:$D114)+COUNTA($G114:$H114)+COUNTA($Q114))&gt;0),"",IF(AND($V114="Sub",N($U114)&gt;0),IF(ISNUMBER(INDEX($AR$5:$AR$1000,$U114-4)),DATE(YEAR(INDEX($AR$5:$AR$1000,$U114-4)),MONTH(INDEX($AR$5:$AR$1000,$U114-4)),1),IF(ISNUMBER(INDEX($AS$5:$AS$1000,$U114-4)),DATE(YEAR(INDEX($AS$5:$AS$1000,$U114-4)),MONTH(INDEX($AS$5:$AS$1000,$U114-4)),1),MesCiclo)),IF(ISNUMBER($AR114),DATE(YEAR($AR114),MONTH($AR114),1),IF(ISNUMBER($AS114),DATE(YEAR($AS114),MONTH($AS114),1),MesCiclo))))</f>
        <v/>
      </c>
      <c r="T114" s="62">
        <f>IF(OR($S114="",$S114&lt;&gt;MesCiclo,$V114&lt;&gt;"Macro"),"",COUNTIFS($S$5:$S114,MesCiclo,$V$5:$V114,"Macro"))</f>
        <v/>
      </c>
      <c r="U114" s="62">
        <f>IF($V114="","",IF($V114="Macro",ROW(),IFERROR(LOOKUP(2,1/($V$5:$V114="Macro"),ROW($V$5:$V114)),0)))</f>
        <v/>
      </c>
      <c r="V114" s="62">
        <f>IF(NOT((COUNTA($B114:$D114)+COUNTA($G114:$H114)+COUNTA($Q114))&gt;0),"",IF($B114="Subactividad","Sub","Macro"))</f>
        <v/>
      </c>
      <c r="W114" s="62">
        <f>IF($V114="Macro",COUNTIFS($U$5:$U$1000,ROW(),$V$5:$V$1000,"Sub"),"")</f>
        <v/>
      </c>
      <c r="X114" s="62">
        <f>IF($V114&lt;&gt;"Sub","",IF(AND(ISNUMBER($H114),N($H114)&gt;0),$H114,IFERROR(MAX(0,1-SUMIFS($H$5:$H$1000,$U$5:$U$1000,$U114,$V$5:$V$1000,"Sub"))/(COUNTIFS($U$5:$U$1000,$U114,$V$5:$V$1000,"Sub")-COUNTIFS($U$5:$U$1000,$U114,$V$5:$V$1000,"Sub",$H$5:$H$1000,"&gt;0")),0)))</f>
        <v/>
      </c>
      <c r="Y114" s="62">
        <f>IF($V114="","",IF($V114="Sub",N($X114)*IF(ISNUMBER($G114),1,MIN(1,MAX(0,IFERROR(LOOKUP(2,1/ISNUMBER($I114:$L114),$I114:$L114),0)))),IF(ISNUMBER($G114),1,IFERROR(LOOKUP(2,1/($I114:$L114&lt;&gt;""),$I114:$L114),0))))</f>
        <v/>
      </c>
      <c r="Z114" s="62">
        <f>IF($V114="","",IF(AND(ISNUMBER($G114),$G114&lt;=IF($S114=MesCiclo,InicioCiclo,$S114+MOD(2-WEEKDAY($S114),7))+6),1,IF(ISNUMBER($I114),$I114,0)))</f>
        <v/>
      </c>
      <c r="AA114" s="62">
        <f>IF($V114="","",IF(AND(ISNUMBER($G114),$G114&lt;=IF($S114=MesCiclo,InicioCiclo,$S114+MOD(2-WEEKDAY($S114),7))+13),1,IF(ISNUMBER($J114),$J114,$Z114)))</f>
        <v/>
      </c>
      <c r="AB114" s="62">
        <f>IF($V114="","",IF(AND(ISNUMBER($G114),$G114&lt;=IF($S114=MesCiclo,InicioCiclo,$S114+MOD(2-WEEKDAY($S114),7))+20),1,IF(ISNUMBER($K114),$K114,$AA114)))</f>
        <v/>
      </c>
      <c r="AC114" s="62">
        <f>IF($V114="","",IF(AND(ISNUMBER($G114),$G114&lt;=IF($S114=MesCiclo,InicioCiclo,$S114+MOD(2-WEEKDAY($S114),7))+27),1,IF(ISNUMBER($L114),$L114,$AB114)))</f>
        <v/>
      </c>
      <c r="AD114" s="62">
        <f>IF($V114&lt;&gt;"Sub","",N($X114)*IF(AND(ISNUMBER($G114),$G114&lt;=IF($S114=MesCiclo,InicioCiclo,$S114+MOD(2-WEEKDAY($S114),7))+6),1,MIN(1,MAX(0,IF(ISNUMBER(OFFSET($A$1,ROW()-1,8)),OFFSET($A$1,ROW()-1,8),0)))))</f>
        <v/>
      </c>
      <c r="AE114" s="62">
        <f>IF($V114&lt;&gt;"Sub","",N($X114)*IF(AND(ISNUMBER($G114),$G114&lt;=IF($S114=MesCiclo,InicioCiclo,$S114+MOD(2-WEEKDAY($S114),7))+13),1,MIN(1,MAX(0,IF(ISNUMBER(OFFSET($A$1,ROW()-1,9)),OFFSET($A$1,ROW()-1,9),IF(ISNUMBER(OFFSET($A$1,ROW()-1,8)),OFFSET($A$1,ROW()-1,8),0))))))</f>
        <v/>
      </c>
      <c r="AF114" s="62">
        <f>IF($V114&lt;&gt;"Sub","",N($X114)*IF(AND(ISNUMBER($G114),$G114&lt;=IF($S114=MesCiclo,InicioCiclo,$S114+MOD(2-WEEKDAY($S114),7))+20),1,MIN(1,MAX(0,IF(ISNUMBER(OFFSET($A$1,ROW()-1,10)),OFFSET($A$1,ROW()-1,10),IF(ISNUMBER(OFFSET($A$1,ROW()-1,9)),OFFSET($A$1,ROW()-1,9),IF(ISNUMBER(OFFSET($A$1,ROW()-1,8)),OFFSET($A$1,ROW()-1,8),0)))))))</f>
        <v/>
      </c>
      <c r="AG114" s="62">
        <f>IF($V114&lt;&gt;"Sub","",N($X114)*IF(AND(ISNUMBER($G114),$G114&lt;=IF($S114=MesCiclo,InicioCiclo,$S114+MOD(2-WEEKDAY($S114),7))+27),1,MIN(1,MAX(0,IF(ISNUMBER(OFFSET($A$1,ROW()-1,11)),OFFSET($A$1,ROW()-1,11),IF(ISNUMBER(OFFSET($A$1,ROW()-1,10)),OFFSET($A$1,ROW()-1,10),IF(ISNUMBER(OFFSET($A$1,ROW()-1,9)),OFFSET($A$1,ROW()-1,9),IF(ISNUMBER(OFFSET($A$1,ROW()-1,8)),OFFSET($A$1,ROW()-1,8),0))))))))</f>
        <v/>
      </c>
      <c r="AH114" s="62">
        <f>IF($V114="","",IF(AND(ISNUMBER($G114),$G114&lt;=IF($S114=MesCiclo,InicioCiclo,$S114+MOD(2-WEEKDAY($S114),7))+6),1,IF(N($W114)&gt;0,MIN(1,SUMIFS($AD$5:$AD$1000,$U$5:$U$1000,ROW(),$V$5:$V$1000,"Sub")),$Z114)))</f>
        <v/>
      </c>
      <c r="AI114" s="62">
        <f>IF($V114="","",IF(AND(ISNUMBER($G114),$G114&lt;=IF($S114=MesCiclo,InicioCiclo,$S114+MOD(2-WEEKDAY($S114),7))+13),1,IF(N($W114)&gt;0,MIN(1,SUMIFS($AE$5:$AE$1000,$U$5:$U$1000,ROW(),$V$5:$V$1000,"Sub")),$AA114)))</f>
        <v/>
      </c>
      <c r="AJ114" s="62">
        <f>IF($V114="","",IF(AND(ISNUMBER($G114),$G114&lt;=IF($S114=MesCiclo,InicioCiclo,$S114+MOD(2-WEEKDAY($S114),7))+20),1,IF(N($W114)&gt;0,MIN(1,SUMIFS($AF$5:$AF$1000,$U$5:$U$1000,ROW(),$V$5:$V$1000,"Sub")),$AB114)))</f>
        <v/>
      </c>
      <c r="AK114" s="62">
        <f>IF($V114="","",IF(AND(ISNUMBER($G114),$G114&lt;=IF($S114=MesCiclo,InicioCiclo,$S114+MOD(2-WEEKDAY($S114),7))+27),1,IF(N($W114)&gt;0,MIN(1,SUMIFS($AG$5:$AG$1000,$U$5:$U$1000,ROW(),$V$5:$V$1000,"Sub")),$AC114)))</f>
        <v/>
      </c>
      <c r="AL114" s="62">
        <f>IF($V114&lt;&gt;"Macro","",IF(COUNTIFS($S$5:$S$1000,$S114,$V$5:$V$1000,"Macro",$H$5:$H$1000,"&gt;0")=0,1/COUNTIFS($S$5:$S$1000,$S114,$V$5:$V$1000,"Macro"),IF(AND(ISNUMBER($H114),N($H114)&gt;0),$H114,SUMIFS($H$5:$H$1000,$S$5:$S$1000,$S114,$V$5:$V$1000,"Macro")/COUNTIFS($S$5:$S$1000,$S114,$V$5:$V$1000,"Macro",$H$5:$H$1000,"&gt;0"))/(COUNTIFS($S$5:$S$1000,$S114,$V$5:$V$1000,"Macro")*SUMIFS($H$5:$H$1000,$S$5:$S$1000,$S114,$V$5:$V$1000,"Macro")/COUNTIFS($S$5:$S$1000,$S114,$V$5:$V$1000,"Macro",$H$5:$H$1000,"&gt;0"))))</f>
        <v/>
      </c>
      <c r="AM114" s="62" t="n"/>
      <c r="AN114" s="62" t="n"/>
      <c r="AO114" s="62" t="n"/>
      <c r="AP114" s="62" t="n"/>
      <c r="AQ114" s="62">
        <f>IF(LEFT($C114,11)="[Jefatura] ",IFERROR(MATCH("Asistente Técnico de Riesgo|"&amp;MID($C114,12,500),rDname_ADM,0),0),"")</f>
        <v/>
      </c>
      <c r="AR114" s="62">
        <f>IF(N($AQ114)&gt;0,INDEX(rIni_ADM,$AQ114),IF(ISNUMBER($E114),$E114,""))</f>
        <v/>
      </c>
      <c r="AS114" s="62">
        <f>IF(N($AQ114)&gt;0,INDEX(rLim_ADM,$AQ114),IF(ISNUMBER($F114),$F114,""))</f>
        <v/>
      </c>
    </row>
    <row r="115">
      <c r="A115" s="56">
        <f>IF(NOT((COUNTA($B115:$D115)+COUNTA($G115:$H115)+COUNTA($Q115))&gt;0),"",IF($V115="Macro",COUNTIFS($V$5:$V115,"Macro",$S$5:$S115,$S115),IF(N($U115)=0,"?",COUNTIFS(INDEX($V$5:$V$1000,1):INDEX($V$5:$V$1000,$U115-4),"Macro",INDEX($S$5:$S$1000,1):INDEX($S$5:$S$1000,$U115-4),INDEX($S$5:$S$1000,$U115-4))&amp;"."&amp;COUNTIFS($U$5:$U115,$U115,$V$5:$V115,"Sub"))))</f>
        <v/>
      </c>
      <c r="B115" s="57" t="n"/>
      <c r="C115" s="58" t="n"/>
      <c r="D115" s="58" t="n"/>
      <c r="E115" s="59">
        <f>IF(N($AQ115)&gt;0,INDEX(rIni_ADM,$AQ115),"")</f>
        <v/>
      </c>
      <c r="F115" s="59">
        <f>IF(N($AQ115)&gt;0,INDEX(rLim_ADM,$AQ115),"")</f>
        <v/>
      </c>
      <c r="G115" s="59" t="n"/>
      <c r="H115" s="60" t="n"/>
      <c r="I115" s="60">
        <f>IF(N($W115)=0,"",IF(AND($S115=MesCiclo,1&gt;SemanaActual),"",MIN(1,SUMIFS(OFFSET($A$1,ROW(),29,1000-ROW(),1),OFFSET($A$1,ROW(),20,1000-ROW(),1),ROW(),OFFSET($A$1,ROW(),21,1000-ROW(),1),"Sub"))))</f>
        <v/>
      </c>
      <c r="J115" s="60">
        <f>IF(N($W115)=0,"",IF(AND($S115=MesCiclo,2&gt;SemanaActual),"",MIN(1,SUMIFS(OFFSET($A$1,ROW(),30,1000-ROW(),1),OFFSET($A$1,ROW(),20,1000-ROW(),1),ROW(),OFFSET($A$1,ROW(),21,1000-ROW(),1),"Sub"))))</f>
        <v/>
      </c>
      <c r="K115" s="60">
        <f>IF(N($W115)=0,"",IF(AND($S115=MesCiclo,3&gt;SemanaActual),"",MIN(1,SUMIFS(OFFSET($A$1,ROW(),31,1000-ROW(),1),OFFSET($A$1,ROW(),20,1000-ROW(),1),ROW(),OFFSET($A$1,ROW(),21,1000-ROW(),1),"Sub"))))</f>
        <v/>
      </c>
      <c r="L115" s="60">
        <f>IF(N($W115)=0,"",IF(AND($S115=MesCiclo,4&gt;SemanaActual),"",MIN(1,SUMIFS(OFFSET($A$1,ROW(),32,1000-ROW(),1),OFFSET($A$1,ROW(),20,1000-ROW(),1),ROW(),OFFSET($A$1,ROW(),21,1000-ROW(),1),"Sub"))))</f>
        <v/>
      </c>
      <c r="M115" s="61">
        <f>IF(OR(NOT((COUNTA($B115:$D115)+COUNTA($G115:$H115)+COUNTA($Q115))&gt;0),$V115="Sub"),"",IF(ISNUMBER($G115),1,IF(N($W115)&gt;0,MIN(1,SUMIFS($Y$5:$Y$1000,$U$5:$U$1000,ROW(),$V$5:$V$1000,"Sub")),$Y115)))</f>
        <v/>
      </c>
      <c r="N115" s="56">
        <f>IF(OR($M115="",$V115="Sub"),"",IF($M115&gt;=1,"Completado",IF($M115&gt;0,"En curso","Pendiente")))</f>
        <v/>
      </c>
      <c r="O115" s="56">
        <f>IF(OR(NOT((COUNTA($B115:$D115)+COUNTA($G115:$H115)+COUNTA($Q115))&gt;0),$V115="Sub"),"",IF(ISNUMBER($G115),IF(AND(ISNUMBER($AS115),$G115&gt;$AS115),"Cumplida con "&amp;($G115-$AS115)&amp;IF($G115-$AS115=1," día"," días")&amp;" de retraso","Cumplida"),IF(N($M115)&gt;=1,"Cumplida",IF(NOT(ISNUMBER($AS115)),"Sin fecha límite",IF($AS115&lt;FechaRef,"Vencida hace "&amp;(FechaRef-$AS115)&amp;IF(FechaRef-$AS115=1," día"," días"),IF($AS115=FechaRef,"Vence hoy",IF($AS115-FechaRef&lt;=DiasAlerta,"Vence en "&amp;($AS115-FechaRef)&amp;IF($AS115-FechaRef=1," día"," días"),"En plazo")))))))</f>
        <v/>
      </c>
      <c r="P115" s="62" t="n"/>
      <c r="Q115" s="58" t="n"/>
      <c r="R115" s="63">
        <f>IF(NOT((COUNTA($B115:$D115)+COUNTA($G115:$H115)+COUNTA($Q115))&gt;0),"",IF((IF($C115="","Falta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 OK","⚠ "&amp;LEFT(IF($C115="","Falta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",""),LEN(IF($C115="","Falta el nombre de la actividad"&amp;" · ","")&amp;IF(AND($V115="Sub",N($U115)=0),"Subactividad sin macroactividad arriba"&amp;" · ","")&amp;IF(AND($V115="Macro",$AR115=""),"Sin fecha de inicio"&amp;" · ","")&amp;IF(AND($V115="Macro",$AS115=""),"Sin fecha límite"&amp;" · ","")&amp;IF(AND(LEFT($C115,11)="[Jefatura] ",N($AQ115)=0),"No se encuentra en la hoja de la jefatura (elíjala de nuevo en la lista)"&amp;" · ","")&amp;IF(OR(AND($E115&lt;&gt;"",NOT(ISNUMBER($E115))),AND($F115&lt;&gt;"",NOT(ISNUMBER($F115))),AND($G115&lt;&gt;"",NOT(ISNUMBER($G115)))),"Fecha no válida"&amp;" · ","")&amp;IF(AND(ISNUMBER($AR115),ISNUMBER($AS115),$AR115&gt;$AS115),"Inicio posterior a fecha límite"&amp;" · ","")&amp;IF(AND($V115="Macro",$H115&lt;&gt;"",OR(NOT(ISNUMBER($H115)),$H115&lt;0,$H115&gt;1)),"Peso fuera de rango"&amp;" · ","")&amp;IF(AND($V115="Sub",$H115&lt;&gt;"",OR(NOT(ISNUMBER($H115)),$H115&lt;0,$H115&gt;1)),"% de la subactividad fuera de rango 0-100%"&amp;" · ","")&amp;IF(AND(N($W115)&gt;0,SUMIFS($H$5:$H$1000,$U$5:$U$1000,ROW(),$V$5:$V$1000,"Sub")&gt;1.0001),"Las subactividades suman más de 100%"&amp;" · ","")&amp;IF(AND(N($W115)&gt;0,OR(IF(ISNUMBER($I115),ROUND($I115,6)&lt;&gt;ROUND(MIN(1,SUMIFS($AD$5:$AD$1000,$U$5:$U$1000,ROW(),$V$5:$V$1000,"Sub")),6),FALSE),IF(ISNUMBER($J115),ROUND($J115,6)&lt;&gt;ROUND(MIN(1,SUMIFS($AE$5:$AE$1000,$U$5:$U$1000,ROW(),$V$5:$V$1000,"Sub")),6),FALSE),IF(ISNUMBER($K115),ROUND($K115,6)&lt;&gt;ROUND(MIN(1,SUMIFS($AF$5:$AF$1000,$U$5:$U$1000,ROW(),$V$5:$V$1000,"Sub")),6),FALSE),IF(ISNUMBER($L115),ROUND($L115,6)&lt;&gt;ROUND(MIN(1,SUMIFS($AG$5:$AG$1000,$U$5:$U$1000,ROW(),$V$5:$V$1000,"Sub")),6),FALSE))),"Con subactividades: no escriba en las semanas (se llenan solas)"&amp;" · ","")&amp;IF((COUNTIF($I115:$L115,"&gt;1")+COUNTIF($I115:$L115,"&lt;0")+SUMPRODUCT((LEN($I115:$L115)&gt;0)*NOT(ISNUMBER($I115:$L115))))&gt;0,"Avance fuera de rango 0-100%"&amp;" · ","")&amp;IF(OR(AND(ISNUMBER($J115),$J115&lt;N($I115)),AND(ISNUMBER($K115),$K115&lt;MAX($I115:$J115)),AND(ISNUMBER($L115),$L115&lt;MAX($I115:$K115))),"Avance semanal decreciente"&amp;" · ","")&amp;IF(AND(ISNUMBER($AS115),$AS115&lt;FechaRef,IF($V115="Sub",1,N($M115))&lt;1),"Vencida"&amp;" · ","")&amp;IF(AND(ObsObligatoria="Sí",ISNUMBER($AS115),$AS115&lt;FechaRef,IF($V115="Sub",1,N($M115))&lt;1,$Q115=""),"Vencida sin observación"&amp;" · ",""))-3)))</f>
        <v/>
      </c>
      <c r="S115" s="64">
        <f>IF(NOT((COUNTA($B115:$D115)+COUNTA($G115:$H115)+COUNTA($Q115))&gt;0),"",IF(AND($V115="Sub",N($U115)&gt;0),IF(ISNUMBER(INDEX($AR$5:$AR$1000,$U115-4)),DATE(YEAR(INDEX($AR$5:$AR$1000,$U115-4)),MONTH(INDEX($AR$5:$AR$1000,$U115-4)),1),IF(ISNUMBER(INDEX($AS$5:$AS$1000,$U115-4)),DATE(YEAR(INDEX($AS$5:$AS$1000,$U115-4)),MONTH(INDEX($AS$5:$AS$1000,$U115-4)),1),MesCiclo)),IF(ISNUMBER($AR115),DATE(YEAR($AR115),MONTH($AR115),1),IF(ISNUMBER($AS115),DATE(YEAR($AS115),MONTH($AS115),1),MesCiclo))))</f>
        <v/>
      </c>
      <c r="T115" s="62">
        <f>IF(OR($S115="",$S115&lt;&gt;MesCiclo,$V115&lt;&gt;"Macro"),"",COUNTIFS($S$5:$S115,MesCiclo,$V$5:$V115,"Macro"))</f>
        <v/>
      </c>
      <c r="U115" s="62">
        <f>IF($V115="","",IF($V115="Macro",ROW(),IFERROR(LOOKUP(2,1/($V$5:$V115="Macro"),ROW($V$5:$V115)),0)))</f>
        <v/>
      </c>
      <c r="V115" s="62">
        <f>IF(NOT((COUNTA($B115:$D115)+COUNTA($G115:$H115)+COUNTA($Q115))&gt;0),"",IF($B115="Subactividad","Sub","Macro"))</f>
        <v/>
      </c>
      <c r="W115" s="62">
        <f>IF($V115="Macro",COUNTIFS($U$5:$U$1000,ROW(),$V$5:$V$1000,"Sub"),"")</f>
        <v/>
      </c>
      <c r="X115" s="62">
        <f>IF($V115&lt;&gt;"Sub","",IF(AND(ISNUMBER($H115),N($H115)&gt;0),$H115,IFERROR(MAX(0,1-SUMIFS($H$5:$H$1000,$U$5:$U$1000,$U115,$V$5:$V$1000,"Sub"))/(COUNTIFS($U$5:$U$1000,$U115,$V$5:$V$1000,"Sub")-COUNTIFS($U$5:$U$1000,$U115,$V$5:$V$1000,"Sub",$H$5:$H$1000,"&gt;0")),0)))</f>
        <v/>
      </c>
      <c r="Y115" s="62">
        <f>IF($V115="","",IF($V115="Sub",N($X115)*IF(ISNUMBER($G115),1,MIN(1,MAX(0,IFERROR(LOOKUP(2,1/ISNUMBER($I115:$L115),$I115:$L115),0)))),IF(ISNUMBER($G115),1,IFERROR(LOOKUP(2,1/($I115:$L115&lt;&gt;""),$I115:$L115),0))))</f>
        <v/>
      </c>
      <c r="Z115" s="62">
        <f>IF($V115="","",IF(AND(ISNUMBER($G115),$G115&lt;=IF($S115=MesCiclo,InicioCiclo,$S115+MOD(2-WEEKDAY($S115),7))+6),1,IF(ISNUMBER($I115),$I115,0)))</f>
        <v/>
      </c>
      <c r="AA115" s="62">
        <f>IF($V115="","",IF(AND(ISNUMBER($G115),$G115&lt;=IF($S115=MesCiclo,InicioCiclo,$S115+MOD(2-WEEKDAY($S115),7))+13),1,IF(ISNUMBER($J115),$J115,$Z115)))</f>
        <v/>
      </c>
      <c r="AB115" s="62">
        <f>IF($V115="","",IF(AND(ISNUMBER($G115),$G115&lt;=IF($S115=MesCiclo,InicioCiclo,$S115+MOD(2-WEEKDAY($S115),7))+20),1,IF(ISNUMBER($K115),$K115,$AA115)))</f>
        <v/>
      </c>
      <c r="AC115" s="62">
        <f>IF($V115="","",IF(AND(ISNUMBER($G115),$G115&lt;=IF($S115=MesCiclo,InicioCiclo,$S115+MOD(2-WEEKDAY($S115),7))+27),1,IF(ISNUMBER($L115),$L115,$AB115)))</f>
        <v/>
      </c>
      <c r="AD115" s="62">
        <f>IF($V115&lt;&gt;"Sub","",N($X115)*IF(AND(ISNUMBER($G115),$G115&lt;=IF($S115=MesCiclo,InicioCiclo,$S115+MOD(2-WEEKDAY($S115),7))+6),1,MIN(1,MAX(0,IF(ISNUMBER(OFFSET($A$1,ROW()-1,8)),OFFSET($A$1,ROW()-1,8),0)))))</f>
        <v/>
      </c>
      <c r="AE115" s="62">
        <f>IF($V115&lt;&gt;"Sub","",N($X115)*IF(AND(ISNUMBER($G115),$G115&lt;=IF($S115=MesCiclo,InicioCiclo,$S115+MOD(2-WEEKDAY($S115),7))+13),1,MIN(1,MAX(0,IF(ISNUMBER(OFFSET($A$1,ROW()-1,9)),OFFSET($A$1,ROW()-1,9),IF(ISNUMBER(OFFSET($A$1,ROW()-1,8)),OFFSET($A$1,ROW()-1,8),0))))))</f>
        <v/>
      </c>
      <c r="AF115" s="62">
        <f>IF($V115&lt;&gt;"Sub","",N($X115)*IF(AND(ISNUMBER($G115),$G115&lt;=IF($S115=MesCiclo,InicioCiclo,$S115+MOD(2-WEEKDAY($S115),7))+20),1,MIN(1,MAX(0,IF(ISNUMBER(OFFSET($A$1,ROW()-1,10)),OFFSET($A$1,ROW()-1,10),IF(ISNUMBER(OFFSET($A$1,ROW()-1,9)),OFFSET($A$1,ROW()-1,9),IF(ISNUMBER(OFFSET($A$1,ROW()-1,8)),OFFSET($A$1,ROW()-1,8),0)))))))</f>
        <v/>
      </c>
      <c r="AG115" s="62">
        <f>IF($V115&lt;&gt;"Sub","",N($X115)*IF(AND(ISNUMBER($G115),$G115&lt;=IF($S115=MesCiclo,InicioCiclo,$S115+MOD(2-WEEKDAY($S115),7))+27),1,MIN(1,MAX(0,IF(ISNUMBER(OFFSET($A$1,ROW()-1,11)),OFFSET($A$1,ROW()-1,11),IF(ISNUMBER(OFFSET($A$1,ROW()-1,10)),OFFSET($A$1,ROW()-1,10),IF(ISNUMBER(OFFSET($A$1,ROW()-1,9)),OFFSET($A$1,ROW()-1,9),IF(ISNUMBER(OFFSET($A$1,ROW()-1,8)),OFFSET($A$1,ROW()-1,8),0))))))))</f>
        <v/>
      </c>
      <c r="AH115" s="62">
        <f>IF($V115="","",IF(AND(ISNUMBER($G115),$G115&lt;=IF($S115=MesCiclo,InicioCiclo,$S115+MOD(2-WEEKDAY($S115),7))+6),1,IF(N($W115)&gt;0,MIN(1,SUMIFS($AD$5:$AD$1000,$U$5:$U$1000,ROW(),$V$5:$V$1000,"Sub")),$Z115)))</f>
        <v/>
      </c>
      <c r="AI115" s="62">
        <f>IF($V115="","",IF(AND(ISNUMBER($G115),$G115&lt;=IF($S115=MesCiclo,InicioCiclo,$S115+MOD(2-WEEKDAY($S115),7))+13),1,IF(N($W115)&gt;0,MIN(1,SUMIFS($AE$5:$AE$1000,$U$5:$U$1000,ROW(),$V$5:$V$1000,"Sub")),$AA115)))</f>
        <v/>
      </c>
      <c r="AJ115" s="62">
        <f>IF($V115="","",IF(AND(ISNUMBER($G115),$G115&lt;=IF($S115=MesCiclo,InicioCiclo,$S115+MOD(2-WEEKDAY($S115),7))+20),1,IF(N($W115)&gt;0,MIN(1,SUMIFS($AF$5:$AF$1000,$U$5:$U$1000,ROW(),$V$5:$V$1000,"Sub")),$AB115)))</f>
        <v/>
      </c>
      <c r="AK115" s="62">
        <f>IF($V115="","",IF(AND(ISNUMBER($G115),$G115&lt;=IF($S115=MesCiclo,InicioCiclo,$S115+MOD(2-WEEKDAY($S115),7))+27),1,IF(N($W115)&gt;0,MIN(1,SUMIFS($AG$5:$AG$1000,$U$5:$U$1000,ROW(),$V$5:$V$1000,"Sub")),$AC115)))</f>
        <v/>
      </c>
      <c r="AL115" s="62">
        <f>IF($V115&lt;&gt;"Macro","",IF(COUNTIFS($S$5:$S$1000,$S115,$V$5:$V$1000,"Macro",$H$5:$H$1000,"&gt;0")=0,1/COUNTIFS($S$5:$S$1000,$S115,$V$5:$V$1000,"Macro"),IF(AND(ISNUMBER($H115),N($H115)&gt;0),$H115,SUMIFS($H$5:$H$1000,$S$5:$S$1000,$S115,$V$5:$V$1000,"Macro")/COUNTIFS($S$5:$S$1000,$S115,$V$5:$V$1000,"Macro",$H$5:$H$1000,"&gt;0"))/(COUNTIFS($S$5:$S$1000,$S115,$V$5:$V$1000,"Macro")*SUMIFS($H$5:$H$1000,$S$5:$S$1000,$S115,$V$5:$V$1000,"Macro")/COUNTIFS($S$5:$S$1000,$S115,$V$5:$V$1000,"Macro",$H$5:$H$1000,"&gt;0"))))</f>
        <v/>
      </c>
      <c r="AM115" s="62" t="n"/>
      <c r="AN115" s="62" t="n"/>
      <c r="AO115" s="62" t="n"/>
      <c r="AP115" s="62" t="n"/>
      <c r="AQ115" s="62">
        <f>IF(LEFT($C115,11)="[Jefatura] ",IFERROR(MATCH("Asistente Técnico de Riesgo|"&amp;MID($C115,12,500),rDname_ADM,0),0),"")</f>
        <v/>
      </c>
      <c r="AR115" s="62">
        <f>IF(N($AQ115)&gt;0,INDEX(rIni_ADM,$AQ115),IF(ISNUMBER($E115),$E115,""))</f>
        <v/>
      </c>
      <c r="AS115" s="62">
        <f>IF(N($AQ115)&gt;0,INDEX(rLim_ADM,$AQ115),IF(ISNUMBER($F115),$F115,""))</f>
        <v/>
      </c>
    </row>
    <row r="116">
      <c r="A116" s="56">
        <f>IF(NOT((COUNTA($B116:$D116)+COUNTA($G116:$H116)+COUNTA($Q116))&gt;0),"",IF($V116="Macro",COUNTIFS($V$5:$V116,"Macro",$S$5:$S116,$S116),IF(N($U116)=0,"?",COUNTIFS(INDEX($V$5:$V$1000,1):INDEX($V$5:$V$1000,$U116-4),"Macro",INDEX($S$5:$S$1000,1):INDEX($S$5:$S$1000,$U116-4),INDEX($S$5:$S$1000,$U116-4))&amp;"."&amp;COUNTIFS($U$5:$U116,$U116,$V$5:$V116,"Sub"))))</f>
        <v/>
      </c>
      <c r="B116" s="57" t="n"/>
      <c r="C116" s="58" t="n"/>
      <c r="D116" s="58" t="n"/>
      <c r="E116" s="59">
        <f>IF(N($AQ116)&gt;0,INDEX(rIni_ADM,$AQ116),"")</f>
        <v/>
      </c>
      <c r="F116" s="59">
        <f>IF(N($AQ116)&gt;0,INDEX(rLim_ADM,$AQ116),"")</f>
        <v/>
      </c>
      <c r="G116" s="59" t="n"/>
      <c r="H116" s="60" t="n"/>
      <c r="I116" s="60">
        <f>IF(N($W116)=0,"",IF(AND($S116=MesCiclo,1&gt;SemanaActual),"",MIN(1,SUMIFS(OFFSET($A$1,ROW(),29,1000-ROW(),1),OFFSET($A$1,ROW(),20,1000-ROW(),1),ROW(),OFFSET($A$1,ROW(),21,1000-ROW(),1),"Sub"))))</f>
        <v/>
      </c>
      <c r="J116" s="60">
        <f>IF(N($W116)=0,"",IF(AND($S116=MesCiclo,2&gt;SemanaActual),"",MIN(1,SUMIFS(OFFSET($A$1,ROW(),30,1000-ROW(),1),OFFSET($A$1,ROW(),20,1000-ROW(),1),ROW(),OFFSET($A$1,ROW(),21,1000-ROW(),1),"Sub"))))</f>
        <v/>
      </c>
      <c r="K116" s="60">
        <f>IF(N($W116)=0,"",IF(AND($S116=MesCiclo,3&gt;SemanaActual),"",MIN(1,SUMIFS(OFFSET($A$1,ROW(),31,1000-ROW(),1),OFFSET($A$1,ROW(),20,1000-ROW(),1),ROW(),OFFSET($A$1,ROW(),21,1000-ROW(),1),"Sub"))))</f>
        <v/>
      </c>
      <c r="L116" s="60">
        <f>IF(N($W116)=0,"",IF(AND($S116=MesCiclo,4&gt;SemanaActual),"",MIN(1,SUMIFS(OFFSET($A$1,ROW(),32,1000-ROW(),1),OFFSET($A$1,ROW(),20,1000-ROW(),1),ROW(),OFFSET($A$1,ROW(),21,1000-ROW(),1),"Sub"))))</f>
        <v/>
      </c>
      <c r="M116" s="61">
        <f>IF(OR(NOT((COUNTA($B116:$D116)+COUNTA($G116:$H116)+COUNTA($Q116))&gt;0),$V116="Sub"),"",IF(ISNUMBER($G116),1,IF(N($W116)&gt;0,MIN(1,SUMIFS($Y$5:$Y$1000,$U$5:$U$1000,ROW(),$V$5:$V$1000,"Sub")),$Y116)))</f>
        <v/>
      </c>
      <c r="N116" s="56">
        <f>IF(OR($M116="",$V116="Sub"),"",IF($M116&gt;=1,"Completado",IF($M116&gt;0,"En curso","Pendiente")))</f>
        <v/>
      </c>
      <c r="O116" s="56">
        <f>IF(OR(NOT((COUNTA($B116:$D116)+COUNTA($G116:$H116)+COUNTA($Q116))&gt;0),$V116="Sub"),"",IF(ISNUMBER($G116),IF(AND(ISNUMBER($AS116),$G116&gt;$AS116),"Cumplida con "&amp;($G116-$AS116)&amp;IF($G116-$AS116=1," día"," días")&amp;" de retraso","Cumplida"),IF(N($M116)&gt;=1,"Cumplida",IF(NOT(ISNUMBER($AS116)),"Sin fecha límite",IF($AS116&lt;FechaRef,"Vencida hace "&amp;(FechaRef-$AS116)&amp;IF(FechaRef-$AS116=1," día"," días"),IF($AS116=FechaRef,"Vence hoy",IF($AS116-FechaRef&lt;=DiasAlerta,"Vence en "&amp;($AS116-FechaRef)&amp;IF($AS116-FechaRef=1," día"," días"),"En plazo")))))))</f>
        <v/>
      </c>
      <c r="P116" s="62" t="n"/>
      <c r="Q116" s="58" t="n"/>
      <c r="R116" s="63">
        <f>IF(NOT((COUNTA($B116:$D116)+COUNTA($G116:$H116)+COUNTA($Q116))&gt;0),"",IF((IF($C116="","Falta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 OK","⚠ "&amp;LEFT(IF($C116="","Falta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",""),LEN(IF($C116="","Falta el nombre de la actividad"&amp;" · ","")&amp;IF(AND($V116="Sub",N($U116)=0),"Subactividad sin macroactividad arriba"&amp;" · ","")&amp;IF(AND($V116="Macro",$AR116=""),"Sin fecha de inicio"&amp;" · ","")&amp;IF(AND($V116="Macro",$AS116=""),"Sin fecha límite"&amp;" · ","")&amp;IF(AND(LEFT($C116,11)="[Jefatura] ",N($AQ116)=0),"No se encuentra en la hoja de la jefatura (elíjala de nuevo en la lista)"&amp;" · ","")&amp;IF(OR(AND($E116&lt;&gt;"",NOT(ISNUMBER($E116))),AND($F116&lt;&gt;"",NOT(ISNUMBER($F116))),AND($G116&lt;&gt;"",NOT(ISNUMBER($G116)))),"Fecha no válida"&amp;" · ","")&amp;IF(AND(ISNUMBER($AR116),ISNUMBER($AS116),$AR116&gt;$AS116),"Inicio posterior a fecha límite"&amp;" · ","")&amp;IF(AND($V116="Macro",$H116&lt;&gt;"",OR(NOT(ISNUMBER($H116)),$H116&lt;0,$H116&gt;1)),"Peso fuera de rango"&amp;" · ","")&amp;IF(AND($V116="Sub",$H116&lt;&gt;"",OR(NOT(ISNUMBER($H116)),$H116&lt;0,$H116&gt;1)),"% de la subactividad fuera de rango 0-100%"&amp;" · ","")&amp;IF(AND(N($W116)&gt;0,SUMIFS($H$5:$H$1000,$U$5:$U$1000,ROW(),$V$5:$V$1000,"Sub")&gt;1.0001),"Las subactividades suman más de 100%"&amp;" · ","")&amp;IF(AND(N($W116)&gt;0,OR(IF(ISNUMBER($I116),ROUND($I116,6)&lt;&gt;ROUND(MIN(1,SUMIFS($AD$5:$AD$1000,$U$5:$U$1000,ROW(),$V$5:$V$1000,"Sub")),6),FALSE),IF(ISNUMBER($J116),ROUND($J116,6)&lt;&gt;ROUND(MIN(1,SUMIFS($AE$5:$AE$1000,$U$5:$U$1000,ROW(),$V$5:$V$1000,"Sub")),6),FALSE),IF(ISNUMBER($K116),ROUND($K116,6)&lt;&gt;ROUND(MIN(1,SUMIFS($AF$5:$AF$1000,$U$5:$U$1000,ROW(),$V$5:$V$1000,"Sub")),6),FALSE),IF(ISNUMBER($L116),ROUND($L116,6)&lt;&gt;ROUND(MIN(1,SUMIFS($AG$5:$AG$1000,$U$5:$U$1000,ROW(),$V$5:$V$1000,"Sub")),6),FALSE))),"Con subactividades: no escriba en las semanas (se llenan solas)"&amp;" · ","")&amp;IF((COUNTIF($I116:$L116,"&gt;1")+COUNTIF($I116:$L116,"&lt;0")+SUMPRODUCT((LEN($I116:$L116)&gt;0)*NOT(ISNUMBER($I116:$L116))))&gt;0,"Avance fuera de rango 0-100%"&amp;" · ","")&amp;IF(OR(AND(ISNUMBER($J116),$J116&lt;N($I116)),AND(ISNUMBER($K116),$K116&lt;MAX($I116:$J116)),AND(ISNUMBER($L116),$L116&lt;MAX($I116:$K116))),"Avance semanal decreciente"&amp;" · ","")&amp;IF(AND(ISNUMBER($AS116),$AS116&lt;FechaRef,IF($V116="Sub",1,N($M116))&lt;1),"Vencida"&amp;" · ","")&amp;IF(AND(ObsObligatoria="Sí",ISNUMBER($AS116),$AS116&lt;FechaRef,IF($V116="Sub",1,N($M116))&lt;1,$Q116=""),"Vencida sin observación"&amp;" · ",""))-3)))</f>
        <v/>
      </c>
      <c r="S116" s="64">
        <f>IF(NOT((COUNTA($B116:$D116)+COUNTA($G116:$H116)+COUNTA($Q116))&gt;0),"",IF(AND($V116="Sub",N($U116)&gt;0),IF(ISNUMBER(INDEX($AR$5:$AR$1000,$U116-4)),DATE(YEAR(INDEX($AR$5:$AR$1000,$U116-4)),MONTH(INDEX($AR$5:$AR$1000,$U116-4)),1),IF(ISNUMBER(INDEX($AS$5:$AS$1000,$U116-4)),DATE(YEAR(INDEX($AS$5:$AS$1000,$U116-4)),MONTH(INDEX($AS$5:$AS$1000,$U116-4)),1),MesCiclo)),IF(ISNUMBER($AR116),DATE(YEAR($AR116),MONTH($AR116),1),IF(ISNUMBER($AS116),DATE(YEAR($AS116),MONTH($AS116),1),MesCiclo))))</f>
        <v/>
      </c>
      <c r="T116" s="62">
        <f>IF(OR($S116="",$S116&lt;&gt;MesCiclo,$V116&lt;&gt;"Macro"),"",COUNTIFS($S$5:$S116,MesCiclo,$V$5:$V116,"Macro"))</f>
        <v/>
      </c>
      <c r="U116" s="62">
        <f>IF($V116="","",IF($V116="Macro",ROW(),IFERROR(LOOKUP(2,1/($V$5:$V116="Macro"),ROW($V$5:$V116)),0)))</f>
        <v/>
      </c>
      <c r="V116" s="62">
        <f>IF(NOT((COUNTA($B116:$D116)+COUNTA($G116:$H116)+COUNTA($Q116))&gt;0),"",IF($B116="Subactividad","Sub","Macro"))</f>
        <v/>
      </c>
      <c r="W116" s="62">
        <f>IF($V116="Macro",COUNTIFS($U$5:$U$1000,ROW(),$V$5:$V$1000,"Sub"),"")</f>
        <v/>
      </c>
      <c r="X116" s="62">
        <f>IF($V116&lt;&gt;"Sub","",IF(AND(ISNUMBER($H116),N($H116)&gt;0),$H116,IFERROR(MAX(0,1-SUMIFS($H$5:$H$1000,$U$5:$U$1000,$U116,$V$5:$V$1000,"Sub"))/(COUNTIFS($U$5:$U$1000,$U116,$V$5:$V$1000,"Sub")-COUNTIFS($U$5:$U$1000,$U116,$V$5:$V$1000,"Sub",$H$5:$H$1000,"&gt;0")),0)))</f>
        <v/>
      </c>
      <c r="Y116" s="62">
        <f>IF($V116="","",IF($V116="Sub",N($X116)*IF(ISNUMBER($G116),1,MIN(1,MAX(0,IFERROR(LOOKUP(2,1/ISNUMBER($I116:$L116),$I116:$L116),0)))),IF(ISNUMBER($G116),1,IFERROR(LOOKUP(2,1/($I116:$L116&lt;&gt;""),$I116:$L116),0))))</f>
        <v/>
      </c>
      <c r="Z116" s="62">
        <f>IF($V116="","",IF(AND(ISNUMBER($G116),$G116&lt;=IF($S116=MesCiclo,InicioCiclo,$S116+MOD(2-WEEKDAY($S116),7))+6),1,IF(ISNUMBER($I116),$I116,0)))</f>
        <v/>
      </c>
      <c r="AA116" s="62">
        <f>IF($V116="","",IF(AND(ISNUMBER($G116),$G116&lt;=IF($S116=MesCiclo,InicioCiclo,$S116+MOD(2-WEEKDAY($S116),7))+13),1,IF(ISNUMBER($J116),$J116,$Z116)))</f>
        <v/>
      </c>
      <c r="AB116" s="62">
        <f>IF($V116="","",IF(AND(ISNUMBER($G116),$G116&lt;=IF($S116=MesCiclo,InicioCiclo,$S116+MOD(2-WEEKDAY($S116),7))+20),1,IF(ISNUMBER($K116),$K116,$AA116)))</f>
        <v/>
      </c>
      <c r="AC116" s="62">
        <f>IF($V116="","",IF(AND(ISNUMBER($G116),$G116&lt;=IF($S116=MesCiclo,InicioCiclo,$S116+MOD(2-WEEKDAY($S116),7))+27),1,IF(ISNUMBER($L116),$L116,$AB116)))</f>
        <v/>
      </c>
      <c r="AD116" s="62">
        <f>IF($V116&lt;&gt;"Sub","",N($X116)*IF(AND(ISNUMBER($G116),$G116&lt;=IF($S116=MesCiclo,InicioCiclo,$S116+MOD(2-WEEKDAY($S116),7))+6),1,MIN(1,MAX(0,IF(ISNUMBER(OFFSET($A$1,ROW()-1,8)),OFFSET($A$1,ROW()-1,8),0)))))</f>
        <v/>
      </c>
      <c r="AE116" s="62">
        <f>IF($V116&lt;&gt;"Sub","",N($X116)*IF(AND(ISNUMBER($G116),$G116&lt;=IF($S116=MesCiclo,InicioCiclo,$S116+MOD(2-WEEKDAY($S116),7))+13),1,MIN(1,MAX(0,IF(ISNUMBER(OFFSET($A$1,ROW()-1,9)),OFFSET($A$1,ROW()-1,9),IF(ISNUMBER(OFFSET($A$1,ROW()-1,8)),OFFSET($A$1,ROW()-1,8),0))))))</f>
        <v/>
      </c>
      <c r="AF116" s="62">
        <f>IF($V116&lt;&gt;"Sub","",N($X116)*IF(AND(ISNUMBER($G116),$G116&lt;=IF($S116=MesCiclo,InicioCiclo,$S116+MOD(2-WEEKDAY($S116),7))+20),1,MIN(1,MAX(0,IF(ISNUMBER(OFFSET($A$1,ROW()-1,10)),OFFSET($A$1,ROW()-1,10),IF(ISNUMBER(OFFSET($A$1,ROW()-1,9)),OFFSET($A$1,ROW()-1,9),IF(ISNUMBER(OFFSET($A$1,ROW()-1,8)),OFFSET($A$1,ROW()-1,8),0)))))))</f>
        <v/>
      </c>
      <c r="AG116" s="62">
        <f>IF($V116&lt;&gt;"Sub","",N($X116)*IF(AND(ISNUMBER($G116),$G116&lt;=IF($S116=MesCiclo,InicioCiclo,$S116+MOD(2-WEEKDAY($S116),7))+27),1,MIN(1,MAX(0,IF(ISNUMBER(OFFSET($A$1,ROW()-1,11)),OFFSET($A$1,ROW()-1,11),IF(ISNUMBER(OFFSET($A$1,ROW()-1,10)),OFFSET($A$1,ROW()-1,10),IF(ISNUMBER(OFFSET($A$1,ROW()-1,9)),OFFSET($A$1,ROW()-1,9),IF(ISNUMBER(OFFSET($A$1,ROW()-1,8)),OFFSET($A$1,ROW()-1,8),0))))))))</f>
        <v/>
      </c>
      <c r="AH116" s="62">
        <f>IF($V116="","",IF(AND(ISNUMBER($G116),$G116&lt;=IF($S116=MesCiclo,InicioCiclo,$S116+MOD(2-WEEKDAY($S116),7))+6),1,IF(N($W116)&gt;0,MIN(1,SUMIFS($AD$5:$AD$1000,$U$5:$U$1000,ROW(),$V$5:$V$1000,"Sub")),$Z116)))</f>
        <v/>
      </c>
      <c r="AI116" s="62">
        <f>IF($V116="","",IF(AND(ISNUMBER($G116),$G116&lt;=IF($S116=MesCiclo,InicioCiclo,$S116+MOD(2-WEEKDAY($S116),7))+13),1,IF(N($W116)&gt;0,MIN(1,SUMIFS($AE$5:$AE$1000,$U$5:$U$1000,ROW(),$V$5:$V$1000,"Sub")),$AA116)))</f>
        <v/>
      </c>
      <c r="AJ116" s="62">
        <f>IF($V116="","",IF(AND(ISNUMBER($G116),$G116&lt;=IF($S116=MesCiclo,InicioCiclo,$S116+MOD(2-WEEKDAY($S116),7))+20),1,IF(N($W116)&gt;0,MIN(1,SUMIFS($AF$5:$AF$1000,$U$5:$U$1000,ROW(),$V$5:$V$1000,"Sub")),$AB116)))</f>
        <v/>
      </c>
      <c r="AK116" s="62">
        <f>IF($V116="","",IF(AND(ISNUMBER($G116),$G116&lt;=IF($S116=MesCiclo,InicioCiclo,$S116+MOD(2-WEEKDAY($S116),7))+27),1,IF(N($W116)&gt;0,MIN(1,SUMIFS($AG$5:$AG$1000,$U$5:$U$1000,ROW(),$V$5:$V$1000,"Sub")),$AC116)))</f>
        <v/>
      </c>
      <c r="AL116" s="62">
        <f>IF($V116&lt;&gt;"Macro","",IF(COUNTIFS($S$5:$S$1000,$S116,$V$5:$V$1000,"Macro",$H$5:$H$1000,"&gt;0")=0,1/COUNTIFS($S$5:$S$1000,$S116,$V$5:$V$1000,"Macro"),IF(AND(ISNUMBER($H116),N($H116)&gt;0),$H116,SUMIFS($H$5:$H$1000,$S$5:$S$1000,$S116,$V$5:$V$1000,"Macro")/COUNTIFS($S$5:$S$1000,$S116,$V$5:$V$1000,"Macro",$H$5:$H$1000,"&gt;0"))/(COUNTIFS($S$5:$S$1000,$S116,$V$5:$V$1000,"Macro")*SUMIFS($H$5:$H$1000,$S$5:$S$1000,$S116,$V$5:$V$1000,"Macro")/COUNTIFS($S$5:$S$1000,$S116,$V$5:$V$1000,"Macro",$H$5:$H$1000,"&gt;0"))))</f>
        <v/>
      </c>
      <c r="AM116" s="62" t="n"/>
      <c r="AN116" s="62" t="n"/>
      <c r="AO116" s="62" t="n"/>
      <c r="AP116" s="62" t="n"/>
      <c r="AQ116" s="62">
        <f>IF(LEFT($C116,11)="[Jefatura] ",IFERROR(MATCH("Asistente Técnico de Riesgo|"&amp;MID($C116,12,500),rDname_ADM,0),0),"")</f>
        <v/>
      </c>
      <c r="AR116" s="62">
        <f>IF(N($AQ116)&gt;0,INDEX(rIni_ADM,$AQ116),IF(ISNUMBER($E116),$E116,""))</f>
        <v/>
      </c>
      <c r="AS116" s="62">
        <f>IF(N($AQ116)&gt;0,INDEX(rLim_ADM,$AQ116),IF(ISNUMBER($F116),$F116,""))</f>
        <v/>
      </c>
    </row>
    <row r="117">
      <c r="A117" s="56">
        <f>IF(NOT((COUNTA($B117:$D117)+COUNTA($G117:$H117)+COUNTA($Q117))&gt;0),"",IF($V117="Macro",COUNTIFS($V$5:$V117,"Macro",$S$5:$S117,$S117),IF(N($U117)=0,"?",COUNTIFS(INDEX($V$5:$V$1000,1):INDEX($V$5:$V$1000,$U117-4),"Macro",INDEX($S$5:$S$1000,1):INDEX($S$5:$S$1000,$U117-4),INDEX($S$5:$S$1000,$U117-4))&amp;"."&amp;COUNTIFS($U$5:$U117,$U117,$V$5:$V117,"Sub"))))</f>
        <v/>
      </c>
      <c r="B117" s="57" t="n"/>
      <c r="C117" s="58" t="n"/>
      <c r="D117" s="58" t="n"/>
      <c r="E117" s="59">
        <f>IF(N($AQ117)&gt;0,INDEX(rIni_ADM,$AQ117),"")</f>
        <v/>
      </c>
      <c r="F117" s="59">
        <f>IF(N($AQ117)&gt;0,INDEX(rLim_ADM,$AQ117),"")</f>
        <v/>
      </c>
      <c r="G117" s="59" t="n"/>
      <c r="H117" s="60" t="n"/>
      <c r="I117" s="60">
        <f>IF(N($W117)=0,"",IF(AND($S117=MesCiclo,1&gt;SemanaActual),"",MIN(1,SUMIFS(OFFSET($A$1,ROW(),29,1000-ROW(),1),OFFSET($A$1,ROW(),20,1000-ROW(),1),ROW(),OFFSET($A$1,ROW(),21,1000-ROW(),1),"Sub"))))</f>
        <v/>
      </c>
      <c r="J117" s="60">
        <f>IF(N($W117)=0,"",IF(AND($S117=MesCiclo,2&gt;SemanaActual),"",MIN(1,SUMIFS(OFFSET($A$1,ROW(),30,1000-ROW(),1),OFFSET($A$1,ROW(),20,1000-ROW(),1),ROW(),OFFSET($A$1,ROW(),21,1000-ROW(),1),"Sub"))))</f>
        <v/>
      </c>
      <c r="K117" s="60">
        <f>IF(N($W117)=0,"",IF(AND($S117=MesCiclo,3&gt;SemanaActual),"",MIN(1,SUMIFS(OFFSET($A$1,ROW(),31,1000-ROW(),1),OFFSET($A$1,ROW(),20,1000-ROW(),1),ROW(),OFFSET($A$1,ROW(),21,1000-ROW(),1),"Sub"))))</f>
        <v/>
      </c>
      <c r="L117" s="60">
        <f>IF(N($W117)=0,"",IF(AND($S117=MesCiclo,4&gt;SemanaActual),"",MIN(1,SUMIFS(OFFSET($A$1,ROW(),32,1000-ROW(),1),OFFSET($A$1,ROW(),20,1000-ROW(),1),ROW(),OFFSET($A$1,ROW(),21,1000-ROW(),1),"Sub"))))</f>
        <v/>
      </c>
      <c r="M117" s="61">
        <f>IF(OR(NOT((COUNTA($B117:$D117)+COUNTA($G117:$H117)+COUNTA($Q117))&gt;0),$V117="Sub"),"",IF(ISNUMBER($G117),1,IF(N($W117)&gt;0,MIN(1,SUMIFS($Y$5:$Y$1000,$U$5:$U$1000,ROW(),$V$5:$V$1000,"Sub")),$Y117)))</f>
        <v/>
      </c>
      <c r="N117" s="56">
        <f>IF(OR($M117="",$V117="Sub"),"",IF($M117&gt;=1,"Completado",IF($M117&gt;0,"En curso","Pendiente")))</f>
        <v/>
      </c>
      <c r="O117" s="56">
        <f>IF(OR(NOT((COUNTA($B117:$D117)+COUNTA($G117:$H117)+COUNTA($Q117))&gt;0),$V117="Sub"),"",IF(ISNUMBER($G117),IF(AND(ISNUMBER($AS117),$G117&gt;$AS117),"Cumplida con "&amp;($G117-$AS117)&amp;IF($G117-$AS117=1," día"," días")&amp;" de retraso","Cumplida"),IF(N($M117)&gt;=1,"Cumplida",IF(NOT(ISNUMBER($AS117)),"Sin fecha límite",IF($AS117&lt;FechaRef,"Vencida hace "&amp;(FechaRef-$AS117)&amp;IF(FechaRef-$AS117=1," día"," días"),IF($AS117=FechaRef,"Vence hoy",IF($AS117-FechaRef&lt;=DiasAlerta,"Vence en "&amp;($AS117-FechaRef)&amp;IF($AS117-FechaRef=1," día"," días"),"En plazo")))))))</f>
        <v/>
      </c>
      <c r="P117" s="62" t="n"/>
      <c r="Q117" s="58" t="n"/>
      <c r="R117" s="63">
        <f>IF(NOT((COUNTA($B117:$D117)+COUNTA($G117:$H117)+COUNTA($Q117))&gt;0),"",IF((IF($C117="","Falta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 OK","⚠ "&amp;LEFT(IF($C117="","Falta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",""),LEN(IF($C117="","Falta el nombre de la actividad"&amp;" · ","")&amp;IF(AND($V117="Sub",N($U117)=0),"Subactividad sin macroactividad arriba"&amp;" · ","")&amp;IF(AND($V117="Macro",$AR117=""),"Sin fecha de inicio"&amp;" · ","")&amp;IF(AND($V117="Macro",$AS117=""),"Sin fecha límite"&amp;" · ","")&amp;IF(AND(LEFT($C117,11)="[Jefatura] ",N($AQ117)=0),"No se encuentra en la hoja de la jefatura (elíjala de nuevo en la lista)"&amp;" · ","")&amp;IF(OR(AND($E117&lt;&gt;"",NOT(ISNUMBER($E117))),AND($F117&lt;&gt;"",NOT(ISNUMBER($F117))),AND($G117&lt;&gt;"",NOT(ISNUMBER($G117)))),"Fecha no válida"&amp;" · ","")&amp;IF(AND(ISNUMBER($AR117),ISNUMBER($AS117),$AR117&gt;$AS117),"Inicio posterior a fecha límite"&amp;" · ","")&amp;IF(AND($V117="Macro",$H117&lt;&gt;"",OR(NOT(ISNUMBER($H117)),$H117&lt;0,$H117&gt;1)),"Peso fuera de rango"&amp;" · ","")&amp;IF(AND($V117="Sub",$H117&lt;&gt;"",OR(NOT(ISNUMBER($H117)),$H117&lt;0,$H117&gt;1)),"% de la subactividad fuera de rango 0-100%"&amp;" · ","")&amp;IF(AND(N($W117)&gt;0,SUMIFS($H$5:$H$1000,$U$5:$U$1000,ROW(),$V$5:$V$1000,"Sub")&gt;1.0001),"Las subactividades suman más de 100%"&amp;" · ","")&amp;IF(AND(N($W117)&gt;0,OR(IF(ISNUMBER($I117),ROUND($I117,6)&lt;&gt;ROUND(MIN(1,SUMIFS($AD$5:$AD$1000,$U$5:$U$1000,ROW(),$V$5:$V$1000,"Sub")),6),FALSE),IF(ISNUMBER($J117),ROUND($J117,6)&lt;&gt;ROUND(MIN(1,SUMIFS($AE$5:$AE$1000,$U$5:$U$1000,ROW(),$V$5:$V$1000,"Sub")),6),FALSE),IF(ISNUMBER($K117),ROUND($K117,6)&lt;&gt;ROUND(MIN(1,SUMIFS($AF$5:$AF$1000,$U$5:$U$1000,ROW(),$V$5:$V$1000,"Sub")),6),FALSE),IF(ISNUMBER($L117),ROUND($L117,6)&lt;&gt;ROUND(MIN(1,SUMIFS($AG$5:$AG$1000,$U$5:$U$1000,ROW(),$V$5:$V$1000,"Sub")),6),FALSE))),"Con subactividades: no escriba en las semanas (se llenan solas)"&amp;" · ","")&amp;IF((COUNTIF($I117:$L117,"&gt;1")+COUNTIF($I117:$L117,"&lt;0")+SUMPRODUCT((LEN($I117:$L117)&gt;0)*NOT(ISNUMBER($I117:$L117))))&gt;0,"Avance fuera de rango 0-100%"&amp;" · ","")&amp;IF(OR(AND(ISNUMBER($J117),$J117&lt;N($I117)),AND(ISNUMBER($K117),$K117&lt;MAX($I117:$J117)),AND(ISNUMBER($L117),$L117&lt;MAX($I117:$K117))),"Avance semanal decreciente"&amp;" · ","")&amp;IF(AND(ISNUMBER($AS117),$AS117&lt;FechaRef,IF($V117="Sub",1,N($M117))&lt;1),"Vencida"&amp;" · ","")&amp;IF(AND(ObsObligatoria="Sí",ISNUMBER($AS117),$AS117&lt;FechaRef,IF($V117="Sub",1,N($M117))&lt;1,$Q117=""),"Vencida sin observación"&amp;" · ",""))-3)))</f>
        <v/>
      </c>
      <c r="S117" s="64">
        <f>IF(NOT((COUNTA($B117:$D117)+COUNTA($G117:$H117)+COUNTA($Q117))&gt;0),"",IF(AND($V117="Sub",N($U117)&gt;0),IF(ISNUMBER(INDEX($AR$5:$AR$1000,$U117-4)),DATE(YEAR(INDEX($AR$5:$AR$1000,$U117-4)),MONTH(INDEX($AR$5:$AR$1000,$U117-4)),1),IF(ISNUMBER(INDEX($AS$5:$AS$1000,$U117-4)),DATE(YEAR(INDEX($AS$5:$AS$1000,$U117-4)),MONTH(INDEX($AS$5:$AS$1000,$U117-4)),1),MesCiclo)),IF(ISNUMBER($AR117),DATE(YEAR($AR117),MONTH($AR117),1),IF(ISNUMBER($AS117),DATE(YEAR($AS117),MONTH($AS117),1),MesCiclo))))</f>
        <v/>
      </c>
      <c r="T117" s="62">
        <f>IF(OR($S117="",$S117&lt;&gt;MesCiclo,$V117&lt;&gt;"Macro"),"",COUNTIFS($S$5:$S117,MesCiclo,$V$5:$V117,"Macro"))</f>
        <v/>
      </c>
      <c r="U117" s="62">
        <f>IF($V117="","",IF($V117="Macro",ROW(),IFERROR(LOOKUP(2,1/($V$5:$V117="Macro"),ROW($V$5:$V117)),0)))</f>
        <v/>
      </c>
      <c r="V117" s="62">
        <f>IF(NOT((COUNTA($B117:$D117)+COUNTA($G117:$H117)+COUNTA($Q117))&gt;0),"",IF($B117="Subactividad","Sub","Macro"))</f>
        <v/>
      </c>
      <c r="W117" s="62">
        <f>IF($V117="Macro",COUNTIFS($U$5:$U$1000,ROW(),$V$5:$V$1000,"Sub"),"")</f>
        <v/>
      </c>
      <c r="X117" s="62">
        <f>IF($V117&lt;&gt;"Sub","",IF(AND(ISNUMBER($H117),N($H117)&gt;0),$H117,IFERROR(MAX(0,1-SUMIFS($H$5:$H$1000,$U$5:$U$1000,$U117,$V$5:$V$1000,"Sub"))/(COUNTIFS($U$5:$U$1000,$U117,$V$5:$V$1000,"Sub")-COUNTIFS($U$5:$U$1000,$U117,$V$5:$V$1000,"Sub",$H$5:$H$1000,"&gt;0")),0)))</f>
        <v/>
      </c>
      <c r="Y117" s="62">
        <f>IF($V117="","",IF($V117="Sub",N($X117)*IF(ISNUMBER($G117),1,MIN(1,MAX(0,IFERROR(LOOKUP(2,1/ISNUMBER($I117:$L117),$I117:$L117),0)))),IF(ISNUMBER($G117),1,IFERROR(LOOKUP(2,1/($I117:$L117&lt;&gt;""),$I117:$L117),0))))</f>
        <v/>
      </c>
      <c r="Z117" s="62">
        <f>IF($V117="","",IF(AND(ISNUMBER($G117),$G117&lt;=IF($S117=MesCiclo,InicioCiclo,$S117+MOD(2-WEEKDAY($S117),7))+6),1,IF(ISNUMBER($I117),$I117,0)))</f>
        <v/>
      </c>
      <c r="AA117" s="62">
        <f>IF($V117="","",IF(AND(ISNUMBER($G117),$G117&lt;=IF($S117=MesCiclo,InicioCiclo,$S117+MOD(2-WEEKDAY($S117),7))+13),1,IF(ISNUMBER($J117),$J117,$Z117)))</f>
        <v/>
      </c>
      <c r="AB117" s="62">
        <f>IF($V117="","",IF(AND(ISNUMBER($G117),$G117&lt;=IF($S117=MesCiclo,InicioCiclo,$S117+MOD(2-WEEKDAY($S117),7))+20),1,IF(ISNUMBER($K117),$K117,$AA117)))</f>
        <v/>
      </c>
      <c r="AC117" s="62">
        <f>IF($V117="","",IF(AND(ISNUMBER($G117),$G117&lt;=IF($S117=MesCiclo,InicioCiclo,$S117+MOD(2-WEEKDAY($S117),7))+27),1,IF(ISNUMBER($L117),$L117,$AB117)))</f>
        <v/>
      </c>
      <c r="AD117" s="62">
        <f>IF($V117&lt;&gt;"Sub","",N($X117)*IF(AND(ISNUMBER($G117),$G117&lt;=IF($S117=MesCiclo,InicioCiclo,$S117+MOD(2-WEEKDAY($S117),7))+6),1,MIN(1,MAX(0,IF(ISNUMBER(OFFSET($A$1,ROW()-1,8)),OFFSET($A$1,ROW()-1,8),0)))))</f>
        <v/>
      </c>
      <c r="AE117" s="62">
        <f>IF($V117&lt;&gt;"Sub","",N($X117)*IF(AND(ISNUMBER($G117),$G117&lt;=IF($S117=MesCiclo,InicioCiclo,$S117+MOD(2-WEEKDAY($S117),7))+13),1,MIN(1,MAX(0,IF(ISNUMBER(OFFSET($A$1,ROW()-1,9)),OFFSET($A$1,ROW()-1,9),IF(ISNUMBER(OFFSET($A$1,ROW()-1,8)),OFFSET($A$1,ROW()-1,8),0))))))</f>
        <v/>
      </c>
      <c r="AF117" s="62">
        <f>IF($V117&lt;&gt;"Sub","",N($X117)*IF(AND(ISNUMBER($G117),$G117&lt;=IF($S117=MesCiclo,InicioCiclo,$S117+MOD(2-WEEKDAY($S117),7))+20),1,MIN(1,MAX(0,IF(ISNUMBER(OFFSET($A$1,ROW()-1,10)),OFFSET($A$1,ROW()-1,10),IF(ISNUMBER(OFFSET($A$1,ROW()-1,9)),OFFSET($A$1,ROW()-1,9),IF(ISNUMBER(OFFSET($A$1,ROW()-1,8)),OFFSET($A$1,ROW()-1,8),0)))))))</f>
        <v/>
      </c>
      <c r="AG117" s="62">
        <f>IF($V117&lt;&gt;"Sub","",N($X117)*IF(AND(ISNUMBER($G117),$G117&lt;=IF($S117=MesCiclo,InicioCiclo,$S117+MOD(2-WEEKDAY($S117),7))+27),1,MIN(1,MAX(0,IF(ISNUMBER(OFFSET($A$1,ROW()-1,11)),OFFSET($A$1,ROW()-1,11),IF(ISNUMBER(OFFSET($A$1,ROW()-1,10)),OFFSET($A$1,ROW()-1,10),IF(ISNUMBER(OFFSET($A$1,ROW()-1,9)),OFFSET($A$1,ROW()-1,9),IF(ISNUMBER(OFFSET($A$1,ROW()-1,8)),OFFSET($A$1,ROW()-1,8),0))))))))</f>
        <v/>
      </c>
      <c r="AH117" s="62">
        <f>IF($V117="","",IF(AND(ISNUMBER($G117),$G117&lt;=IF($S117=MesCiclo,InicioCiclo,$S117+MOD(2-WEEKDAY($S117),7))+6),1,IF(N($W117)&gt;0,MIN(1,SUMIFS($AD$5:$AD$1000,$U$5:$U$1000,ROW(),$V$5:$V$1000,"Sub")),$Z117)))</f>
        <v/>
      </c>
      <c r="AI117" s="62">
        <f>IF($V117="","",IF(AND(ISNUMBER($G117),$G117&lt;=IF($S117=MesCiclo,InicioCiclo,$S117+MOD(2-WEEKDAY($S117),7))+13),1,IF(N($W117)&gt;0,MIN(1,SUMIFS($AE$5:$AE$1000,$U$5:$U$1000,ROW(),$V$5:$V$1000,"Sub")),$AA117)))</f>
        <v/>
      </c>
      <c r="AJ117" s="62">
        <f>IF($V117="","",IF(AND(ISNUMBER($G117),$G117&lt;=IF($S117=MesCiclo,InicioCiclo,$S117+MOD(2-WEEKDAY($S117),7))+20),1,IF(N($W117)&gt;0,MIN(1,SUMIFS($AF$5:$AF$1000,$U$5:$U$1000,ROW(),$V$5:$V$1000,"Sub")),$AB117)))</f>
        <v/>
      </c>
      <c r="AK117" s="62">
        <f>IF($V117="","",IF(AND(ISNUMBER($G117),$G117&lt;=IF($S117=MesCiclo,InicioCiclo,$S117+MOD(2-WEEKDAY($S117),7))+27),1,IF(N($W117)&gt;0,MIN(1,SUMIFS($AG$5:$AG$1000,$U$5:$U$1000,ROW(),$V$5:$V$1000,"Sub")),$AC117)))</f>
        <v/>
      </c>
      <c r="AL117" s="62">
        <f>IF($V117&lt;&gt;"Macro","",IF(COUNTIFS($S$5:$S$1000,$S117,$V$5:$V$1000,"Macro",$H$5:$H$1000,"&gt;0")=0,1/COUNTIFS($S$5:$S$1000,$S117,$V$5:$V$1000,"Macro"),IF(AND(ISNUMBER($H117),N($H117)&gt;0),$H117,SUMIFS($H$5:$H$1000,$S$5:$S$1000,$S117,$V$5:$V$1000,"Macro")/COUNTIFS($S$5:$S$1000,$S117,$V$5:$V$1000,"Macro",$H$5:$H$1000,"&gt;0"))/(COUNTIFS($S$5:$S$1000,$S117,$V$5:$V$1000,"Macro")*SUMIFS($H$5:$H$1000,$S$5:$S$1000,$S117,$V$5:$V$1000,"Macro")/COUNTIFS($S$5:$S$1000,$S117,$V$5:$V$1000,"Macro",$H$5:$H$1000,"&gt;0"))))</f>
        <v/>
      </c>
      <c r="AM117" s="62" t="n"/>
      <c r="AN117" s="62" t="n"/>
      <c r="AO117" s="62" t="n"/>
      <c r="AP117" s="62" t="n"/>
      <c r="AQ117" s="62">
        <f>IF(LEFT($C117,11)="[Jefatura] ",IFERROR(MATCH("Asistente Técnico de Riesgo|"&amp;MID($C117,12,500),rDname_ADM,0),0),"")</f>
        <v/>
      </c>
      <c r="AR117" s="62">
        <f>IF(N($AQ117)&gt;0,INDEX(rIni_ADM,$AQ117),IF(ISNUMBER($E117),$E117,""))</f>
        <v/>
      </c>
      <c r="AS117" s="62">
        <f>IF(N($AQ117)&gt;0,INDEX(rLim_ADM,$AQ117),IF(ISNUMBER($F117),$F117,""))</f>
        <v/>
      </c>
    </row>
    <row r="118">
      <c r="A118" s="56">
        <f>IF(NOT((COUNTA($B118:$D118)+COUNTA($G118:$H118)+COUNTA($Q118))&gt;0),"",IF($V118="Macro",COUNTIFS($V$5:$V118,"Macro",$S$5:$S118,$S118),IF(N($U118)=0,"?",COUNTIFS(INDEX($V$5:$V$1000,1):INDEX($V$5:$V$1000,$U118-4),"Macro",INDEX($S$5:$S$1000,1):INDEX($S$5:$S$1000,$U118-4),INDEX($S$5:$S$1000,$U118-4))&amp;"."&amp;COUNTIFS($U$5:$U118,$U118,$V$5:$V118,"Sub"))))</f>
        <v/>
      </c>
      <c r="B118" s="57" t="n"/>
      <c r="C118" s="58" t="n"/>
      <c r="D118" s="58" t="n"/>
      <c r="E118" s="59">
        <f>IF(N($AQ118)&gt;0,INDEX(rIni_ADM,$AQ118),"")</f>
        <v/>
      </c>
      <c r="F118" s="59">
        <f>IF(N($AQ118)&gt;0,INDEX(rLim_ADM,$AQ118),"")</f>
        <v/>
      </c>
      <c r="G118" s="59" t="n"/>
      <c r="H118" s="60" t="n"/>
      <c r="I118" s="60">
        <f>IF(N($W118)=0,"",IF(AND($S118=MesCiclo,1&gt;SemanaActual),"",MIN(1,SUMIFS(OFFSET($A$1,ROW(),29,1000-ROW(),1),OFFSET($A$1,ROW(),20,1000-ROW(),1),ROW(),OFFSET($A$1,ROW(),21,1000-ROW(),1),"Sub"))))</f>
        <v/>
      </c>
      <c r="J118" s="60">
        <f>IF(N($W118)=0,"",IF(AND($S118=MesCiclo,2&gt;SemanaActual),"",MIN(1,SUMIFS(OFFSET($A$1,ROW(),30,1000-ROW(),1),OFFSET($A$1,ROW(),20,1000-ROW(),1),ROW(),OFFSET($A$1,ROW(),21,1000-ROW(),1),"Sub"))))</f>
        <v/>
      </c>
      <c r="K118" s="60">
        <f>IF(N($W118)=0,"",IF(AND($S118=MesCiclo,3&gt;SemanaActual),"",MIN(1,SUMIFS(OFFSET($A$1,ROW(),31,1000-ROW(),1),OFFSET($A$1,ROW(),20,1000-ROW(),1),ROW(),OFFSET($A$1,ROW(),21,1000-ROW(),1),"Sub"))))</f>
        <v/>
      </c>
      <c r="L118" s="60">
        <f>IF(N($W118)=0,"",IF(AND($S118=MesCiclo,4&gt;SemanaActual),"",MIN(1,SUMIFS(OFFSET($A$1,ROW(),32,1000-ROW(),1),OFFSET($A$1,ROW(),20,1000-ROW(),1),ROW(),OFFSET($A$1,ROW(),21,1000-ROW(),1),"Sub"))))</f>
        <v/>
      </c>
      <c r="M118" s="61">
        <f>IF(OR(NOT((COUNTA($B118:$D118)+COUNTA($G118:$H118)+COUNTA($Q118))&gt;0),$V118="Sub"),"",IF(ISNUMBER($G118),1,IF(N($W118)&gt;0,MIN(1,SUMIFS($Y$5:$Y$1000,$U$5:$U$1000,ROW(),$V$5:$V$1000,"Sub")),$Y118)))</f>
        <v/>
      </c>
      <c r="N118" s="56">
        <f>IF(OR($M118="",$V118="Sub"),"",IF($M118&gt;=1,"Completado",IF($M118&gt;0,"En curso","Pendiente")))</f>
        <v/>
      </c>
      <c r="O118" s="56">
        <f>IF(OR(NOT((COUNTA($B118:$D118)+COUNTA($G118:$H118)+COUNTA($Q118))&gt;0),$V118="Sub"),"",IF(ISNUMBER($G118),IF(AND(ISNUMBER($AS118),$G118&gt;$AS118),"Cumplida con "&amp;($G118-$AS118)&amp;IF($G118-$AS118=1," día"," días")&amp;" de retraso","Cumplida"),IF(N($M118)&gt;=1,"Cumplida",IF(NOT(ISNUMBER($AS118)),"Sin fecha límite",IF($AS118&lt;FechaRef,"Vencida hace "&amp;(FechaRef-$AS118)&amp;IF(FechaRef-$AS118=1," día"," días"),IF($AS118=FechaRef,"Vence hoy",IF($AS118-FechaRef&lt;=DiasAlerta,"Vence en "&amp;($AS118-FechaRef)&amp;IF($AS118-FechaRef=1," día"," días"),"En plazo")))))))</f>
        <v/>
      </c>
      <c r="P118" s="62" t="n"/>
      <c r="Q118" s="58" t="n"/>
      <c r="R118" s="63">
        <f>IF(NOT((COUNTA($B118:$D118)+COUNTA($G118:$H118)+COUNTA($Q118))&gt;0),"",IF((IF($C118="","Falta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 OK","⚠ "&amp;LEFT(IF($C118="","Falta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",""),LEN(IF($C118="","Falta el nombre de la actividad"&amp;" · ","")&amp;IF(AND($V118="Sub",N($U118)=0),"Subactividad sin macroactividad arriba"&amp;" · ","")&amp;IF(AND($V118="Macro",$AR118=""),"Sin fecha de inicio"&amp;" · ","")&amp;IF(AND($V118="Macro",$AS118=""),"Sin fecha límite"&amp;" · ","")&amp;IF(AND(LEFT($C118,11)="[Jefatura] ",N($AQ118)=0),"No se encuentra en la hoja de la jefatura (elíjala de nuevo en la lista)"&amp;" · ","")&amp;IF(OR(AND($E118&lt;&gt;"",NOT(ISNUMBER($E118))),AND($F118&lt;&gt;"",NOT(ISNUMBER($F118))),AND($G118&lt;&gt;"",NOT(ISNUMBER($G118)))),"Fecha no válida"&amp;" · ","")&amp;IF(AND(ISNUMBER($AR118),ISNUMBER($AS118),$AR118&gt;$AS118),"Inicio posterior a fecha límite"&amp;" · ","")&amp;IF(AND($V118="Macro",$H118&lt;&gt;"",OR(NOT(ISNUMBER($H118)),$H118&lt;0,$H118&gt;1)),"Peso fuera de rango"&amp;" · ","")&amp;IF(AND($V118="Sub",$H118&lt;&gt;"",OR(NOT(ISNUMBER($H118)),$H118&lt;0,$H118&gt;1)),"% de la subactividad fuera de rango 0-100%"&amp;" · ","")&amp;IF(AND(N($W118)&gt;0,SUMIFS($H$5:$H$1000,$U$5:$U$1000,ROW(),$V$5:$V$1000,"Sub")&gt;1.0001),"Las subactividades suman más de 100%"&amp;" · ","")&amp;IF(AND(N($W118)&gt;0,OR(IF(ISNUMBER($I118),ROUND($I118,6)&lt;&gt;ROUND(MIN(1,SUMIFS($AD$5:$AD$1000,$U$5:$U$1000,ROW(),$V$5:$V$1000,"Sub")),6),FALSE),IF(ISNUMBER($J118),ROUND($J118,6)&lt;&gt;ROUND(MIN(1,SUMIFS($AE$5:$AE$1000,$U$5:$U$1000,ROW(),$V$5:$V$1000,"Sub")),6),FALSE),IF(ISNUMBER($K118),ROUND($K118,6)&lt;&gt;ROUND(MIN(1,SUMIFS($AF$5:$AF$1000,$U$5:$U$1000,ROW(),$V$5:$V$1000,"Sub")),6),FALSE),IF(ISNUMBER($L118),ROUND($L118,6)&lt;&gt;ROUND(MIN(1,SUMIFS($AG$5:$AG$1000,$U$5:$U$1000,ROW(),$V$5:$V$1000,"Sub")),6),FALSE))),"Con subactividades: no escriba en las semanas (se llenan solas)"&amp;" · ","")&amp;IF((COUNTIF($I118:$L118,"&gt;1")+COUNTIF($I118:$L118,"&lt;0")+SUMPRODUCT((LEN($I118:$L118)&gt;0)*NOT(ISNUMBER($I118:$L118))))&gt;0,"Avance fuera de rango 0-100%"&amp;" · ","")&amp;IF(OR(AND(ISNUMBER($J118),$J118&lt;N($I118)),AND(ISNUMBER($K118),$K118&lt;MAX($I118:$J118)),AND(ISNUMBER($L118),$L118&lt;MAX($I118:$K118))),"Avance semanal decreciente"&amp;" · ","")&amp;IF(AND(ISNUMBER($AS118),$AS118&lt;FechaRef,IF($V118="Sub",1,N($M118))&lt;1),"Vencida"&amp;" · ","")&amp;IF(AND(ObsObligatoria="Sí",ISNUMBER($AS118),$AS118&lt;FechaRef,IF($V118="Sub",1,N($M118))&lt;1,$Q118=""),"Vencida sin observación"&amp;" · ",""))-3)))</f>
        <v/>
      </c>
      <c r="S118" s="64">
        <f>IF(NOT((COUNTA($B118:$D118)+COUNTA($G118:$H118)+COUNTA($Q118))&gt;0),"",IF(AND($V118="Sub",N($U118)&gt;0),IF(ISNUMBER(INDEX($AR$5:$AR$1000,$U118-4)),DATE(YEAR(INDEX($AR$5:$AR$1000,$U118-4)),MONTH(INDEX($AR$5:$AR$1000,$U118-4)),1),IF(ISNUMBER(INDEX($AS$5:$AS$1000,$U118-4)),DATE(YEAR(INDEX($AS$5:$AS$1000,$U118-4)),MONTH(INDEX($AS$5:$AS$1000,$U118-4)),1),MesCiclo)),IF(ISNUMBER($AR118),DATE(YEAR($AR118),MONTH($AR118),1),IF(ISNUMBER($AS118),DATE(YEAR($AS118),MONTH($AS118),1),MesCiclo))))</f>
        <v/>
      </c>
      <c r="T118" s="62">
        <f>IF(OR($S118="",$S118&lt;&gt;MesCiclo,$V118&lt;&gt;"Macro"),"",COUNTIFS($S$5:$S118,MesCiclo,$V$5:$V118,"Macro"))</f>
        <v/>
      </c>
      <c r="U118" s="62">
        <f>IF($V118="","",IF($V118="Macro",ROW(),IFERROR(LOOKUP(2,1/($V$5:$V118="Macro"),ROW($V$5:$V118)),0)))</f>
        <v/>
      </c>
      <c r="V118" s="62">
        <f>IF(NOT((COUNTA($B118:$D118)+COUNTA($G118:$H118)+COUNTA($Q118))&gt;0),"",IF($B118="Subactividad","Sub","Macro"))</f>
        <v/>
      </c>
      <c r="W118" s="62">
        <f>IF($V118="Macro",COUNTIFS($U$5:$U$1000,ROW(),$V$5:$V$1000,"Sub"),"")</f>
        <v/>
      </c>
      <c r="X118" s="62">
        <f>IF($V118&lt;&gt;"Sub","",IF(AND(ISNUMBER($H118),N($H118)&gt;0),$H118,IFERROR(MAX(0,1-SUMIFS($H$5:$H$1000,$U$5:$U$1000,$U118,$V$5:$V$1000,"Sub"))/(COUNTIFS($U$5:$U$1000,$U118,$V$5:$V$1000,"Sub")-COUNTIFS($U$5:$U$1000,$U118,$V$5:$V$1000,"Sub",$H$5:$H$1000,"&gt;0")),0)))</f>
        <v/>
      </c>
      <c r="Y118" s="62">
        <f>IF($V118="","",IF($V118="Sub",N($X118)*IF(ISNUMBER($G118),1,MIN(1,MAX(0,IFERROR(LOOKUP(2,1/ISNUMBER($I118:$L118),$I118:$L118),0)))),IF(ISNUMBER($G118),1,IFERROR(LOOKUP(2,1/($I118:$L118&lt;&gt;""),$I118:$L118),0))))</f>
        <v/>
      </c>
      <c r="Z118" s="62">
        <f>IF($V118="","",IF(AND(ISNUMBER($G118),$G118&lt;=IF($S118=MesCiclo,InicioCiclo,$S118+MOD(2-WEEKDAY($S118),7))+6),1,IF(ISNUMBER($I118),$I118,0)))</f>
        <v/>
      </c>
      <c r="AA118" s="62">
        <f>IF($V118="","",IF(AND(ISNUMBER($G118),$G118&lt;=IF($S118=MesCiclo,InicioCiclo,$S118+MOD(2-WEEKDAY($S118),7))+13),1,IF(ISNUMBER($J118),$J118,$Z118)))</f>
        <v/>
      </c>
      <c r="AB118" s="62">
        <f>IF($V118="","",IF(AND(ISNUMBER($G118),$G118&lt;=IF($S118=MesCiclo,InicioCiclo,$S118+MOD(2-WEEKDAY($S118),7))+20),1,IF(ISNUMBER($K118),$K118,$AA118)))</f>
        <v/>
      </c>
      <c r="AC118" s="62">
        <f>IF($V118="","",IF(AND(ISNUMBER($G118),$G118&lt;=IF($S118=MesCiclo,InicioCiclo,$S118+MOD(2-WEEKDAY($S118),7))+27),1,IF(ISNUMBER($L118),$L118,$AB118)))</f>
        <v/>
      </c>
      <c r="AD118" s="62">
        <f>IF($V118&lt;&gt;"Sub","",N($X118)*IF(AND(ISNUMBER($G118),$G118&lt;=IF($S118=MesCiclo,InicioCiclo,$S118+MOD(2-WEEKDAY($S118),7))+6),1,MIN(1,MAX(0,IF(ISNUMBER(OFFSET($A$1,ROW()-1,8)),OFFSET($A$1,ROW()-1,8),0)))))</f>
        <v/>
      </c>
      <c r="AE118" s="62">
        <f>IF($V118&lt;&gt;"Sub","",N($X118)*IF(AND(ISNUMBER($G118),$G118&lt;=IF($S118=MesCiclo,InicioCiclo,$S118+MOD(2-WEEKDAY($S118),7))+13),1,MIN(1,MAX(0,IF(ISNUMBER(OFFSET($A$1,ROW()-1,9)),OFFSET($A$1,ROW()-1,9),IF(ISNUMBER(OFFSET($A$1,ROW()-1,8)),OFFSET($A$1,ROW()-1,8),0))))))</f>
        <v/>
      </c>
      <c r="AF118" s="62">
        <f>IF($V118&lt;&gt;"Sub","",N($X118)*IF(AND(ISNUMBER($G118),$G118&lt;=IF($S118=MesCiclo,InicioCiclo,$S118+MOD(2-WEEKDAY($S118),7))+20),1,MIN(1,MAX(0,IF(ISNUMBER(OFFSET($A$1,ROW()-1,10)),OFFSET($A$1,ROW()-1,10),IF(ISNUMBER(OFFSET($A$1,ROW()-1,9)),OFFSET($A$1,ROW()-1,9),IF(ISNUMBER(OFFSET($A$1,ROW()-1,8)),OFFSET($A$1,ROW()-1,8),0)))))))</f>
        <v/>
      </c>
      <c r="AG118" s="62">
        <f>IF($V118&lt;&gt;"Sub","",N($X118)*IF(AND(ISNUMBER($G118),$G118&lt;=IF($S118=MesCiclo,InicioCiclo,$S118+MOD(2-WEEKDAY($S118),7))+27),1,MIN(1,MAX(0,IF(ISNUMBER(OFFSET($A$1,ROW()-1,11)),OFFSET($A$1,ROW()-1,11),IF(ISNUMBER(OFFSET($A$1,ROW()-1,10)),OFFSET($A$1,ROW()-1,10),IF(ISNUMBER(OFFSET($A$1,ROW()-1,9)),OFFSET($A$1,ROW()-1,9),IF(ISNUMBER(OFFSET($A$1,ROW()-1,8)),OFFSET($A$1,ROW()-1,8),0))))))))</f>
        <v/>
      </c>
      <c r="AH118" s="62">
        <f>IF($V118="","",IF(AND(ISNUMBER($G118),$G118&lt;=IF($S118=MesCiclo,InicioCiclo,$S118+MOD(2-WEEKDAY($S118),7))+6),1,IF(N($W118)&gt;0,MIN(1,SUMIFS($AD$5:$AD$1000,$U$5:$U$1000,ROW(),$V$5:$V$1000,"Sub")),$Z118)))</f>
        <v/>
      </c>
      <c r="AI118" s="62">
        <f>IF($V118="","",IF(AND(ISNUMBER($G118),$G118&lt;=IF($S118=MesCiclo,InicioCiclo,$S118+MOD(2-WEEKDAY($S118),7))+13),1,IF(N($W118)&gt;0,MIN(1,SUMIFS($AE$5:$AE$1000,$U$5:$U$1000,ROW(),$V$5:$V$1000,"Sub")),$AA118)))</f>
        <v/>
      </c>
      <c r="AJ118" s="62">
        <f>IF($V118="","",IF(AND(ISNUMBER($G118),$G118&lt;=IF($S118=MesCiclo,InicioCiclo,$S118+MOD(2-WEEKDAY($S118),7))+20),1,IF(N($W118)&gt;0,MIN(1,SUMIFS($AF$5:$AF$1000,$U$5:$U$1000,ROW(),$V$5:$V$1000,"Sub")),$AB118)))</f>
        <v/>
      </c>
      <c r="AK118" s="62">
        <f>IF($V118="","",IF(AND(ISNUMBER($G118),$G118&lt;=IF($S118=MesCiclo,InicioCiclo,$S118+MOD(2-WEEKDAY($S118),7))+27),1,IF(N($W118)&gt;0,MIN(1,SUMIFS($AG$5:$AG$1000,$U$5:$U$1000,ROW(),$V$5:$V$1000,"Sub")),$AC118)))</f>
        <v/>
      </c>
      <c r="AL118" s="62">
        <f>IF($V118&lt;&gt;"Macro","",IF(COUNTIFS($S$5:$S$1000,$S118,$V$5:$V$1000,"Macro",$H$5:$H$1000,"&gt;0")=0,1/COUNTIFS($S$5:$S$1000,$S118,$V$5:$V$1000,"Macro"),IF(AND(ISNUMBER($H118),N($H118)&gt;0),$H118,SUMIFS($H$5:$H$1000,$S$5:$S$1000,$S118,$V$5:$V$1000,"Macro")/COUNTIFS($S$5:$S$1000,$S118,$V$5:$V$1000,"Macro",$H$5:$H$1000,"&gt;0"))/(COUNTIFS($S$5:$S$1000,$S118,$V$5:$V$1000,"Macro")*SUMIFS($H$5:$H$1000,$S$5:$S$1000,$S118,$V$5:$V$1000,"Macro")/COUNTIFS($S$5:$S$1000,$S118,$V$5:$V$1000,"Macro",$H$5:$H$1000,"&gt;0"))))</f>
        <v/>
      </c>
      <c r="AM118" s="62" t="n"/>
      <c r="AN118" s="62" t="n"/>
      <c r="AO118" s="62" t="n"/>
      <c r="AP118" s="62" t="n"/>
      <c r="AQ118" s="62">
        <f>IF(LEFT($C118,11)="[Jefatura] ",IFERROR(MATCH("Asistente Técnico de Riesgo|"&amp;MID($C118,12,500),rDname_ADM,0),0),"")</f>
        <v/>
      </c>
      <c r="AR118" s="62">
        <f>IF(N($AQ118)&gt;0,INDEX(rIni_ADM,$AQ118),IF(ISNUMBER($E118),$E118,""))</f>
        <v/>
      </c>
      <c r="AS118" s="62">
        <f>IF(N($AQ118)&gt;0,INDEX(rLim_ADM,$AQ118),IF(ISNUMBER($F118),$F118,""))</f>
        <v/>
      </c>
    </row>
    <row r="119">
      <c r="A119" s="56">
        <f>IF(NOT((COUNTA($B119:$D119)+COUNTA($G119:$H119)+COUNTA($Q119))&gt;0),"",IF($V119="Macro",COUNTIFS($V$5:$V119,"Macro",$S$5:$S119,$S119),IF(N($U119)=0,"?",COUNTIFS(INDEX($V$5:$V$1000,1):INDEX($V$5:$V$1000,$U119-4),"Macro",INDEX($S$5:$S$1000,1):INDEX($S$5:$S$1000,$U119-4),INDEX($S$5:$S$1000,$U119-4))&amp;"."&amp;COUNTIFS($U$5:$U119,$U119,$V$5:$V119,"Sub"))))</f>
        <v/>
      </c>
      <c r="B119" s="57" t="n"/>
      <c r="C119" s="58" t="n"/>
      <c r="D119" s="58" t="n"/>
      <c r="E119" s="59">
        <f>IF(N($AQ119)&gt;0,INDEX(rIni_ADM,$AQ119),"")</f>
        <v/>
      </c>
      <c r="F119" s="59">
        <f>IF(N($AQ119)&gt;0,INDEX(rLim_ADM,$AQ119),"")</f>
        <v/>
      </c>
      <c r="G119" s="59" t="n"/>
      <c r="H119" s="60" t="n"/>
      <c r="I119" s="60">
        <f>IF(N($W119)=0,"",IF(AND($S119=MesCiclo,1&gt;SemanaActual),"",MIN(1,SUMIFS(OFFSET($A$1,ROW(),29,1000-ROW(),1),OFFSET($A$1,ROW(),20,1000-ROW(),1),ROW(),OFFSET($A$1,ROW(),21,1000-ROW(),1),"Sub"))))</f>
        <v/>
      </c>
      <c r="J119" s="60">
        <f>IF(N($W119)=0,"",IF(AND($S119=MesCiclo,2&gt;SemanaActual),"",MIN(1,SUMIFS(OFFSET($A$1,ROW(),30,1000-ROW(),1),OFFSET($A$1,ROW(),20,1000-ROW(),1),ROW(),OFFSET($A$1,ROW(),21,1000-ROW(),1),"Sub"))))</f>
        <v/>
      </c>
      <c r="K119" s="60">
        <f>IF(N($W119)=0,"",IF(AND($S119=MesCiclo,3&gt;SemanaActual),"",MIN(1,SUMIFS(OFFSET($A$1,ROW(),31,1000-ROW(),1),OFFSET($A$1,ROW(),20,1000-ROW(),1),ROW(),OFFSET($A$1,ROW(),21,1000-ROW(),1),"Sub"))))</f>
        <v/>
      </c>
      <c r="L119" s="60">
        <f>IF(N($W119)=0,"",IF(AND($S119=MesCiclo,4&gt;SemanaActual),"",MIN(1,SUMIFS(OFFSET($A$1,ROW(),32,1000-ROW(),1),OFFSET($A$1,ROW(),20,1000-ROW(),1),ROW(),OFFSET($A$1,ROW(),21,1000-ROW(),1),"Sub"))))</f>
        <v/>
      </c>
      <c r="M119" s="61">
        <f>IF(OR(NOT((COUNTA($B119:$D119)+COUNTA($G119:$H119)+COUNTA($Q119))&gt;0),$V119="Sub"),"",IF(ISNUMBER($G119),1,IF(N($W119)&gt;0,MIN(1,SUMIFS($Y$5:$Y$1000,$U$5:$U$1000,ROW(),$V$5:$V$1000,"Sub")),$Y119)))</f>
        <v/>
      </c>
      <c r="N119" s="56">
        <f>IF(OR($M119="",$V119="Sub"),"",IF($M119&gt;=1,"Completado",IF($M119&gt;0,"En curso","Pendiente")))</f>
        <v/>
      </c>
      <c r="O119" s="56">
        <f>IF(OR(NOT((COUNTA($B119:$D119)+COUNTA($G119:$H119)+COUNTA($Q119))&gt;0),$V119="Sub"),"",IF(ISNUMBER($G119),IF(AND(ISNUMBER($AS119),$G119&gt;$AS119),"Cumplida con "&amp;($G119-$AS119)&amp;IF($G119-$AS119=1," día"," días")&amp;" de retraso","Cumplida"),IF(N($M119)&gt;=1,"Cumplida",IF(NOT(ISNUMBER($AS119)),"Sin fecha límite",IF($AS119&lt;FechaRef,"Vencida hace "&amp;(FechaRef-$AS119)&amp;IF(FechaRef-$AS119=1," día"," días"),IF($AS119=FechaRef,"Vence hoy",IF($AS119-FechaRef&lt;=DiasAlerta,"Vence en "&amp;($AS119-FechaRef)&amp;IF($AS119-FechaRef=1," día"," días"),"En plazo")))))))</f>
        <v/>
      </c>
      <c r="P119" s="62" t="n"/>
      <c r="Q119" s="58" t="n"/>
      <c r="R119" s="63">
        <f>IF(NOT((COUNTA($B119:$D119)+COUNTA($G119:$H119)+COUNTA($Q119))&gt;0),"",IF((IF($C119="","Falta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 OK","⚠ "&amp;LEFT(IF($C119="","Falta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",""),LEN(IF($C119="","Falta el nombre de la actividad"&amp;" · ","")&amp;IF(AND($V119="Sub",N($U119)=0),"Subactividad sin macroactividad arriba"&amp;" · ","")&amp;IF(AND($V119="Macro",$AR119=""),"Sin fecha de inicio"&amp;" · ","")&amp;IF(AND($V119="Macro",$AS119=""),"Sin fecha límite"&amp;" · ","")&amp;IF(AND(LEFT($C119,11)="[Jefatura] ",N($AQ119)=0),"No se encuentra en la hoja de la jefatura (elíjala de nuevo en la lista)"&amp;" · ","")&amp;IF(OR(AND($E119&lt;&gt;"",NOT(ISNUMBER($E119))),AND($F119&lt;&gt;"",NOT(ISNUMBER($F119))),AND($G119&lt;&gt;"",NOT(ISNUMBER($G119)))),"Fecha no válida"&amp;" · ","")&amp;IF(AND(ISNUMBER($AR119),ISNUMBER($AS119),$AR119&gt;$AS119),"Inicio posterior a fecha límite"&amp;" · ","")&amp;IF(AND($V119="Macro",$H119&lt;&gt;"",OR(NOT(ISNUMBER($H119)),$H119&lt;0,$H119&gt;1)),"Peso fuera de rango"&amp;" · ","")&amp;IF(AND($V119="Sub",$H119&lt;&gt;"",OR(NOT(ISNUMBER($H119)),$H119&lt;0,$H119&gt;1)),"% de la subactividad fuera de rango 0-100%"&amp;" · ","")&amp;IF(AND(N($W119)&gt;0,SUMIFS($H$5:$H$1000,$U$5:$U$1000,ROW(),$V$5:$V$1000,"Sub")&gt;1.0001),"Las subactividades suman más de 100%"&amp;" · ","")&amp;IF(AND(N($W119)&gt;0,OR(IF(ISNUMBER($I119),ROUND($I119,6)&lt;&gt;ROUND(MIN(1,SUMIFS($AD$5:$AD$1000,$U$5:$U$1000,ROW(),$V$5:$V$1000,"Sub")),6),FALSE),IF(ISNUMBER($J119),ROUND($J119,6)&lt;&gt;ROUND(MIN(1,SUMIFS($AE$5:$AE$1000,$U$5:$U$1000,ROW(),$V$5:$V$1000,"Sub")),6),FALSE),IF(ISNUMBER($K119),ROUND($K119,6)&lt;&gt;ROUND(MIN(1,SUMIFS($AF$5:$AF$1000,$U$5:$U$1000,ROW(),$V$5:$V$1000,"Sub")),6),FALSE),IF(ISNUMBER($L119),ROUND($L119,6)&lt;&gt;ROUND(MIN(1,SUMIFS($AG$5:$AG$1000,$U$5:$U$1000,ROW(),$V$5:$V$1000,"Sub")),6),FALSE))),"Con subactividades: no escriba en las semanas (se llenan solas)"&amp;" · ","")&amp;IF((COUNTIF($I119:$L119,"&gt;1")+COUNTIF($I119:$L119,"&lt;0")+SUMPRODUCT((LEN($I119:$L119)&gt;0)*NOT(ISNUMBER($I119:$L119))))&gt;0,"Avance fuera de rango 0-100%"&amp;" · ","")&amp;IF(OR(AND(ISNUMBER($J119),$J119&lt;N($I119)),AND(ISNUMBER($K119),$K119&lt;MAX($I119:$J119)),AND(ISNUMBER($L119),$L119&lt;MAX($I119:$K119))),"Avance semanal decreciente"&amp;" · ","")&amp;IF(AND(ISNUMBER($AS119),$AS119&lt;FechaRef,IF($V119="Sub",1,N($M119))&lt;1),"Vencida"&amp;" · ","")&amp;IF(AND(ObsObligatoria="Sí",ISNUMBER($AS119),$AS119&lt;FechaRef,IF($V119="Sub",1,N($M119))&lt;1,$Q119=""),"Vencida sin observación"&amp;" · ",""))-3)))</f>
        <v/>
      </c>
      <c r="S119" s="64">
        <f>IF(NOT((COUNTA($B119:$D119)+COUNTA($G119:$H119)+COUNTA($Q119))&gt;0),"",IF(AND($V119="Sub",N($U119)&gt;0),IF(ISNUMBER(INDEX($AR$5:$AR$1000,$U119-4)),DATE(YEAR(INDEX($AR$5:$AR$1000,$U119-4)),MONTH(INDEX($AR$5:$AR$1000,$U119-4)),1),IF(ISNUMBER(INDEX($AS$5:$AS$1000,$U119-4)),DATE(YEAR(INDEX($AS$5:$AS$1000,$U119-4)),MONTH(INDEX($AS$5:$AS$1000,$U119-4)),1),MesCiclo)),IF(ISNUMBER($AR119),DATE(YEAR($AR119),MONTH($AR119),1),IF(ISNUMBER($AS119),DATE(YEAR($AS119),MONTH($AS119),1),MesCiclo))))</f>
        <v/>
      </c>
      <c r="T119" s="62">
        <f>IF(OR($S119="",$S119&lt;&gt;MesCiclo,$V119&lt;&gt;"Macro"),"",COUNTIFS($S$5:$S119,MesCiclo,$V$5:$V119,"Macro"))</f>
        <v/>
      </c>
      <c r="U119" s="62">
        <f>IF($V119="","",IF($V119="Macro",ROW(),IFERROR(LOOKUP(2,1/($V$5:$V119="Macro"),ROW($V$5:$V119)),0)))</f>
        <v/>
      </c>
      <c r="V119" s="62">
        <f>IF(NOT((COUNTA($B119:$D119)+COUNTA($G119:$H119)+COUNTA($Q119))&gt;0),"",IF($B119="Subactividad","Sub","Macro"))</f>
        <v/>
      </c>
      <c r="W119" s="62">
        <f>IF($V119="Macro",COUNTIFS($U$5:$U$1000,ROW(),$V$5:$V$1000,"Sub"),"")</f>
        <v/>
      </c>
      <c r="X119" s="62">
        <f>IF($V119&lt;&gt;"Sub","",IF(AND(ISNUMBER($H119),N($H119)&gt;0),$H119,IFERROR(MAX(0,1-SUMIFS($H$5:$H$1000,$U$5:$U$1000,$U119,$V$5:$V$1000,"Sub"))/(COUNTIFS($U$5:$U$1000,$U119,$V$5:$V$1000,"Sub")-COUNTIFS($U$5:$U$1000,$U119,$V$5:$V$1000,"Sub",$H$5:$H$1000,"&gt;0")),0)))</f>
        <v/>
      </c>
      <c r="Y119" s="62">
        <f>IF($V119="","",IF($V119="Sub",N($X119)*IF(ISNUMBER($G119),1,MIN(1,MAX(0,IFERROR(LOOKUP(2,1/ISNUMBER($I119:$L119),$I119:$L119),0)))),IF(ISNUMBER($G119),1,IFERROR(LOOKUP(2,1/($I119:$L119&lt;&gt;""),$I119:$L119),0))))</f>
        <v/>
      </c>
      <c r="Z119" s="62">
        <f>IF($V119="","",IF(AND(ISNUMBER($G119),$G119&lt;=IF($S119=MesCiclo,InicioCiclo,$S119+MOD(2-WEEKDAY($S119),7))+6),1,IF(ISNUMBER($I119),$I119,0)))</f>
        <v/>
      </c>
      <c r="AA119" s="62">
        <f>IF($V119="","",IF(AND(ISNUMBER($G119),$G119&lt;=IF($S119=MesCiclo,InicioCiclo,$S119+MOD(2-WEEKDAY($S119),7))+13),1,IF(ISNUMBER($J119),$J119,$Z119)))</f>
        <v/>
      </c>
      <c r="AB119" s="62">
        <f>IF($V119="","",IF(AND(ISNUMBER($G119),$G119&lt;=IF($S119=MesCiclo,InicioCiclo,$S119+MOD(2-WEEKDAY($S119),7))+20),1,IF(ISNUMBER($K119),$K119,$AA119)))</f>
        <v/>
      </c>
      <c r="AC119" s="62">
        <f>IF($V119="","",IF(AND(ISNUMBER($G119),$G119&lt;=IF($S119=MesCiclo,InicioCiclo,$S119+MOD(2-WEEKDAY($S119),7))+27),1,IF(ISNUMBER($L119),$L119,$AB119)))</f>
        <v/>
      </c>
      <c r="AD119" s="62">
        <f>IF($V119&lt;&gt;"Sub","",N($X119)*IF(AND(ISNUMBER($G119),$G119&lt;=IF($S119=MesCiclo,InicioCiclo,$S119+MOD(2-WEEKDAY($S119),7))+6),1,MIN(1,MAX(0,IF(ISNUMBER(OFFSET($A$1,ROW()-1,8)),OFFSET($A$1,ROW()-1,8),0)))))</f>
        <v/>
      </c>
      <c r="AE119" s="62">
        <f>IF($V119&lt;&gt;"Sub","",N($X119)*IF(AND(ISNUMBER($G119),$G119&lt;=IF($S119=MesCiclo,InicioCiclo,$S119+MOD(2-WEEKDAY($S119),7))+13),1,MIN(1,MAX(0,IF(ISNUMBER(OFFSET($A$1,ROW()-1,9)),OFFSET($A$1,ROW()-1,9),IF(ISNUMBER(OFFSET($A$1,ROW()-1,8)),OFFSET($A$1,ROW()-1,8),0))))))</f>
        <v/>
      </c>
      <c r="AF119" s="62">
        <f>IF($V119&lt;&gt;"Sub","",N($X119)*IF(AND(ISNUMBER($G119),$G119&lt;=IF($S119=MesCiclo,InicioCiclo,$S119+MOD(2-WEEKDAY($S119),7))+20),1,MIN(1,MAX(0,IF(ISNUMBER(OFFSET($A$1,ROW()-1,10)),OFFSET($A$1,ROW()-1,10),IF(ISNUMBER(OFFSET($A$1,ROW()-1,9)),OFFSET($A$1,ROW()-1,9),IF(ISNUMBER(OFFSET($A$1,ROW()-1,8)),OFFSET($A$1,ROW()-1,8),0)))))))</f>
        <v/>
      </c>
      <c r="AG119" s="62">
        <f>IF($V119&lt;&gt;"Sub","",N($X119)*IF(AND(ISNUMBER($G119),$G119&lt;=IF($S119=MesCiclo,InicioCiclo,$S119+MOD(2-WEEKDAY($S119),7))+27),1,MIN(1,MAX(0,IF(ISNUMBER(OFFSET($A$1,ROW()-1,11)),OFFSET($A$1,ROW()-1,11),IF(ISNUMBER(OFFSET($A$1,ROW()-1,10)),OFFSET($A$1,ROW()-1,10),IF(ISNUMBER(OFFSET($A$1,ROW()-1,9)),OFFSET($A$1,ROW()-1,9),IF(ISNUMBER(OFFSET($A$1,ROW()-1,8)),OFFSET($A$1,ROW()-1,8),0))))))))</f>
        <v/>
      </c>
      <c r="AH119" s="62">
        <f>IF($V119="","",IF(AND(ISNUMBER($G119),$G119&lt;=IF($S119=MesCiclo,InicioCiclo,$S119+MOD(2-WEEKDAY($S119),7))+6),1,IF(N($W119)&gt;0,MIN(1,SUMIFS($AD$5:$AD$1000,$U$5:$U$1000,ROW(),$V$5:$V$1000,"Sub")),$Z119)))</f>
        <v/>
      </c>
      <c r="AI119" s="62">
        <f>IF($V119="","",IF(AND(ISNUMBER($G119),$G119&lt;=IF($S119=MesCiclo,InicioCiclo,$S119+MOD(2-WEEKDAY($S119),7))+13),1,IF(N($W119)&gt;0,MIN(1,SUMIFS($AE$5:$AE$1000,$U$5:$U$1000,ROW(),$V$5:$V$1000,"Sub")),$AA119)))</f>
        <v/>
      </c>
      <c r="AJ119" s="62">
        <f>IF($V119="","",IF(AND(ISNUMBER($G119),$G119&lt;=IF($S119=MesCiclo,InicioCiclo,$S119+MOD(2-WEEKDAY($S119),7))+20),1,IF(N($W119)&gt;0,MIN(1,SUMIFS($AF$5:$AF$1000,$U$5:$U$1000,ROW(),$V$5:$V$1000,"Sub")),$AB119)))</f>
        <v/>
      </c>
      <c r="AK119" s="62">
        <f>IF($V119="","",IF(AND(ISNUMBER($G119),$G119&lt;=IF($S119=MesCiclo,InicioCiclo,$S119+MOD(2-WEEKDAY($S119),7))+27),1,IF(N($W119)&gt;0,MIN(1,SUMIFS($AG$5:$AG$1000,$U$5:$U$1000,ROW(),$V$5:$V$1000,"Sub")),$AC119)))</f>
        <v/>
      </c>
      <c r="AL119" s="62">
        <f>IF($V119&lt;&gt;"Macro","",IF(COUNTIFS($S$5:$S$1000,$S119,$V$5:$V$1000,"Macro",$H$5:$H$1000,"&gt;0")=0,1/COUNTIFS($S$5:$S$1000,$S119,$V$5:$V$1000,"Macro"),IF(AND(ISNUMBER($H119),N($H119)&gt;0),$H119,SUMIFS($H$5:$H$1000,$S$5:$S$1000,$S119,$V$5:$V$1000,"Macro")/COUNTIFS($S$5:$S$1000,$S119,$V$5:$V$1000,"Macro",$H$5:$H$1000,"&gt;0"))/(COUNTIFS($S$5:$S$1000,$S119,$V$5:$V$1000,"Macro")*SUMIFS($H$5:$H$1000,$S$5:$S$1000,$S119,$V$5:$V$1000,"Macro")/COUNTIFS($S$5:$S$1000,$S119,$V$5:$V$1000,"Macro",$H$5:$H$1000,"&gt;0"))))</f>
        <v/>
      </c>
      <c r="AM119" s="62" t="n"/>
      <c r="AN119" s="62" t="n"/>
      <c r="AO119" s="62" t="n"/>
      <c r="AP119" s="62" t="n"/>
      <c r="AQ119" s="62">
        <f>IF(LEFT($C119,11)="[Jefatura] ",IFERROR(MATCH("Asistente Técnico de Riesgo|"&amp;MID($C119,12,500),rDname_ADM,0),0),"")</f>
        <v/>
      </c>
      <c r="AR119" s="62">
        <f>IF(N($AQ119)&gt;0,INDEX(rIni_ADM,$AQ119),IF(ISNUMBER($E119),$E119,""))</f>
        <v/>
      </c>
      <c r="AS119" s="62">
        <f>IF(N($AQ119)&gt;0,INDEX(rLim_ADM,$AQ119),IF(ISNUMBER($F119),$F119,""))</f>
        <v/>
      </c>
    </row>
    <row r="120">
      <c r="A120" s="56">
        <f>IF(NOT((COUNTA($B120:$D120)+COUNTA($G120:$H120)+COUNTA($Q120))&gt;0),"",IF($V120="Macro",COUNTIFS($V$5:$V120,"Macro",$S$5:$S120,$S120),IF(N($U120)=0,"?",COUNTIFS(INDEX($V$5:$V$1000,1):INDEX($V$5:$V$1000,$U120-4),"Macro",INDEX($S$5:$S$1000,1):INDEX($S$5:$S$1000,$U120-4),INDEX($S$5:$S$1000,$U120-4))&amp;"."&amp;COUNTIFS($U$5:$U120,$U120,$V$5:$V120,"Sub"))))</f>
        <v/>
      </c>
      <c r="B120" s="57" t="n"/>
      <c r="C120" s="58" t="n"/>
      <c r="D120" s="58" t="n"/>
      <c r="E120" s="59">
        <f>IF(N($AQ120)&gt;0,INDEX(rIni_ADM,$AQ120),"")</f>
        <v/>
      </c>
      <c r="F120" s="59">
        <f>IF(N($AQ120)&gt;0,INDEX(rLim_ADM,$AQ120),"")</f>
        <v/>
      </c>
      <c r="G120" s="59" t="n"/>
      <c r="H120" s="60" t="n"/>
      <c r="I120" s="60">
        <f>IF(N($W120)=0,"",IF(AND($S120=MesCiclo,1&gt;SemanaActual),"",MIN(1,SUMIFS(OFFSET($A$1,ROW(),29,1000-ROW(),1),OFFSET($A$1,ROW(),20,1000-ROW(),1),ROW(),OFFSET($A$1,ROW(),21,1000-ROW(),1),"Sub"))))</f>
        <v/>
      </c>
      <c r="J120" s="60">
        <f>IF(N($W120)=0,"",IF(AND($S120=MesCiclo,2&gt;SemanaActual),"",MIN(1,SUMIFS(OFFSET($A$1,ROW(),30,1000-ROW(),1),OFFSET($A$1,ROW(),20,1000-ROW(),1),ROW(),OFFSET($A$1,ROW(),21,1000-ROW(),1),"Sub"))))</f>
        <v/>
      </c>
      <c r="K120" s="60">
        <f>IF(N($W120)=0,"",IF(AND($S120=MesCiclo,3&gt;SemanaActual),"",MIN(1,SUMIFS(OFFSET($A$1,ROW(),31,1000-ROW(),1),OFFSET($A$1,ROW(),20,1000-ROW(),1),ROW(),OFFSET($A$1,ROW(),21,1000-ROW(),1),"Sub"))))</f>
        <v/>
      </c>
      <c r="L120" s="60">
        <f>IF(N($W120)=0,"",IF(AND($S120=MesCiclo,4&gt;SemanaActual),"",MIN(1,SUMIFS(OFFSET($A$1,ROW(),32,1000-ROW(),1),OFFSET($A$1,ROW(),20,1000-ROW(),1),ROW(),OFFSET($A$1,ROW(),21,1000-ROW(),1),"Sub"))))</f>
        <v/>
      </c>
      <c r="M120" s="61">
        <f>IF(OR(NOT((COUNTA($B120:$D120)+COUNTA($G120:$H120)+COUNTA($Q120))&gt;0),$V120="Sub"),"",IF(ISNUMBER($G120),1,IF(N($W120)&gt;0,MIN(1,SUMIFS($Y$5:$Y$1000,$U$5:$U$1000,ROW(),$V$5:$V$1000,"Sub")),$Y120)))</f>
        <v/>
      </c>
      <c r="N120" s="56">
        <f>IF(OR($M120="",$V120="Sub"),"",IF($M120&gt;=1,"Completado",IF($M120&gt;0,"En curso","Pendiente")))</f>
        <v/>
      </c>
      <c r="O120" s="56">
        <f>IF(OR(NOT((COUNTA($B120:$D120)+COUNTA($G120:$H120)+COUNTA($Q120))&gt;0),$V120="Sub"),"",IF(ISNUMBER($G120),IF(AND(ISNUMBER($AS120),$G120&gt;$AS120),"Cumplida con "&amp;($G120-$AS120)&amp;IF($G120-$AS120=1," día"," días")&amp;" de retraso","Cumplida"),IF(N($M120)&gt;=1,"Cumplida",IF(NOT(ISNUMBER($AS120)),"Sin fecha límite",IF($AS120&lt;FechaRef,"Vencida hace "&amp;(FechaRef-$AS120)&amp;IF(FechaRef-$AS120=1," día"," días"),IF($AS120=FechaRef,"Vence hoy",IF($AS120-FechaRef&lt;=DiasAlerta,"Vence en "&amp;($AS120-FechaRef)&amp;IF($AS120-FechaRef=1," día"," días"),"En plazo")))))))</f>
        <v/>
      </c>
      <c r="P120" s="62" t="n"/>
      <c r="Q120" s="58" t="n"/>
      <c r="R120" s="63">
        <f>IF(NOT((COUNTA($B120:$D120)+COUNTA($G120:$H120)+COUNTA($Q120))&gt;0),"",IF((IF($C120="","Falta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 OK","⚠ "&amp;LEFT(IF($C120="","Falta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",""),LEN(IF($C120="","Falta el nombre de la actividad"&amp;" · ","")&amp;IF(AND($V120="Sub",N($U120)=0),"Subactividad sin macroactividad arriba"&amp;" · ","")&amp;IF(AND($V120="Macro",$AR120=""),"Sin fecha de inicio"&amp;" · ","")&amp;IF(AND($V120="Macro",$AS120=""),"Sin fecha límite"&amp;" · ","")&amp;IF(AND(LEFT($C120,11)="[Jefatura] ",N($AQ120)=0),"No se encuentra en la hoja de la jefatura (elíjala de nuevo en la lista)"&amp;" · ","")&amp;IF(OR(AND($E120&lt;&gt;"",NOT(ISNUMBER($E120))),AND($F120&lt;&gt;"",NOT(ISNUMBER($F120))),AND($G120&lt;&gt;"",NOT(ISNUMBER($G120)))),"Fecha no válida"&amp;" · ","")&amp;IF(AND(ISNUMBER($AR120),ISNUMBER($AS120),$AR120&gt;$AS120),"Inicio posterior a fecha límite"&amp;" · ","")&amp;IF(AND($V120="Macro",$H120&lt;&gt;"",OR(NOT(ISNUMBER($H120)),$H120&lt;0,$H120&gt;1)),"Peso fuera de rango"&amp;" · ","")&amp;IF(AND($V120="Sub",$H120&lt;&gt;"",OR(NOT(ISNUMBER($H120)),$H120&lt;0,$H120&gt;1)),"% de la subactividad fuera de rango 0-100%"&amp;" · ","")&amp;IF(AND(N($W120)&gt;0,SUMIFS($H$5:$H$1000,$U$5:$U$1000,ROW(),$V$5:$V$1000,"Sub")&gt;1.0001),"Las subactividades suman más de 100%"&amp;" · ","")&amp;IF(AND(N($W120)&gt;0,OR(IF(ISNUMBER($I120),ROUND($I120,6)&lt;&gt;ROUND(MIN(1,SUMIFS($AD$5:$AD$1000,$U$5:$U$1000,ROW(),$V$5:$V$1000,"Sub")),6),FALSE),IF(ISNUMBER($J120),ROUND($J120,6)&lt;&gt;ROUND(MIN(1,SUMIFS($AE$5:$AE$1000,$U$5:$U$1000,ROW(),$V$5:$V$1000,"Sub")),6),FALSE),IF(ISNUMBER($K120),ROUND($K120,6)&lt;&gt;ROUND(MIN(1,SUMIFS($AF$5:$AF$1000,$U$5:$U$1000,ROW(),$V$5:$V$1000,"Sub")),6),FALSE),IF(ISNUMBER($L120),ROUND($L120,6)&lt;&gt;ROUND(MIN(1,SUMIFS($AG$5:$AG$1000,$U$5:$U$1000,ROW(),$V$5:$V$1000,"Sub")),6),FALSE))),"Con subactividades: no escriba en las semanas (se llenan solas)"&amp;" · ","")&amp;IF((COUNTIF($I120:$L120,"&gt;1")+COUNTIF($I120:$L120,"&lt;0")+SUMPRODUCT((LEN($I120:$L120)&gt;0)*NOT(ISNUMBER($I120:$L120))))&gt;0,"Avance fuera de rango 0-100%"&amp;" · ","")&amp;IF(OR(AND(ISNUMBER($J120),$J120&lt;N($I120)),AND(ISNUMBER($K120),$K120&lt;MAX($I120:$J120)),AND(ISNUMBER($L120),$L120&lt;MAX($I120:$K120))),"Avance semanal decreciente"&amp;" · ","")&amp;IF(AND(ISNUMBER($AS120),$AS120&lt;FechaRef,IF($V120="Sub",1,N($M120))&lt;1),"Vencida"&amp;" · ","")&amp;IF(AND(ObsObligatoria="Sí",ISNUMBER($AS120),$AS120&lt;FechaRef,IF($V120="Sub",1,N($M120))&lt;1,$Q120=""),"Vencida sin observación"&amp;" · ",""))-3)))</f>
        <v/>
      </c>
      <c r="S120" s="64">
        <f>IF(NOT((COUNTA($B120:$D120)+COUNTA($G120:$H120)+COUNTA($Q120))&gt;0),"",IF(AND($V120="Sub",N($U120)&gt;0),IF(ISNUMBER(INDEX($AR$5:$AR$1000,$U120-4)),DATE(YEAR(INDEX($AR$5:$AR$1000,$U120-4)),MONTH(INDEX($AR$5:$AR$1000,$U120-4)),1),IF(ISNUMBER(INDEX($AS$5:$AS$1000,$U120-4)),DATE(YEAR(INDEX($AS$5:$AS$1000,$U120-4)),MONTH(INDEX($AS$5:$AS$1000,$U120-4)),1),MesCiclo)),IF(ISNUMBER($AR120),DATE(YEAR($AR120),MONTH($AR120),1),IF(ISNUMBER($AS120),DATE(YEAR($AS120),MONTH($AS120),1),MesCiclo))))</f>
        <v/>
      </c>
      <c r="T120" s="62">
        <f>IF(OR($S120="",$S120&lt;&gt;MesCiclo,$V120&lt;&gt;"Macro"),"",COUNTIFS($S$5:$S120,MesCiclo,$V$5:$V120,"Macro"))</f>
        <v/>
      </c>
      <c r="U120" s="62">
        <f>IF($V120="","",IF($V120="Macro",ROW(),IFERROR(LOOKUP(2,1/($V$5:$V120="Macro"),ROW($V$5:$V120)),0)))</f>
        <v/>
      </c>
      <c r="V120" s="62">
        <f>IF(NOT((COUNTA($B120:$D120)+COUNTA($G120:$H120)+COUNTA($Q120))&gt;0),"",IF($B120="Subactividad","Sub","Macro"))</f>
        <v/>
      </c>
      <c r="W120" s="62">
        <f>IF($V120="Macro",COUNTIFS($U$5:$U$1000,ROW(),$V$5:$V$1000,"Sub"),"")</f>
        <v/>
      </c>
      <c r="X120" s="62">
        <f>IF($V120&lt;&gt;"Sub","",IF(AND(ISNUMBER($H120),N($H120)&gt;0),$H120,IFERROR(MAX(0,1-SUMIFS($H$5:$H$1000,$U$5:$U$1000,$U120,$V$5:$V$1000,"Sub"))/(COUNTIFS($U$5:$U$1000,$U120,$V$5:$V$1000,"Sub")-COUNTIFS($U$5:$U$1000,$U120,$V$5:$V$1000,"Sub",$H$5:$H$1000,"&gt;0")),0)))</f>
        <v/>
      </c>
      <c r="Y120" s="62">
        <f>IF($V120="","",IF($V120="Sub",N($X120)*IF(ISNUMBER($G120),1,MIN(1,MAX(0,IFERROR(LOOKUP(2,1/ISNUMBER($I120:$L120),$I120:$L120),0)))),IF(ISNUMBER($G120),1,IFERROR(LOOKUP(2,1/($I120:$L120&lt;&gt;""),$I120:$L120),0))))</f>
        <v/>
      </c>
      <c r="Z120" s="62">
        <f>IF($V120="","",IF(AND(ISNUMBER($G120),$G120&lt;=IF($S120=MesCiclo,InicioCiclo,$S120+MOD(2-WEEKDAY($S120),7))+6),1,IF(ISNUMBER($I120),$I120,0)))</f>
        <v/>
      </c>
      <c r="AA120" s="62">
        <f>IF($V120="","",IF(AND(ISNUMBER($G120),$G120&lt;=IF($S120=MesCiclo,InicioCiclo,$S120+MOD(2-WEEKDAY($S120),7))+13),1,IF(ISNUMBER($J120),$J120,$Z120)))</f>
        <v/>
      </c>
      <c r="AB120" s="62">
        <f>IF($V120="","",IF(AND(ISNUMBER($G120),$G120&lt;=IF($S120=MesCiclo,InicioCiclo,$S120+MOD(2-WEEKDAY($S120),7))+20),1,IF(ISNUMBER($K120),$K120,$AA120)))</f>
        <v/>
      </c>
      <c r="AC120" s="62">
        <f>IF($V120="","",IF(AND(ISNUMBER($G120),$G120&lt;=IF($S120=MesCiclo,InicioCiclo,$S120+MOD(2-WEEKDAY($S120),7))+27),1,IF(ISNUMBER($L120),$L120,$AB120)))</f>
        <v/>
      </c>
      <c r="AD120" s="62">
        <f>IF($V120&lt;&gt;"Sub","",N($X120)*IF(AND(ISNUMBER($G120),$G120&lt;=IF($S120=MesCiclo,InicioCiclo,$S120+MOD(2-WEEKDAY($S120),7))+6),1,MIN(1,MAX(0,IF(ISNUMBER(OFFSET($A$1,ROW()-1,8)),OFFSET($A$1,ROW()-1,8),0)))))</f>
        <v/>
      </c>
      <c r="AE120" s="62">
        <f>IF($V120&lt;&gt;"Sub","",N($X120)*IF(AND(ISNUMBER($G120),$G120&lt;=IF($S120=MesCiclo,InicioCiclo,$S120+MOD(2-WEEKDAY($S120),7))+13),1,MIN(1,MAX(0,IF(ISNUMBER(OFFSET($A$1,ROW()-1,9)),OFFSET($A$1,ROW()-1,9),IF(ISNUMBER(OFFSET($A$1,ROW()-1,8)),OFFSET($A$1,ROW()-1,8),0))))))</f>
        <v/>
      </c>
      <c r="AF120" s="62">
        <f>IF($V120&lt;&gt;"Sub","",N($X120)*IF(AND(ISNUMBER($G120),$G120&lt;=IF($S120=MesCiclo,InicioCiclo,$S120+MOD(2-WEEKDAY($S120),7))+20),1,MIN(1,MAX(0,IF(ISNUMBER(OFFSET($A$1,ROW()-1,10)),OFFSET($A$1,ROW()-1,10),IF(ISNUMBER(OFFSET($A$1,ROW()-1,9)),OFFSET($A$1,ROW()-1,9),IF(ISNUMBER(OFFSET($A$1,ROW()-1,8)),OFFSET($A$1,ROW()-1,8),0)))))))</f>
        <v/>
      </c>
      <c r="AG120" s="62">
        <f>IF($V120&lt;&gt;"Sub","",N($X120)*IF(AND(ISNUMBER($G120),$G120&lt;=IF($S120=MesCiclo,InicioCiclo,$S120+MOD(2-WEEKDAY($S120),7))+27),1,MIN(1,MAX(0,IF(ISNUMBER(OFFSET($A$1,ROW()-1,11)),OFFSET($A$1,ROW()-1,11),IF(ISNUMBER(OFFSET($A$1,ROW()-1,10)),OFFSET($A$1,ROW()-1,10),IF(ISNUMBER(OFFSET($A$1,ROW()-1,9)),OFFSET($A$1,ROW()-1,9),IF(ISNUMBER(OFFSET($A$1,ROW()-1,8)),OFFSET($A$1,ROW()-1,8),0))))))))</f>
        <v/>
      </c>
      <c r="AH120" s="62">
        <f>IF($V120="","",IF(AND(ISNUMBER($G120),$G120&lt;=IF($S120=MesCiclo,InicioCiclo,$S120+MOD(2-WEEKDAY($S120),7))+6),1,IF(N($W120)&gt;0,MIN(1,SUMIFS($AD$5:$AD$1000,$U$5:$U$1000,ROW(),$V$5:$V$1000,"Sub")),$Z120)))</f>
        <v/>
      </c>
      <c r="AI120" s="62">
        <f>IF($V120="","",IF(AND(ISNUMBER($G120),$G120&lt;=IF($S120=MesCiclo,InicioCiclo,$S120+MOD(2-WEEKDAY($S120),7))+13),1,IF(N($W120)&gt;0,MIN(1,SUMIFS($AE$5:$AE$1000,$U$5:$U$1000,ROW(),$V$5:$V$1000,"Sub")),$AA120)))</f>
        <v/>
      </c>
      <c r="AJ120" s="62">
        <f>IF($V120="","",IF(AND(ISNUMBER($G120),$G120&lt;=IF($S120=MesCiclo,InicioCiclo,$S120+MOD(2-WEEKDAY($S120),7))+20),1,IF(N($W120)&gt;0,MIN(1,SUMIFS($AF$5:$AF$1000,$U$5:$U$1000,ROW(),$V$5:$V$1000,"Sub")),$AB120)))</f>
        <v/>
      </c>
      <c r="AK120" s="62">
        <f>IF($V120="","",IF(AND(ISNUMBER($G120),$G120&lt;=IF($S120=MesCiclo,InicioCiclo,$S120+MOD(2-WEEKDAY($S120),7))+27),1,IF(N($W120)&gt;0,MIN(1,SUMIFS($AG$5:$AG$1000,$U$5:$U$1000,ROW(),$V$5:$V$1000,"Sub")),$AC120)))</f>
        <v/>
      </c>
      <c r="AL120" s="62">
        <f>IF($V120&lt;&gt;"Macro","",IF(COUNTIFS($S$5:$S$1000,$S120,$V$5:$V$1000,"Macro",$H$5:$H$1000,"&gt;0")=0,1/COUNTIFS($S$5:$S$1000,$S120,$V$5:$V$1000,"Macro"),IF(AND(ISNUMBER($H120),N($H120)&gt;0),$H120,SUMIFS($H$5:$H$1000,$S$5:$S$1000,$S120,$V$5:$V$1000,"Macro")/COUNTIFS($S$5:$S$1000,$S120,$V$5:$V$1000,"Macro",$H$5:$H$1000,"&gt;0"))/(COUNTIFS($S$5:$S$1000,$S120,$V$5:$V$1000,"Macro")*SUMIFS($H$5:$H$1000,$S$5:$S$1000,$S120,$V$5:$V$1000,"Macro")/COUNTIFS($S$5:$S$1000,$S120,$V$5:$V$1000,"Macro",$H$5:$H$1000,"&gt;0"))))</f>
        <v/>
      </c>
      <c r="AM120" s="62" t="n"/>
      <c r="AN120" s="62" t="n"/>
      <c r="AO120" s="62" t="n"/>
      <c r="AP120" s="62" t="n"/>
      <c r="AQ120" s="62">
        <f>IF(LEFT($C120,11)="[Jefatura] ",IFERROR(MATCH("Asistente Técnico de Riesgo|"&amp;MID($C120,12,500),rDname_ADM,0),0),"")</f>
        <v/>
      </c>
      <c r="AR120" s="62">
        <f>IF(N($AQ120)&gt;0,INDEX(rIni_ADM,$AQ120),IF(ISNUMBER($E120),$E120,""))</f>
        <v/>
      </c>
      <c r="AS120" s="62">
        <f>IF(N($AQ120)&gt;0,INDEX(rLim_ADM,$AQ120),IF(ISNUMBER($F120),$F120,""))</f>
        <v/>
      </c>
    </row>
    <row r="121">
      <c r="A121" s="56">
        <f>IF(NOT((COUNTA($B121:$D121)+COUNTA($G121:$H121)+COUNTA($Q121))&gt;0),"",IF($V121="Macro",COUNTIFS($V$5:$V121,"Macro",$S$5:$S121,$S121),IF(N($U121)=0,"?",COUNTIFS(INDEX($V$5:$V$1000,1):INDEX($V$5:$V$1000,$U121-4),"Macro",INDEX($S$5:$S$1000,1):INDEX($S$5:$S$1000,$U121-4),INDEX($S$5:$S$1000,$U121-4))&amp;"."&amp;COUNTIFS($U$5:$U121,$U121,$V$5:$V121,"Sub"))))</f>
        <v/>
      </c>
      <c r="B121" s="57" t="n"/>
      <c r="C121" s="58" t="n"/>
      <c r="D121" s="58" t="n"/>
      <c r="E121" s="59">
        <f>IF(N($AQ121)&gt;0,INDEX(rIni_ADM,$AQ121),"")</f>
        <v/>
      </c>
      <c r="F121" s="59">
        <f>IF(N($AQ121)&gt;0,INDEX(rLim_ADM,$AQ121),"")</f>
        <v/>
      </c>
      <c r="G121" s="59" t="n"/>
      <c r="H121" s="60" t="n"/>
      <c r="I121" s="60">
        <f>IF(N($W121)=0,"",IF(AND($S121=MesCiclo,1&gt;SemanaActual),"",MIN(1,SUMIFS(OFFSET($A$1,ROW(),29,1000-ROW(),1),OFFSET($A$1,ROW(),20,1000-ROW(),1),ROW(),OFFSET($A$1,ROW(),21,1000-ROW(),1),"Sub"))))</f>
        <v/>
      </c>
      <c r="J121" s="60">
        <f>IF(N($W121)=0,"",IF(AND($S121=MesCiclo,2&gt;SemanaActual),"",MIN(1,SUMIFS(OFFSET($A$1,ROW(),30,1000-ROW(),1),OFFSET($A$1,ROW(),20,1000-ROW(),1),ROW(),OFFSET($A$1,ROW(),21,1000-ROW(),1),"Sub"))))</f>
        <v/>
      </c>
      <c r="K121" s="60">
        <f>IF(N($W121)=0,"",IF(AND($S121=MesCiclo,3&gt;SemanaActual),"",MIN(1,SUMIFS(OFFSET($A$1,ROW(),31,1000-ROW(),1),OFFSET($A$1,ROW(),20,1000-ROW(),1),ROW(),OFFSET($A$1,ROW(),21,1000-ROW(),1),"Sub"))))</f>
        <v/>
      </c>
      <c r="L121" s="60">
        <f>IF(N($W121)=0,"",IF(AND($S121=MesCiclo,4&gt;SemanaActual),"",MIN(1,SUMIFS(OFFSET($A$1,ROW(),32,1000-ROW(),1),OFFSET($A$1,ROW(),20,1000-ROW(),1),ROW(),OFFSET($A$1,ROW(),21,1000-ROW(),1),"Sub"))))</f>
        <v/>
      </c>
      <c r="M121" s="61">
        <f>IF(OR(NOT((COUNTA($B121:$D121)+COUNTA($G121:$H121)+COUNTA($Q121))&gt;0),$V121="Sub"),"",IF(ISNUMBER($G121),1,IF(N($W121)&gt;0,MIN(1,SUMIFS($Y$5:$Y$1000,$U$5:$U$1000,ROW(),$V$5:$V$1000,"Sub")),$Y121)))</f>
        <v/>
      </c>
      <c r="N121" s="56">
        <f>IF(OR($M121="",$V121="Sub"),"",IF($M121&gt;=1,"Completado",IF($M121&gt;0,"En curso","Pendiente")))</f>
        <v/>
      </c>
      <c r="O121" s="56">
        <f>IF(OR(NOT((COUNTA($B121:$D121)+COUNTA($G121:$H121)+COUNTA($Q121))&gt;0),$V121="Sub"),"",IF(ISNUMBER($G121),IF(AND(ISNUMBER($AS121),$G121&gt;$AS121),"Cumplida con "&amp;($G121-$AS121)&amp;IF($G121-$AS121=1," día"," días")&amp;" de retraso","Cumplida"),IF(N($M121)&gt;=1,"Cumplida",IF(NOT(ISNUMBER($AS121)),"Sin fecha límite",IF($AS121&lt;FechaRef,"Vencida hace "&amp;(FechaRef-$AS121)&amp;IF(FechaRef-$AS121=1," día"," días"),IF($AS121=FechaRef,"Vence hoy",IF($AS121-FechaRef&lt;=DiasAlerta,"Vence en "&amp;($AS121-FechaRef)&amp;IF($AS121-FechaRef=1," día"," días"),"En plazo")))))))</f>
        <v/>
      </c>
      <c r="P121" s="62" t="n"/>
      <c r="Q121" s="58" t="n"/>
      <c r="R121" s="63">
        <f>IF(NOT((COUNTA($B121:$D121)+COUNTA($G121:$H121)+COUNTA($Q121))&gt;0),"",IF((IF($C121="","Falta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 OK","⚠ "&amp;LEFT(IF($C121="","Falta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",""),LEN(IF($C121="","Falta el nombre de la actividad"&amp;" · ","")&amp;IF(AND($V121="Sub",N($U121)=0),"Subactividad sin macroactividad arriba"&amp;" · ","")&amp;IF(AND($V121="Macro",$AR121=""),"Sin fecha de inicio"&amp;" · ","")&amp;IF(AND($V121="Macro",$AS121=""),"Sin fecha límite"&amp;" · ","")&amp;IF(AND(LEFT($C121,11)="[Jefatura] ",N($AQ121)=0),"No se encuentra en la hoja de la jefatura (elíjala de nuevo en la lista)"&amp;" · ","")&amp;IF(OR(AND($E121&lt;&gt;"",NOT(ISNUMBER($E121))),AND($F121&lt;&gt;"",NOT(ISNUMBER($F121))),AND($G121&lt;&gt;"",NOT(ISNUMBER($G121)))),"Fecha no válida"&amp;" · ","")&amp;IF(AND(ISNUMBER($AR121),ISNUMBER($AS121),$AR121&gt;$AS121),"Inicio posterior a fecha límite"&amp;" · ","")&amp;IF(AND($V121="Macro",$H121&lt;&gt;"",OR(NOT(ISNUMBER($H121)),$H121&lt;0,$H121&gt;1)),"Peso fuera de rango"&amp;" · ","")&amp;IF(AND($V121="Sub",$H121&lt;&gt;"",OR(NOT(ISNUMBER($H121)),$H121&lt;0,$H121&gt;1)),"% de la subactividad fuera de rango 0-100%"&amp;" · ","")&amp;IF(AND(N($W121)&gt;0,SUMIFS($H$5:$H$1000,$U$5:$U$1000,ROW(),$V$5:$V$1000,"Sub")&gt;1.0001),"Las subactividades suman más de 100%"&amp;" · ","")&amp;IF(AND(N($W121)&gt;0,OR(IF(ISNUMBER($I121),ROUND($I121,6)&lt;&gt;ROUND(MIN(1,SUMIFS($AD$5:$AD$1000,$U$5:$U$1000,ROW(),$V$5:$V$1000,"Sub")),6),FALSE),IF(ISNUMBER($J121),ROUND($J121,6)&lt;&gt;ROUND(MIN(1,SUMIFS($AE$5:$AE$1000,$U$5:$U$1000,ROW(),$V$5:$V$1000,"Sub")),6),FALSE),IF(ISNUMBER($K121),ROUND($K121,6)&lt;&gt;ROUND(MIN(1,SUMIFS($AF$5:$AF$1000,$U$5:$U$1000,ROW(),$V$5:$V$1000,"Sub")),6),FALSE),IF(ISNUMBER($L121),ROUND($L121,6)&lt;&gt;ROUND(MIN(1,SUMIFS($AG$5:$AG$1000,$U$5:$U$1000,ROW(),$V$5:$V$1000,"Sub")),6),FALSE))),"Con subactividades: no escriba en las semanas (se llenan solas)"&amp;" · ","")&amp;IF((COUNTIF($I121:$L121,"&gt;1")+COUNTIF($I121:$L121,"&lt;0")+SUMPRODUCT((LEN($I121:$L121)&gt;0)*NOT(ISNUMBER($I121:$L121))))&gt;0,"Avance fuera de rango 0-100%"&amp;" · ","")&amp;IF(OR(AND(ISNUMBER($J121),$J121&lt;N($I121)),AND(ISNUMBER($K121),$K121&lt;MAX($I121:$J121)),AND(ISNUMBER($L121),$L121&lt;MAX($I121:$K121))),"Avance semanal decreciente"&amp;" · ","")&amp;IF(AND(ISNUMBER($AS121),$AS121&lt;FechaRef,IF($V121="Sub",1,N($M121))&lt;1),"Vencida"&amp;" · ","")&amp;IF(AND(ObsObligatoria="Sí",ISNUMBER($AS121),$AS121&lt;FechaRef,IF($V121="Sub",1,N($M121))&lt;1,$Q121=""),"Vencida sin observación"&amp;" · ",""))-3)))</f>
        <v/>
      </c>
      <c r="S121" s="64">
        <f>IF(NOT((COUNTA($B121:$D121)+COUNTA($G121:$H121)+COUNTA($Q121))&gt;0),"",IF(AND($V121="Sub",N($U121)&gt;0),IF(ISNUMBER(INDEX($AR$5:$AR$1000,$U121-4)),DATE(YEAR(INDEX($AR$5:$AR$1000,$U121-4)),MONTH(INDEX($AR$5:$AR$1000,$U121-4)),1),IF(ISNUMBER(INDEX($AS$5:$AS$1000,$U121-4)),DATE(YEAR(INDEX($AS$5:$AS$1000,$U121-4)),MONTH(INDEX($AS$5:$AS$1000,$U121-4)),1),MesCiclo)),IF(ISNUMBER($AR121),DATE(YEAR($AR121),MONTH($AR121),1),IF(ISNUMBER($AS121),DATE(YEAR($AS121),MONTH($AS121),1),MesCiclo))))</f>
        <v/>
      </c>
      <c r="T121" s="62">
        <f>IF(OR($S121="",$S121&lt;&gt;MesCiclo,$V121&lt;&gt;"Macro"),"",COUNTIFS($S$5:$S121,MesCiclo,$V$5:$V121,"Macro"))</f>
        <v/>
      </c>
      <c r="U121" s="62">
        <f>IF($V121="","",IF($V121="Macro",ROW(),IFERROR(LOOKUP(2,1/($V$5:$V121="Macro"),ROW($V$5:$V121)),0)))</f>
        <v/>
      </c>
      <c r="V121" s="62">
        <f>IF(NOT((COUNTA($B121:$D121)+COUNTA($G121:$H121)+COUNTA($Q121))&gt;0),"",IF($B121="Subactividad","Sub","Macro"))</f>
        <v/>
      </c>
      <c r="W121" s="62">
        <f>IF($V121="Macro",COUNTIFS($U$5:$U$1000,ROW(),$V$5:$V$1000,"Sub"),"")</f>
        <v/>
      </c>
      <c r="X121" s="62">
        <f>IF($V121&lt;&gt;"Sub","",IF(AND(ISNUMBER($H121),N($H121)&gt;0),$H121,IFERROR(MAX(0,1-SUMIFS($H$5:$H$1000,$U$5:$U$1000,$U121,$V$5:$V$1000,"Sub"))/(COUNTIFS($U$5:$U$1000,$U121,$V$5:$V$1000,"Sub")-COUNTIFS($U$5:$U$1000,$U121,$V$5:$V$1000,"Sub",$H$5:$H$1000,"&gt;0")),0)))</f>
        <v/>
      </c>
      <c r="Y121" s="62">
        <f>IF($V121="","",IF($V121="Sub",N($X121)*IF(ISNUMBER($G121),1,MIN(1,MAX(0,IFERROR(LOOKUP(2,1/ISNUMBER($I121:$L121),$I121:$L121),0)))),IF(ISNUMBER($G121),1,IFERROR(LOOKUP(2,1/($I121:$L121&lt;&gt;""),$I121:$L121),0))))</f>
        <v/>
      </c>
      <c r="Z121" s="62">
        <f>IF($V121="","",IF(AND(ISNUMBER($G121),$G121&lt;=IF($S121=MesCiclo,InicioCiclo,$S121+MOD(2-WEEKDAY($S121),7))+6),1,IF(ISNUMBER($I121),$I121,0)))</f>
        <v/>
      </c>
      <c r="AA121" s="62">
        <f>IF($V121="","",IF(AND(ISNUMBER($G121),$G121&lt;=IF($S121=MesCiclo,InicioCiclo,$S121+MOD(2-WEEKDAY($S121),7))+13),1,IF(ISNUMBER($J121),$J121,$Z121)))</f>
        <v/>
      </c>
      <c r="AB121" s="62">
        <f>IF($V121="","",IF(AND(ISNUMBER($G121),$G121&lt;=IF($S121=MesCiclo,InicioCiclo,$S121+MOD(2-WEEKDAY($S121),7))+20),1,IF(ISNUMBER($K121),$K121,$AA121)))</f>
        <v/>
      </c>
      <c r="AC121" s="62">
        <f>IF($V121="","",IF(AND(ISNUMBER($G121),$G121&lt;=IF($S121=MesCiclo,InicioCiclo,$S121+MOD(2-WEEKDAY($S121),7))+27),1,IF(ISNUMBER($L121),$L121,$AB121)))</f>
        <v/>
      </c>
      <c r="AD121" s="62">
        <f>IF($V121&lt;&gt;"Sub","",N($X121)*IF(AND(ISNUMBER($G121),$G121&lt;=IF($S121=MesCiclo,InicioCiclo,$S121+MOD(2-WEEKDAY($S121),7))+6),1,MIN(1,MAX(0,IF(ISNUMBER(OFFSET($A$1,ROW()-1,8)),OFFSET($A$1,ROW()-1,8),0)))))</f>
        <v/>
      </c>
      <c r="AE121" s="62">
        <f>IF($V121&lt;&gt;"Sub","",N($X121)*IF(AND(ISNUMBER($G121),$G121&lt;=IF($S121=MesCiclo,InicioCiclo,$S121+MOD(2-WEEKDAY($S121),7))+13),1,MIN(1,MAX(0,IF(ISNUMBER(OFFSET($A$1,ROW()-1,9)),OFFSET($A$1,ROW()-1,9),IF(ISNUMBER(OFFSET($A$1,ROW()-1,8)),OFFSET($A$1,ROW()-1,8),0))))))</f>
        <v/>
      </c>
      <c r="AF121" s="62">
        <f>IF($V121&lt;&gt;"Sub","",N($X121)*IF(AND(ISNUMBER($G121),$G121&lt;=IF($S121=MesCiclo,InicioCiclo,$S121+MOD(2-WEEKDAY($S121),7))+20),1,MIN(1,MAX(0,IF(ISNUMBER(OFFSET($A$1,ROW()-1,10)),OFFSET($A$1,ROW()-1,10),IF(ISNUMBER(OFFSET($A$1,ROW()-1,9)),OFFSET($A$1,ROW()-1,9),IF(ISNUMBER(OFFSET($A$1,ROW()-1,8)),OFFSET($A$1,ROW()-1,8),0)))))))</f>
        <v/>
      </c>
      <c r="AG121" s="62">
        <f>IF($V121&lt;&gt;"Sub","",N($X121)*IF(AND(ISNUMBER($G121),$G121&lt;=IF($S121=MesCiclo,InicioCiclo,$S121+MOD(2-WEEKDAY($S121),7))+27),1,MIN(1,MAX(0,IF(ISNUMBER(OFFSET($A$1,ROW()-1,11)),OFFSET($A$1,ROW()-1,11),IF(ISNUMBER(OFFSET($A$1,ROW()-1,10)),OFFSET($A$1,ROW()-1,10),IF(ISNUMBER(OFFSET($A$1,ROW()-1,9)),OFFSET($A$1,ROW()-1,9),IF(ISNUMBER(OFFSET($A$1,ROW()-1,8)),OFFSET($A$1,ROW()-1,8),0))))))))</f>
        <v/>
      </c>
      <c r="AH121" s="62">
        <f>IF($V121="","",IF(AND(ISNUMBER($G121),$G121&lt;=IF($S121=MesCiclo,InicioCiclo,$S121+MOD(2-WEEKDAY($S121),7))+6),1,IF(N($W121)&gt;0,MIN(1,SUMIFS($AD$5:$AD$1000,$U$5:$U$1000,ROW(),$V$5:$V$1000,"Sub")),$Z121)))</f>
        <v/>
      </c>
      <c r="AI121" s="62">
        <f>IF($V121="","",IF(AND(ISNUMBER($G121),$G121&lt;=IF($S121=MesCiclo,InicioCiclo,$S121+MOD(2-WEEKDAY($S121),7))+13),1,IF(N($W121)&gt;0,MIN(1,SUMIFS($AE$5:$AE$1000,$U$5:$U$1000,ROW(),$V$5:$V$1000,"Sub")),$AA121)))</f>
        <v/>
      </c>
      <c r="AJ121" s="62">
        <f>IF($V121="","",IF(AND(ISNUMBER($G121),$G121&lt;=IF($S121=MesCiclo,InicioCiclo,$S121+MOD(2-WEEKDAY($S121),7))+20),1,IF(N($W121)&gt;0,MIN(1,SUMIFS($AF$5:$AF$1000,$U$5:$U$1000,ROW(),$V$5:$V$1000,"Sub")),$AB121)))</f>
        <v/>
      </c>
      <c r="AK121" s="62">
        <f>IF($V121="","",IF(AND(ISNUMBER($G121),$G121&lt;=IF($S121=MesCiclo,InicioCiclo,$S121+MOD(2-WEEKDAY($S121),7))+27),1,IF(N($W121)&gt;0,MIN(1,SUMIFS($AG$5:$AG$1000,$U$5:$U$1000,ROW(),$V$5:$V$1000,"Sub")),$AC121)))</f>
        <v/>
      </c>
      <c r="AL121" s="62">
        <f>IF($V121&lt;&gt;"Macro","",IF(COUNTIFS($S$5:$S$1000,$S121,$V$5:$V$1000,"Macro",$H$5:$H$1000,"&gt;0")=0,1/COUNTIFS($S$5:$S$1000,$S121,$V$5:$V$1000,"Macro"),IF(AND(ISNUMBER($H121),N($H121)&gt;0),$H121,SUMIFS($H$5:$H$1000,$S$5:$S$1000,$S121,$V$5:$V$1000,"Macro")/COUNTIFS($S$5:$S$1000,$S121,$V$5:$V$1000,"Macro",$H$5:$H$1000,"&gt;0"))/(COUNTIFS($S$5:$S$1000,$S121,$V$5:$V$1000,"Macro")*SUMIFS($H$5:$H$1000,$S$5:$S$1000,$S121,$V$5:$V$1000,"Macro")/COUNTIFS($S$5:$S$1000,$S121,$V$5:$V$1000,"Macro",$H$5:$H$1000,"&gt;0"))))</f>
        <v/>
      </c>
      <c r="AM121" s="62" t="n"/>
      <c r="AN121" s="62" t="n"/>
      <c r="AO121" s="62" t="n"/>
      <c r="AP121" s="62" t="n"/>
      <c r="AQ121" s="62">
        <f>IF(LEFT($C121,11)="[Jefatura] ",IFERROR(MATCH("Asistente Técnico de Riesgo|"&amp;MID($C121,12,500),rDname_ADM,0),0),"")</f>
        <v/>
      </c>
      <c r="AR121" s="62">
        <f>IF(N($AQ121)&gt;0,INDEX(rIni_ADM,$AQ121),IF(ISNUMBER($E121),$E121,""))</f>
        <v/>
      </c>
      <c r="AS121" s="62">
        <f>IF(N($AQ121)&gt;0,INDEX(rLim_ADM,$AQ121),IF(ISNUMBER($F121),$F121,""))</f>
        <v/>
      </c>
    </row>
    <row r="122">
      <c r="A122" s="56">
        <f>IF(NOT((COUNTA($B122:$D122)+COUNTA($G122:$H122)+COUNTA($Q122))&gt;0),"",IF($V122="Macro",COUNTIFS($V$5:$V122,"Macro",$S$5:$S122,$S122),IF(N($U122)=0,"?",COUNTIFS(INDEX($V$5:$V$1000,1):INDEX($V$5:$V$1000,$U122-4),"Macro",INDEX($S$5:$S$1000,1):INDEX($S$5:$S$1000,$U122-4),INDEX($S$5:$S$1000,$U122-4))&amp;"."&amp;COUNTIFS($U$5:$U122,$U122,$V$5:$V122,"Sub"))))</f>
        <v/>
      </c>
      <c r="B122" s="57" t="n"/>
      <c r="C122" s="58" t="n"/>
      <c r="D122" s="58" t="n"/>
      <c r="E122" s="59">
        <f>IF(N($AQ122)&gt;0,INDEX(rIni_ADM,$AQ122),"")</f>
        <v/>
      </c>
      <c r="F122" s="59">
        <f>IF(N($AQ122)&gt;0,INDEX(rLim_ADM,$AQ122),"")</f>
        <v/>
      </c>
      <c r="G122" s="59" t="n"/>
      <c r="H122" s="60" t="n"/>
      <c r="I122" s="60">
        <f>IF(N($W122)=0,"",IF(AND($S122=MesCiclo,1&gt;SemanaActual),"",MIN(1,SUMIFS(OFFSET($A$1,ROW(),29,1000-ROW(),1),OFFSET($A$1,ROW(),20,1000-ROW(),1),ROW(),OFFSET($A$1,ROW(),21,1000-ROW(),1),"Sub"))))</f>
        <v/>
      </c>
      <c r="J122" s="60">
        <f>IF(N($W122)=0,"",IF(AND($S122=MesCiclo,2&gt;SemanaActual),"",MIN(1,SUMIFS(OFFSET($A$1,ROW(),30,1000-ROW(),1),OFFSET($A$1,ROW(),20,1000-ROW(),1),ROW(),OFFSET($A$1,ROW(),21,1000-ROW(),1),"Sub"))))</f>
        <v/>
      </c>
      <c r="K122" s="60">
        <f>IF(N($W122)=0,"",IF(AND($S122=MesCiclo,3&gt;SemanaActual),"",MIN(1,SUMIFS(OFFSET($A$1,ROW(),31,1000-ROW(),1),OFFSET($A$1,ROW(),20,1000-ROW(),1),ROW(),OFFSET($A$1,ROW(),21,1000-ROW(),1),"Sub"))))</f>
        <v/>
      </c>
      <c r="L122" s="60">
        <f>IF(N($W122)=0,"",IF(AND($S122=MesCiclo,4&gt;SemanaActual),"",MIN(1,SUMIFS(OFFSET($A$1,ROW(),32,1000-ROW(),1),OFFSET($A$1,ROW(),20,1000-ROW(),1),ROW(),OFFSET($A$1,ROW(),21,1000-ROW(),1),"Sub"))))</f>
        <v/>
      </c>
      <c r="M122" s="61">
        <f>IF(OR(NOT((COUNTA($B122:$D122)+COUNTA($G122:$H122)+COUNTA($Q122))&gt;0),$V122="Sub"),"",IF(ISNUMBER($G122),1,IF(N($W122)&gt;0,MIN(1,SUMIFS($Y$5:$Y$1000,$U$5:$U$1000,ROW(),$V$5:$V$1000,"Sub")),$Y122)))</f>
        <v/>
      </c>
      <c r="N122" s="56">
        <f>IF(OR($M122="",$V122="Sub"),"",IF($M122&gt;=1,"Completado",IF($M122&gt;0,"En curso","Pendiente")))</f>
        <v/>
      </c>
      <c r="O122" s="56">
        <f>IF(OR(NOT((COUNTA($B122:$D122)+COUNTA($G122:$H122)+COUNTA($Q122))&gt;0),$V122="Sub"),"",IF(ISNUMBER($G122),IF(AND(ISNUMBER($AS122),$G122&gt;$AS122),"Cumplida con "&amp;($G122-$AS122)&amp;IF($G122-$AS122=1," día"," días")&amp;" de retraso","Cumplida"),IF(N($M122)&gt;=1,"Cumplida",IF(NOT(ISNUMBER($AS122)),"Sin fecha límite",IF($AS122&lt;FechaRef,"Vencida hace "&amp;(FechaRef-$AS122)&amp;IF(FechaRef-$AS122=1," día"," días"),IF($AS122=FechaRef,"Vence hoy",IF($AS122-FechaRef&lt;=DiasAlerta,"Vence en "&amp;($AS122-FechaRef)&amp;IF($AS122-FechaRef=1," día"," días"),"En plazo")))))))</f>
        <v/>
      </c>
      <c r="P122" s="62" t="n"/>
      <c r="Q122" s="58" t="n"/>
      <c r="R122" s="63">
        <f>IF(NOT((COUNTA($B122:$D122)+COUNTA($G122:$H122)+COUNTA($Q122))&gt;0),"",IF((IF($C122="","Falta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 OK","⚠ "&amp;LEFT(IF($C122="","Falta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",""),LEN(IF($C122="","Falta el nombre de la actividad"&amp;" · ","")&amp;IF(AND($V122="Sub",N($U122)=0),"Subactividad sin macroactividad arriba"&amp;" · ","")&amp;IF(AND($V122="Macro",$AR122=""),"Sin fecha de inicio"&amp;" · ","")&amp;IF(AND($V122="Macro",$AS122=""),"Sin fecha límite"&amp;" · ","")&amp;IF(AND(LEFT($C122,11)="[Jefatura] ",N($AQ122)=0),"No se encuentra en la hoja de la jefatura (elíjala de nuevo en la lista)"&amp;" · ","")&amp;IF(OR(AND($E122&lt;&gt;"",NOT(ISNUMBER($E122))),AND($F122&lt;&gt;"",NOT(ISNUMBER($F122))),AND($G122&lt;&gt;"",NOT(ISNUMBER($G122)))),"Fecha no válida"&amp;" · ","")&amp;IF(AND(ISNUMBER($AR122),ISNUMBER($AS122),$AR122&gt;$AS122),"Inicio posterior a fecha límite"&amp;" · ","")&amp;IF(AND($V122="Macro",$H122&lt;&gt;"",OR(NOT(ISNUMBER($H122)),$H122&lt;0,$H122&gt;1)),"Peso fuera de rango"&amp;" · ","")&amp;IF(AND($V122="Sub",$H122&lt;&gt;"",OR(NOT(ISNUMBER($H122)),$H122&lt;0,$H122&gt;1)),"% de la subactividad fuera de rango 0-100%"&amp;" · ","")&amp;IF(AND(N($W122)&gt;0,SUMIFS($H$5:$H$1000,$U$5:$U$1000,ROW(),$V$5:$V$1000,"Sub")&gt;1.0001),"Las subactividades suman más de 100%"&amp;" · ","")&amp;IF(AND(N($W122)&gt;0,OR(IF(ISNUMBER($I122),ROUND($I122,6)&lt;&gt;ROUND(MIN(1,SUMIFS($AD$5:$AD$1000,$U$5:$U$1000,ROW(),$V$5:$V$1000,"Sub")),6),FALSE),IF(ISNUMBER($J122),ROUND($J122,6)&lt;&gt;ROUND(MIN(1,SUMIFS($AE$5:$AE$1000,$U$5:$U$1000,ROW(),$V$5:$V$1000,"Sub")),6),FALSE),IF(ISNUMBER($K122),ROUND($K122,6)&lt;&gt;ROUND(MIN(1,SUMIFS($AF$5:$AF$1000,$U$5:$U$1000,ROW(),$V$5:$V$1000,"Sub")),6),FALSE),IF(ISNUMBER($L122),ROUND($L122,6)&lt;&gt;ROUND(MIN(1,SUMIFS($AG$5:$AG$1000,$U$5:$U$1000,ROW(),$V$5:$V$1000,"Sub")),6),FALSE))),"Con subactividades: no escriba en las semanas (se llenan solas)"&amp;" · ","")&amp;IF((COUNTIF($I122:$L122,"&gt;1")+COUNTIF($I122:$L122,"&lt;0")+SUMPRODUCT((LEN($I122:$L122)&gt;0)*NOT(ISNUMBER($I122:$L122))))&gt;0,"Avance fuera de rango 0-100%"&amp;" · ","")&amp;IF(OR(AND(ISNUMBER($J122),$J122&lt;N($I122)),AND(ISNUMBER($K122),$K122&lt;MAX($I122:$J122)),AND(ISNUMBER($L122),$L122&lt;MAX($I122:$K122))),"Avance semanal decreciente"&amp;" · ","")&amp;IF(AND(ISNUMBER($AS122),$AS122&lt;FechaRef,IF($V122="Sub",1,N($M122))&lt;1),"Vencida"&amp;" · ","")&amp;IF(AND(ObsObligatoria="Sí",ISNUMBER($AS122),$AS122&lt;FechaRef,IF($V122="Sub",1,N($M122))&lt;1,$Q122=""),"Vencida sin observación"&amp;" · ",""))-3)))</f>
        <v/>
      </c>
      <c r="S122" s="64">
        <f>IF(NOT((COUNTA($B122:$D122)+COUNTA($G122:$H122)+COUNTA($Q122))&gt;0),"",IF(AND($V122="Sub",N($U122)&gt;0),IF(ISNUMBER(INDEX($AR$5:$AR$1000,$U122-4)),DATE(YEAR(INDEX($AR$5:$AR$1000,$U122-4)),MONTH(INDEX($AR$5:$AR$1000,$U122-4)),1),IF(ISNUMBER(INDEX($AS$5:$AS$1000,$U122-4)),DATE(YEAR(INDEX($AS$5:$AS$1000,$U122-4)),MONTH(INDEX($AS$5:$AS$1000,$U122-4)),1),MesCiclo)),IF(ISNUMBER($AR122),DATE(YEAR($AR122),MONTH($AR122),1),IF(ISNUMBER($AS122),DATE(YEAR($AS122),MONTH($AS122),1),MesCiclo))))</f>
        <v/>
      </c>
      <c r="T122" s="62">
        <f>IF(OR($S122="",$S122&lt;&gt;MesCiclo,$V122&lt;&gt;"Macro"),"",COUNTIFS($S$5:$S122,MesCiclo,$V$5:$V122,"Macro"))</f>
        <v/>
      </c>
      <c r="U122" s="62">
        <f>IF($V122="","",IF($V122="Macro",ROW(),IFERROR(LOOKUP(2,1/($V$5:$V122="Macro"),ROW($V$5:$V122)),0)))</f>
        <v/>
      </c>
      <c r="V122" s="62">
        <f>IF(NOT((COUNTA($B122:$D122)+COUNTA($G122:$H122)+COUNTA($Q122))&gt;0),"",IF($B122="Subactividad","Sub","Macro"))</f>
        <v/>
      </c>
      <c r="W122" s="62">
        <f>IF($V122="Macro",COUNTIFS($U$5:$U$1000,ROW(),$V$5:$V$1000,"Sub"),"")</f>
        <v/>
      </c>
      <c r="X122" s="62">
        <f>IF($V122&lt;&gt;"Sub","",IF(AND(ISNUMBER($H122),N($H122)&gt;0),$H122,IFERROR(MAX(0,1-SUMIFS($H$5:$H$1000,$U$5:$U$1000,$U122,$V$5:$V$1000,"Sub"))/(COUNTIFS($U$5:$U$1000,$U122,$V$5:$V$1000,"Sub")-COUNTIFS($U$5:$U$1000,$U122,$V$5:$V$1000,"Sub",$H$5:$H$1000,"&gt;0")),0)))</f>
        <v/>
      </c>
      <c r="Y122" s="62">
        <f>IF($V122="","",IF($V122="Sub",N($X122)*IF(ISNUMBER($G122),1,MIN(1,MAX(0,IFERROR(LOOKUP(2,1/ISNUMBER($I122:$L122),$I122:$L122),0)))),IF(ISNUMBER($G122),1,IFERROR(LOOKUP(2,1/($I122:$L122&lt;&gt;""),$I122:$L122),0))))</f>
        <v/>
      </c>
      <c r="Z122" s="62">
        <f>IF($V122="","",IF(AND(ISNUMBER($G122),$G122&lt;=IF($S122=MesCiclo,InicioCiclo,$S122+MOD(2-WEEKDAY($S122),7))+6),1,IF(ISNUMBER($I122),$I122,0)))</f>
        <v/>
      </c>
      <c r="AA122" s="62">
        <f>IF($V122="","",IF(AND(ISNUMBER($G122),$G122&lt;=IF($S122=MesCiclo,InicioCiclo,$S122+MOD(2-WEEKDAY($S122),7))+13),1,IF(ISNUMBER($J122),$J122,$Z122)))</f>
        <v/>
      </c>
      <c r="AB122" s="62">
        <f>IF($V122="","",IF(AND(ISNUMBER($G122),$G122&lt;=IF($S122=MesCiclo,InicioCiclo,$S122+MOD(2-WEEKDAY($S122),7))+20),1,IF(ISNUMBER($K122),$K122,$AA122)))</f>
        <v/>
      </c>
      <c r="AC122" s="62">
        <f>IF($V122="","",IF(AND(ISNUMBER($G122),$G122&lt;=IF($S122=MesCiclo,InicioCiclo,$S122+MOD(2-WEEKDAY($S122),7))+27),1,IF(ISNUMBER($L122),$L122,$AB122)))</f>
        <v/>
      </c>
      <c r="AD122" s="62">
        <f>IF($V122&lt;&gt;"Sub","",N($X122)*IF(AND(ISNUMBER($G122),$G122&lt;=IF($S122=MesCiclo,InicioCiclo,$S122+MOD(2-WEEKDAY($S122),7))+6),1,MIN(1,MAX(0,IF(ISNUMBER(OFFSET($A$1,ROW()-1,8)),OFFSET($A$1,ROW()-1,8),0)))))</f>
        <v/>
      </c>
      <c r="AE122" s="62">
        <f>IF($V122&lt;&gt;"Sub","",N($X122)*IF(AND(ISNUMBER($G122),$G122&lt;=IF($S122=MesCiclo,InicioCiclo,$S122+MOD(2-WEEKDAY($S122),7))+13),1,MIN(1,MAX(0,IF(ISNUMBER(OFFSET($A$1,ROW()-1,9)),OFFSET($A$1,ROW()-1,9),IF(ISNUMBER(OFFSET($A$1,ROW()-1,8)),OFFSET($A$1,ROW()-1,8),0))))))</f>
        <v/>
      </c>
      <c r="AF122" s="62">
        <f>IF($V122&lt;&gt;"Sub","",N($X122)*IF(AND(ISNUMBER($G122),$G122&lt;=IF($S122=MesCiclo,InicioCiclo,$S122+MOD(2-WEEKDAY($S122),7))+20),1,MIN(1,MAX(0,IF(ISNUMBER(OFFSET($A$1,ROW()-1,10)),OFFSET($A$1,ROW()-1,10),IF(ISNUMBER(OFFSET($A$1,ROW()-1,9)),OFFSET($A$1,ROW()-1,9),IF(ISNUMBER(OFFSET($A$1,ROW()-1,8)),OFFSET($A$1,ROW()-1,8),0)))))))</f>
        <v/>
      </c>
      <c r="AG122" s="62">
        <f>IF($V122&lt;&gt;"Sub","",N($X122)*IF(AND(ISNUMBER($G122),$G122&lt;=IF($S122=MesCiclo,InicioCiclo,$S122+MOD(2-WEEKDAY($S122),7))+27),1,MIN(1,MAX(0,IF(ISNUMBER(OFFSET($A$1,ROW()-1,11)),OFFSET($A$1,ROW()-1,11),IF(ISNUMBER(OFFSET($A$1,ROW()-1,10)),OFFSET($A$1,ROW()-1,10),IF(ISNUMBER(OFFSET($A$1,ROW()-1,9)),OFFSET($A$1,ROW()-1,9),IF(ISNUMBER(OFFSET($A$1,ROW()-1,8)),OFFSET($A$1,ROW()-1,8),0))))))))</f>
        <v/>
      </c>
      <c r="AH122" s="62">
        <f>IF($V122="","",IF(AND(ISNUMBER($G122),$G122&lt;=IF($S122=MesCiclo,InicioCiclo,$S122+MOD(2-WEEKDAY($S122),7))+6),1,IF(N($W122)&gt;0,MIN(1,SUMIFS($AD$5:$AD$1000,$U$5:$U$1000,ROW(),$V$5:$V$1000,"Sub")),$Z122)))</f>
        <v/>
      </c>
      <c r="AI122" s="62">
        <f>IF($V122="","",IF(AND(ISNUMBER($G122),$G122&lt;=IF($S122=MesCiclo,InicioCiclo,$S122+MOD(2-WEEKDAY($S122),7))+13),1,IF(N($W122)&gt;0,MIN(1,SUMIFS($AE$5:$AE$1000,$U$5:$U$1000,ROW(),$V$5:$V$1000,"Sub")),$AA122)))</f>
        <v/>
      </c>
      <c r="AJ122" s="62">
        <f>IF($V122="","",IF(AND(ISNUMBER($G122),$G122&lt;=IF($S122=MesCiclo,InicioCiclo,$S122+MOD(2-WEEKDAY($S122),7))+20),1,IF(N($W122)&gt;0,MIN(1,SUMIFS($AF$5:$AF$1000,$U$5:$U$1000,ROW(),$V$5:$V$1000,"Sub")),$AB122)))</f>
        <v/>
      </c>
      <c r="AK122" s="62">
        <f>IF($V122="","",IF(AND(ISNUMBER($G122),$G122&lt;=IF($S122=MesCiclo,InicioCiclo,$S122+MOD(2-WEEKDAY($S122),7))+27),1,IF(N($W122)&gt;0,MIN(1,SUMIFS($AG$5:$AG$1000,$U$5:$U$1000,ROW(),$V$5:$V$1000,"Sub")),$AC122)))</f>
        <v/>
      </c>
      <c r="AL122" s="62">
        <f>IF($V122&lt;&gt;"Macro","",IF(COUNTIFS($S$5:$S$1000,$S122,$V$5:$V$1000,"Macro",$H$5:$H$1000,"&gt;0")=0,1/COUNTIFS($S$5:$S$1000,$S122,$V$5:$V$1000,"Macro"),IF(AND(ISNUMBER($H122),N($H122)&gt;0),$H122,SUMIFS($H$5:$H$1000,$S$5:$S$1000,$S122,$V$5:$V$1000,"Macro")/COUNTIFS($S$5:$S$1000,$S122,$V$5:$V$1000,"Macro",$H$5:$H$1000,"&gt;0"))/(COUNTIFS($S$5:$S$1000,$S122,$V$5:$V$1000,"Macro")*SUMIFS($H$5:$H$1000,$S$5:$S$1000,$S122,$V$5:$V$1000,"Macro")/COUNTIFS($S$5:$S$1000,$S122,$V$5:$V$1000,"Macro",$H$5:$H$1000,"&gt;0"))))</f>
        <v/>
      </c>
      <c r="AM122" s="62" t="n"/>
      <c r="AN122" s="62" t="n"/>
      <c r="AO122" s="62" t="n"/>
      <c r="AP122" s="62" t="n"/>
      <c r="AQ122" s="62">
        <f>IF(LEFT($C122,11)="[Jefatura] ",IFERROR(MATCH("Asistente Técnico de Riesgo|"&amp;MID($C122,12,500),rDname_ADM,0),0),"")</f>
        <v/>
      </c>
      <c r="AR122" s="62">
        <f>IF(N($AQ122)&gt;0,INDEX(rIni_ADM,$AQ122),IF(ISNUMBER($E122),$E122,""))</f>
        <v/>
      </c>
      <c r="AS122" s="62">
        <f>IF(N($AQ122)&gt;0,INDEX(rLim_ADM,$AQ122),IF(ISNUMBER($F122),$F122,""))</f>
        <v/>
      </c>
    </row>
    <row r="123">
      <c r="A123" s="56">
        <f>IF(NOT((COUNTA($B123:$D123)+COUNTA($G123:$H123)+COUNTA($Q123))&gt;0),"",IF($V123="Macro",COUNTIFS($V$5:$V123,"Macro",$S$5:$S123,$S123),IF(N($U123)=0,"?",COUNTIFS(INDEX($V$5:$V$1000,1):INDEX($V$5:$V$1000,$U123-4),"Macro",INDEX($S$5:$S$1000,1):INDEX($S$5:$S$1000,$U123-4),INDEX($S$5:$S$1000,$U123-4))&amp;"."&amp;COUNTIFS($U$5:$U123,$U123,$V$5:$V123,"Sub"))))</f>
        <v/>
      </c>
      <c r="B123" s="57" t="n"/>
      <c r="C123" s="58" t="n"/>
      <c r="D123" s="58" t="n"/>
      <c r="E123" s="59">
        <f>IF(N($AQ123)&gt;0,INDEX(rIni_ADM,$AQ123),"")</f>
        <v/>
      </c>
      <c r="F123" s="59">
        <f>IF(N($AQ123)&gt;0,INDEX(rLim_ADM,$AQ123),"")</f>
        <v/>
      </c>
      <c r="G123" s="59" t="n"/>
      <c r="H123" s="60" t="n"/>
      <c r="I123" s="60">
        <f>IF(N($W123)=0,"",IF(AND($S123=MesCiclo,1&gt;SemanaActual),"",MIN(1,SUMIFS(OFFSET($A$1,ROW(),29,1000-ROW(),1),OFFSET($A$1,ROW(),20,1000-ROW(),1),ROW(),OFFSET($A$1,ROW(),21,1000-ROW(),1),"Sub"))))</f>
        <v/>
      </c>
      <c r="J123" s="60">
        <f>IF(N($W123)=0,"",IF(AND($S123=MesCiclo,2&gt;SemanaActual),"",MIN(1,SUMIFS(OFFSET($A$1,ROW(),30,1000-ROW(),1),OFFSET($A$1,ROW(),20,1000-ROW(),1),ROW(),OFFSET($A$1,ROW(),21,1000-ROW(),1),"Sub"))))</f>
        <v/>
      </c>
      <c r="K123" s="60">
        <f>IF(N($W123)=0,"",IF(AND($S123=MesCiclo,3&gt;SemanaActual),"",MIN(1,SUMIFS(OFFSET($A$1,ROW(),31,1000-ROW(),1),OFFSET($A$1,ROW(),20,1000-ROW(),1),ROW(),OFFSET($A$1,ROW(),21,1000-ROW(),1),"Sub"))))</f>
        <v/>
      </c>
      <c r="L123" s="60">
        <f>IF(N($W123)=0,"",IF(AND($S123=MesCiclo,4&gt;SemanaActual),"",MIN(1,SUMIFS(OFFSET($A$1,ROW(),32,1000-ROW(),1),OFFSET($A$1,ROW(),20,1000-ROW(),1),ROW(),OFFSET($A$1,ROW(),21,1000-ROW(),1),"Sub"))))</f>
        <v/>
      </c>
      <c r="M123" s="61">
        <f>IF(OR(NOT((COUNTA($B123:$D123)+COUNTA($G123:$H123)+COUNTA($Q123))&gt;0),$V123="Sub"),"",IF(ISNUMBER($G123),1,IF(N($W123)&gt;0,MIN(1,SUMIFS($Y$5:$Y$1000,$U$5:$U$1000,ROW(),$V$5:$V$1000,"Sub")),$Y123)))</f>
        <v/>
      </c>
      <c r="N123" s="56">
        <f>IF(OR($M123="",$V123="Sub"),"",IF($M123&gt;=1,"Completado",IF($M123&gt;0,"En curso","Pendiente")))</f>
        <v/>
      </c>
      <c r="O123" s="56">
        <f>IF(OR(NOT((COUNTA($B123:$D123)+COUNTA($G123:$H123)+COUNTA($Q123))&gt;0),$V123="Sub"),"",IF(ISNUMBER($G123),IF(AND(ISNUMBER($AS123),$G123&gt;$AS123),"Cumplida con "&amp;($G123-$AS123)&amp;IF($G123-$AS123=1," día"," días")&amp;" de retraso","Cumplida"),IF(N($M123)&gt;=1,"Cumplida",IF(NOT(ISNUMBER($AS123)),"Sin fecha límite",IF($AS123&lt;FechaRef,"Vencida hace "&amp;(FechaRef-$AS123)&amp;IF(FechaRef-$AS123=1," día"," días"),IF($AS123=FechaRef,"Vence hoy",IF($AS123-FechaRef&lt;=DiasAlerta,"Vence en "&amp;($AS123-FechaRef)&amp;IF($AS123-FechaRef=1," día"," días"),"En plazo")))))))</f>
        <v/>
      </c>
      <c r="P123" s="62" t="n"/>
      <c r="Q123" s="58" t="n"/>
      <c r="R123" s="63">
        <f>IF(NOT((COUNTA($B123:$D123)+COUNTA($G123:$H123)+COUNTA($Q123))&gt;0),"",IF((IF($C123="","Falta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 OK","⚠ "&amp;LEFT(IF($C123="","Falta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",""),LEN(IF($C123="","Falta el nombre de la actividad"&amp;" · ","")&amp;IF(AND($V123="Sub",N($U123)=0),"Subactividad sin macroactividad arriba"&amp;" · ","")&amp;IF(AND($V123="Macro",$AR123=""),"Sin fecha de inicio"&amp;" · ","")&amp;IF(AND($V123="Macro",$AS123=""),"Sin fecha límite"&amp;" · ","")&amp;IF(AND(LEFT($C123,11)="[Jefatura] ",N($AQ123)=0),"No se encuentra en la hoja de la jefatura (elíjala de nuevo en la lista)"&amp;" · ","")&amp;IF(OR(AND($E123&lt;&gt;"",NOT(ISNUMBER($E123))),AND($F123&lt;&gt;"",NOT(ISNUMBER($F123))),AND($G123&lt;&gt;"",NOT(ISNUMBER($G123)))),"Fecha no válida"&amp;" · ","")&amp;IF(AND(ISNUMBER($AR123),ISNUMBER($AS123),$AR123&gt;$AS123),"Inicio posterior a fecha límite"&amp;" · ","")&amp;IF(AND($V123="Macro",$H123&lt;&gt;"",OR(NOT(ISNUMBER($H123)),$H123&lt;0,$H123&gt;1)),"Peso fuera de rango"&amp;" · ","")&amp;IF(AND($V123="Sub",$H123&lt;&gt;"",OR(NOT(ISNUMBER($H123)),$H123&lt;0,$H123&gt;1)),"% de la subactividad fuera de rango 0-100%"&amp;" · ","")&amp;IF(AND(N($W123)&gt;0,SUMIFS($H$5:$H$1000,$U$5:$U$1000,ROW(),$V$5:$V$1000,"Sub")&gt;1.0001),"Las subactividades suman más de 100%"&amp;" · ","")&amp;IF(AND(N($W123)&gt;0,OR(IF(ISNUMBER($I123),ROUND($I123,6)&lt;&gt;ROUND(MIN(1,SUMIFS($AD$5:$AD$1000,$U$5:$U$1000,ROW(),$V$5:$V$1000,"Sub")),6),FALSE),IF(ISNUMBER($J123),ROUND($J123,6)&lt;&gt;ROUND(MIN(1,SUMIFS($AE$5:$AE$1000,$U$5:$U$1000,ROW(),$V$5:$V$1000,"Sub")),6),FALSE),IF(ISNUMBER($K123),ROUND($K123,6)&lt;&gt;ROUND(MIN(1,SUMIFS($AF$5:$AF$1000,$U$5:$U$1000,ROW(),$V$5:$V$1000,"Sub")),6),FALSE),IF(ISNUMBER($L123),ROUND($L123,6)&lt;&gt;ROUND(MIN(1,SUMIFS($AG$5:$AG$1000,$U$5:$U$1000,ROW(),$V$5:$V$1000,"Sub")),6),FALSE))),"Con subactividades: no escriba en las semanas (se llenan solas)"&amp;" · ","")&amp;IF((COUNTIF($I123:$L123,"&gt;1")+COUNTIF($I123:$L123,"&lt;0")+SUMPRODUCT((LEN($I123:$L123)&gt;0)*NOT(ISNUMBER($I123:$L123))))&gt;0,"Avance fuera de rango 0-100%"&amp;" · ","")&amp;IF(OR(AND(ISNUMBER($J123),$J123&lt;N($I123)),AND(ISNUMBER($K123),$K123&lt;MAX($I123:$J123)),AND(ISNUMBER($L123),$L123&lt;MAX($I123:$K123))),"Avance semanal decreciente"&amp;" · ","")&amp;IF(AND(ISNUMBER($AS123),$AS123&lt;FechaRef,IF($V123="Sub",1,N($M123))&lt;1),"Vencida"&amp;" · ","")&amp;IF(AND(ObsObligatoria="Sí",ISNUMBER($AS123),$AS123&lt;FechaRef,IF($V123="Sub",1,N($M123))&lt;1,$Q123=""),"Vencida sin observación"&amp;" · ",""))-3)))</f>
        <v/>
      </c>
      <c r="S123" s="64">
        <f>IF(NOT((COUNTA($B123:$D123)+COUNTA($G123:$H123)+COUNTA($Q123))&gt;0),"",IF(AND($V123="Sub",N($U123)&gt;0),IF(ISNUMBER(INDEX($AR$5:$AR$1000,$U123-4)),DATE(YEAR(INDEX($AR$5:$AR$1000,$U123-4)),MONTH(INDEX($AR$5:$AR$1000,$U123-4)),1),IF(ISNUMBER(INDEX($AS$5:$AS$1000,$U123-4)),DATE(YEAR(INDEX($AS$5:$AS$1000,$U123-4)),MONTH(INDEX($AS$5:$AS$1000,$U123-4)),1),MesCiclo)),IF(ISNUMBER($AR123),DATE(YEAR($AR123),MONTH($AR123),1),IF(ISNUMBER($AS123),DATE(YEAR($AS123),MONTH($AS123),1),MesCiclo))))</f>
        <v/>
      </c>
      <c r="T123" s="62">
        <f>IF(OR($S123="",$S123&lt;&gt;MesCiclo,$V123&lt;&gt;"Macro"),"",COUNTIFS($S$5:$S123,MesCiclo,$V$5:$V123,"Macro"))</f>
        <v/>
      </c>
      <c r="U123" s="62">
        <f>IF($V123="","",IF($V123="Macro",ROW(),IFERROR(LOOKUP(2,1/($V$5:$V123="Macro"),ROW($V$5:$V123)),0)))</f>
        <v/>
      </c>
      <c r="V123" s="62">
        <f>IF(NOT((COUNTA($B123:$D123)+COUNTA($G123:$H123)+COUNTA($Q123))&gt;0),"",IF($B123="Subactividad","Sub","Macro"))</f>
        <v/>
      </c>
      <c r="W123" s="62">
        <f>IF($V123="Macro",COUNTIFS($U$5:$U$1000,ROW(),$V$5:$V$1000,"Sub"),"")</f>
        <v/>
      </c>
      <c r="X123" s="62">
        <f>IF($V123&lt;&gt;"Sub","",IF(AND(ISNUMBER($H123),N($H123)&gt;0),$H123,IFERROR(MAX(0,1-SUMIFS($H$5:$H$1000,$U$5:$U$1000,$U123,$V$5:$V$1000,"Sub"))/(COUNTIFS($U$5:$U$1000,$U123,$V$5:$V$1000,"Sub")-COUNTIFS($U$5:$U$1000,$U123,$V$5:$V$1000,"Sub",$H$5:$H$1000,"&gt;0")),0)))</f>
        <v/>
      </c>
      <c r="Y123" s="62">
        <f>IF($V123="","",IF($V123="Sub",N($X123)*IF(ISNUMBER($G123),1,MIN(1,MAX(0,IFERROR(LOOKUP(2,1/ISNUMBER($I123:$L123),$I123:$L123),0)))),IF(ISNUMBER($G123),1,IFERROR(LOOKUP(2,1/($I123:$L123&lt;&gt;""),$I123:$L123),0))))</f>
        <v/>
      </c>
      <c r="Z123" s="62">
        <f>IF($V123="","",IF(AND(ISNUMBER($G123),$G123&lt;=IF($S123=MesCiclo,InicioCiclo,$S123+MOD(2-WEEKDAY($S123),7))+6),1,IF(ISNUMBER($I123),$I123,0)))</f>
        <v/>
      </c>
      <c r="AA123" s="62">
        <f>IF($V123="","",IF(AND(ISNUMBER($G123),$G123&lt;=IF($S123=MesCiclo,InicioCiclo,$S123+MOD(2-WEEKDAY($S123),7))+13),1,IF(ISNUMBER($J123),$J123,$Z123)))</f>
        <v/>
      </c>
      <c r="AB123" s="62">
        <f>IF($V123="","",IF(AND(ISNUMBER($G123),$G123&lt;=IF($S123=MesCiclo,InicioCiclo,$S123+MOD(2-WEEKDAY($S123),7))+20),1,IF(ISNUMBER($K123),$K123,$AA123)))</f>
        <v/>
      </c>
      <c r="AC123" s="62">
        <f>IF($V123="","",IF(AND(ISNUMBER($G123),$G123&lt;=IF($S123=MesCiclo,InicioCiclo,$S123+MOD(2-WEEKDAY($S123),7))+27),1,IF(ISNUMBER($L123),$L123,$AB123)))</f>
        <v/>
      </c>
      <c r="AD123" s="62">
        <f>IF($V123&lt;&gt;"Sub","",N($X123)*IF(AND(ISNUMBER($G123),$G123&lt;=IF($S123=MesCiclo,InicioCiclo,$S123+MOD(2-WEEKDAY($S123),7))+6),1,MIN(1,MAX(0,IF(ISNUMBER(OFFSET($A$1,ROW()-1,8)),OFFSET($A$1,ROW()-1,8),0)))))</f>
        <v/>
      </c>
      <c r="AE123" s="62">
        <f>IF($V123&lt;&gt;"Sub","",N($X123)*IF(AND(ISNUMBER($G123),$G123&lt;=IF($S123=MesCiclo,InicioCiclo,$S123+MOD(2-WEEKDAY($S123),7))+13),1,MIN(1,MAX(0,IF(ISNUMBER(OFFSET($A$1,ROW()-1,9)),OFFSET($A$1,ROW()-1,9),IF(ISNUMBER(OFFSET($A$1,ROW()-1,8)),OFFSET($A$1,ROW()-1,8),0))))))</f>
        <v/>
      </c>
      <c r="AF123" s="62">
        <f>IF($V123&lt;&gt;"Sub","",N($X123)*IF(AND(ISNUMBER($G123),$G123&lt;=IF($S123=MesCiclo,InicioCiclo,$S123+MOD(2-WEEKDAY($S123),7))+20),1,MIN(1,MAX(0,IF(ISNUMBER(OFFSET($A$1,ROW()-1,10)),OFFSET($A$1,ROW()-1,10),IF(ISNUMBER(OFFSET($A$1,ROW()-1,9)),OFFSET($A$1,ROW()-1,9),IF(ISNUMBER(OFFSET($A$1,ROW()-1,8)),OFFSET($A$1,ROW()-1,8),0)))))))</f>
        <v/>
      </c>
      <c r="AG123" s="62">
        <f>IF($V123&lt;&gt;"Sub","",N($X123)*IF(AND(ISNUMBER($G123),$G123&lt;=IF($S123=MesCiclo,InicioCiclo,$S123+MOD(2-WEEKDAY($S123),7))+27),1,MIN(1,MAX(0,IF(ISNUMBER(OFFSET($A$1,ROW()-1,11)),OFFSET($A$1,ROW()-1,11),IF(ISNUMBER(OFFSET($A$1,ROW()-1,10)),OFFSET($A$1,ROW()-1,10),IF(ISNUMBER(OFFSET($A$1,ROW()-1,9)),OFFSET($A$1,ROW()-1,9),IF(ISNUMBER(OFFSET($A$1,ROW()-1,8)),OFFSET($A$1,ROW()-1,8),0))))))))</f>
        <v/>
      </c>
      <c r="AH123" s="62">
        <f>IF($V123="","",IF(AND(ISNUMBER($G123),$G123&lt;=IF($S123=MesCiclo,InicioCiclo,$S123+MOD(2-WEEKDAY($S123),7))+6),1,IF(N($W123)&gt;0,MIN(1,SUMIFS($AD$5:$AD$1000,$U$5:$U$1000,ROW(),$V$5:$V$1000,"Sub")),$Z123)))</f>
        <v/>
      </c>
      <c r="AI123" s="62">
        <f>IF($V123="","",IF(AND(ISNUMBER($G123),$G123&lt;=IF($S123=MesCiclo,InicioCiclo,$S123+MOD(2-WEEKDAY($S123),7))+13),1,IF(N($W123)&gt;0,MIN(1,SUMIFS($AE$5:$AE$1000,$U$5:$U$1000,ROW(),$V$5:$V$1000,"Sub")),$AA123)))</f>
        <v/>
      </c>
      <c r="AJ123" s="62">
        <f>IF($V123="","",IF(AND(ISNUMBER($G123),$G123&lt;=IF($S123=MesCiclo,InicioCiclo,$S123+MOD(2-WEEKDAY($S123),7))+20),1,IF(N($W123)&gt;0,MIN(1,SUMIFS($AF$5:$AF$1000,$U$5:$U$1000,ROW(),$V$5:$V$1000,"Sub")),$AB123)))</f>
        <v/>
      </c>
      <c r="AK123" s="62">
        <f>IF($V123="","",IF(AND(ISNUMBER($G123),$G123&lt;=IF($S123=MesCiclo,InicioCiclo,$S123+MOD(2-WEEKDAY($S123),7))+27),1,IF(N($W123)&gt;0,MIN(1,SUMIFS($AG$5:$AG$1000,$U$5:$U$1000,ROW(),$V$5:$V$1000,"Sub")),$AC123)))</f>
        <v/>
      </c>
      <c r="AL123" s="62">
        <f>IF($V123&lt;&gt;"Macro","",IF(COUNTIFS($S$5:$S$1000,$S123,$V$5:$V$1000,"Macro",$H$5:$H$1000,"&gt;0")=0,1/COUNTIFS($S$5:$S$1000,$S123,$V$5:$V$1000,"Macro"),IF(AND(ISNUMBER($H123),N($H123)&gt;0),$H123,SUMIFS($H$5:$H$1000,$S$5:$S$1000,$S123,$V$5:$V$1000,"Macro")/COUNTIFS($S$5:$S$1000,$S123,$V$5:$V$1000,"Macro",$H$5:$H$1000,"&gt;0"))/(COUNTIFS($S$5:$S$1000,$S123,$V$5:$V$1000,"Macro")*SUMIFS($H$5:$H$1000,$S$5:$S$1000,$S123,$V$5:$V$1000,"Macro")/COUNTIFS($S$5:$S$1000,$S123,$V$5:$V$1000,"Macro",$H$5:$H$1000,"&gt;0"))))</f>
        <v/>
      </c>
      <c r="AM123" s="62" t="n"/>
      <c r="AN123" s="62" t="n"/>
      <c r="AO123" s="62" t="n"/>
      <c r="AP123" s="62" t="n"/>
      <c r="AQ123" s="62">
        <f>IF(LEFT($C123,11)="[Jefatura] ",IFERROR(MATCH("Asistente Técnico de Riesgo|"&amp;MID($C123,12,500),rDname_ADM,0),0),"")</f>
        <v/>
      </c>
      <c r="AR123" s="62">
        <f>IF(N($AQ123)&gt;0,INDEX(rIni_ADM,$AQ123),IF(ISNUMBER($E123),$E123,""))</f>
        <v/>
      </c>
      <c r="AS123" s="62">
        <f>IF(N($AQ123)&gt;0,INDEX(rLim_ADM,$AQ123),IF(ISNUMBER($F123),$F123,""))</f>
        <v/>
      </c>
    </row>
    <row r="124">
      <c r="A124" s="56">
        <f>IF(NOT((COUNTA($B124:$D124)+COUNTA($G124:$H124)+COUNTA($Q124))&gt;0),"",IF($V124="Macro",COUNTIFS($V$5:$V124,"Macro",$S$5:$S124,$S124),IF(N($U124)=0,"?",COUNTIFS(INDEX($V$5:$V$1000,1):INDEX($V$5:$V$1000,$U124-4),"Macro",INDEX($S$5:$S$1000,1):INDEX($S$5:$S$1000,$U124-4),INDEX($S$5:$S$1000,$U124-4))&amp;"."&amp;COUNTIFS($U$5:$U124,$U124,$V$5:$V124,"Sub"))))</f>
        <v/>
      </c>
      <c r="B124" s="57" t="n"/>
      <c r="C124" s="58" t="n"/>
      <c r="D124" s="58" t="n"/>
      <c r="E124" s="59">
        <f>IF(N($AQ124)&gt;0,INDEX(rIni_ADM,$AQ124),"")</f>
        <v/>
      </c>
      <c r="F124" s="59">
        <f>IF(N($AQ124)&gt;0,INDEX(rLim_ADM,$AQ124),"")</f>
        <v/>
      </c>
      <c r="G124" s="59" t="n"/>
      <c r="H124" s="60" t="n"/>
      <c r="I124" s="60">
        <f>IF(N($W124)=0,"",IF(AND($S124=MesCiclo,1&gt;SemanaActual),"",MIN(1,SUMIFS(OFFSET($A$1,ROW(),29,1000-ROW(),1),OFFSET($A$1,ROW(),20,1000-ROW(),1),ROW(),OFFSET($A$1,ROW(),21,1000-ROW(),1),"Sub"))))</f>
        <v/>
      </c>
      <c r="J124" s="60">
        <f>IF(N($W124)=0,"",IF(AND($S124=MesCiclo,2&gt;SemanaActual),"",MIN(1,SUMIFS(OFFSET($A$1,ROW(),30,1000-ROW(),1),OFFSET($A$1,ROW(),20,1000-ROW(),1),ROW(),OFFSET($A$1,ROW(),21,1000-ROW(),1),"Sub"))))</f>
        <v/>
      </c>
      <c r="K124" s="60">
        <f>IF(N($W124)=0,"",IF(AND($S124=MesCiclo,3&gt;SemanaActual),"",MIN(1,SUMIFS(OFFSET($A$1,ROW(),31,1000-ROW(),1),OFFSET($A$1,ROW(),20,1000-ROW(),1),ROW(),OFFSET($A$1,ROW(),21,1000-ROW(),1),"Sub"))))</f>
        <v/>
      </c>
      <c r="L124" s="60">
        <f>IF(N($W124)=0,"",IF(AND($S124=MesCiclo,4&gt;SemanaActual),"",MIN(1,SUMIFS(OFFSET($A$1,ROW(),32,1000-ROW(),1),OFFSET($A$1,ROW(),20,1000-ROW(),1),ROW(),OFFSET($A$1,ROW(),21,1000-ROW(),1),"Sub"))))</f>
        <v/>
      </c>
      <c r="M124" s="61">
        <f>IF(OR(NOT((COUNTA($B124:$D124)+COUNTA($G124:$H124)+COUNTA($Q124))&gt;0),$V124="Sub"),"",IF(ISNUMBER($G124),1,IF(N($W124)&gt;0,MIN(1,SUMIFS($Y$5:$Y$1000,$U$5:$U$1000,ROW(),$V$5:$V$1000,"Sub")),$Y124)))</f>
        <v/>
      </c>
      <c r="N124" s="56">
        <f>IF(OR($M124="",$V124="Sub"),"",IF($M124&gt;=1,"Completado",IF($M124&gt;0,"En curso","Pendiente")))</f>
        <v/>
      </c>
      <c r="O124" s="56">
        <f>IF(OR(NOT((COUNTA($B124:$D124)+COUNTA($G124:$H124)+COUNTA($Q124))&gt;0),$V124="Sub"),"",IF(ISNUMBER($G124),IF(AND(ISNUMBER($AS124),$G124&gt;$AS124),"Cumplida con "&amp;($G124-$AS124)&amp;IF($G124-$AS124=1," día"," días")&amp;" de retraso","Cumplida"),IF(N($M124)&gt;=1,"Cumplida",IF(NOT(ISNUMBER($AS124)),"Sin fecha límite",IF($AS124&lt;FechaRef,"Vencida hace "&amp;(FechaRef-$AS124)&amp;IF(FechaRef-$AS124=1," día"," días"),IF($AS124=FechaRef,"Vence hoy",IF($AS124-FechaRef&lt;=DiasAlerta,"Vence en "&amp;($AS124-FechaRef)&amp;IF($AS124-FechaRef=1," día"," días"),"En plazo")))))))</f>
        <v/>
      </c>
      <c r="P124" s="62" t="n"/>
      <c r="Q124" s="58" t="n"/>
      <c r="R124" s="63">
        <f>IF(NOT((COUNTA($B124:$D124)+COUNTA($G124:$H124)+COUNTA($Q124))&gt;0),"",IF((IF($C124="","Falta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 OK","⚠ "&amp;LEFT(IF($C124="","Falta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",""),LEN(IF($C124="","Falta el nombre de la actividad"&amp;" · ","")&amp;IF(AND($V124="Sub",N($U124)=0),"Subactividad sin macroactividad arriba"&amp;" · ","")&amp;IF(AND($V124="Macro",$AR124=""),"Sin fecha de inicio"&amp;" · ","")&amp;IF(AND($V124="Macro",$AS124=""),"Sin fecha límite"&amp;" · ","")&amp;IF(AND(LEFT($C124,11)="[Jefatura] ",N($AQ124)=0),"No se encuentra en la hoja de la jefatura (elíjala de nuevo en la lista)"&amp;" · ","")&amp;IF(OR(AND($E124&lt;&gt;"",NOT(ISNUMBER($E124))),AND($F124&lt;&gt;"",NOT(ISNUMBER($F124))),AND($G124&lt;&gt;"",NOT(ISNUMBER($G124)))),"Fecha no válida"&amp;" · ","")&amp;IF(AND(ISNUMBER($AR124),ISNUMBER($AS124),$AR124&gt;$AS124),"Inicio posterior a fecha límite"&amp;" · ","")&amp;IF(AND($V124="Macro",$H124&lt;&gt;"",OR(NOT(ISNUMBER($H124)),$H124&lt;0,$H124&gt;1)),"Peso fuera de rango"&amp;" · ","")&amp;IF(AND($V124="Sub",$H124&lt;&gt;"",OR(NOT(ISNUMBER($H124)),$H124&lt;0,$H124&gt;1)),"% de la subactividad fuera de rango 0-100%"&amp;" · ","")&amp;IF(AND(N($W124)&gt;0,SUMIFS($H$5:$H$1000,$U$5:$U$1000,ROW(),$V$5:$V$1000,"Sub")&gt;1.0001),"Las subactividades suman más de 100%"&amp;" · ","")&amp;IF(AND(N($W124)&gt;0,OR(IF(ISNUMBER($I124),ROUND($I124,6)&lt;&gt;ROUND(MIN(1,SUMIFS($AD$5:$AD$1000,$U$5:$U$1000,ROW(),$V$5:$V$1000,"Sub")),6),FALSE),IF(ISNUMBER($J124),ROUND($J124,6)&lt;&gt;ROUND(MIN(1,SUMIFS($AE$5:$AE$1000,$U$5:$U$1000,ROW(),$V$5:$V$1000,"Sub")),6),FALSE),IF(ISNUMBER($K124),ROUND($K124,6)&lt;&gt;ROUND(MIN(1,SUMIFS($AF$5:$AF$1000,$U$5:$U$1000,ROW(),$V$5:$V$1000,"Sub")),6),FALSE),IF(ISNUMBER($L124),ROUND($L124,6)&lt;&gt;ROUND(MIN(1,SUMIFS($AG$5:$AG$1000,$U$5:$U$1000,ROW(),$V$5:$V$1000,"Sub")),6),FALSE))),"Con subactividades: no escriba en las semanas (se llenan solas)"&amp;" · ","")&amp;IF((COUNTIF($I124:$L124,"&gt;1")+COUNTIF($I124:$L124,"&lt;0")+SUMPRODUCT((LEN($I124:$L124)&gt;0)*NOT(ISNUMBER($I124:$L124))))&gt;0,"Avance fuera de rango 0-100%"&amp;" · ","")&amp;IF(OR(AND(ISNUMBER($J124),$J124&lt;N($I124)),AND(ISNUMBER($K124),$K124&lt;MAX($I124:$J124)),AND(ISNUMBER($L124),$L124&lt;MAX($I124:$K124))),"Avance semanal decreciente"&amp;" · ","")&amp;IF(AND(ISNUMBER($AS124),$AS124&lt;FechaRef,IF($V124="Sub",1,N($M124))&lt;1),"Vencida"&amp;" · ","")&amp;IF(AND(ObsObligatoria="Sí",ISNUMBER($AS124),$AS124&lt;FechaRef,IF($V124="Sub",1,N($M124))&lt;1,$Q124=""),"Vencida sin observación"&amp;" · ",""))-3)))</f>
        <v/>
      </c>
      <c r="S124" s="64">
        <f>IF(NOT((COUNTA($B124:$D124)+COUNTA($G124:$H124)+COUNTA($Q124))&gt;0),"",IF(AND($V124="Sub",N($U124)&gt;0),IF(ISNUMBER(INDEX($AR$5:$AR$1000,$U124-4)),DATE(YEAR(INDEX($AR$5:$AR$1000,$U124-4)),MONTH(INDEX($AR$5:$AR$1000,$U124-4)),1),IF(ISNUMBER(INDEX($AS$5:$AS$1000,$U124-4)),DATE(YEAR(INDEX($AS$5:$AS$1000,$U124-4)),MONTH(INDEX($AS$5:$AS$1000,$U124-4)),1),MesCiclo)),IF(ISNUMBER($AR124),DATE(YEAR($AR124),MONTH($AR124),1),IF(ISNUMBER($AS124),DATE(YEAR($AS124),MONTH($AS124),1),MesCiclo))))</f>
        <v/>
      </c>
      <c r="T124" s="62">
        <f>IF(OR($S124="",$S124&lt;&gt;MesCiclo,$V124&lt;&gt;"Macro"),"",COUNTIFS($S$5:$S124,MesCiclo,$V$5:$V124,"Macro"))</f>
        <v/>
      </c>
      <c r="U124" s="62">
        <f>IF($V124="","",IF($V124="Macro",ROW(),IFERROR(LOOKUP(2,1/($V$5:$V124="Macro"),ROW($V$5:$V124)),0)))</f>
        <v/>
      </c>
      <c r="V124" s="62">
        <f>IF(NOT((COUNTA($B124:$D124)+COUNTA($G124:$H124)+COUNTA($Q124))&gt;0),"",IF($B124="Subactividad","Sub","Macro"))</f>
        <v/>
      </c>
      <c r="W124" s="62">
        <f>IF($V124="Macro",COUNTIFS($U$5:$U$1000,ROW(),$V$5:$V$1000,"Sub"),"")</f>
        <v/>
      </c>
      <c r="X124" s="62">
        <f>IF($V124&lt;&gt;"Sub","",IF(AND(ISNUMBER($H124),N($H124)&gt;0),$H124,IFERROR(MAX(0,1-SUMIFS($H$5:$H$1000,$U$5:$U$1000,$U124,$V$5:$V$1000,"Sub"))/(COUNTIFS($U$5:$U$1000,$U124,$V$5:$V$1000,"Sub")-COUNTIFS($U$5:$U$1000,$U124,$V$5:$V$1000,"Sub",$H$5:$H$1000,"&gt;0")),0)))</f>
        <v/>
      </c>
      <c r="Y124" s="62">
        <f>IF($V124="","",IF($V124="Sub",N($X124)*IF(ISNUMBER($G124),1,MIN(1,MAX(0,IFERROR(LOOKUP(2,1/ISNUMBER($I124:$L124),$I124:$L124),0)))),IF(ISNUMBER($G124),1,IFERROR(LOOKUP(2,1/($I124:$L124&lt;&gt;""),$I124:$L124),0))))</f>
        <v/>
      </c>
      <c r="Z124" s="62">
        <f>IF($V124="","",IF(AND(ISNUMBER($G124),$G124&lt;=IF($S124=MesCiclo,InicioCiclo,$S124+MOD(2-WEEKDAY($S124),7))+6),1,IF(ISNUMBER($I124),$I124,0)))</f>
        <v/>
      </c>
      <c r="AA124" s="62">
        <f>IF($V124="","",IF(AND(ISNUMBER($G124),$G124&lt;=IF($S124=MesCiclo,InicioCiclo,$S124+MOD(2-WEEKDAY($S124),7))+13),1,IF(ISNUMBER($J124),$J124,$Z124)))</f>
        <v/>
      </c>
      <c r="AB124" s="62">
        <f>IF($V124="","",IF(AND(ISNUMBER($G124),$G124&lt;=IF($S124=MesCiclo,InicioCiclo,$S124+MOD(2-WEEKDAY($S124),7))+20),1,IF(ISNUMBER($K124),$K124,$AA124)))</f>
        <v/>
      </c>
      <c r="AC124" s="62">
        <f>IF($V124="","",IF(AND(ISNUMBER($G124),$G124&lt;=IF($S124=MesCiclo,InicioCiclo,$S124+MOD(2-WEEKDAY($S124),7))+27),1,IF(ISNUMBER($L124),$L124,$AB124)))</f>
        <v/>
      </c>
      <c r="AD124" s="62">
        <f>IF($V124&lt;&gt;"Sub","",N($X124)*IF(AND(ISNUMBER($G124),$G124&lt;=IF($S124=MesCiclo,InicioCiclo,$S124+MOD(2-WEEKDAY($S124),7))+6),1,MIN(1,MAX(0,IF(ISNUMBER(OFFSET($A$1,ROW()-1,8)),OFFSET($A$1,ROW()-1,8),0)))))</f>
        <v/>
      </c>
      <c r="AE124" s="62">
        <f>IF($V124&lt;&gt;"Sub","",N($X124)*IF(AND(ISNUMBER($G124),$G124&lt;=IF($S124=MesCiclo,InicioCiclo,$S124+MOD(2-WEEKDAY($S124),7))+13),1,MIN(1,MAX(0,IF(ISNUMBER(OFFSET($A$1,ROW()-1,9)),OFFSET($A$1,ROW()-1,9),IF(ISNUMBER(OFFSET($A$1,ROW()-1,8)),OFFSET($A$1,ROW()-1,8),0))))))</f>
        <v/>
      </c>
      <c r="AF124" s="62">
        <f>IF($V124&lt;&gt;"Sub","",N($X124)*IF(AND(ISNUMBER($G124),$G124&lt;=IF($S124=MesCiclo,InicioCiclo,$S124+MOD(2-WEEKDAY($S124),7))+20),1,MIN(1,MAX(0,IF(ISNUMBER(OFFSET($A$1,ROW()-1,10)),OFFSET($A$1,ROW()-1,10),IF(ISNUMBER(OFFSET($A$1,ROW()-1,9)),OFFSET($A$1,ROW()-1,9),IF(ISNUMBER(OFFSET($A$1,ROW()-1,8)),OFFSET($A$1,ROW()-1,8),0)))))))</f>
        <v/>
      </c>
      <c r="AG124" s="62">
        <f>IF($V124&lt;&gt;"Sub","",N($X124)*IF(AND(ISNUMBER($G124),$G124&lt;=IF($S124=MesCiclo,InicioCiclo,$S124+MOD(2-WEEKDAY($S124),7))+27),1,MIN(1,MAX(0,IF(ISNUMBER(OFFSET($A$1,ROW()-1,11)),OFFSET($A$1,ROW()-1,11),IF(ISNUMBER(OFFSET($A$1,ROW()-1,10)),OFFSET($A$1,ROW()-1,10),IF(ISNUMBER(OFFSET($A$1,ROW()-1,9)),OFFSET($A$1,ROW()-1,9),IF(ISNUMBER(OFFSET($A$1,ROW()-1,8)),OFFSET($A$1,ROW()-1,8),0))))))))</f>
        <v/>
      </c>
      <c r="AH124" s="62">
        <f>IF($V124="","",IF(AND(ISNUMBER($G124),$G124&lt;=IF($S124=MesCiclo,InicioCiclo,$S124+MOD(2-WEEKDAY($S124),7))+6),1,IF(N($W124)&gt;0,MIN(1,SUMIFS($AD$5:$AD$1000,$U$5:$U$1000,ROW(),$V$5:$V$1000,"Sub")),$Z124)))</f>
        <v/>
      </c>
      <c r="AI124" s="62">
        <f>IF($V124="","",IF(AND(ISNUMBER($G124),$G124&lt;=IF($S124=MesCiclo,InicioCiclo,$S124+MOD(2-WEEKDAY($S124),7))+13),1,IF(N($W124)&gt;0,MIN(1,SUMIFS($AE$5:$AE$1000,$U$5:$U$1000,ROW(),$V$5:$V$1000,"Sub")),$AA124)))</f>
        <v/>
      </c>
      <c r="AJ124" s="62">
        <f>IF($V124="","",IF(AND(ISNUMBER($G124),$G124&lt;=IF($S124=MesCiclo,InicioCiclo,$S124+MOD(2-WEEKDAY($S124),7))+20),1,IF(N($W124)&gt;0,MIN(1,SUMIFS($AF$5:$AF$1000,$U$5:$U$1000,ROW(),$V$5:$V$1000,"Sub")),$AB124)))</f>
        <v/>
      </c>
      <c r="AK124" s="62">
        <f>IF($V124="","",IF(AND(ISNUMBER($G124),$G124&lt;=IF($S124=MesCiclo,InicioCiclo,$S124+MOD(2-WEEKDAY($S124),7))+27),1,IF(N($W124)&gt;0,MIN(1,SUMIFS($AG$5:$AG$1000,$U$5:$U$1000,ROW(),$V$5:$V$1000,"Sub")),$AC124)))</f>
        <v/>
      </c>
      <c r="AL124" s="62">
        <f>IF($V124&lt;&gt;"Macro","",IF(COUNTIFS($S$5:$S$1000,$S124,$V$5:$V$1000,"Macro",$H$5:$H$1000,"&gt;0")=0,1/COUNTIFS($S$5:$S$1000,$S124,$V$5:$V$1000,"Macro"),IF(AND(ISNUMBER($H124),N($H124)&gt;0),$H124,SUMIFS($H$5:$H$1000,$S$5:$S$1000,$S124,$V$5:$V$1000,"Macro")/COUNTIFS($S$5:$S$1000,$S124,$V$5:$V$1000,"Macro",$H$5:$H$1000,"&gt;0"))/(COUNTIFS($S$5:$S$1000,$S124,$V$5:$V$1000,"Macro")*SUMIFS($H$5:$H$1000,$S$5:$S$1000,$S124,$V$5:$V$1000,"Macro")/COUNTIFS($S$5:$S$1000,$S124,$V$5:$V$1000,"Macro",$H$5:$H$1000,"&gt;0"))))</f>
        <v/>
      </c>
      <c r="AM124" s="62" t="n"/>
      <c r="AN124" s="62" t="n"/>
      <c r="AO124" s="62" t="n"/>
      <c r="AP124" s="62" t="n"/>
      <c r="AQ124" s="62">
        <f>IF(LEFT($C124,11)="[Jefatura] ",IFERROR(MATCH("Asistente Técnico de Riesgo|"&amp;MID($C124,12,500),rDname_ADM,0),0),"")</f>
        <v/>
      </c>
      <c r="AR124" s="62">
        <f>IF(N($AQ124)&gt;0,INDEX(rIni_ADM,$AQ124),IF(ISNUMBER($E124),$E124,""))</f>
        <v/>
      </c>
      <c r="AS124" s="62">
        <f>IF(N($AQ124)&gt;0,INDEX(rLim_ADM,$AQ124),IF(ISNUMBER($F124),$F124,""))</f>
        <v/>
      </c>
    </row>
    <row r="125">
      <c r="A125" s="56">
        <f>IF(NOT((COUNTA($B125:$D125)+COUNTA($G125:$H125)+COUNTA($Q125))&gt;0),"",IF($V125="Macro",COUNTIFS($V$5:$V125,"Macro",$S$5:$S125,$S125),IF(N($U125)=0,"?",COUNTIFS(INDEX($V$5:$V$1000,1):INDEX($V$5:$V$1000,$U125-4),"Macro",INDEX($S$5:$S$1000,1):INDEX($S$5:$S$1000,$U125-4),INDEX($S$5:$S$1000,$U125-4))&amp;"."&amp;COUNTIFS($U$5:$U125,$U125,$V$5:$V125,"Sub"))))</f>
        <v/>
      </c>
      <c r="B125" s="57" t="n"/>
      <c r="C125" s="58" t="n"/>
      <c r="D125" s="58" t="n"/>
      <c r="E125" s="59">
        <f>IF(N($AQ125)&gt;0,INDEX(rIni_ADM,$AQ125),"")</f>
        <v/>
      </c>
      <c r="F125" s="59">
        <f>IF(N($AQ125)&gt;0,INDEX(rLim_ADM,$AQ125),"")</f>
        <v/>
      </c>
      <c r="G125" s="59" t="n"/>
      <c r="H125" s="60" t="n"/>
      <c r="I125" s="60">
        <f>IF(N($W125)=0,"",IF(AND($S125=MesCiclo,1&gt;SemanaActual),"",MIN(1,SUMIFS(OFFSET($A$1,ROW(),29,1000-ROW(),1),OFFSET($A$1,ROW(),20,1000-ROW(),1),ROW(),OFFSET($A$1,ROW(),21,1000-ROW(),1),"Sub"))))</f>
        <v/>
      </c>
      <c r="J125" s="60">
        <f>IF(N($W125)=0,"",IF(AND($S125=MesCiclo,2&gt;SemanaActual),"",MIN(1,SUMIFS(OFFSET($A$1,ROW(),30,1000-ROW(),1),OFFSET($A$1,ROW(),20,1000-ROW(),1),ROW(),OFFSET($A$1,ROW(),21,1000-ROW(),1),"Sub"))))</f>
        <v/>
      </c>
      <c r="K125" s="60">
        <f>IF(N($W125)=0,"",IF(AND($S125=MesCiclo,3&gt;SemanaActual),"",MIN(1,SUMIFS(OFFSET($A$1,ROW(),31,1000-ROW(),1),OFFSET($A$1,ROW(),20,1000-ROW(),1),ROW(),OFFSET($A$1,ROW(),21,1000-ROW(),1),"Sub"))))</f>
        <v/>
      </c>
      <c r="L125" s="60">
        <f>IF(N($W125)=0,"",IF(AND($S125=MesCiclo,4&gt;SemanaActual),"",MIN(1,SUMIFS(OFFSET($A$1,ROW(),32,1000-ROW(),1),OFFSET($A$1,ROW(),20,1000-ROW(),1),ROW(),OFFSET($A$1,ROW(),21,1000-ROW(),1),"Sub"))))</f>
        <v/>
      </c>
      <c r="M125" s="61">
        <f>IF(OR(NOT((COUNTA($B125:$D125)+COUNTA($G125:$H125)+COUNTA($Q125))&gt;0),$V125="Sub"),"",IF(ISNUMBER($G125),1,IF(N($W125)&gt;0,MIN(1,SUMIFS($Y$5:$Y$1000,$U$5:$U$1000,ROW(),$V$5:$V$1000,"Sub")),$Y125)))</f>
        <v/>
      </c>
      <c r="N125" s="56">
        <f>IF(OR($M125="",$V125="Sub"),"",IF($M125&gt;=1,"Completado",IF($M125&gt;0,"En curso","Pendiente")))</f>
        <v/>
      </c>
      <c r="O125" s="56">
        <f>IF(OR(NOT((COUNTA($B125:$D125)+COUNTA($G125:$H125)+COUNTA($Q125))&gt;0),$V125="Sub"),"",IF(ISNUMBER($G125),IF(AND(ISNUMBER($AS125),$G125&gt;$AS125),"Cumplida con "&amp;($G125-$AS125)&amp;IF($G125-$AS125=1," día"," días")&amp;" de retraso","Cumplida"),IF(N($M125)&gt;=1,"Cumplida",IF(NOT(ISNUMBER($AS125)),"Sin fecha límite",IF($AS125&lt;FechaRef,"Vencida hace "&amp;(FechaRef-$AS125)&amp;IF(FechaRef-$AS125=1," día"," días"),IF($AS125=FechaRef,"Vence hoy",IF($AS125-FechaRef&lt;=DiasAlerta,"Vence en "&amp;($AS125-FechaRef)&amp;IF($AS125-FechaRef=1," día"," días"),"En plazo")))))))</f>
        <v/>
      </c>
      <c r="P125" s="62" t="n"/>
      <c r="Q125" s="58" t="n"/>
      <c r="R125" s="63">
        <f>IF(NOT((COUNTA($B125:$D125)+COUNTA($G125:$H125)+COUNTA($Q125))&gt;0),"",IF((IF($C125="","Falta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 OK","⚠ "&amp;LEFT(IF($C125="","Falta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",""),LEN(IF($C125="","Falta el nombre de la actividad"&amp;" · ","")&amp;IF(AND($V125="Sub",N($U125)=0),"Subactividad sin macroactividad arriba"&amp;" · ","")&amp;IF(AND($V125="Macro",$AR125=""),"Sin fecha de inicio"&amp;" · ","")&amp;IF(AND($V125="Macro",$AS125=""),"Sin fecha límite"&amp;" · ","")&amp;IF(AND(LEFT($C125,11)="[Jefatura] ",N($AQ125)=0),"No se encuentra en la hoja de la jefatura (elíjala de nuevo en la lista)"&amp;" · ","")&amp;IF(OR(AND($E125&lt;&gt;"",NOT(ISNUMBER($E125))),AND($F125&lt;&gt;"",NOT(ISNUMBER($F125))),AND($G125&lt;&gt;"",NOT(ISNUMBER($G125)))),"Fecha no válida"&amp;" · ","")&amp;IF(AND(ISNUMBER($AR125),ISNUMBER($AS125),$AR125&gt;$AS125),"Inicio posterior a fecha límite"&amp;" · ","")&amp;IF(AND($V125="Macro",$H125&lt;&gt;"",OR(NOT(ISNUMBER($H125)),$H125&lt;0,$H125&gt;1)),"Peso fuera de rango"&amp;" · ","")&amp;IF(AND($V125="Sub",$H125&lt;&gt;"",OR(NOT(ISNUMBER($H125)),$H125&lt;0,$H125&gt;1)),"% de la subactividad fuera de rango 0-100%"&amp;" · ","")&amp;IF(AND(N($W125)&gt;0,SUMIFS($H$5:$H$1000,$U$5:$U$1000,ROW(),$V$5:$V$1000,"Sub")&gt;1.0001),"Las subactividades suman más de 100%"&amp;" · ","")&amp;IF(AND(N($W125)&gt;0,OR(IF(ISNUMBER($I125),ROUND($I125,6)&lt;&gt;ROUND(MIN(1,SUMIFS($AD$5:$AD$1000,$U$5:$U$1000,ROW(),$V$5:$V$1000,"Sub")),6),FALSE),IF(ISNUMBER($J125),ROUND($J125,6)&lt;&gt;ROUND(MIN(1,SUMIFS($AE$5:$AE$1000,$U$5:$U$1000,ROW(),$V$5:$V$1000,"Sub")),6),FALSE),IF(ISNUMBER($K125),ROUND($K125,6)&lt;&gt;ROUND(MIN(1,SUMIFS($AF$5:$AF$1000,$U$5:$U$1000,ROW(),$V$5:$V$1000,"Sub")),6),FALSE),IF(ISNUMBER($L125),ROUND($L125,6)&lt;&gt;ROUND(MIN(1,SUMIFS($AG$5:$AG$1000,$U$5:$U$1000,ROW(),$V$5:$V$1000,"Sub")),6),FALSE))),"Con subactividades: no escriba en las semanas (se llenan solas)"&amp;" · ","")&amp;IF((COUNTIF($I125:$L125,"&gt;1")+COUNTIF($I125:$L125,"&lt;0")+SUMPRODUCT((LEN($I125:$L125)&gt;0)*NOT(ISNUMBER($I125:$L125))))&gt;0,"Avance fuera de rango 0-100%"&amp;" · ","")&amp;IF(OR(AND(ISNUMBER($J125),$J125&lt;N($I125)),AND(ISNUMBER($K125),$K125&lt;MAX($I125:$J125)),AND(ISNUMBER($L125),$L125&lt;MAX($I125:$K125))),"Avance semanal decreciente"&amp;" · ","")&amp;IF(AND(ISNUMBER($AS125),$AS125&lt;FechaRef,IF($V125="Sub",1,N($M125))&lt;1),"Vencida"&amp;" · ","")&amp;IF(AND(ObsObligatoria="Sí",ISNUMBER($AS125),$AS125&lt;FechaRef,IF($V125="Sub",1,N($M125))&lt;1,$Q125=""),"Vencida sin observación"&amp;" · ",""))-3)))</f>
        <v/>
      </c>
      <c r="S125" s="64">
        <f>IF(NOT((COUNTA($B125:$D125)+COUNTA($G125:$H125)+COUNTA($Q125))&gt;0),"",IF(AND($V125="Sub",N($U125)&gt;0),IF(ISNUMBER(INDEX($AR$5:$AR$1000,$U125-4)),DATE(YEAR(INDEX($AR$5:$AR$1000,$U125-4)),MONTH(INDEX($AR$5:$AR$1000,$U125-4)),1),IF(ISNUMBER(INDEX($AS$5:$AS$1000,$U125-4)),DATE(YEAR(INDEX($AS$5:$AS$1000,$U125-4)),MONTH(INDEX($AS$5:$AS$1000,$U125-4)),1),MesCiclo)),IF(ISNUMBER($AR125),DATE(YEAR($AR125),MONTH($AR125),1),IF(ISNUMBER($AS125),DATE(YEAR($AS125),MONTH($AS125),1),MesCiclo))))</f>
        <v/>
      </c>
      <c r="T125" s="62">
        <f>IF(OR($S125="",$S125&lt;&gt;MesCiclo,$V125&lt;&gt;"Macro"),"",COUNTIFS($S$5:$S125,MesCiclo,$V$5:$V125,"Macro"))</f>
        <v/>
      </c>
      <c r="U125" s="62">
        <f>IF($V125="","",IF($V125="Macro",ROW(),IFERROR(LOOKUP(2,1/($V$5:$V125="Macro"),ROW($V$5:$V125)),0)))</f>
        <v/>
      </c>
      <c r="V125" s="62">
        <f>IF(NOT((COUNTA($B125:$D125)+COUNTA($G125:$H125)+COUNTA($Q125))&gt;0),"",IF($B125="Subactividad","Sub","Macro"))</f>
        <v/>
      </c>
      <c r="W125" s="62">
        <f>IF($V125="Macro",COUNTIFS($U$5:$U$1000,ROW(),$V$5:$V$1000,"Sub"),"")</f>
        <v/>
      </c>
      <c r="X125" s="62">
        <f>IF($V125&lt;&gt;"Sub","",IF(AND(ISNUMBER($H125),N($H125)&gt;0),$H125,IFERROR(MAX(0,1-SUMIFS($H$5:$H$1000,$U$5:$U$1000,$U125,$V$5:$V$1000,"Sub"))/(COUNTIFS($U$5:$U$1000,$U125,$V$5:$V$1000,"Sub")-COUNTIFS($U$5:$U$1000,$U125,$V$5:$V$1000,"Sub",$H$5:$H$1000,"&gt;0")),0)))</f>
        <v/>
      </c>
      <c r="Y125" s="62">
        <f>IF($V125="","",IF($V125="Sub",N($X125)*IF(ISNUMBER($G125),1,MIN(1,MAX(0,IFERROR(LOOKUP(2,1/ISNUMBER($I125:$L125),$I125:$L125),0)))),IF(ISNUMBER($G125),1,IFERROR(LOOKUP(2,1/($I125:$L125&lt;&gt;""),$I125:$L125),0))))</f>
        <v/>
      </c>
      <c r="Z125" s="62">
        <f>IF($V125="","",IF(AND(ISNUMBER($G125),$G125&lt;=IF($S125=MesCiclo,InicioCiclo,$S125+MOD(2-WEEKDAY($S125),7))+6),1,IF(ISNUMBER($I125),$I125,0)))</f>
        <v/>
      </c>
      <c r="AA125" s="62">
        <f>IF($V125="","",IF(AND(ISNUMBER($G125),$G125&lt;=IF($S125=MesCiclo,InicioCiclo,$S125+MOD(2-WEEKDAY($S125),7))+13),1,IF(ISNUMBER($J125),$J125,$Z125)))</f>
        <v/>
      </c>
      <c r="AB125" s="62">
        <f>IF($V125="","",IF(AND(ISNUMBER($G125),$G125&lt;=IF($S125=MesCiclo,InicioCiclo,$S125+MOD(2-WEEKDAY($S125),7))+20),1,IF(ISNUMBER($K125),$K125,$AA125)))</f>
        <v/>
      </c>
      <c r="AC125" s="62">
        <f>IF($V125="","",IF(AND(ISNUMBER($G125),$G125&lt;=IF($S125=MesCiclo,InicioCiclo,$S125+MOD(2-WEEKDAY($S125),7))+27),1,IF(ISNUMBER($L125),$L125,$AB125)))</f>
        <v/>
      </c>
      <c r="AD125" s="62">
        <f>IF($V125&lt;&gt;"Sub","",N($X125)*IF(AND(ISNUMBER($G125),$G125&lt;=IF($S125=MesCiclo,InicioCiclo,$S125+MOD(2-WEEKDAY($S125),7))+6),1,MIN(1,MAX(0,IF(ISNUMBER(OFFSET($A$1,ROW()-1,8)),OFFSET($A$1,ROW()-1,8),0)))))</f>
        <v/>
      </c>
      <c r="AE125" s="62">
        <f>IF($V125&lt;&gt;"Sub","",N($X125)*IF(AND(ISNUMBER($G125),$G125&lt;=IF($S125=MesCiclo,InicioCiclo,$S125+MOD(2-WEEKDAY($S125),7))+13),1,MIN(1,MAX(0,IF(ISNUMBER(OFFSET($A$1,ROW()-1,9)),OFFSET($A$1,ROW()-1,9),IF(ISNUMBER(OFFSET($A$1,ROW()-1,8)),OFFSET($A$1,ROW()-1,8),0))))))</f>
        <v/>
      </c>
      <c r="AF125" s="62">
        <f>IF($V125&lt;&gt;"Sub","",N($X125)*IF(AND(ISNUMBER($G125),$G125&lt;=IF($S125=MesCiclo,InicioCiclo,$S125+MOD(2-WEEKDAY($S125),7))+20),1,MIN(1,MAX(0,IF(ISNUMBER(OFFSET($A$1,ROW()-1,10)),OFFSET($A$1,ROW()-1,10),IF(ISNUMBER(OFFSET($A$1,ROW()-1,9)),OFFSET($A$1,ROW()-1,9),IF(ISNUMBER(OFFSET($A$1,ROW()-1,8)),OFFSET($A$1,ROW()-1,8),0)))))))</f>
        <v/>
      </c>
      <c r="AG125" s="62">
        <f>IF($V125&lt;&gt;"Sub","",N($X125)*IF(AND(ISNUMBER($G125),$G125&lt;=IF($S125=MesCiclo,InicioCiclo,$S125+MOD(2-WEEKDAY($S125),7))+27),1,MIN(1,MAX(0,IF(ISNUMBER(OFFSET($A$1,ROW()-1,11)),OFFSET($A$1,ROW()-1,11),IF(ISNUMBER(OFFSET($A$1,ROW()-1,10)),OFFSET($A$1,ROW()-1,10),IF(ISNUMBER(OFFSET($A$1,ROW()-1,9)),OFFSET($A$1,ROW()-1,9),IF(ISNUMBER(OFFSET($A$1,ROW()-1,8)),OFFSET($A$1,ROW()-1,8),0))))))))</f>
        <v/>
      </c>
      <c r="AH125" s="62">
        <f>IF($V125="","",IF(AND(ISNUMBER($G125),$G125&lt;=IF($S125=MesCiclo,InicioCiclo,$S125+MOD(2-WEEKDAY($S125),7))+6),1,IF(N($W125)&gt;0,MIN(1,SUMIFS($AD$5:$AD$1000,$U$5:$U$1000,ROW(),$V$5:$V$1000,"Sub")),$Z125)))</f>
        <v/>
      </c>
      <c r="AI125" s="62">
        <f>IF($V125="","",IF(AND(ISNUMBER($G125),$G125&lt;=IF($S125=MesCiclo,InicioCiclo,$S125+MOD(2-WEEKDAY($S125),7))+13),1,IF(N($W125)&gt;0,MIN(1,SUMIFS($AE$5:$AE$1000,$U$5:$U$1000,ROW(),$V$5:$V$1000,"Sub")),$AA125)))</f>
        <v/>
      </c>
      <c r="AJ125" s="62">
        <f>IF($V125="","",IF(AND(ISNUMBER($G125),$G125&lt;=IF($S125=MesCiclo,InicioCiclo,$S125+MOD(2-WEEKDAY($S125),7))+20),1,IF(N($W125)&gt;0,MIN(1,SUMIFS($AF$5:$AF$1000,$U$5:$U$1000,ROW(),$V$5:$V$1000,"Sub")),$AB125)))</f>
        <v/>
      </c>
      <c r="AK125" s="62">
        <f>IF($V125="","",IF(AND(ISNUMBER($G125),$G125&lt;=IF($S125=MesCiclo,InicioCiclo,$S125+MOD(2-WEEKDAY($S125),7))+27),1,IF(N($W125)&gt;0,MIN(1,SUMIFS($AG$5:$AG$1000,$U$5:$U$1000,ROW(),$V$5:$V$1000,"Sub")),$AC125)))</f>
        <v/>
      </c>
      <c r="AL125" s="62">
        <f>IF($V125&lt;&gt;"Macro","",IF(COUNTIFS($S$5:$S$1000,$S125,$V$5:$V$1000,"Macro",$H$5:$H$1000,"&gt;0")=0,1/COUNTIFS($S$5:$S$1000,$S125,$V$5:$V$1000,"Macro"),IF(AND(ISNUMBER($H125),N($H125)&gt;0),$H125,SUMIFS($H$5:$H$1000,$S$5:$S$1000,$S125,$V$5:$V$1000,"Macro")/COUNTIFS($S$5:$S$1000,$S125,$V$5:$V$1000,"Macro",$H$5:$H$1000,"&gt;0"))/(COUNTIFS($S$5:$S$1000,$S125,$V$5:$V$1000,"Macro")*SUMIFS($H$5:$H$1000,$S$5:$S$1000,$S125,$V$5:$V$1000,"Macro")/COUNTIFS($S$5:$S$1000,$S125,$V$5:$V$1000,"Macro",$H$5:$H$1000,"&gt;0"))))</f>
        <v/>
      </c>
      <c r="AM125" s="62" t="n"/>
      <c r="AN125" s="62" t="n"/>
      <c r="AO125" s="62" t="n"/>
      <c r="AP125" s="62" t="n"/>
      <c r="AQ125" s="62">
        <f>IF(LEFT($C125,11)="[Jefatura] ",IFERROR(MATCH("Asistente Técnico de Riesgo|"&amp;MID($C125,12,500),rDname_ADM,0),0),"")</f>
        <v/>
      </c>
      <c r="AR125" s="62">
        <f>IF(N($AQ125)&gt;0,INDEX(rIni_ADM,$AQ125),IF(ISNUMBER($E125),$E125,""))</f>
        <v/>
      </c>
      <c r="AS125" s="62">
        <f>IF(N($AQ125)&gt;0,INDEX(rLim_ADM,$AQ125),IF(ISNUMBER($F125),$F125,""))</f>
        <v/>
      </c>
    </row>
    <row r="126">
      <c r="A126" s="56">
        <f>IF(NOT((COUNTA($B126:$D126)+COUNTA($G126:$H126)+COUNTA($Q126))&gt;0),"",IF($V126="Macro",COUNTIFS($V$5:$V126,"Macro",$S$5:$S126,$S126),IF(N($U126)=0,"?",COUNTIFS(INDEX($V$5:$V$1000,1):INDEX($V$5:$V$1000,$U126-4),"Macro",INDEX($S$5:$S$1000,1):INDEX($S$5:$S$1000,$U126-4),INDEX($S$5:$S$1000,$U126-4))&amp;"."&amp;COUNTIFS($U$5:$U126,$U126,$V$5:$V126,"Sub"))))</f>
        <v/>
      </c>
      <c r="B126" s="57" t="n"/>
      <c r="C126" s="58" t="n"/>
      <c r="D126" s="58" t="n"/>
      <c r="E126" s="59">
        <f>IF(N($AQ126)&gt;0,INDEX(rIni_ADM,$AQ126),"")</f>
        <v/>
      </c>
      <c r="F126" s="59">
        <f>IF(N($AQ126)&gt;0,INDEX(rLim_ADM,$AQ126),"")</f>
        <v/>
      </c>
      <c r="G126" s="59" t="n"/>
      <c r="H126" s="60" t="n"/>
      <c r="I126" s="60">
        <f>IF(N($W126)=0,"",IF(AND($S126=MesCiclo,1&gt;SemanaActual),"",MIN(1,SUMIFS(OFFSET($A$1,ROW(),29,1000-ROW(),1),OFFSET($A$1,ROW(),20,1000-ROW(),1),ROW(),OFFSET($A$1,ROW(),21,1000-ROW(),1),"Sub"))))</f>
        <v/>
      </c>
      <c r="J126" s="60">
        <f>IF(N($W126)=0,"",IF(AND($S126=MesCiclo,2&gt;SemanaActual),"",MIN(1,SUMIFS(OFFSET($A$1,ROW(),30,1000-ROW(),1),OFFSET($A$1,ROW(),20,1000-ROW(),1),ROW(),OFFSET($A$1,ROW(),21,1000-ROW(),1),"Sub"))))</f>
        <v/>
      </c>
      <c r="K126" s="60">
        <f>IF(N($W126)=0,"",IF(AND($S126=MesCiclo,3&gt;SemanaActual),"",MIN(1,SUMIFS(OFFSET($A$1,ROW(),31,1000-ROW(),1),OFFSET($A$1,ROW(),20,1000-ROW(),1),ROW(),OFFSET($A$1,ROW(),21,1000-ROW(),1),"Sub"))))</f>
        <v/>
      </c>
      <c r="L126" s="60">
        <f>IF(N($W126)=0,"",IF(AND($S126=MesCiclo,4&gt;SemanaActual),"",MIN(1,SUMIFS(OFFSET($A$1,ROW(),32,1000-ROW(),1),OFFSET($A$1,ROW(),20,1000-ROW(),1),ROW(),OFFSET($A$1,ROW(),21,1000-ROW(),1),"Sub"))))</f>
        <v/>
      </c>
      <c r="M126" s="61">
        <f>IF(OR(NOT((COUNTA($B126:$D126)+COUNTA($G126:$H126)+COUNTA($Q126))&gt;0),$V126="Sub"),"",IF(ISNUMBER($G126),1,IF(N($W126)&gt;0,MIN(1,SUMIFS($Y$5:$Y$1000,$U$5:$U$1000,ROW(),$V$5:$V$1000,"Sub")),$Y126)))</f>
        <v/>
      </c>
      <c r="N126" s="56">
        <f>IF(OR($M126="",$V126="Sub"),"",IF($M126&gt;=1,"Completado",IF($M126&gt;0,"En curso","Pendiente")))</f>
        <v/>
      </c>
      <c r="O126" s="56">
        <f>IF(OR(NOT((COUNTA($B126:$D126)+COUNTA($G126:$H126)+COUNTA($Q126))&gt;0),$V126="Sub"),"",IF(ISNUMBER($G126),IF(AND(ISNUMBER($AS126),$G126&gt;$AS126),"Cumplida con "&amp;($G126-$AS126)&amp;IF($G126-$AS126=1," día"," días")&amp;" de retraso","Cumplida"),IF(N($M126)&gt;=1,"Cumplida",IF(NOT(ISNUMBER($AS126)),"Sin fecha límite",IF($AS126&lt;FechaRef,"Vencida hace "&amp;(FechaRef-$AS126)&amp;IF(FechaRef-$AS126=1," día"," días"),IF($AS126=FechaRef,"Vence hoy",IF($AS126-FechaRef&lt;=DiasAlerta,"Vence en "&amp;($AS126-FechaRef)&amp;IF($AS126-FechaRef=1," día"," días"),"En plazo")))))))</f>
        <v/>
      </c>
      <c r="P126" s="62" t="n"/>
      <c r="Q126" s="58" t="n"/>
      <c r="R126" s="63">
        <f>IF(NOT((COUNTA($B126:$D126)+COUNTA($G126:$H126)+COUNTA($Q126))&gt;0),"",IF((IF($C126="","Falta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 OK","⚠ "&amp;LEFT(IF($C126="","Falta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",""),LEN(IF($C126="","Falta el nombre de la actividad"&amp;" · ","")&amp;IF(AND($V126="Sub",N($U126)=0),"Subactividad sin macroactividad arriba"&amp;" · ","")&amp;IF(AND($V126="Macro",$AR126=""),"Sin fecha de inicio"&amp;" · ","")&amp;IF(AND($V126="Macro",$AS126=""),"Sin fecha límite"&amp;" · ","")&amp;IF(AND(LEFT($C126,11)="[Jefatura] ",N($AQ126)=0),"No se encuentra en la hoja de la jefatura (elíjala de nuevo en la lista)"&amp;" · ","")&amp;IF(OR(AND($E126&lt;&gt;"",NOT(ISNUMBER($E126))),AND($F126&lt;&gt;"",NOT(ISNUMBER($F126))),AND($G126&lt;&gt;"",NOT(ISNUMBER($G126)))),"Fecha no válida"&amp;" · ","")&amp;IF(AND(ISNUMBER($AR126),ISNUMBER($AS126),$AR126&gt;$AS126),"Inicio posterior a fecha límite"&amp;" · ","")&amp;IF(AND($V126="Macro",$H126&lt;&gt;"",OR(NOT(ISNUMBER($H126)),$H126&lt;0,$H126&gt;1)),"Peso fuera de rango"&amp;" · ","")&amp;IF(AND($V126="Sub",$H126&lt;&gt;"",OR(NOT(ISNUMBER($H126)),$H126&lt;0,$H126&gt;1)),"% de la subactividad fuera de rango 0-100%"&amp;" · ","")&amp;IF(AND(N($W126)&gt;0,SUMIFS($H$5:$H$1000,$U$5:$U$1000,ROW(),$V$5:$V$1000,"Sub")&gt;1.0001),"Las subactividades suman más de 100%"&amp;" · ","")&amp;IF(AND(N($W126)&gt;0,OR(IF(ISNUMBER($I126),ROUND($I126,6)&lt;&gt;ROUND(MIN(1,SUMIFS($AD$5:$AD$1000,$U$5:$U$1000,ROW(),$V$5:$V$1000,"Sub")),6),FALSE),IF(ISNUMBER($J126),ROUND($J126,6)&lt;&gt;ROUND(MIN(1,SUMIFS($AE$5:$AE$1000,$U$5:$U$1000,ROW(),$V$5:$V$1000,"Sub")),6),FALSE),IF(ISNUMBER($K126),ROUND($K126,6)&lt;&gt;ROUND(MIN(1,SUMIFS($AF$5:$AF$1000,$U$5:$U$1000,ROW(),$V$5:$V$1000,"Sub")),6),FALSE),IF(ISNUMBER($L126),ROUND($L126,6)&lt;&gt;ROUND(MIN(1,SUMIFS($AG$5:$AG$1000,$U$5:$U$1000,ROW(),$V$5:$V$1000,"Sub")),6),FALSE))),"Con subactividades: no escriba en las semanas (se llenan solas)"&amp;" · ","")&amp;IF((COUNTIF($I126:$L126,"&gt;1")+COUNTIF($I126:$L126,"&lt;0")+SUMPRODUCT((LEN($I126:$L126)&gt;0)*NOT(ISNUMBER($I126:$L126))))&gt;0,"Avance fuera de rango 0-100%"&amp;" · ","")&amp;IF(OR(AND(ISNUMBER($J126),$J126&lt;N($I126)),AND(ISNUMBER($K126),$K126&lt;MAX($I126:$J126)),AND(ISNUMBER($L126),$L126&lt;MAX($I126:$K126))),"Avance semanal decreciente"&amp;" · ","")&amp;IF(AND(ISNUMBER($AS126),$AS126&lt;FechaRef,IF($V126="Sub",1,N($M126))&lt;1),"Vencida"&amp;" · ","")&amp;IF(AND(ObsObligatoria="Sí",ISNUMBER($AS126),$AS126&lt;FechaRef,IF($V126="Sub",1,N($M126))&lt;1,$Q126=""),"Vencida sin observación"&amp;" · ",""))-3)))</f>
        <v/>
      </c>
      <c r="S126" s="64">
        <f>IF(NOT((COUNTA($B126:$D126)+COUNTA($G126:$H126)+COUNTA($Q126))&gt;0),"",IF(AND($V126="Sub",N($U126)&gt;0),IF(ISNUMBER(INDEX($AR$5:$AR$1000,$U126-4)),DATE(YEAR(INDEX($AR$5:$AR$1000,$U126-4)),MONTH(INDEX($AR$5:$AR$1000,$U126-4)),1),IF(ISNUMBER(INDEX($AS$5:$AS$1000,$U126-4)),DATE(YEAR(INDEX($AS$5:$AS$1000,$U126-4)),MONTH(INDEX($AS$5:$AS$1000,$U126-4)),1),MesCiclo)),IF(ISNUMBER($AR126),DATE(YEAR($AR126),MONTH($AR126),1),IF(ISNUMBER($AS126),DATE(YEAR($AS126),MONTH($AS126),1),MesCiclo))))</f>
        <v/>
      </c>
      <c r="T126" s="62">
        <f>IF(OR($S126="",$S126&lt;&gt;MesCiclo,$V126&lt;&gt;"Macro"),"",COUNTIFS($S$5:$S126,MesCiclo,$V$5:$V126,"Macro"))</f>
        <v/>
      </c>
      <c r="U126" s="62">
        <f>IF($V126="","",IF($V126="Macro",ROW(),IFERROR(LOOKUP(2,1/($V$5:$V126="Macro"),ROW($V$5:$V126)),0)))</f>
        <v/>
      </c>
      <c r="V126" s="62">
        <f>IF(NOT((COUNTA($B126:$D126)+COUNTA($G126:$H126)+COUNTA($Q126))&gt;0),"",IF($B126="Subactividad","Sub","Macro"))</f>
        <v/>
      </c>
      <c r="W126" s="62">
        <f>IF($V126="Macro",COUNTIFS($U$5:$U$1000,ROW(),$V$5:$V$1000,"Sub"),"")</f>
        <v/>
      </c>
      <c r="X126" s="62">
        <f>IF($V126&lt;&gt;"Sub","",IF(AND(ISNUMBER($H126),N($H126)&gt;0),$H126,IFERROR(MAX(0,1-SUMIFS($H$5:$H$1000,$U$5:$U$1000,$U126,$V$5:$V$1000,"Sub"))/(COUNTIFS($U$5:$U$1000,$U126,$V$5:$V$1000,"Sub")-COUNTIFS($U$5:$U$1000,$U126,$V$5:$V$1000,"Sub",$H$5:$H$1000,"&gt;0")),0)))</f>
        <v/>
      </c>
      <c r="Y126" s="62">
        <f>IF($V126="","",IF($V126="Sub",N($X126)*IF(ISNUMBER($G126),1,MIN(1,MAX(0,IFERROR(LOOKUP(2,1/ISNUMBER($I126:$L126),$I126:$L126),0)))),IF(ISNUMBER($G126),1,IFERROR(LOOKUP(2,1/($I126:$L126&lt;&gt;""),$I126:$L126),0))))</f>
        <v/>
      </c>
      <c r="Z126" s="62">
        <f>IF($V126="","",IF(AND(ISNUMBER($G126),$G126&lt;=IF($S126=MesCiclo,InicioCiclo,$S126+MOD(2-WEEKDAY($S126),7))+6),1,IF(ISNUMBER($I126),$I126,0)))</f>
        <v/>
      </c>
      <c r="AA126" s="62">
        <f>IF($V126="","",IF(AND(ISNUMBER($G126),$G126&lt;=IF($S126=MesCiclo,InicioCiclo,$S126+MOD(2-WEEKDAY($S126),7))+13),1,IF(ISNUMBER($J126),$J126,$Z126)))</f>
        <v/>
      </c>
      <c r="AB126" s="62">
        <f>IF($V126="","",IF(AND(ISNUMBER($G126),$G126&lt;=IF($S126=MesCiclo,InicioCiclo,$S126+MOD(2-WEEKDAY($S126),7))+20),1,IF(ISNUMBER($K126),$K126,$AA126)))</f>
        <v/>
      </c>
      <c r="AC126" s="62">
        <f>IF($V126="","",IF(AND(ISNUMBER($G126),$G126&lt;=IF($S126=MesCiclo,InicioCiclo,$S126+MOD(2-WEEKDAY($S126),7))+27),1,IF(ISNUMBER($L126),$L126,$AB126)))</f>
        <v/>
      </c>
      <c r="AD126" s="62">
        <f>IF($V126&lt;&gt;"Sub","",N($X126)*IF(AND(ISNUMBER($G126),$G126&lt;=IF($S126=MesCiclo,InicioCiclo,$S126+MOD(2-WEEKDAY($S126),7))+6),1,MIN(1,MAX(0,IF(ISNUMBER(OFFSET($A$1,ROW()-1,8)),OFFSET($A$1,ROW()-1,8),0)))))</f>
        <v/>
      </c>
      <c r="AE126" s="62">
        <f>IF($V126&lt;&gt;"Sub","",N($X126)*IF(AND(ISNUMBER($G126),$G126&lt;=IF($S126=MesCiclo,InicioCiclo,$S126+MOD(2-WEEKDAY($S126),7))+13),1,MIN(1,MAX(0,IF(ISNUMBER(OFFSET($A$1,ROW()-1,9)),OFFSET($A$1,ROW()-1,9),IF(ISNUMBER(OFFSET($A$1,ROW()-1,8)),OFFSET($A$1,ROW()-1,8),0))))))</f>
        <v/>
      </c>
      <c r="AF126" s="62">
        <f>IF($V126&lt;&gt;"Sub","",N($X126)*IF(AND(ISNUMBER($G126),$G126&lt;=IF($S126=MesCiclo,InicioCiclo,$S126+MOD(2-WEEKDAY($S126),7))+20),1,MIN(1,MAX(0,IF(ISNUMBER(OFFSET($A$1,ROW()-1,10)),OFFSET($A$1,ROW()-1,10),IF(ISNUMBER(OFFSET($A$1,ROW()-1,9)),OFFSET($A$1,ROW()-1,9),IF(ISNUMBER(OFFSET($A$1,ROW()-1,8)),OFFSET($A$1,ROW()-1,8),0)))))))</f>
        <v/>
      </c>
      <c r="AG126" s="62">
        <f>IF($V126&lt;&gt;"Sub","",N($X126)*IF(AND(ISNUMBER($G126),$G126&lt;=IF($S126=MesCiclo,InicioCiclo,$S126+MOD(2-WEEKDAY($S126),7))+27),1,MIN(1,MAX(0,IF(ISNUMBER(OFFSET($A$1,ROW()-1,11)),OFFSET($A$1,ROW()-1,11),IF(ISNUMBER(OFFSET($A$1,ROW()-1,10)),OFFSET($A$1,ROW()-1,10),IF(ISNUMBER(OFFSET($A$1,ROW()-1,9)),OFFSET($A$1,ROW()-1,9),IF(ISNUMBER(OFFSET($A$1,ROW()-1,8)),OFFSET($A$1,ROW()-1,8),0))))))))</f>
        <v/>
      </c>
      <c r="AH126" s="62">
        <f>IF($V126="","",IF(AND(ISNUMBER($G126),$G126&lt;=IF($S126=MesCiclo,InicioCiclo,$S126+MOD(2-WEEKDAY($S126),7))+6),1,IF(N($W126)&gt;0,MIN(1,SUMIFS($AD$5:$AD$1000,$U$5:$U$1000,ROW(),$V$5:$V$1000,"Sub")),$Z126)))</f>
        <v/>
      </c>
      <c r="AI126" s="62">
        <f>IF($V126="","",IF(AND(ISNUMBER($G126),$G126&lt;=IF($S126=MesCiclo,InicioCiclo,$S126+MOD(2-WEEKDAY($S126),7))+13),1,IF(N($W126)&gt;0,MIN(1,SUMIFS($AE$5:$AE$1000,$U$5:$U$1000,ROW(),$V$5:$V$1000,"Sub")),$AA126)))</f>
        <v/>
      </c>
      <c r="AJ126" s="62">
        <f>IF($V126="","",IF(AND(ISNUMBER($G126),$G126&lt;=IF($S126=MesCiclo,InicioCiclo,$S126+MOD(2-WEEKDAY($S126),7))+20),1,IF(N($W126)&gt;0,MIN(1,SUMIFS($AF$5:$AF$1000,$U$5:$U$1000,ROW(),$V$5:$V$1000,"Sub")),$AB126)))</f>
        <v/>
      </c>
      <c r="AK126" s="62">
        <f>IF($V126="","",IF(AND(ISNUMBER($G126),$G126&lt;=IF($S126=MesCiclo,InicioCiclo,$S126+MOD(2-WEEKDAY($S126),7))+27),1,IF(N($W126)&gt;0,MIN(1,SUMIFS($AG$5:$AG$1000,$U$5:$U$1000,ROW(),$V$5:$V$1000,"Sub")),$AC126)))</f>
        <v/>
      </c>
      <c r="AL126" s="62">
        <f>IF($V126&lt;&gt;"Macro","",IF(COUNTIFS($S$5:$S$1000,$S126,$V$5:$V$1000,"Macro",$H$5:$H$1000,"&gt;0")=0,1/COUNTIFS($S$5:$S$1000,$S126,$V$5:$V$1000,"Macro"),IF(AND(ISNUMBER($H126),N($H126)&gt;0),$H126,SUMIFS($H$5:$H$1000,$S$5:$S$1000,$S126,$V$5:$V$1000,"Macro")/COUNTIFS($S$5:$S$1000,$S126,$V$5:$V$1000,"Macro",$H$5:$H$1000,"&gt;0"))/(COUNTIFS($S$5:$S$1000,$S126,$V$5:$V$1000,"Macro")*SUMIFS($H$5:$H$1000,$S$5:$S$1000,$S126,$V$5:$V$1000,"Macro")/COUNTIFS($S$5:$S$1000,$S126,$V$5:$V$1000,"Macro",$H$5:$H$1000,"&gt;0"))))</f>
        <v/>
      </c>
      <c r="AM126" s="62" t="n"/>
      <c r="AN126" s="62" t="n"/>
      <c r="AO126" s="62" t="n"/>
      <c r="AP126" s="62" t="n"/>
      <c r="AQ126" s="62">
        <f>IF(LEFT($C126,11)="[Jefatura] ",IFERROR(MATCH("Asistente Técnico de Riesgo|"&amp;MID($C126,12,500),rDname_ADM,0),0),"")</f>
        <v/>
      </c>
      <c r="AR126" s="62">
        <f>IF(N($AQ126)&gt;0,INDEX(rIni_ADM,$AQ126),IF(ISNUMBER($E126),$E126,""))</f>
        <v/>
      </c>
      <c r="AS126" s="62">
        <f>IF(N($AQ126)&gt;0,INDEX(rLim_ADM,$AQ126),IF(ISNUMBER($F126),$F126,""))</f>
        <v/>
      </c>
    </row>
    <row r="127">
      <c r="A127" s="56">
        <f>IF(NOT((COUNTA($B127:$D127)+COUNTA($G127:$H127)+COUNTA($Q127))&gt;0),"",IF($V127="Macro",COUNTIFS($V$5:$V127,"Macro",$S$5:$S127,$S127),IF(N($U127)=0,"?",COUNTIFS(INDEX($V$5:$V$1000,1):INDEX($V$5:$V$1000,$U127-4),"Macro",INDEX($S$5:$S$1000,1):INDEX($S$5:$S$1000,$U127-4),INDEX($S$5:$S$1000,$U127-4))&amp;"."&amp;COUNTIFS($U$5:$U127,$U127,$V$5:$V127,"Sub"))))</f>
        <v/>
      </c>
      <c r="B127" s="57" t="n"/>
      <c r="C127" s="58" t="n"/>
      <c r="D127" s="58" t="n"/>
      <c r="E127" s="59">
        <f>IF(N($AQ127)&gt;0,INDEX(rIni_ADM,$AQ127),"")</f>
        <v/>
      </c>
      <c r="F127" s="59">
        <f>IF(N($AQ127)&gt;0,INDEX(rLim_ADM,$AQ127),"")</f>
        <v/>
      </c>
      <c r="G127" s="59" t="n"/>
      <c r="H127" s="60" t="n"/>
      <c r="I127" s="60">
        <f>IF(N($W127)=0,"",IF(AND($S127=MesCiclo,1&gt;SemanaActual),"",MIN(1,SUMIFS(OFFSET($A$1,ROW(),29,1000-ROW(),1),OFFSET($A$1,ROW(),20,1000-ROW(),1),ROW(),OFFSET($A$1,ROW(),21,1000-ROW(),1),"Sub"))))</f>
        <v/>
      </c>
      <c r="J127" s="60">
        <f>IF(N($W127)=0,"",IF(AND($S127=MesCiclo,2&gt;SemanaActual),"",MIN(1,SUMIFS(OFFSET($A$1,ROW(),30,1000-ROW(),1),OFFSET($A$1,ROW(),20,1000-ROW(),1),ROW(),OFFSET($A$1,ROW(),21,1000-ROW(),1),"Sub"))))</f>
        <v/>
      </c>
      <c r="K127" s="60">
        <f>IF(N($W127)=0,"",IF(AND($S127=MesCiclo,3&gt;SemanaActual),"",MIN(1,SUMIFS(OFFSET($A$1,ROW(),31,1000-ROW(),1),OFFSET($A$1,ROW(),20,1000-ROW(),1),ROW(),OFFSET($A$1,ROW(),21,1000-ROW(),1),"Sub"))))</f>
        <v/>
      </c>
      <c r="L127" s="60">
        <f>IF(N($W127)=0,"",IF(AND($S127=MesCiclo,4&gt;SemanaActual),"",MIN(1,SUMIFS(OFFSET($A$1,ROW(),32,1000-ROW(),1),OFFSET($A$1,ROW(),20,1000-ROW(),1),ROW(),OFFSET($A$1,ROW(),21,1000-ROW(),1),"Sub"))))</f>
        <v/>
      </c>
      <c r="M127" s="61">
        <f>IF(OR(NOT((COUNTA($B127:$D127)+COUNTA($G127:$H127)+COUNTA($Q127))&gt;0),$V127="Sub"),"",IF(ISNUMBER($G127),1,IF(N($W127)&gt;0,MIN(1,SUMIFS($Y$5:$Y$1000,$U$5:$U$1000,ROW(),$V$5:$V$1000,"Sub")),$Y127)))</f>
        <v/>
      </c>
      <c r="N127" s="56">
        <f>IF(OR($M127="",$V127="Sub"),"",IF($M127&gt;=1,"Completado",IF($M127&gt;0,"En curso","Pendiente")))</f>
        <v/>
      </c>
      <c r="O127" s="56">
        <f>IF(OR(NOT((COUNTA($B127:$D127)+COUNTA($G127:$H127)+COUNTA($Q127))&gt;0),$V127="Sub"),"",IF(ISNUMBER($G127),IF(AND(ISNUMBER($AS127),$G127&gt;$AS127),"Cumplida con "&amp;($G127-$AS127)&amp;IF($G127-$AS127=1," día"," días")&amp;" de retraso","Cumplida"),IF(N($M127)&gt;=1,"Cumplida",IF(NOT(ISNUMBER($AS127)),"Sin fecha límite",IF($AS127&lt;FechaRef,"Vencida hace "&amp;(FechaRef-$AS127)&amp;IF(FechaRef-$AS127=1," día"," días"),IF($AS127=FechaRef,"Vence hoy",IF($AS127-FechaRef&lt;=DiasAlerta,"Vence en "&amp;($AS127-FechaRef)&amp;IF($AS127-FechaRef=1," día"," días"),"En plazo")))))))</f>
        <v/>
      </c>
      <c r="P127" s="62" t="n"/>
      <c r="Q127" s="58" t="n"/>
      <c r="R127" s="63">
        <f>IF(NOT((COUNTA($B127:$D127)+COUNTA($G127:$H127)+COUNTA($Q127))&gt;0),"",IF((IF($C127="","Falta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 OK","⚠ "&amp;LEFT(IF($C127="","Falta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",""),LEN(IF($C127="","Falta el nombre de la actividad"&amp;" · ","")&amp;IF(AND($V127="Sub",N($U127)=0),"Subactividad sin macroactividad arriba"&amp;" · ","")&amp;IF(AND($V127="Macro",$AR127=""),"Sin fecha de inicio"&amp;" · ","")&amp;IF(AND($V127="Macro",$AS127=""),"Sin fecha límite"&amp;" · ","")&amp;IF(AND(LEFT($C127,11)="[Jefatura] ",N($AQ127)=0),"No se encuentra en la hoja de la jefatura (elíjala de nuevo en la lista)"&amp;" · ","")&amp;IF(OR(AND($E127&lt;&gt;"",NOT(ISNUMBER($E127))),AND($F127&lt;&gt;"",NOT(ISNUMBER($F127))),AND($G127&lt;&gt;"",NOT(ISNUMBER($G127)))),"Fecha no válida"&amp;" · ","")&amp;IF(AND(ISNUMBER($AR127),ISNUMBER($AS127),$AR127&gt;$AS127),"Inicio posterior a fecha límite"&amp;" · ","")&amp;IF(AND($V127="Macro",$H127&lt;&gt;"",OR(NOT(ISNUMBER($H127)),$H127&lt;0,$H127&gt;1)),"Peso fuera de rango"&amp;" · ","")&amp;IF(AND($V127="Sub",$H127&lt;&gt;"",OR(NOT(ISNUMBER($H127)),$H127&lt;0,$H127&gt;1)),"% de la subactividad fuera de rango 0-100%"&amp;" · ","")&amp;IF(AND(N($W127)&gt;0,SUMIFS($H$5:$H$1000,$U$5:$U$1000,ROW(),$V$5:$V$1000,"Sub")&gt;1.0001),"Las subactividades suman más de 100%"&amp;" · ","")&amp;IF(AND(N($W127)&gt;0,OR(IF(ISNUMBER($I127),ROUND($I127,6)&lt;&gt;ROUND(MIN(1,SUMIFS($AD$5:$AD$1000,$U$5:$U$1000,ROW(),$V$5:$V$1000,"Sub")),6),FALSE),IF(ISNUMBER($J127),ROUND($J127,6)&lt;&gt;ROUND(MIN(1,SUMIFS($AE$5:$AE$1000,$U$5:$U$1000,ROW(),$V$5:$V$1000,"Sub")),6),FALSE),IF(ISNUMBER($K127),ROUND($K127,6)&lt;&gt;ROUND(MIN(1,SUMIFS($AF$5:$AF$1000,$U$5:$U$1000,ROW(),$V$5:$V$1000,"Sub")),6),FALSE),IF(ISNUMBER($L127),ROUND($L127,6)&lt;&gt;ROUND(MIN(1,SUMIFS($AG$5:$AG$1000,$U$5:$U$1000,ROW(),$V$5:$V$1000,"Sub")),6),FALSE))),"Con subactividades: no escriba en las semanas (se llenan solas)"&amp;" · ","")&amp;IF((COUNTIF($I127:$L127,"&gt;1")+COUNTIF($I127:$L127,"&lt;0")+SUMPRODUCT((LEN($I127:$L127)&gt;0)*NOT(ISNUMBER($I127:$L127))))&gt;0,"Avance fuera de rango 0-100%"&amp;" · ","")&amp;IF(OR(AND(ISNUMBER($J127),$J127&lt;N($I127)),AND(ISNUMBER($K127),$K127&lt;MAX($I127:$J127)),AND(ISNUMBER($L127),$L127&lt;MAX($I127:$K127))),"Avance semanal decreciente"&amp;" · ","")&amp;IF(AND(ISNUMBER($AS127),$AS127&lt;FechaRef,IF($V127="Sub",1,N($M127))&lt;1),"Vencida"&amp;" · ","")&amp;IF(AND(ObsObligatoria="Sí",ISNUMBER($AS127),$AS127&lt;FechaRef,IF($V127="Sub",1,N($M127))&lt;1,$Q127=""),"Vencida sin observación"&amp;" · ",""))-3)))</f>
        <v/>
      </c>
      <c r="S127" s="64">
        <f>IF(NOT((COUNTA($B127:$D127)+COUNTA($G127:$H127)+COUNTA($Q127))&gt;0),"",IF(AND($V127="Sub",N($U127)&gt;0),IF(ISNUMBER(INDEX($AR$5:$AR$1000,$U127-4)),DATE(YEAR(INDEX($AR$5:$AR$1000,$U127-4)),MONTH(INDEX($AR$5:$AR$1000,$U127-4)),1),IF(ISNUMBER(INDEX($AS$5:$AS$1000,$U127-4)),DATE(YEAR(INDEX($AS$5:$AS$1000,$U127-4)),MONTH(INDEX($AS$5:$AS$1000,$U127-4)),1),MesCiclo)),IF(ISNUMBER($AR127),DATE(YEAR($AR127),MONTH($AR127),1),IF(ISNUMBER($AS127),DATE(YEAR($AS127),MONTH($AS127),1),MesCiclo))))</f>
        <v/>
      </c>
      <c r="T127" s="62">
        <f>IF(OR($S127="",$S127&lt;&gt;MesCiclo,$V127&lt;&gt;"Macro"),"",COUNTIFS($S$5:$S127,MesCiclo,$V$5:$V127,"Macro"))</f>
        <v/>
      </c>
      <c r="U127" s="62">
        <f>IF($V127="","",IF($V127="Macro",ROW(),IFERROR(LOOKUP(2,1/($V$5:$V127="Macro"),ROW($V$5:$V127)),0)))</f>
        <v/>
      </c>
      <c r="V127" s="62">
        <f>IF(NOT((COUNTA($B127:$D127)+COUNTA($G127:$H127)+COUNTA($Q127))&gt;0),"",IF($B127="Subactividad","Sub","Macro"))</f>
        <v/>
      </c>
      <c r="W127" s="62">
        <f>IF($V127="Macro",COUNTIFS($U$5:$U$1000,ROW(),$V$5:$V$1000,"Sub"),"")</f>
        <v/>
      </c>
      <c r="X127" s="62">
        <f>IF($V127&lt;&gt;"Sub","",IF(AND(ISNUMBER($H127),N($H127)&gt;0),$H127,IFERROR(MAX(0,1-SUMIFS($H$5:$H$1000,$U$5:$U$1000,$U127,$V$5:$V$1000,"Sub"))/(COUNTIFS($U$5:$U$1000,$U127,$V$5:$V$1000,"Sub")-COUNTIFS($U$5:$U$1000,$U127,$V$5:$V$1000,"Sub",$H$5:$H$1000,"&gt;0")),0)))</f>
        <v/>
      </c>
      <c r="Y127" s="62">
        <f>IF($V127="","",IF($V127="Sub",N($X127)*IF(ISNUMBER($G127),1,MIN(1,MAX(0,IFERROR(LOOKUP(2,1/ISNUMBER($I127:$L127),$I127:$L127),0)))),IF(ISNUMBER($G127),1,IFERROR(LOOKUP(2,1/($I127:$L127&lt;&gt;""),$I127:$L127),0))))</f>
        <v/>
      </c>
      <c r="Z127" s="62">
        <f>IF($V127="","",IF(AND(ISNUMBER($G127),$G127&lt;=IF($S127=MesCiclo,InicioCiclo,$S127+MOD(2-WEEKDAY($S127),7))+6),1,IF(ISNUMBER($I127),$I127,0)))</f>
        <v/>
      </c>
      <c r="AA127" s="62">
        <f>IF($V127="","",IF(AND(ISNUMBER($G127),$G127&lt;=IF($S127=MesCiclo,InicioCiclo,$S127+MOD(2-WEEKDAY($S127),7))+13),1,IF(ISNUMBER($J127),$J127,$Z127)))</f>
        <v/>
      </c>
      <c r="AB127" s="62">
        <f>IF($V127="","",IF(AND(ISNUMBER($G127),$G127&lt;=IF($S127=MesCiclo,InicioCiclo,$S127+MOD(2-WEEKDAY($S127),7))+20),1,IF(ISNUMBER($K127),$K127,$AA127)))</f>
        <v/>
      </c>
      <c r="AC127" s="62">
        <f>IF($V127="","",IF(AND(ISNUMBER($G127),$G127&lt;=IF($S127=MesCiclo,InicioCiclo,$S127+MOD(2-WEEKDAY($S127),7))+27),1,IF(ISNUMBER($L127),$L127,$AB127)))</f>
        <v/>
      </c>
      <c r="AD127" s="62">
        <f>IF($V127&lt;&gt;"Sub","",N($X127)*IF(AND(ISNUMBER($G127),$G127&lt;=IF($S127=MesCiclo,InicioCiclo,$S127+MOD(2-WEEKDAY($S127),7))+6),1,MIN(1,MAX(0,IF(ISNUMBER(OFFSET($A$1,ROW()-1,8)),OFFSET($A$1,ROW()-1,8),0)))))</f>
        <v/>
      </c>
      <c r="AE127" s="62">
        <f>IF($V127&lt;&gt;"Sub","",N($X127)*IF(AND(ISNUMBER($G127),$G127&lt;=IF($S127=MesCiclo,InicioCiclo,$S127+MOD(2-WEEKDAY($S127),7))+13),1,MIN(1,MAX(0,IF(ISNUMBER(OFFSET($A$1,ROW()-1,9)),OFFSET($A$1,ROW()-1,9),IF(ISNUMBER(OFFSET($A$1,ROW()-1,8)),OFFSET($A$1,ROW()-1,8),0))))))</f>
        <v/>
      </c>
      <c r="AF127" s="62">
        <f>IF($V127&lt;&gt;"Sub","",N($X127)*IF(AND(ISNUMBER($G127),$G127&lt;=IF($S127=MesCiclo,InicioCiclo,$S127+MOD(2-WEEKDAY($S127),7))+20),1,MIN(1,MAX(0,IF(ISNUMBER(OFFSET($A$1,ROW()-1,10)),OFFSET($A$1,ROW()-1,10),IF(ISNUMBER(OFFSET($A$1,ROW()-1,9)),OFFSET($A$1,ROW()-1,9),IF(ISNUMBER(OFFSET($A$1,ROW()-1,8)),OFFSET($A$1,ROW()-1,8),0)))))))</f>
        <v/>
      </c>
      <c r="AG127" s="62">
        <f>IF($V127&lt;&gt;"Sub","",N($X127)*IF(AND(ISNUMBER($G127),$G127&lt;=IF($S127=MesCiclo,InicioCiclo,$S127+MOD(2-WEEKDAY($S127),7))+27),1,MIN(1,MAX(0,IF(ISNUMBER(OFFSET($A$1,ROW()-1,11)),OFFSET($A$1,ROW()-1,11),IF(ISNUMBER(OFFSET($A$1,ROW()-1,10)),OFFSET($A$1,ROW()-1,10),IF(ISNUMBER(OFFSET($A$1,ROW()-1,9)),OFFSET($A$1,ROW()-1,9),IF(ISNUMBER(OFFSET($A$1,ROW()-1,8)),OFFSET($A$1,ROW()-1,8),0))))))))</f>
        <v/>
      </c>
      <c r="AH127" s="62">
        <f>IF($V127="","",IF(AND(ISNUMBER($G127),$G127&lt;=IF($S127=MesCiclo,InicioCiclo,$S127+MOD(2-WEEKDAY($S127),7))+6),1,IF(N($W127)&gt;0,MIN(1,SUMIFS($AD$5:$AD$1000,$U$5:$U$1000,ROW(),$V$5:$V$1000,"Sub")),$Z127)))</f>
        <v/>
      </c>
      <c r="AI127" s="62">
        <f>IF($V127="","",IF(AND(ISNUMBER($G127),$G127&lt;=IF($S127=MesCiclo,InicioCiclo,$S127+MOD(2-WEEKDAY($S127),7))+13),1,IF(N($W127)&gt;0,MIN(1,SUMIFS($AE$5:$AE$1000,$U$5:$U$1000,ROW(),$V$5:$V$1000,"Sub")),$AA127)))</f>
        <v/>
      </c>
      <c r="AJ127" s="62">
        <f>IF($V127="","",IF(AND(ISNUMBER($G127),$G127&lt;=IF($S127=MesCiclo,InicioCiclo,$S127+MOD(2-WEEKDAY($S127),7))+20),1,IF(N($W127)&gt;0,MIN(1,SUMIFS($AF$5:$AF$1000,$U$5:$U$1000,ROW(),$V$5:$V$1000,"Sub")),$AB127)))</f>
        <v/>
      </c>
      <c r="AK127" s="62">
        <f>IF($V127="","",IF(AND(ISNUMBER($G127),$G127&lt;=IF($S127=MesCiclo,InicioCiclo,$S127+MOD(2-WEEKDAY($S127),7))+27),1,IF(N($W127)&gt;0,MIN(1,SUMIFS($AG$5:$AG$1000,$U$5:$U$1000,ROW(),$V$5:$V$1000,"Sub")),$AC127)))</f>
        <v/>
      </c>
      <c r="AL127" s="62">
        <f>IF($V127&lt;&gt;"Macro","",IF(COUNTIFS($S$5:$S$1000,$S127,$V$5:$V$1000,"Macro",$H$5:$H$1000,"&gt;0")=0,1/COUNTIFS($S$5:$S$1000,$S127,$V$5:$V$1000,"Macro"),IF(AND(ISNUMBER($H127),N($H127)&gt;0),$H127,SUMIFS($H$5:$H$1000,$S$5:$S$1000,$S127,$V$5:$V$1000,"Macro")/COUNTIFS($S$5:$S$1000,$S127,$V$5:$V$1000,"Macro",$H$5:$H$1000,"&gt;0"))/(COUNTIFS($S$5:$S$1000,$S127,$V$5:$V$1000,"Macro")*SUMIFS($H$5:$H$1000,$S$5:$S$1000,$S127,$V$5:$V$1000,"Macro")/COUNTIFS($S$5:$S$1000,$S127,$V$5:$V$1000,"Macro",$H$5:$H$1000,"&gt;0"))))</f>
        <v/>
      </c>
      <c r="AM127" s="62" t="n"/>
      <c r="AN127" s="62" t="n"/>
      <c r="AO127" s="62" t="n"/>
      <c r="AP127" s="62" t="n"/>
      <c r="AQ127" s="62">
        <f>IF(LEFT($C127,11)="[Jefatura] ",IFERROR(MATCH("Asistente Técnico de Riesgo|"&amp;MID($C127,12,500),rDname_ADM,0),0),"")</f>
        <v/>
      </c>
      <c r="AR127" s="62">
        <f>IF(N($AQ127)&gt;0,INDEX(rIni_ADM,$AQ127),IF(ISNUMBER($E127),$E127,""))</f>
        <v/>
      </c>
      <c r="AS127" s="62">
        <f>IF(N($AQ127)&gt;0,INDEX(rLim_ADM,$AQ127),IF(ISNUMBER($F127),$F127,""))</f>
        <v/>
      </c>
    </row>
    <row r="128">
      <c r="A128" s="56">
        <f>IF(NOT((COUNTA($B128:$D128)+COUNTA($G128:$H128)+COUNTA($Q128))&gt;0),"",IF($V128="Macro",COUNTIFS($V$5:$V128,"Macro",$S$5:$S128,$S128),IF(N($U128)=0,"?",COUNTIFS(INDEX($V$5:$V$1000,1):INDEX($V$5:$V$1000,$U128-4),"Macro",INDEX($S$5:$S$1000,1):INDEX($S$5:$S$1000,$U128-4),INDEX($S$5:$S$1000,$U128-4))&amp;"."&amp;COUNTIFS($U$5:$U128,$U128,$V$5:$V128,"Sub"))))</f>
        <v/>
      </c>
      <c r="B128" s="57" t="n"/>
      <c r="C128" s="58" t="n"/>
      <c r="D128" s="58" t="n"/>
      <c r="E128" s="59">
        <f>IF(N($AQ128)&gt;0,INDEX(rIni_ADM,$AQ128),"")</f>
        <v/>
      </c>
      <c r="F128" s="59">
        <f>IF(N($AQ128)&gt;0,INDEX(rLim_ADM,$AQ128),"")</f>
        <v/>
      </c>
      <c r="G128" s="59" t="n"/>
      <c r="H128" s="60" t="n"/>
      <c r="I128" s="60">
        <f>IF(N($W128)=0,"",IF(AND($S128=MesCiclo,1&gt;SemanaActual),"",MIN(1,SUMIFS(OFFSET($A$1,ROW(),29,1000-ROW(),1),OFFSET($A$1,ROW(),20,1000-ROW(),1),ROW(),OFFSET($A$1,ROW(),21,1000-ROW(),1),"Sub"))))</f>
        <v/>
      </c>
      <c r="J128" s="60">
        <f>IF(N($W128)=0,"",IF(AND($S128=MesCiclo,2&gt;SemanaActual),"",MIN(1,SUMIFS(OFFSET($A$1,ROW(),30,1000-ROW(),1),OFFSET($A$1,ROW(),20,1000-ROW(),1),ROW(),OFFSET($A$1,ROW(),21,1000-ROW(),1),"Sub"))))</f>
        <v/>
      </c>
      <c r="K128" s="60">
        <f>IF(N($W128)=0,"",IF(AND($S128=MesCiclo,3&gt;SemanaActual),"",MIN(1,SUMIFS(OFFSET($A$1,ROW(),31,1000-ROW(),1),OFFSET($A$1,ROW(),20,1000-ROW(),1),ROW(),OFFSET($A$1,ROW(),21,1000-ROW(),1),"Sub"))))</f>
        <v/>
      </c>
      <c r="L128" s="60">
        <f>IF(N($W128)=0,"",IF(AND($S128=MesCiclo,4&gt;SemanaActual),"",MIN(1,SUMIFS(OFFSET($A$1,ROW(),32,1000-ROW(),1),OFFSET($A$1,ROW(),20,1000-ROW(),1),ROW(),OFFSET($A$1,ROW(),21,1000-ROW(),1),"Sub"))))</f>
        <v/>
      </c>
      <c r="M128" s="61">
        <f>IF(OR(NOT((COUNTA($B128:$D128)+COUNTA($G128:$H128)+COUNTA($Q128))&gt;0),$V128="Sub"),"",IF(ISNUMBER($G128),1,IF(N($W128)&gt;0,MIN(1,SUMIFS($Y$5:$Y$1000,$U$5:$U$1000,ROW(),$V$5:$V$1000,"Sub")),$Y128)))</f>
        <v/>
      </c>
      <c r="N128" s="56">
        <f>IF(OR($M128="",$V128="Sub"),"",IF($M128&gt;=1,"Completado",IF($M128&gt;0,"En curso","Pendiente")))</f>
        <v/>
      </c>
      <c r="O128" s="56">
        <f>IF(OR(NOT((COUNTA($B128:$D128)+COUNTA($G128:$H128)+COUNTA($Q128))&gt;0),$V128="Sub"),"",IF(ISNUMBER($G128),IF(AND(ISNUMBER($AS128),$G128&gt;$AS128),"Cumplida con "&amp;($G128-$AS128)&amp;IF($G128-$AS128=1," día"," días")&amp;" de retraso","Cumplida"),IF(N($M128)&gt;=1,"Cumplida",IF(NOT(ISNUMBER($AS128)),"Sin fecha límite",IF($AS128&lt;FechaRef,"Vencida hace "&amp;(FechaRef-$AS128)&amp;IF(FechaRef-$AS128=1," día"," días"),IF($AS128=FechaRef,"Vence hoy",IF($AS128-FechaRef&lt;=DiasAlerta,"Vence en "&amp;($AS128-FechaRef)&amp;IF($AS128-FechaRef=1," día"," días"),"En plazo")))))))</f>
        <v/>
      </c>
      <c r="P128" s="62" t="n"/>
      <c r="Q128" s="58" t="n"/>
      <c r="R128" s="63">
        <f>IF(NOT((COUNTA($B128:$D128)+COUNTA($G128:$H128)+COUNTA($Q128))&gt;0),"",IF((IF($C128="","Falta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 OK","⚠ "&amp;LEFT(IF($C128="","Falta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",""),LEN(IF($C128="","Falta el nombre de la actividad"&amp;" · ","")&amp;IF(AND($V128="Sub",N($U128)=0),"Subactividad sin macroactividad arriba"&amp;" · ","")&amp;IF(AND($V128="Macro",$AR128=""),"Sin fecha de inicio"&amp;" · ","")&amp;IF(AND($V128="Macro",$AS128=""),"Sin fecha límite"&amp;" · ","")&amp;IF(AND(LEFT($C128,11)="[Jefatura] ",N($AQ128)=0),"No se encuentra en la hoja de la jefatura (elíjala de nuevo en la lista)"&amp;" · ","")&amp;IF(OR(AND($E128&lt;&gt;"",NOT(ISNUMBER($E128))),AND($F128&lt;&gt;"",NOT(ISNUMBER($F128))),AND($G128&lt;&gt;"",NOT(ISNUMBER($G128)))),"Fecha no válida"&amp;" · ","")&amp;IF(AND(ISNUMBER($AR128),ISNUMBER($AS128),$AR128&gt;$AS128),"Inicio posterior a fecha límite"&amp;" · ","")&amp;IF(AND($V128="Macro",$H128&lt;&gt;"",OR(NOT(ISNUMBER($H128)),$H128&lt;0,$H128&gt;1)),"Peso fuera de rango"&amp;" · ","")&amp;IF(AND($V128="Sub",$H128&lt;&gt;"",OR(NOT(ISNUMBER($H128)),$H128&lt;0,$H128&gt;1)),"% de la subactividad fuera de rango 0-100%"&amp;" · ","")&amp;IF(AND(N($W128)&gt;0,SUMIFS($H$5:$H$1000,$U$5:$U$1000,ROW(),$V$5:$V$1000,"Sub")&gt;1.0001),"Las subactividades suman más de 100%"&amp;" · ","")&amp;IF(AND(N($W128)&gt;0,OR(IF(ISNUMBER($I128),ROUND($I128,6)&lt;&gt;ROUND(MIN(1,SUMIFS($AD$5:$AD$1000,$U$5:$U$1000,ROW(),$V$5:$V$1000,"Sub")),6),FALSE),IF(ISNUMBER($J128),ROUND($J128,6)&lt;&gt;ROUND(MIN(1,SUMIFS($AE$5:$AE$1000,$U$5:$U$1000,ROW(),$V$5:$V$1000,"Sub")),6),FALSE),IF(ISNUMBER($K128),ROUND($K128,6)&lt;&gt;ROUND(MIN(1,SUMIFS($AF$5:$AF$1000,$U$5:$U$1000,ROW(),$V$5:$V$1000,"Sub")),6),FALSE),IF(ISNUMBER($L128),ROUND($L128,6)&lt;&gt;ROUND(MIN(1,SUMIFS($AG$5:$AG$1000,$U$5:$U$1000,ROW(),$V$5:$V$1000,"Sub")),6),FALSE))),"Con subactividades: no escriba en las semanas (se llenan solas)"&amp;" · ","")&amp;IF((COUNTIF($I128:$L128,"&gt;1")+COUNTIF($I128:$L128,"&lt;0")+SUMPRODUCT((LEN($I128:$L128)&gt;0)*NOT(ISNUMBER($I128:$L128))))&gt;0,"Avance fuera de rango 0-100%"&amp;" · ","")&amp;IF(OR(AND(ISNUMBER($J128),$J128&lt;N($I128)),AND(ISNUMBER($K128),$K128&lt;MAX($I128:$J128)),AND(ISNUMBER($L128),$L128&lt;MAX($I128:$K128))),"Avance semanal decreciente"&amp;" · ","")&amp;IF(AND(ISNUMBER($AS128),$AS128&lt;FechaRef,IF($V128="Sub",1,N($M128))&lt;1),"Vencida"&amp;" · ","")&amp;IF(AND(ObsObligatoria="Sí",ISNUMBER($AS128),$AS128&lt;FechaRef,IF($V128="Sub",1,N($M128))&lt;1,$Q128=""),"Vencida sin observación"&amp;" · ",""))-3)))</f>
        <v/>
      </c>
      <c r="S128" s="64">
        <f>IF(NOT((COUNTA($B128:$D128)+COUNTA($G128:$H128)+COUNTA($Q128))&gt;0),"",IF(AND($V128="Sub",N($U128)&gt;0),IF(ISNUMBER(INDEX($AR$5:$AR$1000,$U128-4)),DATE(YEAR(INDEX($AR$5:$AR$1000,$U128-4)),MONTH(INDEX($AR$5:$AR$1000,$U128-4)),1),IF(ISNUMBER(INDEX($AS$5:$AS$1000,$U128-4)),DATE(YEAR(INDEX($AS$5:$AS$1000,$U128-4)),MONTH(INDEX($AS$5:$AS$1000,$U128-4)),1),MesCiclo)),IF(ISNUMBER($AR128),DATE(YEAR($AR128),MONTH($AR128),1),IF(ISNUMBER($AS128),DATE(YEAR($AS128),MONTH($AS128),1),MesCiclo))))</f>
        <v/>
      </c>
      <c r="T128" s="62">
        <f>IF(OR($S128="",$S128&lt;&gt;MesCiclo,$V128&lt;&gt;"Macro"),"",COUNTIFS($S$5:$S128,MesCiclo,$V$5:$V128,"Macro"))</f>
        <v/>
      </c>
      <c r="U128" s="62">
        <f>IF($V128="","",IF($V128="Macro",ROW(),IFERROR(LOOKUP(2,1/($V$5:$V128="Macro"),ROW($V$5:$V128)),0)))</f>
        <v/>
      </c>
      <c r="V128" s="62">
        <f>IF(NOT((COUNTA($B128:$D128)+COUNTA($G128:$H128)+COUNTA($Q128))&gt;0),"",IF($B128="Subactividad","Sub","Macro"))</f>
        <v/>
      </c>
      <c r="W128" s="62">
        <f>IF($V128="Macro",COUNTIFS($U$5:$U$1000,ROW(),$V$5:$V$1000,"Sub"),"")</f>
        <v/>
      </c>
      <c r="X128" s="62">
        <f>IF($V128&lt;&gt;"Sub","",IF(AND(ISNUMBER($H128),N($H128)&gt;0),$H128,IFERROR(MAX(0,1-SUMIFS($H$5:$H$1000,$U$5:$U$1000,$U128,$V$5:$V$1000,"Sub"))/(COUNTIFS($U$5:$U$1000,$U128,$V$5:$V$1000,"Sub")-COUNTIFS($U$5:$U$1000,$U128,$V$5:$V$1000,"Sub",$H$5:$H$1000,"&gt;0")),0)))</f>
        <v/>
      </c>
      <c r="Y128" s="62">
        <f>IF($V128="","",IF($V128="Sub",N($X128)*IF(ISNUMBER($G128),1,MIN(1,MAX(0,IFERROR(LOOKUP(2,1/ISNUMBER($I128:$L128),$I128:$L128),0)))),IF(ISNUMBER($G128),1,IFERROR(LOOKUP(2,1/($I128:$L128&lt;&gt;""),$I128:$L128),0))))</f>
        <v/>
      </c>
      <c r="Z128" s="62">
        <f>IF($V128="","",IF(AND(ISNUMBER($G128),$G128&lt;=IF($S128=MesCiclo,InicioCiclo,$S128+MOD(2-WEEKDAY($S128),7))+6),1,IF(ISNUMBER($I128),$I128,0)))</f>
        <v/>
      </c>
      <c r="AA128" s="62">
        <f>IF($V128="","",IF(AND(ISNUMBER($G128),$G128&lt;=IF($S128=MesCiclo,InicioCiclo,$S128+MOD(2-WEEKDAY($S128),7))+13),1,IF(ISNUMBER($J128),$J128,$Z128)))</f>
        <v/>
      </c>
      <c r="AB128" s="62">
        <f>IF($V128="","",IF(AND(ISNUMBER($G128),$G128&lt;=IF($S128=MesCiclo,InicioCiclo,$S128+MOD(2-WEEKDAY($S128),7))+20),1,IF(ISNUMBER($K128),$K128,$AA128)))</f>
        <v/>
      </c>
      <c r="AC128" s="62">
        <f>IF($V128="","",IF(AND(ISNUMBER($G128),$G128&lt;=IF($S128=MesCiclo,InicioCiclo,$S128+MOD(2-WEEKDAY($S128),7))+27),1,IF(ISNUMBER($L128),$L128,$AB128)))</f>
        <v/>
      </c>
      <c r="AD128" s="62">
        <f>IF($V128&lt;&gt;"Sub","",N($X128)*IF(AND(ISNUMBER($G128),$G128&lt;=IF($S128=MesCiclo,InicioCiclo,$S128+MOD(2-WEEKDAY($S128),7))+6),1,MIN(1,MAX(0,IF(ISNUMBER(OFFSET($A$1,ROW()-1,8)),OFFSET($A$1,ROW()-1,8),0)))))</f>
        <v/>
      </c>
      <c r="AE128" s="62">
        <f>IF($V128&lt;&gt;"Sub","",N($X128)*IF(AND(ISNUMBER($G128),$G128&lt;=IF($S128=MesCiclo,InicioCiclo,$S128+MOD(2-WEEKDAY($S128),7))+13),1,MIN(1,MAX(0,IF(ISNUMBER(OFFSET($A$1,ROW()-1,9)),OFFSET($A$1,ROW()-1,9),IF(ISNUMBER(OFFSET($A$1,ROW()-1,8)),OFFSET($A$1,ROW()-1,8),0))))))</f>
        <v/>
      </c>
      <c r="AF128" s="62">
        <f>IF($V128&lt;&gt;"Sub","",N($X128)*IF(AND(ISNUMBER($G128),$G128&lt;=IF($S128=MesCiclo,InicioCiclo,$S128+MOD(2-WEEKDAY($S128),7))+20),1,MIN(1,MAX(0,IF(ISNUMBER(OFFSET($A$1,ROW()-1,10)),OFFSET($A$1,ROW()-1,10),IF(ISNUMBER(OFFSET($A$1,ROW()-1,9)),OFFSET($A$1,ROW()-1,9),IF(ISNUMBER(OFFSET($A$1,ROW()-1,8)),OFFSET($A$1,ROW()-1,8),0)))))))</f>
        <v/>
      </c>
      <c r="AG128" s="62">
        <f>IF($V128&lt;&gt;"Sub","",N($X128)*IF(AND(ISNUMBER($G128),$G128&lt;=IF($S128=MesCiclo,InicioCiclo,$S128+MOD(2-WEEKDAY($S128),7))+27),1,MIN(1,MAX(0,IF(ISNUMBER(OFFSET($A$1,ROW()-1,11)),OFFSET($A$1,ROW()-1,11),IF(ISNUMBER(OFFSET($A$1,ROW()-1,10)),OFFSET($A$1,ROW()-1,10),IF(ISNUMBER(OFFSET($A$1,ROW()-1,9)),OFFSET($A$1,ROW()-1,9),IF(ISNUMBER(OFFSET($A$1,ROW()-1,8)),OFFSET($A$1,ROW()-1,8),0))))))))</f>
        <v/>
      </c>
      <c r="AH128" s="62">
        <f>IF($V128="","",IF(AND(ISNUMBER($G128),$G128&lt;=IF($S128=MesCiclo,InicioCiclo,$S128+MOD(2-WEEKDAY($S128),7))+6),1,IF(N($W128)&gt;0,MIN(1,SUMIFS($AD$5:$AD$1000,$U$5:$U$1000,ROW(),$V$5:$V$1000,"Sub")),$Z128)))</f>
        <v/>
      </c>
      <c r="AI128" s="62">
        <f>IF($V128="","",IF(AND(ISNUMBER($G128),$G128&lt;=IF($S128=MesCiclo,InicioCiclo,$S128+MOD(2-WEEKDAY($S128),7))+13),1,IF(N($W128)&gt;0,MIN(1,SUMIFS($AE$5:$AE$1000,$U$5:$U$1000,ROW(),$V$5:$V$1000,"Sub")),$AA128)))</f>
        <v/>
      </c>
      <c r="AJ128" s="62">
        <f>IF($V128="","",IF(AND(ISNUMBER($G128),$G128&lt;=IF($S128=MesCiclo,InicioCiclo,$S128+MOD(2-WEEKDAY($S128),7))+20),1,IF(N($W128)&gt;0,MIN(1,SUMIFS($AF$5:$AF$1000,$U$5:$U$1000,ROW(),$V$5:$V$1000,"Sub")),$AB128)))</f>
        <v/>
      </c>
      <c r="AK128" s="62">
        <f>IF($V128="","",IF(AND(ISNUMBER($G128),$G128&lt;=IF($S128=MesCiclo,InicioCiclo,$S128+MOD(2-WEEKDAY($S128),7))+27),1,IF(N($W128)&gt;0,MIN(1,SUMIFS($AG$5:$AG$1000,$U$5:$U$1000,ROW(),$V$5:$V$1000,"Sub")),$AC128)))</f>
        <v/>
      </c>
      <c r="AL128" s="62">
        <f>IF($V128&lt;&gt;"Macro","",IF(COUNTIFS($S$5:$S$1000,$S128,$V$5:$V$1000,"Macro",$H$5:$H$1000,"&gt;0")=0,1/COUNTIFS($S$5:$S$1000,$S128,$V$5:$V$1000,"Macro"),IF(AND(ISNUMBER($H128),N($H128)&gt;0),$H128,SUMIFS($H$5:$H$1000,$S$5:$S$1000,$S128,$V$5:$V$1000,"Macro")/COUNTIFS($S$5:$S$1000,$S128,$V$5:$V$1000,"Macro",$H$5:$H$1000,"&gt;0"))/(COUNTIFS($S$5:$S$1000,$S128,$V$5:$V$1000,"Macro")*SUMIFS($H$5:$H$1000,$S$5:$S$1000,$S128,$V$5:$V$1000,"Macro")/COUNTIFS($S$5:$S$1000,$S128,$V$5:$V$1000,"Macro",$H$5:$H$1000,"&gt;0"))))</f>
        <v/>
      </c>
      <c r="AM128" s="62" t="n"/>
      <c r="AN128" s="62" t="n"/>
      <c r="AO128" s="62" t="n"/>
      <c r="AP128" s="62" t="n"/>
      <c r="AQ128" s="62">
        <f>IF(LEFT($C128,11)="[Jefatura] ",IFERROR(MATCH("Asistente Técnico de Riesgo|"&amp;MID($C128,12,500),rDname_ADM,0),0),"")</f>
        <v/>
      </c>
      <c r="AR128" s="62">
        <f>IF(N($AQ128)&gt;0,INDEX(rIni_ADM,$AQ128),IF(ISNUMBER($E128),$E128,""))</f>
        <v/>
      </c>
      <c r="AS128" s="62">
        <f>IF(N($AQ128)&gt;0,INDEX(rLim_ADM,$AQ128),IF(ISNUMBER($F128),$F128,""))</f>
        <v/>
      </c>
    </row>
    <row r="129">
      <c r="A129" s="56">
        <f>IF(NOT((COUNTA($B129:$D129)+COUNTA($G129:$H129)+COUNTA($Q129))&gt;0),"",IF($V129="Macro",COUNTIFS($V$5:$V129,"Macro",$S$5:$S129,$S129),IF(N($U129)=0,"?",COUNTIFS(INDEX($V$5:$V$1000,1):INDEX($V$5:$V$1000,$U129-4),"Macro",INDEX($S$5:$S$1000,1):INDEX($S$5:$S$1000,$U129-4),INDEX($S$5:$S$1000,$U129-4))&amp;"."&amp;COUNTIFS($U$5:$U129,$U129,$V$5:$V129,"Sub"))))</f>
        <v/>
      </c>
      <c r="B129" s="57" t="n"/>
      <c r="C129" s="58" t="n"/>
      <c r="D129" s="58" t="n"/>
      <c r="E129" s="59">
        <f>IF(N($AQ129)&gt;0,INDEX(rIni_ADM,$AQ129),"")</f>
        <v/>
      </c>
      <c r="F129" s="59">
        <f>IF(N($AQ129)&gt;0,INDEX(rLim_ADM,$AQ129),"")</f>
        <v/>
      </c>
      <c r="G129" s="59" t="n"/>
      <c r="H129" s="60" t="n"/>
      <c r="I129" s="60">
        <f>IF(N($W129)=0,"",IF(AND($S129=MesCiclo,1&gt;SemanaActual),"",MIN(1,SUMIFS(OFFSET($A$1,ROW(),29,1000-ROW(),1),OFFSET($A$1,ROW(),20,1000-ROW(),1),ROW(),OFFSET($A$1,ROW(),21,1000-ROW(),1),"Sub"))))</f>
        <v/>
      </c>
      <c r="J129" s="60">
        <f>IF(N($W129)=0,"",IF(AND($S129=MesCiclo,2&gt;SemanaActual),"",MIN(1,SUMIFS(OFFSET($A$1,ROW(),30,1000-ROW(),1),OFFSET($A$1,ROW(),20,1000-ROW(),1),ROW(),OFFSET($A$1,ROW(),21,1000-ROW(),1),"Sub"))))</f>
        <v/>
      </c>
      <c r="K129" s="60">
        <f>IF(N($W129)=0,"",IF(AND($S129=MesCiclo,3&gt;SemanaActual),"",MIN(1,SUMIFS(OFFSET($A$1,ROW(),31,1000-ROW(),1),OFFSET($A$1,ROW(),20,1000-ROW(),1),ROW(),OFFSET($A$1,ROW(),21,1000-ROW(),1),"Sub"))))</f>
        <v/>
      </c>
      <c r="L129" s="60">
        <f>IF(N($W129)=0,"",IF(AND($S129=MesCiclo,4&gt;SemanaActual),"",MIN(1,SUMIFS(OFFSET($A$1,ROW(),32,1000-ROW(),1),OFFSET($A$1,ROW(),20,1000-ROW(),1),ROW(),OFFSET($A$1,ROW(),21,1000-ROW(),1),"Sub"))))</f>
        <v/>
      </c>
      <c r="M129" s="61">
        <f>IF(OR(NOT((COUNTA($B129:$D129)+COUNTA($G129:$H129)+COUNTA($Q129))&gt;0),$V129="Sub"),"",IF(ISNUMBER($G129),1,IF(N($W129)&gt;0,MIN(1,SUMIFS($Y$5:$Y$1000,$U$5:$U$1000,ROW(),$V$5:$V$1000,"Sub")),$Y129)))</f>
        <v/>
      </c>
      <c r="N129" s="56">
        <f>IF(OR($M129="",$V129="Sub"),"",IF($M129&gt;=1,"Completado",IF($M129&gt;0,"En curso","Pendiente")))</f>
        <v/>
      </c>
      <c r="O129" s="56">
        <f>IF(OR(NOT((COUNTA($B129:$D129)+COUNTA($G129:$H129)+COUNTA($Q129))&gt;0),$V129="Sub"),"",IF(ISNUMBER($G129),IF(AND(ISNUMBER($AS129),$G129&gt;$AS129),"Cumplida con "&amp;($G129-$AS129)&amp;IF($G129-$AS129=1," día"," días")&amp;" de retraso","Cumplida"),IF(N($M129)&gt;=1,"Cumplida",IF(NOT(ISNUMBER($AS129)),"Sin fecha límite",IF($AS129&lt;FechaRef,"Vencida hace "&amp;(FechaRef-$AS129)&amp;IF(FechaRef-$AS129=1," día"," días"),IF($AS129=FechaRef,"Vence hoy",IF($AS129-FechaRef&lt;=DiasAlerta,"Vence en "&amp;($AS129-FechaRef)&amp;IF($AS129-FechaRef=1," día"," días"),"En plazo")))))))</f>
        <v/>
      </c>
      <c r="P129" s="62" t="n"/>
      <c r="Q129" s="58" t="n"/>
      <c r="R129" s="63">
        <f>IF(NOT((COUNTA($B129:$D129)+COUNTA($G129:$H129)+COUNTA($Q129))&gt;0),"",IF((IF($C129="","Falta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 OK","⚠ "&amp;LEFT(IF($C129="","Falta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",""),LEN(IF($C129="","Falta el nombre de la actividad"&amp;" · ","")&amp;IF(AND($V129="Sub",N($U129)=0),"Subactividad sin macroactividad arriba"&amp;" · ","")&amp;IF(AND($V129="Macro",$AR129=""),"Sin fecha de inicio"&amp;" · ","")&amp;IF(AND($V129="Macro",$AS129=""),"Sin fecha límite"&amp;" · ","")&amp;IF(AND(LEFT($C129,11)="[Jefatura] ",N($AQ129)=0),"No se encuentra en la hoja de la jefatura (elíjala de nuevo en la lista)"&amp;" · ","")&amp;IF(OR(AND($E129&lt;&gt;"",NOT(ISNUMBER($E129))),AND($F129&lt;&gt;"",NOT(ISNUMBER($F129))),AND($G129&lt;&gt;"",NOT(ISNUMBER($G129)))),"Fecha no válida"&amp;" · ","")&amp;IF(AND(ISNUMBER($AR129),ISNUMBER($AS129),$AR129&gt;$AS129),"Inicio posterior a fecha límite"&amp;" · ","")&amp;IF(AND($V129="Macro",$H129&lt;&gt;"",OR(NOT(ISNUMBER($H129)),$H129&lt;0,$H129&gt;1)),"Peso fuera de rango"&amp;" · ","")&amp;IF(AND($V129="Sub",$H129&lt;&gt;"",OR(NOT(ISNUMBER($H129)),$H129&lt;0,$H129&gt;1)),"% de la subactividad fuera de rango 0-100%"&amp;" · ","")&amp;IF(AND(N($W129)&gt;0,SUMIFS($H$5:$H$1000,$U$5:$U$1000,ROW(),$V$5:$V$1000,"Sub")&gt;1.0001),"Las subactividades suman más de 100%"&amp;" · ","")&amp;IF(AND(N($W129)&gt;0,OR(IF(ISNUMBER($I129),ROUND($I129,6)&lt;&gt;ROUND(MIN(1,SUMIFS($AD$5:$AD$1000,$U$5:$U$1000,ROW(),$V$5:$V$1000,"Sub")),6),FALSE),IF(ISNUMBER($J129),ROUND($J129,6)&lt;&gt;ROUND(MIN(1,SUMIFS($AE$5:$AE$1000,$U$5:$U$1000,ROW(),$V$5:$V$1000,"Sub")),6),FALSE),IF(ISNUMBER($K129),ROUND($K129,6)&lt;&gt;ROUND(MIN(1,SUMIFS($AF$5:$AF$1000,$U$5:$U$1000,ROW(),$V$5:$V$1000,"Sub")),6),FALSE),IF(ISNUMBER($L129),ROUND($L129,6)&lt;&gt;ROUND(MIN(1,SUMIFS($AG$5:$AG$1000,$U$5:$U$1000,ROW(),$V$5:$V$1000,"Sub")),6),FALSE))),"Con subactividades: no escriba en las semanas (se llenan solas)"&amp;" · ","")&amp;IF((COUNTIF($I129:$L129,"&gt;1")+COUNTIF($I129:$L129,"&lt;0")+SUMPRODUCT((LEN($I129:$L129)&gt;0)*NOT(ISNUMBER($I129:$L129))))&gt;0,"Avance fuera de rango 0-100%"&amp;" · ","")&amp;IF(OR(AND(ISNUMBER($J129),$J129&lt;N($I129)),AND(ISNUMBER($K129),$K129&lt;MAX($I129:$J129)),AND(ISNUMBER($L129),$L129&lt;MAX($I129:$K129))),"Avance semanal decreciente"&amp;" · ","")&amp;IF(AND(ISNUMBER($AS129),$AS129&lt;FechaRef,IF($V129="Sub",1,N($M129))&lt;1),"Vencida"&amp;" · ","")&amp;IF(AND(ObsObligatoria="Sí",ISNUMBER($AS129),$AS129&lt;FechaRef,IF($V129="Sub",1,N($M129))&lt;1,$Q129=""),"Vencida sin observación"&amp;" · ",""))-3)))</f>
        <v/>
      </c>
      <c r="S129" s="64">
        <f>IF(NOT((COUNTA($B129:$D129)+COUNTA($G129:$H129)+COUNTA($Q129))&gt;0),"",IF(AND($V129="Sub",N($U129)&gt;0),IF(ISNUMBER(INDEX($AR$5:$AR$1000,$U129-4)),DATE(YEAR(INDEX($AR$5:$AR$1000,$U129-4)),MONTH(INDEX($AR$5:$AR$1000,$U129-4)),1),IF(ISNUMBER(INDEX($AS$5:$AS$1000,$U129-4)),DATE(YEAR(INDEX($AS$5:$AS$1000,$U129-4)),MONTH(INDEX($AS$5:$AS$1000,$U129-4)),1),MesCiclo)),IF(ISNUMBER($AR129),DATE(YEAR($AR129),MONTH($AR129),1),IF(ISNUMBER($AS129),DATE(YEAR($AS129),MONTH($AS129),1),MesCiclo))))</f>
        <v/>
      </c>
      <c r="T129" s="62">
        <f>IF(OR($S129="",$S129&lt;&gt;MesCiclo,$V129&lt;&gt;"Macro"),"",COUNTIFS($S$5:$S129,MesCiclo,$V$5:$V129,"Macro"))</f>
        <v/>
      </c>
      <c r="U129" s="62">
        <f>IF($V129="","",IF($V129="Macro",ROW(),IFERROR(LOOKUP(2,1/($V$5:$V129="Macro"),ROW($V$5:$V129)),0)))</f>
        <v/>
      </c>
      <c r="V129" s="62">
        <f>IF(NOT((COUNTA($B129:$D129)+COUNTA($G129:$H129)+COUNTA($Q129))&gt;0),"",IF($B129="Subactividad","Sub","Macro"))</f>
        <v/>
      </c>
      <c r="W129" s="62">
        <f>IF($V129="Macro",COUNTIFS($U$5:$U$1000,ROW(),$V$5:$V$1000,"Sub"),"")</f>
        <v/>
      </c>
      <c r="X129" s="62">
        <f>IF($V129&lt;&gt;"Sub","",IF(AND(ISNUMBER($H129),N($H129)&gt;0),$H129,IFERROR(MAX(0,1-SUMIFS($H$5:$H$1000,$U$5:$U$1000,$U129,$V$5:$V$1000,"Sub"))/(COUNTIFS($U$5:$U$1000,$U129,$V$5:$V$1000,"Sub")-COUNTIFS($U$5:$U$1000,$U129,$V$5:$V$1000,"Sub",$H$5:$H$1000,"&gt;0")),0)))</f>
        <v/>
      </c>
      <c r="Y129" s="62">
        <f>IF($V129="","",IF($V129="Sub",N($X129)*IF(ISNUMBER($G129),1,MIN(1,MAX(0,IFERROR(LOOKUP(2,1/ISNUMBER($I129:$L129),$I129:$L129),0)))),IF(ISNUMBER($G129),1,IFERROR(LOOKUP(2,1/($I129:$L129&lt;&gt;""),$I129:$L129),0))))</f>
        <v/>
      </c>
      <c r="Z129" s="62">
        <f>IF($V129="","",IF(AND(ISNUMBER($G129),$G129&lt;=IF($S129=MesCiclo,InicioCiclo,$S129+MOD(2-WEEKDAY($S129),7))+6),1,IF(ISNUMBER($I129),$I129,0)))</f>
        <v/>
      </c>
      <c r="AA129" s="62">
        <f>IF($V129="","",IF(AND(ISNUMBER($G129),$G129&lt;=IF($S129=MesCiclo,InicioCiclo,$S129+MOD(2-WEEKDAY($S129),7))+13),1,IF(ISNUMBER($J129),$J129,$Z129)))</f>
        <v/>
      </c>
      <c r="AB129" s="62">
        <f>IF($V129="","",IF(AND(ISNUMBER($G129),$G129&lt;=IF($S129=MesCiclo,InicioCiclo,$S129+MOD(2-WEEKDAY($S129),7))+20),1,IF(ISNUMBER($K129),$K129,$AA129)))</f>
        <v/>
      </c>
      <c r="AC129" s="62">
        <f>IF($V129="","",IF(AND(ISNUMBER($G129),$G129&lt;=IF($S129=MesCiclo,InicioCiclo,$S129+MOD(2-WEEKDAY($S129),7))+27),1,IF(ISNUMBER($L129),$L129,$AB129)))</f>
        <v/>
      </c>
      <c r="AD129" s="62">
        <f>IF($V129&lt;&gt;"Sub","",N($X129)*IF(AND(ISNUMBER($G129),$G129&lt;=IF($S129=MesCiclo,InicioCiclo,$S129+MOD(2-WEEKDAY($S129),7))+6),1,MIN(1,MAX(0,IF(ISNUMBER(OFFSET($A$1,ROW()-1,8)),OFFSET($A$1,ROW()-1,8),0)))))</f>
        <v/>
      </c>
      <c r="AE129" s="62">
        <f>IF($V129&lt;&gt;"Sub","",N($X129)*IF(AND(ISNUMBER($G129),$G129&lt;=IF($S129=MesCiclo,InicioCiclo,$S129+MOD(2-WEEKDAY($S129),7))+13),1,MIN(1,MAX(0,IF(ISNUMBER(OFFSET($A$1,ROW()-1,9)),OFFSET($A$1,ROW()-1,9),IF(ISNUMBER(OFFSET($A$1,ROW()-1,8)),OFFSET($A$1,ROW()-1,8),0))))))</f>
        <v/>
      </c>
      <c r="AF129" s="62">
        <f>IF($V129&lt;&gt;"Sub","",N($X129)*IF(AND(ISNUMBER($G129),$G129&lt;=IF($S129=MesCiclo,InicioCiclo,$S129+MOD(2-WEEKDAY($S129),7))+20),1,MIN(1,MAX(0,IF(ISNUMBER(OFFSET($A$1,ROW()-1,10)),OFFSET($A$1,ROW()-1,10),IF(ISNUMBER(OFFSET($A$1,ROW()-1,9)),OFFSET($A$1,ROW()-1,9),IF(ISNUMBER(OFFSET($A$1,ROW()-1,8)),OFFSET($A$1,ROW()-1,8),0)))))))</f>
        <v/>
      </c>
      <c r="AG129" s="62">
        <f>IF($V129&lt;&gt;"Sub","",N($X129)*IF(AND(ISNUMBER($G129),$G129&lt;=IF($S129=MesCiclo,InicioCiclo,$S129+MOD(2-WEEKDAY($S129),7))+27),1,MIN(1,MAX(0,IF(ISNUMBER(OFFSET($A$1,ROW()-1,11)),OFFSET($A$1,ROW()-1,11),IF(ISNUMBER(OFFSET($A$1,ROW()-1,10)),OFFSET($A$1,ROW()-1,10),IF(ISNUMBER(OFFSET($A$1,ROW()-1,9)),OFFSET($A$1,ROW()-1,9),IF(ISNUMBER(OFFSET($A$1,ROW()-1,8)),OFFSET($A$1,ROW()-1,8),0))))))))</f>
        <v/>
      </c>
      <c r="AH129" s="62">
        <f>IF($V129="","",IF(AND(ISNUMBER($G129),$G129&lt;=IF($S129=MesCiclo,InicioCiclo,$S129+MOD(2-WEEKDAY($S129),7))+6),1,IF(N($W129)&gt;0,MIN(1,SUMIFS($AD$5:$AD$1000,$U$5:$U$1000,ROW(),$V$5:$V$1000,"Sub")),$Z129)))</f>
        <v/>
      </c>
      <c r="AI129" s="62">
        <f>IF($V129="","",IF(AND(ISNUMBER($G129),$G129&lt;=IF($S129=MesCiclo,InicioCiclo,$S129+MOD(2-WEEKDAY($S129),7))+13),1,IF(N($W129)&gt;0,MIN(1,SUMIFS($AE$5:$AE$1000,$U$5:$U$1000,ROW(),$V$5:$V$1000,"Sub")),$AA129)))</f>
        <v/>
      </c>
      <c r="AJ129" s="62">
        <f>IF($V129="","",IF(AND(ISNUMBER($G129),$G129&lt;=IF($S129=MesCiclo,InicioCiclo,$S129+MOD(2-WEEKDAY($S129),7))+20),1,IF(N($W129)&gt;0,MIN(1,SUMIFS($AF$5:$AF$1000,$U$5:$U$1000,ROW(),$V$5:$V$1000,"Sub")),$AB129)))</f>
        <v/>
      </c>
      <c r="AK129" s="62">
        <f>IF($V129="","",IF(AND(ISNUMBER($G129),$G129&lt;=IF($S129=MesCiclo,InicioCiclo,$S129+MOD(2-WEEKDAY($S129),7))+27),1,IF(N($W129)&gt;0,MIN(1,SUMIFS($AG$5:$AG$1000,$U$5:$U$1000,ROW(),$V$5:$V$1000,"Sub")),$AC129)))</f>
        <v/>
      </c>
      <c r="AL129" s="62">
        <f>IF($V129&lt;&gt;"Macro","",IF(COUNTIFS($S$5:$S$1000,$S129,$V$5:$V$1000,"Macro",$H$5:$H$1000,"&gt;0")=0,1/COUNTIFS($S$5:$S$1000,$S129,$V$5:$V$1000,"Macro"),IF(AND(ISNUMBER($H129),N($H129)&gt;0),$H129,SUMIFS($H$5:$H$1000,$S$5:$S$1000,$S129,$V$5:$V$1000,"Macro")/COUNTIFS($S$5:$S$1000,$S129,$V$5:$V$1000,"Macro",$H$5:$H$1000,"&gt;0"))/(COUNTIFS($S$5:$S$1000,$S129,$V$5:$V$1000,"Macro")*SUMIFS($H$5:$H$1000,$S$5:$S$1000,$S129,$V$5:$V$1000,"Macro")/COUNTIFS($S$5:$S$1000,$S129,$V$5:$V$1000,"Macro",$H$5:$H$1000,"&gt;0"))))</f>
        <v/>
      </c>
      <c r="AM129" s="62" t="n"/>
      <c r="AN129" s="62" t="n"/>
      <c r="AO129" s="62" t="n"/>
      <c r="AP129" s="62" t="n"/>
      <c r="AQ129" s="62">
        <f>IF(LEFT($C129,11)="[Jefatura] ",IFERROR(MATCH("Asistente Técnico de Riesgo|"&amp;MID($C129,12,500),rDname_ADM,0),0),"")</f>
        <v/>
      </c>
      <c r="AR129" s="62">
        <f>IF(N($AQ129)&gt;0,INDEX(rIni_ADM,$AQ129),IF(ISNUMBER($E129),$E129,""))</f>
        <v/>
      </c>
      <c r="AS129" s="62">
        <f>IF(N($AQ129)&gt;0,INDEX(rLim_ADM,$AQ129),IF(ISNUMBER($F129),$F129,""))</f>
        <v/>
      </c>
    </row>
    <row r="130">
      <c r="A130" s="56">
        <f>IF(NOT((COUNTA($B130:$D130)+COUNTA($G130:$H130)+COUNTA($Q130))&gt;0),"",IF($V130="Macro",COUNTIFS($V$5:$V130,"Macro",$S$5:$S130,$S130),IF(N($U130)=0,"?",COUNTIFS(INDEX($V$5:$V$1000,1):INDEX($V$5:$V$1000,$U130-4),"Macro",INDEX($S$5:$S$1000,1):INDEX($S$5:$S$1000,$U130-4),INDEX($S$5:$S$1000,$U130-4))&amp;"."&amp;COUNTIFS($U$5:$U130,$U130,$V$5:$V130,"Sub"))))</f>
        <v/>
      </c>
      <c r="B130" s="57" t="n"/>
      <c r="C130" s="58" t="n"/>
      <c r="D130" s="58" t="n"/>
      <c r="E130" s="59">
        <f>IF(N($AQ130)&gt;0,INDEX(rIni_ADM,$AQ130),"")</f>
        <v/>
      </c>
      <c r="F130" s="59">
        <f>IF(N($AQ130)&gt;0,INDEX(rLim_ADM,$AQ130),"")</f>
        <v/>
      </c>
      <c r="G130" s="59" t="n"/>
      <c r="H130" s="60" t="n"/>
      <c r="I130" s="60">
        <f>IF(N($W130)=0,"",IF(AND($S130=MesCiclo,1&gt;SemanaActual),"",MIN(1,SUMIFS(OFFSET($A$1,ROW(),29,1000-ROW(),1),OFFSET($A$1,ROW(),20,1000-ROW(),1),ROW(),OFFSET($A$1,ROW(),21,1000-ROW(),1),"Sub"))))</f>
        <v/>
      </c>
      <c r="J130" s="60">
        <f>IF(N($W130)=0,"",IF(AND($S130=MesCiclo,2&gt;SemanaActual),"",MIN(1,SUMIFS(OFFSET($A$1,ROW(),30,1000-ROW(),1),OFFSET($A$1,ROW(),20,1000-ROW(),1),ROW(),OFFSET($A$1,ROW(),21,1000-ROW(),1),"Sub"))))</f>
        <v/>
      </c>
      <c r="K130" s="60">
        <f>IF(N($W130)=0,"",IF(AND($S130=MesCiclo,3&gt;SemanaActual),"",MIN(1,SUMIFS(OFFSET($A$1,ROW(),31,1000-ROW(),1),OFFSET($A$1,ROW(),20,1000-ROW(),1),ROW(),OFFSET($A$1,ROW(),21,1000-ROW(),1),"Sub"))))</f>
        <v/>
      </c>
      <c r="L130" s="60">
        <f>IF(N($W130)=0,"",IF(AND($S130=MesCiclo,4&gt;SemanaActual),"",MIN(1,SUMIFS(OFFSET($A$1,ROW(),32,1000-ROW(),1),OFFSET($A$1,ROW(),20,1000-ROW(),1),ROW(),OFFSET($A$1,ROW(),21,1000-ROW(),1),"Sub"))))</f>
        <v/>
      </c>
      <c r="M130" s="61">
        <f>IF(OR(NOT((COUNTA($B130:$D130)+COUNTA($G130:$H130)+COUNTA($Q130))&gt;0),$V130="Sub"),"",IF(ISNUMBER($G130),1,IF(N($W130)&gt;0,MIN(1,SUMIFS($Y$5:$Y$1000,$U$5:$U$1000,ROW(),$V$5:$V$1000,"Sub")),$Y130)))</f>
        <v/>
      </c>
      <c r="N130" s="56">
        <f>IF(OR($M130="",$V130="Sub"),"",IF($M130&gt;=1,"Completado",IF($M130&gt;0,"En curso","Pendiente")))</f>
        <v/>
      </c>
      <c r="O130" s="56">
        <f>IF(OR(NOT((COUNTA($B130:$D130)+COUNTA($G130:$H130)+COUNTA($Q130))&gt;0),$V130="Sub"),"",IF(ISNUMBER($G130),IF(AND(ISNUMBER($AS130),$G130&gt;$AS130),"Cumplida con "&amp;($G130-$AS130)&amp;IF($G130-$AS130=1," día"," días")&amp;" de retraso","Cumplida"),IF(N($M130)&gt;=1,"Cumplida",IF(NOT(ISNUMBER($AS130)),"Sin fecha límite",IF($AS130&lt;FechaRef,"Vencida hace "&amp;(FechaRef-$AS130)&amp;IF(FechaRef-$AS130=1," día"," días"),IF($AS130=FechaRef,"Vence hoy",IF($AS130-FechaRef&lt;=DiasAlerta,"Vence en "&amp;($AS130-FechaRef)&amp;IF($AS130-FechaRef=1," día"," días"),"En plazo")))))))</f>
        <v/>
      </c>
      <c r="P130" s="62" t="n"/>
      <c r="Q130" s="58" t="n"/>
      <c r="R130" s="63">
        <f>IF(NOT((COUNTA($B130:$D130)+COUNTA($G130:$H130)+COUNTA($Q130))&gt;0),"",IF((IF($C130="","Falta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 OK","⚠ "&amp;LEFT(IF($C130="","Falta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",""),LEN(IF($C130="","Falta el nombre de la actividad"&amp;" · ","")&amp;IF(AND($V130="Sub",N($U130)=0),"Subactividad sin macroactividad arriba"&amp;" · ","")&amp;IF(AND($V130="Macro",$AR130=""),"Sin fecha de inicio"&amp;" · ","")&amp;IF(AND($V130="Macro",$AS130=""),"Sin fecha límite"&amp;" · ","")&amp;IF(AND(LEFT($C130,11)="[Jefatura] ",N($AQ130)=0),"No se encuentra en la hoja de la jefatura (elíjala de nuevo en la lista)"&amp;" · ","")&amp;IF(OR(AND($E130&lt;&gt;"",NOT(ISNUMBER($E130))),AND($F130&lt;&gt;"",NOT(ISNUMBER($F130))),AND($G130&lt;&gt;"",NOT(ISNUMBER($G130)))),"Fecha no válida"&amp;" · ","")&amp;IF(AND(ISNUMBER($AR130),ISNUMBER($AS130),$AR130&gt;$AS130),"Inicio posterior a fecha límite"&amp;" · ","")&amp;IF(AND($V130="Macro",$H130&lt;&gt;"",OR(NOT(ISNUMBER($H130)),$H130&lt;0,$H130&gt;1)),"Peso fuera de rango"&amp;" · ","")&amp;IF(AND($V130="Sub",$H130&lt;&gt;"",OR(NOT(ISNUMBER($H130)),$H130&lt;0,$H130&gt;1)),"% de la subactividad fuera de rango 0-100%"&amp;" · ","")&amp;IF(AND(N($W130)&gt;0,SUMIFS($H$5:$H$1000,$U$5:$U$1000,ROW(),$V$5:$V$1000,"Sub")&gt;1.0001),"Las subactividades suman más de 100%"&amp;" · ","")&amp;IF(AND(N($W130)&gt;0,OR(IF(ISNUMBER($I130),ROUND($I130,6)&lt;&gt;ROUND(MIN(1,SUMIFS($AD$5:$AD$1000,$U$5:$U$1000,ROW(),$V$5:$V$1000,"Sub")),6),FALSE),IF(ISNUMBER($J130),ROUND($J130,6)&lt;&gt;ROUND(MIN(1,SUMIFS($AE$5:$AE$1000,$U$5:$U$1000,ROW(),$V$5:$V$1000,"Sub")),6),FALSE),IF(ISNUMBER($K130),ROUND($K130,6)&lt;&gt;ROUND(MIN(1,SUMIFS($AF$5:$AF$1000,$U$5:$U$1000,ROW(),$V$5:$V$1000,"Sub")),6),FALSE),IF(ISNUMBER($L130),ROUND($L130,6)&lt;&gt;ROUND(MIN(1,SUMIFS($AG$5:$AG$1000,$U$5:$U$1000,ROW(),$V$5:$V$1000,"Sub")),6),FALSE))),"Con subactividades: no escriba en las semanas (se llenan solas)"&amp;" · ","")&amp;IF((COUNTIF($I130:$L130,"&gt;1")+COUNTIF($I130:$L130,"&lt;0")+SUMPRODUCT((LEN($I130:$L130)&gt;0)*NOT(ISNUMBER($I130:$L130))))&gt;0,"Avance fuera de rango 0-100%"&amp;" · ","")&amp;IF(OR(AND(ISNUMBER($J130),$J130&lt;N($I130)),AND(ISNUMBER($K130),$K130&lt;MAX($I130:$J130)),AND(ISNUMBER($L130),$L130&lt;MAX($I130:$K130))),"Avance semanal decreciente"&amp;" · ","")&amp;IF(AND(ISNUMBER($AS130),$AS130&lt;FechaRef,IF($V130="Sub",1,N($M130))&lt;1),"Vencida"&amp;" · ","")&amp;IF(AND(ObsObligatoria="Sí",ISNUMBER($AS130),$AS130&lt;FechaRef,IF($V130="Sub",1,N($M130))&lt;1,$Q130=""),"Vencida sin observación"&amp;" · ",""))-3)))</f>
        <v/>
      </c>
      <c r="S130" s="64">
        <f>IF(NOT((COUNTA($B130:$D130)+COUNTA($G130:$H130)+COUNTA($Q130))&gt;0),"",IF(AND($V130="Sub",N($U130)&gt;0),IF(ISNUMBER(INDEX($AR$5:$AR$1000,$U130-4)),DATE(YEAR(INDEX($AR$5:$AR$1000,$U130-4)),MONTH(INDEX($AR$5:$AR$1000,$U130-4)),1),IF(ISNUMBER(INDEX($AS$5:$AS$1000,$U130-4)),DATE(YEAR(INDEX($AS$5:$AS$1000,$U130-4)),MONTH(INDEX($AS$5:$AS$1000,$U130-4)),1),MesCiclo)),IF(ISNUMBER($AR130),DATE(YEAR($AR130),MONTH($AR130),1),IF(ISNUMBER($AS130),DATE(YEAR($AS130),MONTH($AS130),1),MesCiclo))))</f>
        <v/>
      </c>
      <c r="T130" s="62">
        <f>IF(OR($S130="",$S130&lt;&gt;MesCiclo,$V130&lt;&gt;"Macro"),"",COUNTIFS($S$5:$S130,MesCiclo,$V$5:$V130,"Macro"))</f>
        <v/>
      </c>
      <c r="U130" s="62">
        <f>IF($V130="","",IF($V130="Macro",ROW(),IFERROR(LOOKUP(2,1/($V$5:$V130="Macro"),ROW($V$5:$V130)),0)))</f>
        <v/>
      </c>
      <c r="V130" s="62">
        <f>IF(NOT((COUNTA($B130:$D130)+COUNTA($G130:$H130)+COUNTA($Q130))&gt;0),"",IF($B130="Subactividad","Sub","Macro"))</f>
        <v/>
      </c>
      <c r="W130" s="62">
        <f>IF($V130="Macro",COUNTIFS($U$5:$U$1000,ROW(),$V$5:$V$1000,"Sub"),"")</f>
        <v/>
      </c>
      <c r="X130" s="62">
        <f>IF($V130&lt;&gt;"Sub","",IF(AND(ISNUMBER($H130),N($H130)&gt;0),$H130,IFERROR(MAX(0,1-SUMIFS($H$5:$H$1000,$U$5:$U$1000,$U130,$V$5:$V$1000,"Sub"))/(COUNTIFS($U$5:$U$1000,$U130,$V$5:$V$1000,"Sub")-COUNTIFS($U$5:$U$1000,$U130,$V$5:$V$1000,"Sub",$H$5:$H$1000,"&gt;0")),0)))</f>
        <v/>
      </c>
      <c r="Y130" s="62">
        <f>IF($V130="","",IF($V130="Sub",N($X130)*IF(ISNUMBER($G130),1,MIN(1,MAX(0,IFERROR(LOOKUP(2,1/ISNUMBER($I130:$L130),$I130:$L130),0)))),IF(ISNUMBER($G130),1,IFERROR(LOOKUP(2,1/($I130:$L130&lt;&gt;""),$I130:$L130),0))))</f>
        <v/>
      </c>
      <c r="Z130" s="62">
        <f>IF($V130="","",IF(AND(ISNUMBER($G130),$G130&lt;=IF($S130=MesCiclo,InicioCiclo,$S130+MOD(2-WEEKDAY($S130),7))+6),1,IF(ISNUMBER($I130),$I130,0)))</f>
        <v/>
      </c>
      <c r="AA130" s="62">
        <f>IF($V130="","",IF(AND(ISNUMBER($G130),$G130&lt;=IF($S130=MesCiclo,InicioCiclo,$S130+MOD(2-WEEKDAY($S130),7))+13),1,IF(ISNUMBER($J130),$J130,$Z130)))</f>
        <v/>
      </c>
      <c r="AB130" s="62">
        <f>IF($V130="","",IF(AND(ISNUMBER($G130),$G130&lt;=IF($S130=MesCiclo,InicioCiclo,$S130+MOD(2-WEEKDAY($S130),7))+20),1,IF(ISNUMBER($K130),$K130,$AA130)))</f>
        <v/>
      </c>
      <c r="AC130" s="62">
        <f>IF($V130="","",IF(AND(ISNUMBER($G130),$G130&lt;=IF($S130=MesCiclo,InicioCiclo,$S130+MOD(2-WEEKDAY($S130),7))+27),1,IF(ISNUMBER($L130),$L130,$AB130)))</f>
        <v/>
      </c>
      <c r="AD130" s="62">
        <f>IF($V130&lt;&gt;"Sub","",N($X130)*IF(AND(ISNUMBER($G130),$G130&lt;=IF($S130=MesCiclo,InicioCiclo,$S130+MOD(2-WEEKDAY($S130),7))+6),1,MIN(1,MAX(0,IF(ISNUMBER(OFFSET($A$1,ROW()-1,8)),OFFSET($A$1,ROW()-1,8),0)))))</f>
        <v/>
      </c>
      <c r="AE130" s="62">
        <f>IF($V130&lt;&gt;"Sub","",N($X130)*IF(AND(ISNUMBER($G130),$G130&lt;=IF($S130=MesCiclo,InicioCiclo,$S130+MOD(2-WEEKDAY($S130),7))+13),1,MIN(1,MAX(0,IF(ISNUMBER(OFFSET($A$1,ROW()-1,9)),OFFSET($A$1,ROW()-1,9),IF(ISNUMBER(OFFSET($A$1,ROW()-1,8)),OFFSET($A$1,ROW()-1,8),0))))))</f>
        <v/>
      </c>
      <c r="AF130" s="62">
        <f>IF($V130&lt;&gt;"Sub","",N($X130)*IF(AND(ISNUMBER($G130),$G130&lt;=IF($S130=MesCiclo,InicioCiclo,$S130+MOD(2-WEEKDAY($S130),7))+20),1,MIN(1,MAX(0,IF(ISNUMBER(OFFSET($A$1,ROW()-1,10)),OFFSET($A$1,ROW()-1,10),IF(ISNUMBER(OFFSET($A$1,ROW()-1,9)),OFFSET($A$1,ROW()-1,9),IF(ISNUMBER(OFFSET($A$1,ROW()-1,8)),OFFSET($A$1,ROW()-1,8),0)))))))</f>
        <v/>
      </c>
      <c r="AG130" s="62">
        <f>IF($V130&lt;&gt;"Sub","",N($X130)*IF(AND(ISNUMBER($G130),$G130&lt;=IF($S130=MesCiclo,InicioCiclo,$S130+MOD(2-WEEKDAY($S130),7))+27),1,MIN(1,MAX(0,IF(ISNUMBER(OFFSET($A$1,ROW()-1,11)),OFFSET($A$1,ROW()-1,11),IF(ISNUMBER(OFFSET($A$1,ROW()-1,10)),OFFSET($A$1,ROW()-1,10),IF(ISNUMBER(OFFSET($A$1,ROW()-1,9)),OFFSET($A$1,ROW()-1,9),IF(ISNUMBER(OFFSET($A$1,ROW()-1,8)),OFFSET($A$1,ROW()-1,8),0))))))))</f>
        <v/>
      </c>
      <c r="AH130" s="62">
        <f>IF($V130="","",IF(AND(ISNUMBER($G130),$G130&lt;=IF($S130=MesCiclo,InicioCiclo,$S130+MOD(2-WEEKDAY($S130),7))+6),1,IF(N($W130)&gt;0,MIN(1,SUMIFS($AD$5:$AD$1000,$U$5:$U$1000,ROW(),$V$5:$V$1000,"Sub")),$Z130)))</f>
        <v/>
      </c>
      <c r="AI130" s="62">
        <f>IF($V130="","",IF(AND(ISNUMBER($G130),$G130&lt;=IF($S130=MesCiclo,InicioCiclo,$S130+MOD(2-WEEKDAY($S130),7))+13),1,IF(N($W130)&gt;0,MIN(1,SUMIFS($AE$5:$AE$1000,$U$5:$U$1000,ROW(),$V$5:$V$1000,"Sub")),$AA130)))</f>
        <v/>
      </c>
      <c r="AJ130" s="62">
        <f>IF($V130="","",IF(AND(ISNUMBER($G130),$G130&lt;=IF($S130=MesCiclo,InicioCiclo,$S130+MOD(2-WEEKDAY($S130),7))+20),1,IF(N($W130)&gt;0,MIN(1,SUMIFS($AF$5:$AF$1000,$U$5:$U$1000,ROW(),$V$5:$V$1000,"Sub")),$AB130)))</f>
        <v/>
      </c>
      <c r="AK130" s="62">
        <f>IF($V130="","",IF(AND(ISNUMBER($G130),$G130&lt;=IF($S130=MesCiclo,InicioCiclo,$S130+MOD(2-WEEKDAY($S130),7))+27),1,IF(N($W130)&gt;0,MIN(1,SUMIFS($AG$5:$AG$1000,$U$5:$U$1000,ROW(),$V$5:$V$1000,"Sub")),$AC130)))</f>
        <v/>
      </c>
      <c r="AL130" s="62">
        <f>IF($V130&lt;&gt;"Macro","",IF(COUNTIFS($S$5:$S$1000,$S130,$V$5:$V$1000,"Macro",$H$5:$H$1000,"&gt;0")=0,1/COUNTIFS($S$5:$S$1000,$S130,$V$5:$V$1000,"Macro"),IF(AND(ISNUMBER($H130),N($H130)&gt;0),$H130,SUMIFS($H$5:$H$1000,$S$5:$S$1000,$S130,$V$5:$V$1000,"Macro")/COUNTIFS($S$5:$S$1000,$S130,$V$5:$V$1000,"Macro",$H$5:$H$1000,"&gt;0"))/(COUNTIFS($S$5:$S$1000,$S130,$V$5:$V$1000,"Macro")*SUMIFS($H$5:$H$1000,$S$5:$S$1000,$S130,$V$5:$V$1000,"Macro")/COUNTIFS($S$5:$S$1000,$S130,$V$5:$V$1000,"Macro",$H$5:$H$1000,"&gt;0"))))</f>
        <v/>
      </c>
      <c r="AM130" s="62" t="n"/>
      <c r="AN130" s="62" t="n"/>
      <c r="AO130" s="62" t="n"/>
      <c r="AP130" s="62" t="n"/>
      <c r="AQ130" s="62">
        <f>IF(LEFT($C130,11)="[Jefatura] ",IFERROR(MATCH("Asistente Técnico de Riesgo|"&amp;MID($C130,12,500),rDname_ADM,0),0),"")</f>
        <v/>
      </c>
      <c r="AR130" s="62">
        <f>IF(N($AQ130)&gt;0,INDEX(rIni_ADM,$AQ130),IF(ISNUMBER($E130),$E130,""))</f>
        <v/>
      </c>
      <c r="AS130" s="62">
        <f>IF(N($AQ130)&gt;0,INDEX(rLim_ADM,$AQ130),IF(ISNUMBER($F130),$F130,""))</f>
        <v/>
      </c>
    </row>
    <row r="131">
      <c r="A131" s="56">
        <f>IF(NOT((COUNTA($B131:$D131)+COUNTA($G131:$H131)+COUNTA($Q131))&gt;0),"",IF($V131="Macro",COUNTIFS($V$5:$V131,"Macro",$S$5:$S131,$S131),IF(N($U131)=0,"?",COUNTIFS(INDEX($V$5:$V$1000,1):INDEX($V$5:$V$1000,$U131-4),"Macro",INDEX($S$5:$S$1000,1):INDEX($S$5:$S$1000,$U131-4),INDEX($S$5:$S$1000,$U131-4))&amp;"."&amp;COUNTIFS($U$5:$U131,$U131,$V$5:$V131,"Sub"))))</f>
        <v/>
      </c>
      <c r="B131" s="57" t="n"/>
      <c r="C131" s="58" t="n"/>
      <c r="D131" s="58" t="n"/>
      <c r="E131" s="59">
        <f>IF(N($AQ131)&gt;0,INDEX(rIni_ADM,$AQ131),"")</f>
        <v/>
      </c>
      <c r="F131" s="59">
        <f>IF(N($AQ131)&gt;0,INDEX(rLim_ADM,$AQ131),"")</f>
        <v/>
      </c>
      <c r="G131" s="59" t="n"/>
      <c r="H131" s="60" t="n"/>
      <c r="I131" s="60">
        <f>IF(N($W131)=0,"",IF(AND($S131=MesCiclo,1&gt;SemanaActual),"",MIN(1,SUMIFS(OFFSET($A$1,ROW(),29,1000-ROW(),1),OFFSET($A$1,ROW(),20,1000-ROW(),1),ROW(),OFFSET($A$1,ROW(),21,1000-ROW(),1),"Sub"))))</f>
        <v/>
      </c>
      <c r="J131" s="60">
        <f>IF(N($W131)=0,"",IF(AND($S131=MesCiclo,2&gt;SemanaActual),"",MIN(1,SUMIFS(OFFSET($A$1,ROW(),30,1000-ROW(),1),OFFSET($A$1,ROW(),20,1000-ROW(),1),ROW(),OFFSET($A$1,ROW(),21,1000-ROW(),1),"Sub"))))</f>
        <v/>
      </c>
      <c r="K131" s="60">
        <f>IF(N($W131)=0,"",IF(AND($S131=MesCiclo,3&gt;SemanaActual),"",MIN(1,SUMIFS(OFFSET($A$1,ROW(),31,1000-ROW(),1),OFFSET($A$1,ROW(),20,1000-ROW(),1),ROW(),OFFSET($A$1,ROW(),21,1000-ROW(),1),"Sub"))))</f>
        <v/>
      </c>
      <c r="L131" s="60">
        <f>IF(N($W131)=0,"",IF(AND($S131=MesCiclo,4&gt;SemanaActual),"",MIN(1,SUMIFS(OFFSET($A$1,ROW(),32,1000-ROW(),1),OFFSET($A$1,ROW(),20,1000-ROW(),1),ROW(),OFFSET($A$1,ROW(),21,1000-ROW(),1),"Sub"))))</f>
        <v/>
      </c>
      <c r="M131" s="61">
        <f>IF(OR(NOT((COUNTA($B131:$D131)+COUNTA($G131:$H131)+COUNTA($Q131))&gt;0),$V131="Sub"),"",IF(ISNUMBER($G131),1,IF(N($W131)&gt;0,MIN(1,SUMIFS($Y$5:$Y$1000,$U$5:$U$1000,ROW(),$V$5:$V$1000,"Sub")),$Y131)))</f>
        <v/>
      </c>
      <c r="N131" s="56">
        <f>IF(OR($M131="",$V131="Sub"),"",IF($M131&gt;=1,"Completado",IF($M131&gt;0,"En curso","Pendiente")))</f>
        <v/>
      </c>
      <c r="O131" s="56">
        <f>IF(OR(NOT((COUNTA($B131:$D131)+COUNTA($G131:$H131)+COUNTA($Q131))&gt;0),$V131="Sub"),"",IF(ISNUMBER($G131),IF(AND(ISNUMBER($AS131),$G131&gt;$AS131),"Cumplida con "&amp;($G131-$AS131)&amp;IF($G131-$AS131=1," día"," días")&amp;" de retraso","Cumplida"),IF(N($M131)&gt;=1,"Cumplida",IF(NOT(ISNUMBER($AS131)),"Sin fecha límite",IF($AS131&lt;FechaRef,"Vencida hace "&amp;(FechaRef-$AS131)&amp;IF(FechaRef-$AS131=1," día"," días"),IF($AS131=FechaRef,"Vence hoy",IF($AS131-FechaRef&lt;=DiasAlerta,"Vence en "&amp;($AS131-FechaRef)&amp;IF($AS131-FechaRef=1," día"," días"),"En plazo")))))))</f>
        <v/>
      </c>
      <c r="P131" s="62" t="n"/>
      <c r="Q131" s="58" t="n"/>
      <c r="R131" s="63">
        <f>IF(NOT((COUNTA($B131:$D131)+COUNTA($G131:$H131)+COUNTA($Q131))&gt;0),"",IF((IF($C131="","Falta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 OK","⚠ "&amp;LEFT(IF($C131="","Falta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",""),LEN(IF($C131="","Falta el nombre de la actividad"&amp;" · ","")&amp;IF(AND($V131="Sub",N($U131)=0),"Subactividad sin macroactividad arriba"&amp;" · ","")&amp;IF(AND($V131="Macro",$AR131=""),"Sin fecha de inicio"&amp;" · ","")&amp;IF(AND($V131="Macro",$AS131=""),"Sin fecha límite"&amp;" · ","")&amp;IF(AND(LEFT($C131,11)="[Jefatura] ",N($AQ131)=0),"No se encuentra en la hoja de la jefatura (elíjala de nuevo en la lista)"&amp;" · ","")&amp;IF(OR(AND($E131&lt;&gt;"",NOT(ISNUMBER($E131))),AND($F131&lt;&gt;"",NOT(ISNUMBER($F131))),AND($G131&lt;&gt;"",NOT(ISNUMBER($G131)))),"Fecha no válida"&amp;" · ","")&amp;IF(AND(ISNUMBER($AR131),ISNUMBER($AS131),$AR131&gt;$AS131),"Inicio posterior a fecha límite"&amp;" · ","")&amp;IF(AND($V131="Macro",$H131&lt;&gt;"",OR(NOT(ISNUMBER($H131)),$H131&lt;0,$H131&gt;1)),"Peso fuera de rango"&amp;" · ","")&amp;IF(AND($V131="Sub",$H131&lt;&gt;"",OR(NOT(ISNUMBER($H131)),$H131&lt;0,$H131&gt;1)),"% de la subactividad fuera de rango 0-100%"&amp;" · ","")&amp;IF(AND(N($W131)&gt;0,SUMIFS($H$5:$H$1000,$U$5:$U$1000,ROW(),$V$5:$V$1000,"Sub")&gt;1.0001),"Las subactividades suman más de 100%"&amp;" · ","")&amp;IF(AND(N($W131)&gt;0,OR(IF(ISNUMBER($I131),ROUND($I131,6)&lt;&gt;ROUND(MIN(1,SUMIFS($AD$5:$AD$1000,$U$5:$U$1000,ROW(),$V$5:$V$1000,"Sub")),6),FALSE),IF(ISNUMBER($J131),ROUND($J131,6)&lt;&gt;ROUND(MIN(1,SUMIFS($AE$5:$AE$1000,$U$5:$U$1000,ROW(),$V$5:$V$1000,"Sub")),6),FALSE),IF(ISNUMBER($K131),ROUND($K131,6)&lt;&gt;ROUND(MIN(1,SUMIFS($AF$5:$AF$1000,$U$5:$U$1000,ROW(),$V$5:$V$1000,"Sub")),6),FALSE),IF(ISNUMBER($L131),ROUND($L131,6)&lt;&gt;ROUND(MIN(1,SUMIFS($AG$5:$AG$1000,$U$5:$U$1000,ROW(),$V$5:$V$1000,"Sub")),6),FALSE))),"Con subactividades: no escriba en las semanas (se llenan solas)"&amp;" · ","")&amp;IF((COUNTIF($I131:$L131,"&gt;1")+COUNTIF($I131:$L131,"&lt;0")+SUMPRODUCT((LEN($I131:$L131)&gt;0)*NOT(ISNUMBER($I131:$L131))))&gt;0,"Avance fuera de rango 0-100%"&amp;" · ","")&amp;IF(OR(AND(ISNUMBER($J131),$J131&lt;N($I131)),AND(ISNUMBER($K131),$K131&lt;MAX($I131:$J131)),AND(ISNUMBER($L131),$L131&lt;MAX($I131:$K131))),"Avance semanal decreciente"&amp;" · ","")&amp;IF(AND(ISNUMBER($AS131),$AS131&lt;FechaRef,IF($V131="Sub",1,N($M131))&lt;1),"Vencida"&amp;" · ","")&amp;IF(AND(ObsObligatoria="Sí",ISNUMBER($AS131),$AS131&lt;FechaRef,IF($V131="Sub",1,N($M131))&lt;1,$Q131=""),"Vencida sin observación"&amp;" · ",""))-3)))</f>
        <v/>
      </c>
      <c r="S131" s="64">
        <f>IF(NOT((COUNTA($B131:$D131)+COUNTA($G131:$H131)+COUNTA($Q131))&gt;0),"",IF(AND($V131="Sub",N($U131)&gt;0),IF(ISNUMBER(INDEX($AR$5:$AR$1000,$U131-4)),DATE(YEAR(INDEX($AR$5:$AR$1000,$U131-4)),MONTH(INDEX($AR$5:$AR$1000,$U131-4)),1),IF(ISNUMBER(INDEX($AS$5:$AS$1000,$U131-4)),DATE(YEAR(INDEX($AS$5:$AS$1000,$U131-4)),MONTH(INDEX($AS$5:$AS$1000,$U131-4)),1),MesCiclo)),IF(ISNUMBER($AR131),DATE(YEAR($AR131),MONTH($AR131),1),IF(ISNUMBER($AS131),DATE(YEAR($AS131),MONTH($AS131),1),MesCiclo))))</f>
        <v/>
      </c>
      <c r="T131" s="62">
        <f>IF(OR($S131="",$S131&lt;&gt;MesCiclo,$V131&lt;&gt;"Macro"),"",COUNTIFS($S$5:$S131,MesCiclo,$V$5:$V131,"Macro"))</f>
        <v/>
      </c>
      <c r="U131" s="62">
        <f>IF($V131="","",IF($V131="Macro",ROW(),IFERROR(LOOKUP(2,1/($V$5:$V131="Macro"),ROW($V$5:$V131)),0)))</f>
        <v/>
      </c>
      <c r="V131" s="62">
        <f>IF(NOT((COUNTA($B131:$D131)+COUNTA($G131:$H131)+COUNTA($Q131))&gt;0),"",IF($B131="Subactividad","Sub","Macro"))</f>
        <v/>
      </c>
      <c r="W131" s="62">
        <f>IF($V131="Macro",COUNTIFS($U$5:$U$1000,ROW(),$V$5:$V$1000,"Sub"),"")</f>
        <v/>
      </c>
      <c r="X131" s="62">
        <f>IF($V131&lt;&gt;"Sub","",IF(AND(ISNUMBER($H131),N($H131)&gt;0),$H131,IFERROR(MAX(0,1-SUMIFS($H$5:$H$1000,$U$5:$U$1000,$U131,$V$5:$V$1000,"Sub"))/(COUNTIFS($U$5:$U$1000,$U131,$V$5:$V$1000,"Sub")-COUNTIFS($U$5:$U$1000,$U131,$V$5:$V$1000,"Sub",$H$5:$H$1000,"&gt;0")),0)))</f>
        <v/>
      </c>
      <c r="Y131" s="62">
        <f>IF($V131="","",IF($V131="Sub",N($X131)*IF(ISNUMBER($G131),1,MIN(1,MAX(0,IFERROR(LOOKUP(2,1/ISNUMBER($I131:$L131),$I131:$L131),0)))),IF(ISNUMBER($G131),1,IFERROR(LOOKUP(2,1/($I131:$L131&lt;&gt;""),$I131:$L131),0))))</f>
        <v/>
      </c>
      <c r="Z131" s="62">
        <f>IF($V131="","",IF(AND(ISNUMBER($G131),$G131&lt;=IF($S131=MesCiclo,InicioCiclo,$S131+MOD(2-WEEKDAY($S131),7))+6),1,IF(ISNUMBER($I131),$I131,0)))</f>
        <v/>
      </c>
      <c r="AA131" s="62">
        <f>IF($V131="","",IF(AND(ISNUMBER($G131),$G131&lt;=IF($S131=MesCiclo,InicioCiclo,$S131+MOD(2-WEEKDAY($S131),7))+13),1,IF(ISNUMBER($J131),$J131,$Z131)))</f>
        <v/>
      </c>
      <c r="AB131" s="62">
        <f>IF($V131="","",IF(AND(ISNUMBER($G131),$G131&lt;=IF($S131=MesCiclo,InicioCiclo,$S131+MOD(2-WEEKDAY($S131),7))+20),1,IF(ISNUMBER($K131),$K131,$AA131)))</f>
        <v/>
      </c>
      <c r="AC131" s="62">
        <f>IF($V131="","",IF(AND(ISNUMBER($G131),$G131&lt;=IF($S131=MesCiclo,InicioCiclo,$S131+MOD(2-WEEKDAY($S131),7))+27),1,IF(ISNUMBER($L131),$L131,$AB131)))</f>
        <v/>
      </c>
      <c r="AD131" s="62">
        <f>IF($V131&lt;&gt;"Sub","",N($X131)*IF(AND(ISNUMBER($G131),$G131&lt;=IF($S131=MesCiclo,InicioCiclo,$S131+MOD(2-WEEKDAY($S131),7))+6),1,MIN(1,MAX(0,IF(ISNUMBER(OFFSET($A$1,ROW()-1,8)),OFFSET($A$1,ROW()-1,8),0)))))</f>
        <v/>
      </c>
      <c r="AE131" s="62">
        <f>IF($V131&lt;&gt;"Sub","",N($X131)*IF(AND(ISNUMBER($G131),$G131&lt;=IF($S131=MesCiclo,InicioCiclo,$S131+MOD(2-WEEKDAY($S131),7))+13),1,MIN(1,MAX(0,IF(ISNUMBER(OFFSET($A$1,ROW()-1,9)),OFFSET($A$1,ROW()-1,9),IF(ISNUMBER(OFFSET($A$1,ROW()-1,8)),OFFSET($A$1,ROW()-1,8),0))))))</f>
        <v/>
      </c>
      <c r="AF131" s="62">
        <f>IF($V131&lt;&gt;"Sub","",N($X131)*IF(AND(ISNUMBER($G131),$G131&lt;=IF($S131=MesCiclo,InicioCiclo,$S131+MOD(2-WEEKDAY($S131),7))+20),1,MIN(1,MAX(0,IF(ISNUMBER(OFFSET($A$1,ROW()-1,10)),OFFSET($A$1,ROW()-1,10),IF(ISNUMBER(OFFSET($A$1,ROW()-1,9)),OFFSET($A$1,ROW()-1,9),IF(ISNUMBER(OFFSET($A$1,ROW()-1,8)),OFFSET($A$1,ROW()-1,8),0)))))))</f>
        <v/>
      </c>
      <c r="AG131" s="62">
        <f>IF($V131&lt;&gt;"Sub","",N($X131)*IF(AND(ISNUMBER($G131),$G131&lt;=IF($S131=MesCiclo,InicioCiclo,$S131+MOD(2-WEEKDAY($S131),7))+27),1,MIN(1,MAX(0,IF(ISNUMBER(OFFSET($A$1,ROW()-1,11)),OFFSET($A$1,ROW()-1,11),IF(ISNUMBER(OFFSET($A$1,ROW()-1,10)),OFFSET($A$1,ROW()-1,10),IF(ISNUMBER(OFFSET($A$1,ROW()-1,9)),OFFSET($A$1,ROW()-1,9),IF(ISNUMBER(OFFSET($A$1,ROW()-1,8)),OFFSET($A$1,ROW()-1,8),0))))))))</f>
        <v/>
      </c>
      <c r="AH131" s="62">
        <f>IF($V131="","",IF(AND(ISNUMBER($G131),$G131&lt;=IF($S131=MesCiclo,InicioCiclo,$S131+MOD(2-WEEKDAY($S131),7))+6),1,IF(N($W131)&gt;0,MIN(1,SUMIFS($AD$5:$AD$1000,$U$5:$U$1000,ROW(),$V$5:$V$1000,"Sub")),$Z131)))</f>
        <v/>
      </c>
      <c r="AI131" s="62">
        <f>IF($V131="","",IF(AND(ISNUMBER($G131),$G131&lt;=IF($S131=MesCiclo,InicioCiclo,$S131+MOD(2-WEEKDAY($S131),7))+13),1,IF(N($W131)&gt;0,MIN(1,SUMIFS($AE$5:$AE$1000,$U$5:$U$1000,ROW(),$V$5:$V$1000,"Sub")),$AA131)))</f>
        <v/>
      </c>
      <c r="AJ131" s="62">
        <f>IF($V131="","",IF(AND(ISNUMBER($G131),$G131&lt;=IF($S131=MesCiclo,InicioCiclo,$S131+MOD(2-WEEKDAY($S131),7))+20),1,IF(N($W131)&gt;0,MIN(1,SUMIFS($AF$5:$AF$1000,$U$5:$U$1000,ROW(),$V$5:$V$1000,"Sub")),$AB131)))</f>
        <v/>
      </c>
      <c r="AK131" s="62">
        <f>IF($V131="","",IF(AND(ISNUMBER($G131),$G131&lt;=IF($S131=MesCiclo,InicioCiclo,$S131+MOD(2-WEEKDAY($S131),7))+27),1,IF(N($W131)&gt;0,MIN(1,SUMIFS($AG$5:$AG$1000,$U$5:$U$1000,ROW(),$V$5:$V$1000,"Sub")),$AC131)))</f>
        <v/>
      </c>
      <c r="AL131" s="62">
        <f>IF($V131&lt;&gt;"Macro","",IF(COUNTIFS($S$5:$S$1000,$S131,$V$5:$V$1000,"Macro",$H$5:$H$1000,"&gt;0")=0,1/COUNTIFS($S$5:$S$1000,$S131,$V$5:$V$1000,"Macro"),IF(AND(ISNUMBER($H131),N($H131)&gt;0),$H131,SUMIFS($H$5:$H$1000,$S$5:$S$1000,$S131,$V$5:$V$1000,"Macro")/COUNTIFS($S$5:$S$1000,$S131,$V$5:$V$1000,"Macro",$H$5:$H$1000,"&gt;0"))/(COUNTIFS($S$5:$S$1000,$S131,$V$5:$V$1000,"Macro")*SUMIFS($H$5:$H$1000,$S$5:$S$1000,$S131,$V$5:$V$1000,"Macro")/COUNTIFS($S$5:$S$1000,$S131,$V$5:$V$1000,"Macro",$H$5:$H$1000,"&gt;0"))))</f>
        <v/>
      </c>
      <c r="AM131" s="62" t="n"/>
      <c r="AN131" s="62" t="n"/>
      <c r="AO131" s="62" t="n"/>
      <c r="AP131" s="62" t="n"/>
      <c r="AQ131" s="62">
        <f>IF(LEFT($C131,11)="[Jefatura] ",IFERROR(MATCH("Asistente Técnico de Riesgo|"&amp;MID($C131,12,500),rDname_ADM,0),0),"")</f>
        <v/>
      </c>
      <c r="AR131" s="62">
        <f>IF(N($AQ131)&gt;0,INDEX(rIni_ADM,$AQ131),IF(ISNUMBER($E131),$E131,""))</f>
        <v/>
      </c>
      <c r="AS131" s="62">
        <f>IF(N($AQ131)&gt;0,INDEX(rLim_ADM,$AQ131),IF(ISNUMBER($F131),$F131,""))</f>
        <v/>
      </c>
    </row>
    <row r="132">
      <c r="A132" s="56">
        <f>IF(NOT((COUNTA($B132:$D132)+COUNTA($G132:$H132)+COUNTA($Q132))&gt;0),"",IF($V132="Macro",COUNTIFS($V$5:$V132,"Macro",$S$5:$S132,$S132),IF(N($U132)=0,"?",COUNTIFS(INDEX($V$5:$V$1000,1):INDEX($V$5:$V$1000,$U132-4),"Macro",INDEX($S$5:$S$1000,1):INDEX($S$5:$S$1000,$U132-4),INDEX($S$5:$S$1000,$U132-4))&amp;"."&amp;COUNTIFS($U$5:$U132,$U132,$V$5:$V132,"Sub"))))</f>
        <v/>
      </c>
      <c r="B132" s="57" t="n"/>
      <c r="C132" s="58" t="n"/>
      <c r="D132" s="58" t="n"/>
      <c r="E132" s="59">
        <f>IF(N($AQ132)&gt;0,INDEX(rIni_ADM,$AQ132),"")</f>
        <v/>
      </c>
      <c r="F132" s="59">
        <f>IF(N($AQ132)&gt;0,INDEX(rLim_ADM,$AQ132),"")</f>
        <v/>
      </c>
      <c r="G132" s="59" t="n"/>
      <c r="H132" s="60" t="n"/>
      <c r="I132" s="60">
        <f>IF(N($W132)=0,"",IF(AND($S132=MesCiclo,1&gt;SemanaActual),"",MIN(1,SUMIFS(OFFSET($A$1,ROW(),29,1000-ROW(),1),OFFSET($A$1,ROW(),20,1000-ROW(),1),ROW(),OFFSET($A$1,ROW(),21,1000-ROW(),1),"Sub"))))</f>
        <v/>
      </c>
      <c r="J132" s="60">
        <f>IF(N($W132)=0,"",IF(AND($S132=MesCiclo,2&gt;SemanaActual),"",MIN(1,SUMIFS(OFFSET($A$1,ROW(),30,1000-ROW(),1),OFFSET($A$1,ROW(),20,1000-ROW(),1),ROW(),OFFSET($A$1,ROW(),21,1000-ROW(),1),"Sub"))))</f>
        <v/>
      </c>
      <c r="K132" s="60">
        <f>IF(N($W132)=0,"",IF(AND($S132=MesCiclo,3&gt;SemanaActual),"",MIN(1,SUMIFS(OFFSET($A$1,ROW(),31,1000-ROW(),1),OFFSET($A$1,ROW(),20,1000-ROW(),1),ROW(),OFFSET($A$1,ROW(),21,1000-ROW(),1),"Sub"))))</f>
        <v/>
      </c>
      <c r="L132" s="60">
        <f>IF(N($W132)=0,"",IF(AND($S132=MesCiclo,4&gt;SemanaActual),"",MIN(1,SUMIFS(OFFSET($A$1,ROW(),32,1000-ROW(),1),OFFSET($A$1,ROW(),20,1000-ROW(),1),ROW(),OFFSET($A$1,ROW(),21,1000-ROW(),1),"Sub"))))</f>
        <v/>
      </c>
      <c r="M132" s="61">
        <f>IF(OR(NOT((COUNTA($B132:$D132)+COUNTA($G132:$H132)+COUNTA($Q132))&gt;0),$V132="Sub"),"",IF(ISNUMBER($G132),1,IF(N($W132)&gt;0,MIN(1,SUMIFS($Y$5:$Y$1000,$U$5:$U$1000,ROW(),$V$5:$V$1000,"Sub")),$Y132)))</f>
        <v/>
      </c>
      <c r="N132" s="56">
        <f>IF(OR($M132="",$V132="Sub"),"",IF($M132&gt;=1,"Completado",IF($M132&gt;0,"En curso","Pendiente")))</f>
        <v/>
      </c>
      <c r="O132" s="56">
        <f>IF(OR(NOT((COUNTA($B132:$D132)+COUNTA($G132:$H132)+COUNTA($Q132))&gt;0),$V132="Sub"),"",IF(ISNUMBER($G132),IF(AND(ISNUMBER($AS132),$G132&gt;$AS132),"Cumplida con "&amp;($G132-$AS132)&amp;IF($G132-$AS132=1," día"," días")&amp;" de retraso","Cumplida"),IF(N($M132)&gt;=1,"Cumplida",IF(NOT(ISNUMBER($AS132)),"Sin fecha límite",IF($AS132&lt;FechaRef,"Vencida hace "&amp;(FechaRef-$AS132)&amp;IF(FechaRef-$AS132=1," día"," días"),IF($AS132=FechaRef,"Vence hoy",IF($AS132-FechaRef&lt;=DiasAlerta,"Vence en "&amp;($AS132-FechaRef)&amp;IF($AS132-FechaRef=1," día"," días"),"En plazo")))))))</f>
        <v/>
      </c>
      <c r="P132" s="62" t="n"/>
      <c r="Q132" s="58" t="n"/>
      <c r="R132" s="63">
        <f>IF(NOT((COUNTA($B132:$D132)+COUNTA($G132:$H132)+COUNTA($Q132))&gt;0),"",IF((IF($C132="","Falta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 OK","⚠ "&amp;LEFT(IF($C132="","Falta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",""),LEN(IF($C132="","Falta el nombre de la actividad"&amp;" · ","")&amp;IF(AND($V132="Sub",N($U132)=0),"Subactividad sin macroactividad arriba"&amp;" · ","")&amp;IF(AND($V132="Macro",$AR132=""),"Sin fecha de inicio"&amp;" · ","")&amp;IF(AND($V132="Macro",$AS132=""),"Sin fecha límite"&amp;" · ","")&amp;IF(AND(LEFT($C132,11)="[Jefatura] ",N($AQ132)=0),"No se encuentra en la hoja de la jefatura (elíjala de nuevo en la lista)"&amp;" · ","")&amp;IF(OR(AND($E132&lt;&gt;"",NOT(ISNUMBER($E132))),AND($F132&lt;&gt;"",NOT(ISNUMBER($F132))),AND($G132&lt;&gt;"",NOT(ISNUMBER($G132)))),"Fecha no válida"&amp;" · ","")&amp;IF(AND(ISNUMBER($AR132),ISNUMBER($AS132),$AR132&gt;$AS132),"Inicio posterior a fecha límite"&amp;" · ","")&amp;IF(AND($V132="Macro",$H132&lt;&gt;"",OR(NOT(ISNUMBER($H132)),$H132&lt;0,$H132&gt;1)),"Peso fuera de rango"&amp;" · ","")&amp;IF(AND($V132="Sub",$H132&lt;&gt;"",OR(NOT(ISNUMBER($H132)),$H132&lt;0,$H132&gt;1)),"% de la subactividad fuera de rango 0-100%"&amp;" · ","")&amp;IF(AND(N($W132)&gt;0,SUMIFS($H$5:$H$1000,$U$5:$U$1000,ROW(),$V$5:$V$1000,"Sub")&gt;1.0001),"Las subactividades suman más de 100%"&amp;" · ","")&amp;IF(AND(N($W132)&gt;0,OR(IF(ISNUMBER($I132),ROUND($I132,6)&lt;&gt;ROUND(MIN(1,SUMIFS($AD$5:$AD$1000,$U$5:$U$1000,ROW(),$V$5:$V$1000,"Sub")),6),FALSE),IF(ISNUMBER($J132),ROUND($J132,6)&lt;&gt;ROUND(MIN(1,SUMIFS($AE$5:$AE$1000,$U$5:$U$1000,ROW(),$V$5:$V$1000,"Sub")),6),FALSE),IF(ISNUMBER($K132),ROUND($K132,6)&lt;&gt;ROUND(MIN(1,SUMIFS($AF$5:$AF$1000,$U$5:$U$1000,ROW(),$V$5:$V$1000,"Sub")),6),FALSE),IF(ISNUMBER($L132),ROUND($L132,6)&lt;&gt;ROUND(MIN(1,SUMIFS($AG$5:$AG$1000,$U$5:$U$1000,ROW(),$V$5:$V$1000,"Sub")),6),FALSE))),"Con subactividades: no escriba en las semanas (se llenan solas)"&amp;" · ","")&amp;IF((COUNTIF($I132:$L132,"&gt;1")+COUNTIF($I132:$L132,"&lt;0")+SUMPRODUCT((LEN($I132:$L132)&gt;0)*NOT(ISNUMBER($I132:$L132))))&gt;0,"Avance fuera de rango 0-100%"&amp;" · ","")&amp;IF(OR(AND(ISNUMBER($J132),$J132&lt;N($I132)),AND(ISNUMBER($K132),$K132&lt;MAX($I132:$J132)),AND(ISNUMBER($L132),$L132&lt;MAX($I132:$K132))),"Avance semanal decreciente"&amp;" · ","")&amp;IF(AND(ISNUMBER($AS132),$AS132&lt;FechaRef,IF($V132="Sub",1,N($M132))&lt;1),"Vencida"&amp;" · ","")&amp;IF(AND(ObsObligatoria="Sí",ISNUMBER($AS132),$AS132&lt;FechaRef,IF($V132="Sub",1,N($M132))&lt;1,$Q132=""),"Vencida sin observación"&amp;" · ",""))-3)))</f>
        <v/>
      </c>
      <c r="S132" s="64">
        <f>IF(NOT((COUNTA($B132:$D132)+COUNTA($G132:$H132)+COUNTA($Q132))&gt;0),"",IF(AND($V132="Sub",N($U132)&gt;0),IF(ISNUMBER(INDEX($AR$5:$AR$1000,$U132-4)),DATE(YEAR(INDEX($AR$5:$AR$1000,$U132-4)),MONTH(INDEX($AR$5:$AR$1000,$U132-4)),1),IF(ISNUMBER(INDEX($AS$5:$AS$1000,$U132-4)),DATE(YEAR(INDEX($AS$5:$AS$1000,$U132-4)),MONTH(INDEX($AS$5:$AS$1000,$U132-4)),1),MesCiclo)),IF(ISNUMBER($AR132),DATE(YEAR($AR132),MONTH($AR132),1),IF(ISNUMBER($AS132),DATE(YEAR($AS132),MONTH($AS132),1),MesCiclo))))</f>
        <v/>
      </c>
      <c r="T132" s="62">
        <f>IF(OR($S132="",$S132&lt;&gt;MesCiclo,$V132&lt;&gt;"Macro"),"",COUNTIFS($S$5:$S132,MesCiclo,$V$5:$V132,"Macro"))</f>
        <v/>
      </c>
      <c r="U132" s="62">
        <f>IF($V132="","",IF($V132="Macro",ROW(),IFERROR(LOOKUP(2,1/($V$5:$V132="Macro"),ROW($V$5:$V132)),0)))</f>
        <v/>
      </c>
      <c r="V132" s="62">
        <f>IF(NOT((COUNTA($B132:$D132)+COUNTA($G132:$H132)+COUNTA($Q132))&gt;0),"",IF($B132="Subactividad","Sub","Macro"))</f>
        <v/>
      </c>
      <c r="W132" s="62">
        <f>IF($V132="Macro",COUNTIFS($U$5:$U$1000,ROW(),$V$5:$V$1000,"Sub"),"")</f>
        <v/>
      </c>
      <c r="X132" s="62">
        <f>IF($V132&lt;&gt;"Sub","",IF(AND(ISNUMBER($H132),N($H132)&gt;0),$H132,IFERROR(MAX(0,1-SUMIFS($H$5:$H$1000,$U$5:$U$1000,$U132,$V$5:$V$1000,"Sub"))/(COUNTIFS($U$5:$U$1000,$U132,$V$5:$V$1000,"Sub")-COUNTIFS($U$5:$U$1000,$U132,$V$5:$V$1000,"Sub",$H$5:$H$1000,"&gt;0")),0)))</f>
        <v/>
      </c>
      <c r="Y132" s="62">
        <f>IF($V132="","",IF($V132="Sub",N($X132)*IF(ISNUMBER($G132),1,MIN(1,MAX(0,IFERROR(LOOKUP(2,1/ISNUMBER($I132:$L132),$I132:$L132),0)))),IF(ISNUMBER($G132),1,IFERROR(LOOKUP(2,1/($I132:$L132&lt;&gt;""),$I132:$L132),0))))</f>
        <v/>
      </c>
      <c r="Z132" s="62">
        <f>IF($V132="","",IF(AND(ISNUMBER($G132),$G132&lt;=IF($S132=MesCiclo,InicioCiclo,$S132+MOD(2-WEEKDAY($S132),7))+6),1,IF(ISNUMBER($I132),$I132,0)))</f>
        <v/>
      </c>
      <c r="AA132" s="62">
        <f>IF($V132="","",IF(AND(ISNUMBER($G132),$G132&lt;=IF($S132=MesCiclo,InicioCiclo,$S132+MOD(2-WEEKDAY($S132),7))+13),1,IF(ISNUMBER($J132),$J132,$Z132)))</f>
        <v/>
      </c>
      <c r="AB132" s="62">
        <f>IF($V132="","",IF(AND(ISNUMBER($G132),$G132&lt;=IF($S132=MesCiclo,InicioCiclo,$S132+MOD(2-WEEKDAY($S132),7))+20),1,IF(ISNUMBER($K132),$K132,$AA132)))</f>
        <v/>
      </c>
      <c r="AC132" s="62">
        <f>IF($V132="","",IF(AND(ISNUMBER($G132),$G132&lt;=IF($S132=MesCiclo,InicioCiclo,$S132+MOD(2-WEEKDAY($S132),7))+27),1,IF(ISNUMBER($L132),$L132,$AB132)))</f>
        <v/>
      </c>
      <c r="AD132" s="62">
        <f>IF($V132&lt;&gt;"Sub","",N($X132)*IF(AND(ISNUMBER($G132),$G132&lt;=IF($S132=MesCiclo,InicioCiclo,$S132+MOD(2-WEEKDAY($S132),7))+6),1,MIN(1,MAX(0,IF(ISNUMBER(OFFSET($A$1,ROW()-1,8)),OFFSET($A$1,ROW()-1,8),0)))))</f>
        <v/>
      </c>
      <c r="AE132" s="62">
        <f>IF($V132&lt;&gt;"Sub","",N($X132)*IF(AND(ISNUMBER($G132),$G132&lt;=IF($S132=MesCiclo,InicioCiclo,$S132+MOD(2-WEEKDAY($S132),7))+13),1,MIN(1,MAX(0,IF(ISNUMBER(OFFSET($A$1,ROW()-1,9)),OFFSET($A$1,ROW()-1,9),IF(ISNUMBER(OFFSET($A$1,ROW()-1,8)),OFFSET($A$1,ROW()-1,8),0))))))</f>
        <v/>
      </c>
      <c r="AF132" s="62">
        <f>IF($V132&lt;&gt;"Sub","",N($X132)*IF(AND(ISNUMBER($G132),$G132&lt;=IF($S132=MesCiclo,InicioCiclo,$S132+MOD(2-WEEKDAY($S132),7))+20),1,MIN(1,MAX(0,IF(ISNUMBER(OFFSET($A$1,ROW()-1,10)),OFFSET($A$1,ROW()-1,10),IF(ISNUMBER(OFFSET($A$1,ROW()-1,9)),OFFSET($A$1,ROW()-1,9),IF(ISNUMBER(OFFSET($A$1,ROW()-1,8)),OFFSET($A$1,ROW()-1,8),0)))))))</f>
        <v/>
      </c>
      <c r="AG132" s="62">
        <f>IF($V132&lt;&gt;"Sub","",N($X132)*IF(AND(ISNUMBER($G132),$G132&lt;=IF($S132=MesCiclo,InicioCiclo,$S132+MOD(2-WEEKDAY($S132),7))+27),1,MIN(1,MAX(0,IF(ISNUMBER(OFFSET($A$1,ROW()-1,11)),OFFSET($A$1,ROW()-1,11),IF(ISNUMBER(OFFSET($A$1,ROW()-1,10)),OFFSET($A$1,ROW()-1,10),IF(ISNUMBER(OFFSET($A$1,ROW()-1,9)),OFFSET($A$1,ROW()-1,9),IF(ISNUMBER(OFFSET($A$1,ROW()-1,8)),OFFSET($A$1,ROW()-1,8),0))))))))</f>
        <v/>
      </c>
      <c r="AH132" s="62">
        <f>IF($V132="","",IF(AND(ISNUMBER($G132),$G132&lt;=IF($S132=MesCiclo,InicioCiclo,$S132+MOD(2-WEEKDAY($S132),7))+6),1,IF(N($W132)&gt;0,MIN(1,SUMIFS($AD$5:$AD$1000,$U$5:$U$1000,ROW(),$V$5:$V$1000,"Sub")),$Z132)))</f>
        <v/>
      </c>
      <c r="AI132" s="62">
        <f>IF($V132="","",IF(AND(ISNUMBER($G132),$G132&lt;=IF($S132=MesCiclo,InicioCiclo,$S132+MOD(2-WEEKDAY($S132),7))+13),1,IF(N($W132)&gt;0,MIN(1,SUMIFS($AE$5:$AE$1000,$U$5:$U$1000,ROW(),$V$5:$V$1000,"Sub")),$AA132)))</f>
        <v/>
      </c>
      <c r="AJ132" s="62">
        <f>IF($V132="","",IF(AND(ISNUMBER($G132),$G132&lt;=IF($S132=MesCiclo,InicioCiclo,$S132+MOD(2-WEEKDAY($S132),7))+20),1,IF(N($W132)&gt;0,MIN(1,SUMIFS($AF$5:$AF$1000,$U$5:$U$1000,ROW(),$V$5:$V$1000,"Sub")),$AB132)))</f>
        <v/>
      </c>
      <c r="AK132" s="62">
        <f>IF($V132="","",IF(AND(ISNUMBER($G132),$G132&lt;=IF($S132=MesCiclo,InicioCiclo,$S132+MOD(2-WEEKDAY($S132),7))+27),1,IF(N($W132)&gt;0,MIN(1,SUMIFS($AG$5:$AG$1000,$U$5:$U$1000,ROW(),$V$5:$V$1000,"Sub")),$AC132)))</f>
        <v/>
      </c>
      <c r="AL132" s="62">
        <f>IF($V132&lt;&gt;"Macro","",IF(COUNTIFS($S$5:$S$1000,$S132,$V$5:$V$1000,"Macro",$H$5:$H$1000,"&gt;0")=0,1/COUNTIFS($S$5:$S$1000,$S132,$V$5:$V$1000,"Macro"),IF(AND(ISNUMBER($H132),N($H132)&gt;0),$H132,SUMIFS($H$5:$H$1000,$S$5:$S$1000,$S132,$V$5:$V$1000,"Macro")/COUNTIFS($S$5:$S$1000,$S132,$V$5:$V$1000,"Macro",$H$5:$H$1000,"&gt;0"))/(COUNTIFS($S$5:$S$1000,$S132,$V$5:$V$1000,"Macro")*SUMIFS($H$5:$H$1000,$S$5:$S$1000,$S132,$V$5:$V$1000,"Macro")/COUNTIFS($S$5:$S$1000,$S132,$V$5:$V$1000,"Macro",$H$5:$H$1000,"&gt;0"))))</f>
        <v/>
      </c>
      <c r="AM132" s="62" t="n"/>
      <c r="AN132" s="62" t="n"/>
      <c r="AO132" s="62" t="n"/>
      <c r="AP132" s="62" t="n"/>
      <c r="AQ132" s="62">
        <f>IF(LEFT($C132,11)="[Jefatura] ",IFERROR(MATCH("Asistente Técnico de Riesgo|"&amp;MID($C132,12,500),rDname_ADM,0),0),"")</f>
        <v/>
      </c>
      <c r="AR132" s="62">
        <f>IF(N($AQ132)&gt;0,INDEX(rIni_ADM,$AQ132),IF(ISNUMBER($E132),$E132,""))</f>
        <v/>
      </c>
      <c r="AS132" s="62">
        <f>IF(N($AQ132)&gt;0,INDEX(rLim_ADM,$AQ132),IF(ISNUMBER($F132),$F132,""))</f>
        <v/>
      </c>
    </row>
    <row r="133">
      <c r="A133" s="56">
        <f>IF(NOT((COUNTA($B133:$D133)+COUNTA($G133:$H133)+COUNTA($Q133))&gt;0),"",IF($V133="Macro",COUNTIFS($V$5:$V133,"Macro",$S$5:$S133,$S133),IF(N($U133)=0,"?",COUNTIFS(INDEX($V$5:$V$1000,1):INDEX($V$5:$V$1000,$U133-4),"Macro",INDEX($S$5:$S$1000,1):INDEX($S$5:$S$1000,$U133-4),INDEX($S$5:$S$1000,$U133-4))&amp;"."&amp;COUNTIFS($U$5:$U133,$U133,$V$5:$V133,"Sub"))))</f>
        <v/>
      </c>
      <c r="B133" s="57" t="n"/>
      <c r="C133" s="58" t="n"/>
      <c r="D133" s="58" t="n"/>
      <c r="E133" s="59">
        <f>IF(N($AQ133)&gt;0,INDEX(rIni_ADM,$AQ133),"")</f>
        <v/>
      </c>
      <c r="F133" s="59">
        <f>IF(N($AQ133)&gt;0,INDEX(rLim_ADM,$AQ133),"")</f>
        <v/>
      </c>
      <c r="G133" s="59" t="n"/>
      <c r="H133" s="60" t="n"/>
      <c r="I133" s="60">
        <f>IF(N($W133)=0,"",IF(AND($S133=MesCiclo,1&gt;SemanaActual),"",MIN(1,SUMIFS(OFFSET($A$1,ROW(),29,1000-ROW(),1),OFFSET($A$1,ROW(),20,1000-ROW(),1),ROW(),OFFSET($A$1,ROW(),21,1000-ROW(),1),"Sub"))))</f>
        <v/>
      </c>
      <c r="J133" s="60">
        <f>IF(N($W133)=0,"",IF(AND($S133=MesCiclo,2&gt;SemanaActual),"",MIN(1,SUMIFS(OFFSET($A$1,ROW(),30,1000-ROW(),1),OFFSET($A$1,ROW(),20,1000-ROW(),1),ROW(),OFFSET($A$1,ROW(),21,1000-ROW(),1),"Sub"))))</f>
        <v/>
      </c>
      <c r="K133" s="60">
        <f>IF(N($W133)=0,"",IF(AND($S133=MesCiclo,3&gt;SemanaActual),"",MIN(1,SUMIFS(OFFSET($A$1,ROW(),31,1000-ROW(),1),OFFSET($A$1,ROW(),20,1000-ROW(),1),ROW(),OFFSET($A$1,ROW(),21,1000-ROW(),1),"Sub"))))</f>
        <v/>
      </c>
      <c r="L133" s="60">
        <f>IF(N($W133)=0,"",IF(AND($S133=MesCiclo,4&gt;SemanaActual),"",MIN(1,SUMIFS(OFFSET($A$1,ROW(),32,1000-ROW(),1),OFFSET($A$1,ROW(),20,1000-ROW(),1),ROW(),OFFSET($A$1,ROW(),21,1000-ROW(),1),"Sub"))))</f>
        <v/>
      </c>
      <c r="M133" s="61">
        <f>IF(OR(NOT((COUNTA($B133:$D133)+COUNTA($G133:$H133)+COUNTA($Q133))&gt;0),$V133="Sub"),"",IF(ISNUMBER($G133),1,IF(N($W133)&gt;0,MIN(1,SUMIFS($Y$5:$Y$1000,$U$5:$U$1000,ROW(),$V$5:$V$1000,"Sub")),$Y133)))</f>
        <v/>
      </c>
      <c r="N133" s="56">
        <f>IF(OR($M133="",$V133="Sub"),"",IF($M133&gt;=1,"Completado",IF($M133&gt;0,"En curso","Pendiente")))</f>
        <v/>
      </c>
      <c r="O133" s="56">
        <f>IF(OR(NOT((COUNTA($B133:$D133)+COUNTA($G133:$H133)+COUNTA($Q133))&gt;0),$V133="Sub"),"",IF(ISNUMBER($G133),IF(AND(ISNUMBER($AS133),$G133&gt;$AS133),"Cumplida con "&amp;($G133-$AS133)&amp;IF($G133-$AS133=1," día"," días")&amp;" de retraso","Cumplida"),IF(N($M133)&gt;=1,"Cumplida",IF(NOT(ISNUMBER($AS133)),"Sin fecha límite",IF($AS133&lt;FechaRef,"Vencida hace "&amp;(FechaRef-$AS133)&amp;IF(FechaRef-$AS133=1," día"," días"),IF($AS133=FechaRef,"Vence hoy",IF($AS133-FechaRef&lt;=DiasAlerta,"Vence en "&amp;($AS133-FechaRef)&amp;IF($AS133-FechaRef=1," día"," días"),"En plazo")))))))</f>
        <v/>
      </c>
      <c r="P133" s="62" t="n"/>
      <c r="Q133" s="58" t="n"/>
      <c r="R133" s="63">
        <f>IF(NOT((COUNTA($B133:$D133)+COUNTA($G133:$H133)+COUNTA($Q133))&gt;0),"",IF((IF($C133="","Falta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 OK","⚠ "&amp;LEFT(IF($C133="","Falta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",""),LEN(IF($C133="","Falta el nombre de la actividad"&amp;" · ","")&amp;IF(AND($V133="Sub",N($U133)=0),"Subactividad sin macroactividad arriba"&amp;" · ","")&amp;IF(AND($V133="Macro",$AR133=""),"Sin fecha de inicio"&amp;" · ","")&amp;IF(AND($V133="Macro",$AS133=""),"Sin fecha límite"&amp;" · ","")&amp;IF(AND(LEFT($C133,11)="[Jefatura] ",N($AQ133)=0),"No se encuentra en la hoja de la jefatura (elíjala de nuevo en la lista)"&amp;" · ","")&amp;IF(OR(AND($E133&lt;&gt;"",NOT(ISNUMBER($E133))),AND($F133&lt;&gt;"",NOT(ISNUMBER($F133))),AND($G133&lt;&gt;"",NOT(ISNUMBER($G133)))),"Fecha no válida"&amp;" · ","")&amp;IF(AND(ISNUMBER($AR133),ISNUMBER($AS133),$AR133&gt;$AS133),"Inicio posterior a fecha límite"&amp;" · ","")&amp;IF(AND($V133="Macro",$H133&lt;&gt;"",OR(NOT(ISNUMBER($H133)),$H133&lt;0,$H133&gt;1)),"Peso fuera de rango"&amp;" · ","")&amp;IF(AND($V133="Sub",$H133&lt;&gt;"",OR(NOT(ISNUMBER($H133)),$H133&lt;0,$H133&gt;1)),"% de la subactividad fuera de rango 0-100%"&amp;" · ","")&amp;IF(AND(N($W133)&gt;0,SUMIFS($H$5:$H$1000,$U$5:$U$1000,ROW(),$V$5:$V$1000,"Sub")&gt;1.0001),"Las subactividades suman más de 100%"&amp;" · ","")&amp;IF(AND(N($W133)&gt;0,OR(IF(ISNUMBER($I133),ROUND($I133,6)&lt;&gt;ROUND(MIN(1,SUMIFS($AD$5:$AD$1000,$U$5:$U$1000,ROW(),$V$5:$V$1000,"Sub")),6),FALSE),IF(ISNUMBER($J133),ROUND($J133,6)&lt;&gt;ROUND(MIN(1,SUMIFS($AE$5:$AE$1000,$U$5:$U$1000,ROW(),$V$5:$V$1000,"Sub")),6),FALSE),IF(ISNUMBER($K133),ROUND($K133,6)&lt;&gt;ROUND(MIN(1,SUMIFS($AF$5:$AF$1000,$U$5:$U$1000,ROW(),$V$5:$V$1000,"Sub")),6),FALSE),IF(ISNUMBER($L133),ROUND($L133,6)&lt;&gt;ROUND(MIN(1,SUMIFS($AG$5:$AG$1000,$U$5:$U$1000,ROW(),$V$5:$V$1000,"Sub")),6),FALSE))),"Con subactividades: no escriba en las semanas (se llenan solas)"&amp;" · ","")&amp;IF((COUNTIF($I133:$L133,"&gt;1")+COUNTIF($I133:$L133,"&lt;0")+SUMPRODUCT((LEN($I133:$L133)&gt;0)*NOT(ISNUMBER($I133:$L133))))&gt;0,"Avance fuera de rango 0-100%"&amp;" · ","")&amp;IF(OR(AND(ISNUMBER($J133),$J133&lt;N($I133)),AND(ISNUMBER($K133),$K133&lt;MAX($I133:$J133)),AND(ISNUMBER($L133),$L133&lt;MAX($I133:$K133))),"Avance semanal decreciente"&amp;" · ","")&amp;IF(AND(ISNUMBER($AS133),$AS133&lt;FechaRef,IF($V133="Sub",1,N($M133))&lt;1),"Vencida"&amp;" · ","")&amp;IF(AND(ObsObligatoria="Sí",ISNUMBER($AS133),$AS133&lt;FechaRef,IF($V133="Sub",1,N($M133))&lt;1,$Q133=""),"Vencida sin observación"&amp;" · ",""))-3)))</f>
        <v/>
      </c>
      <c r="S133" s="64">
        <f>IF(NOT((COUNTA($B133:$D133)+COUNTA($G133:$H133)+COUNTA($Q133))&gt;0),"",IF(AND($V133="Sub",N($U133)&gt;0),IF(ISNUMBER(INDEX($AR$5:$AR$1000,$U133-4)),DATE(YEAR(INDEX($AR$5:$AR$1000,$U133-4)),MONTH(INDEX($AR$5:$AR$1000,$U133-4)),1),IF(ISNUMBER(INDEX($AS$5:$AS$1000,$U133-4)),DATE(YEAR(INDEX($AS$5:$AS$1000,$U133-4)),MONTH(INDEX($AS$5:$AS$1000,$U133-4)),1),MesCiclo)),IF(ISNUMBER($AR133),DATE(YEAR($AR133),MONTH($AR133),1),IF(ISNUMBER($AS133),DATE(YEAR($AS133),MONTH($AS133),1),MesCiclo))))</f>
        <v/>
      </c>
      <c r="T133" s="62">
        <f>IF(OR($S133="",$S133&lt;&gt;MesCiclo,$V133&lt;&gt;"Macro"),"",COUNTIFS($S$5:$S133,MesCiclo,$V$5:$V133,"Macro"))</f>
        <v/>
      </c>
      <c r="U133" s="62">
        <f>IF($V133="","",IF($V133="Macro",ROW(),IFERROR(LOOKUP(2,1/($V$5:$V133="Macro"),ROW($V$5:$V133)),0)))</f>
        <v/>
      </c>
      <c r="V133" s="62">
        <f>IF(NOT((COUNTA($B133:$D133)+COUNTA($G133:$H133)+COUNTA($Q133))&gt;0),"",IF($B133="Subactividad","Sub","Macro"))</f>
        <v/>
      </c>
      <c r="W133" s="62">
        <f>IF($V133="Macro",COUNTIFS($U$5:$U$1000,ROW(),$V$5:$V$1000,"Sub"),"")</f>
        <v/>
      </c>
      <c r="X133" s="62">
        <f>IF($V133&lt;&gt;"Sub","",IF(AND(ISNUMBER($H133),N($H133)&gt;0),$H133,IFERROR(MAX(0,1-SUMIFS($H$5:$H$1000,$U$5:$U$1000,$U133,$V$5:$V$1000,"Sub"))/(COUNTIFS($U$5:$U$1000,$U133,$V$5:$V$1000,"Sub")-COUNTIFS($U$5:$U$1000,$U133,$V$5:$V$1000,"Sub",$H$5:$H$1000,"&gt;0")),0)))</f>
        <v/>
      </c>
      <c r="Y133" s="62">
        <f>IF($V133="","",IF($V133="Sub",N($X133)*IF(ISNUMBER($G133),1,MIN(1,MAX(0,IFERROR(LOOKUP(2,1/ISNUMBER($I133:$L133),$I133:$L133),0)))),IF(ISNUMBER($G133),1,IFERROR(LOOKUP(2,1/($I133:$L133&lt;&gt;""),$I133:$L133),0))))</f>
        <v/>
      </c>
      <c r="Z133" s="62">
        <f>IF($V133="","",IF(AND(ISNUMBER($G133),$G133&lt;=IF($S133=MesCiclo,InicioCiclo,$S133+MOD(2-WEEKDAY($S133),7))+6),1,IF(ISNUMBER($I133),$I133,0)))</f>
        <v/>
      </c>
      <c r="AA133" s="62">
        <f>IF($V133="","",IF(AND(ISNUMBER($G133),$G133&lt;=IF($S133=MesCiclo,InicioCiclo,$S133+MOD(2-WEEKDAY($S133),7))+13),1,IF(ISNUMBER($J133),$J133,$Z133)))</f>
        <v/>
      </c>
      <c r="AB133" s="62">
        <f>IF($V133="","",IF(AND(ISNUMBER($G133),$G133&lt;=IF($S133=MesCiclo,InicioCiclo,$S133+MOD(2-WEEKDAY($S133),7))+20),1,IF(ISNUMBER($K133),$K133,$AA133)))</f>
        <v/>
      </c>
      <c r="AC133" s="62">
        <f>IF($V133="","",IF(AND(ISNUMBER($G133),$G133&lt;=IF($S133=MesCiclo,InicioCiclo,$S133+MOD(2-WEEKDAY($S133),7))+27),1,IF(ISNUMBER($L133),$L133,$AB133)))</f>
        <v/>
      </c>
      <c r="AD133" s="62">
        <f>IF($V133&lt;&gt;"Sub","",N($X133)*IF(AND(ISNUMBER($G133),$G133&lt;=IF($S133=MesCiclo,InicioCiclo,$S133+MOD(2-WEEKDAY($S133),7))+6),1,MIN(1,MAX(0,IF(ISNUMBER(OFFSET($A$1,ROW()-1,8)),OFFSET($A$1,ROW()-1,8),0)))))</f>
        <v/>
      </c>
      <c r="AE133" s="62">
        <f>IF($V133&lt;&gt;"Sub","",N($X133)*IF(AND(ISNUMBER($G133),$G133&lt;=IF($S133=MesCiclo,InicioCiclo,$S133+MOD(2-WEEKDAY($S133),7))+13),1,MIN(1,MAX(0,IF(ISNUMBER(OFFSET($A$1,ROW()-1,9)),OFFSET($A$1,ROW()-1,9),IF(ISNUMBER(OFFSET($A$1,ROW()-1,8)),OFFSET($A$1,ROW()-1,8),0))))))</f>
        <v/>
      </c>
      <c r="AF133" s="62">
        <f>IF($V133&lt;&gt;"Sub","",N($X133)*IF(AND(ISNUMBER($G133),$G133&lt;=IF($S133=MesCiclo,InicioCiclo,$S133+MOD(2-WEEKDAY($S133),7))+20),1,MIN(1,MAX(0,IF(ISNUMBER(OFFSET($A$1,ROW()-1,10)),OFFSET($A$1,ROW()-1,10),IF(ISNUMBER(OFFSET($A$1,ROW()-1,9)),OFFSET($A$1,ROW()-1,9),IF(ISNUMBER(OFFSET($A$1,ROW()-1,8)),OFFSET($A$1,ROW()-1,8),0)))))))</f>
        <v/>
      </c>
      <c r="AG133" s="62">
        <f>IF($V133&lt;&gt;"Sub","",N($X133)*IF(AND(ISNUMBER($G133),$G133&lt;=IF($S133=MesCiclo,InicioCiclo,$S133+MOD(2-WEEKDAY($S133),7))+27),1,MIN(1,MAX(0,IF(ISNUMBER(OFFSET($A$1,ROW()-1,11)),OFFSET($A$1,ROW()-1,11),IF(ISNUMBER(OFFSET($A$1,ROW()-1,10)),OFFSET($A$1,ROW()-1,10),IF(ISNUMBER(OFFSET($A$1,ROW()-1,9)),OFFSET($A$1,ROW()-1,9),IF(ISNUMBER(OFFSET($A$1,ROW()-1,8)),OFFSET($A$1,ROW()-1,8),0))))))))</f>
        <v/>
      </c>
      <c r="AH133" s="62">
        <f>IF($V133="","",IF(AND(ISNUMBER($G133),$G133&lt;=IF($S133=MesCiclo,InicioCiclo,$S133+MOD(2-WEEKDAY($S133),7))+6),1,IF(N($W133)&gt;0,MIN(1,SUMIFS($AD$5:$AD$1000,$U$5:$U$1000,ROW(),$V$5:$V$1000,"Sub")),$Z133)))</f>
        <v/>
      </c>
      <c r="AI133" s="62">
        <f>IF($V133="","",IF(AND(ISNUMBER($G133),$G133&lt;=IF($S133=MesCiclo,InicioCiclo,$S133+MOD(2-WEEKDAY($S133),7))+13),1,IF(N($W133)&gt;0,MIN(1,SUMIFS($AE$5:$AE$1000,$U$5:$U$1000,ROW(),$V$5:$V$1000,"Sub")),$AA133)))</f>
        <v/>
      </c>
      <c r="AJ133" s="62">
        <f>IF($V133="","",IF(AND(ISNUMBER($G133),$G133&lt;=IF($S133=MesCiclo,InicioCiclo,$S133+MOD(2-WEEKDAY($S133),7))+20),1,IF(N($W133)&gt;0,MIN(1,SUMIFS($AF$5:$AF$1000,$U$5:$U$1000,ROW(),$V$5:$V$1000,"Sub")),$AB133)))</f>
        <v/>
      </c>
      <c r="AK133" s="62">
        <f>IF($V133="","",IF(AND(ISNUMBER($G133),$G133&lt;=IF($S133=MesCiclo,InicioCiclo,$S133+MOD(2-WEEKDAY($S133),7))+27),1,IF(N($W133)&gt;0,MIN(1,SUMIFS($AG$5:$AG$1000,$U$5:$U$1000,ROW(),$V$5:$V$1000,"Sub")),$AC133)))</f>
        <v/>
      </c>
      <c r="AL133" s="62">
        <f>IF($V133&lt;&gt;"Macro","",IF(COUNTIFS($S$5:$S$1000,$S133,$V$5:$V$1000,"Macro",$H$5:$H$1000,"&gt;0")=0,1/COUNTIFS($S$5:$S$1000,$S133,$V$5:$V$1000,"Macro"),IF(AND(ISNUMBER($H133),N($H133)&gt;0),$H133,SUMIFS($H$5:$H$1000,$S$5:$S$1000,$S133,$V$5:$V$1000,"Macro")/COUNTIFS($S$5:$S$1000,$S133,$V$5:$V$1000,"Macro",$H$5:$H$1000,"&gt;0"))/(COUNTIFS($S$5:$S$1000,$S133,$V$5:$V$1000,"Macro")*SUMIFS($H$5:$H$1000,$S$5:$S$1000,$S133,$V$5:$V$1000,"Macro")/COUNTIFS($S$5:$S$1000,$S133,$V$5:$V$1000,"Macro",$H$5:$H$1000,"&gt;0"))))</f>
        <v/>
      </c>
      <c r="AM133" s="62" t="n"/>
      <c r="AN133" s="62" t="n"/>
      <c r="AO133" s="62" t="n"/>
      <c r="AP133" s="62" t="n"/>
      <c r="AQ133" s="62">
        <f>IF(LEFT($C133,11)="[Jefatura] ",IFERROR(MATCH("Asistente Técnico de Riesgo|"&amp;MID($C133,12,500),rDname_ADM,0),0),"")</f>
        <v/>
      </c>
      <c r="AR133" s="62">
        <f>IF(N($AQ133)&gt;0,INDEX(rIni_ADM,$AQ133),IF(ISNUMBER($E133),$E133,""))</f>
        <v/>
      </c>
      <c r="AS133" s="62">
        <f>IF(N($AQ133)&gt;0,INDEX(rLim_ADM,$AQ133),IF(ISNUMBER($F133),$F133,""))</f>
        <v/>
      </c>
    </row>
    <row r="134">
      <c r="A134" s="56">
        <f>IF(NOT((COUNTA($B134:$D134)+COUNTA($G134:$H134)+COUNTA($Q134))&gt;0),"",IF($V134="Macro",COUNTIFS($V$5:$V134,"Macro",$S$5:$S134,$S134),IF(N($U134)=0,"?",COUNTIFS(INDEX($V$5:$V$1000,1):INDEX($V$5:$V$1000,$U134-4),"Macro",INDEX($S$5:$S$1000,1):INDEX($S$5:$S$1000,$U134-4),INDEX($S$5:$S$1000,$U134-4))&amp;"."&amp;COUNTIFS($U$5:$U134,$U134,$V$5:$V134,"Sub"))))</f>
        <v/>
      </c>
      <c r="B134" s="57" t="n"/>
      <c r="C134" s="58" t="n"/>
      <c r="D134" s="58" t="n"/>
      <c r="E134" s="59">
        <f>IF(N($AQ134)&gt;0,INDEX(rIni_ADM,$AQ134),"")</f>
        <v/>
      </c>
      <c r="F134" s="59">
        <f>IF(N($AQ134)&gt;0,INDEX(rLim_ADM,$AQ134),"")</f>
        <v/>
      </c>
      <c r="G134" s="59" t="n"/>
      <c r="H134" s="60" t="n"/>
      <c r="I134" s="60">
        <f>IF(N($W134)=0,"",IF(AND($S134=MesCiclo,1&gt;SemanaActual),"",MIN(1,SUMIFS(OFFSET($A$1,ROW(),29,1000-ROW(),1),OFFSET($A$1,ROW(),20,1000-ROW(),1),ROW(),OFFSET($A$1,ROW(),21,1000-ROW(),1),"Sub"))))</f>
        <v/>
      </c>
      <c r="J134" s="60">
        <f>IF(N($W134)=0,"",IF(AND($S134=MesCiclo,2&gt;SemanaActual),"",MIN(1,SUMIFS(OFFSET($A$1,ROW(),30,1000-ROW(),1),OFFSET($A$1,ROW(),20,1000-ROW(),1),ROW(),OFFSET($A$1,ROW(),21,1000-ROW(),1),"Sub"))))</f>
        <v/>
      </c>
      <c r="K134" s="60">
        <f>IF(N($W134)=0,"",IF(AND($S134=MesCiclo,3&gt;SemanaActual),"",MIN(1,SUMIFS(OFFSET($A$1,ROW(),31,1000-ROW(),1),OFFSET($A$1,ROW(),20,1000-ROW(),1),ROW(),OFFSET($A$1,ROW(),21,1000-ROW(),1),"Sub"))))</f>
        <v/>
      </c>
      <c r="L134" s="60">
        <f>IF(N($W134)=0,"",IF(AND($S134=MesCiclo,4&gt;SemanaActual),"",MIN(1,SUMIFS(OFFSET($A$1,ROW(),32,1000-ROW(),1),OFFSET($A$1,ROW(),20,1000-ROW(),1),ROW(),OFFSET($A$1,ROW(),21,1000-ROW(),1),"Sub"))))</f>
        <v/>
      </c>
      <c r="M134" s="61">
        <f>IF(OR(NOT((COUNTA($B134:$D134)+COUNTA($G134:$H134)+COUNTA($Q134))&gt;0),$V134="Sub"),"",IF(ISNUMBER($G134),1,IF(N($W134)&gt;0,MIN(1,SUMIFS($Y$5:$Y$1000,$U$5:$U$1000,ROW(),$V$5:$V$1000,"Sub")),$Y134)))</f>
        <v/>
      </c>
      <c r="N134" s="56">
        <f>IF(OR($M134="",$V134="Sub"),"",IF($M134&gt;=1,"Completado",IF($M134&gt;0,"En curso","Pendiente")))</f>
        <v/>
      </c>
      <c r="O134" s="56">
        <f>IF(OR(NOT((COUNTA($B134:$D134)+COUNTA($G134:$H134)+COUNTA($Q134))&gt;0),$V134="Sub"),"",IF(ISNUMBER($G134),IF(AND(ISNUMBER($AS134),$G134&gt;$AS134),"Cumplida con "&amp;($G134-$AS134)&amp;IF($G134-$AS134=1," día"," días")&amp;" de retraso","Cumplida"),IF(N($M134)&gt;=1,"Cumplida",IF(NOT(ISNUMBER($AS134)),"Sin fecha límite",IF($AS134&lt;FechaRef,"Vencida hace "&amp;(FechaRef-$AS134)&amp;IF(FechaRef-$AS134=1," día"," días"),IF($AS134=FechaRef,"Vence hoy",IF($AS134-FechaRef&lt;=DiasAlerta,"Vence en "&amp;($AS134-FechaRef)&amp;IF($AS134-FechaRef=1," día"," días"),"En plazo")))))))</f>
        <v/>
      </c>
      <c r="P134" s="62" t="n"/>
      <c r="Q134" s="58" t="n"/>
      <c r="R134" s="63">
        <f>IF(NOT((COUNTA($B134:$D134)+COUNTA($G134:$H134)+COUNTA($Q134))&gt;0),"",IF((IF($C134="","Falta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 OK","⚠ "&amp;LEFT(IF($C134="","Falta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",""),LEN(IF($C134="","Falta el nombre de la actividad"&amp;" · ","")&amp;IF(AND($V134="Sub",N($U134)=0),"Subactividad sin macroactividad arriba"&amp;" · ","")&amp;IF(AND($V134="Macro",$AR134=""),"Sin fecha de inicio"&amp;" · ","")&amp;IF(AND($V134="Macro",$AS134=""),"Sin fecha límite"&amp;" · ","")&amp;IF(AND(LEFT($C134,11)="[Jefatura] ",N($AQ134)=0),"No se encuentra en la hoja de la jefatura (elíjala de nuevo en la lista)"&amp;" · ","")&amp;IF(OR(AND($E134&lt;&gt;"",NOT(ISNUMBER($E134))),AND($F134&lt;&gt;"",NOT(ISNUMBER($F134))),AND($G134&lt;&gt;"",NOT(ISNUMBER($G134)))),"Fecha no válida"&amp;" · ","")&amp;IF(AND(ISNUMBER($AR134),ISNUMBER($AS134),$AR134&gt;$AS134),"Inicio posterior a fecha límite"&amp;" · ","")&amp;IF(AND($V134="Macro",$H134&lt;&gt;"",OR(NOT(ISNUMBER($H134)),$H134&lt;0,$H134&gt;1)),"Peso fuera de rango"&amp;" · ","")&amp;IF(AND($V134="Sub",$H134&lt;&gt;"",OR(NOT(ISNUMBER($H134)),$H134&lt;0,$H134&gt;1)),"% de la subactividad fuera de rango 0-100%"&amp;" · ","")&amp;IF(AND(N($W134)&gt;0,SUMIFS($H$5:$H$1000,$U$5:$U$1000,ROW(),$V$5:$V$1000,"Sub")&gt;1.0001),"Las subactividades suman más de 100%"&amp;" · ","")&amp;IF(AND(N($W134)&gt;0,OR(IF(ISNUMBER($I134),ROUND($I134,6)&lt;&gt;ROUND(MIN(1,SUMIFS($AD$5:$AD$1000,$U$5:$U$1000,ROW(),$V$5:$V$1000,"Sub")),6),FALSE),IF(ISNUMBER($J134),ROUND($J134,6)&lt;&gt;ROUND(MIN(1,SUMIFS($AE$5:$AE$1000,$U$5:$U$1000,ROW(),$V$5:$V$1000,"Sub")),6),FALSE),IF(ISNUMBER($K134),ROUND($K134,6)&lt;&gt;ROUND(MIN(1,SUMIFS($AF$5:$AF$1000,$U$5:$U$1000,ROW(),$V$5:$V$1000,"Sub")),6),FALSE),IF(ISNUMBER($L134),ROUND($L134,6)&lt;&gt;ROUND(MIN(1,SUMIFS($AG$5:$AG$1000,$U$5:$U$1000,ROW(),$V$5:$V$1000,"Sub")),6),FALSE))),"Con subactividades: no escriba en las semanas (se llenan solas)"&amp;" · ","")&amp;IF((COUNTIF($I134:$L134,"&gt;1")+COUNTIF($I134:$L134,"&lt;0")+SUMPRODUCT((LEN($I134:$L134)&gt;0)*NOT(ISNUMBER($I134:$L134))))&gt;0,"Avance fuera de rango 0-100%"&amp;" · ","")&amp;IF(OR(AND(ISNUMBER($J134),$J134&lt;N($I134)),AND(ISNUMBER($K134),$K134&lt;MAX($I134:$J134)),AND(ISNUMBER($L134),$L134&lt;MAX($I134:$K134))),"Avance semanal decreciente"&amp;" · ","")&amp;IF(AND(ISNUMBER($AS134),$AS134&lt;FechaRef,IF($V134="Sub",1,N($M134))&lt;1),"Vencida"&amp;" · ","")&amp;IF(AND(ObsObligatoria="Sí",ISNUMBER($AS134),$AS134&lt;FechaRef,IF($V134="Sub",1,N($M134))&lt;1,$Q134=""),"Vencida sin observación"&amp;" · ",""))-3)))</f>
        <v/>
      </c>
      <c r="S134" s="64">
        <f>IF(NOT((COUNTA($B134:$D134)+COUNTA($G134:$H134)+COUNTA($Q134))&gt;0),"",IF(AND($V134="Sub",N($U134)&gt;0),IF(ISNUMBER(INDEX($AR$5:$AR$1000,$U134-4)),DATE(YEAR(INDEX($AR$5:$AR$1000,$U134-4)),MONTH(INDEX($AR$5:$AR$1000,$U134-4)),1),IF(ISNUMBER(INDEX($AS$5:$AS$1000,$U134-4)),DATE(YEAR(INDEX($AS$5:$AS$1000,$U134-4)),MONTH(INDEX($AS$5:$AS$1000,$U134-4)),1),MesCiclo)),IF(ISNUMBER($AR134),DATE(YEAR($AR134),MONTH($AR134),1),IF(ISNUMBER($AS134),DATE(YEAR($AS134),MONTH($AS134),1),MesCiclo))))</f>
        <v/>
      </c>
      <c r="T134" s="62">
        <f>IF(OR($S134="",$S134&lt;&gt;MesCiclo,$V134&lt;&gt;"Macro"),"",COUNTIFS($S$5:$S134,MesCiclo,$V$5:$V134,"Macro"))</f>
        <v/>
      </c>
      <c r="U134" s="62">
        <f>IF($V134="","",IF($V134="Macro",ROW(),IFERROR(LOOKUP(2,1/($V$5:$V134="Macro"),ROW($V$5:$V134)),0)))</f>
        <v/>
      </c>
      <c r="V134" s="62">
        <f>IF(NOT((COUNTA($B134:$D134)+COUNTA($G134:$H134)+COUNTA($Q134))&gt;0),"",IF($B134="Subactividad","Sub","Macro"))</f>
        <v/>
      </c>
      <c r="W134" s="62">
        <f>IF($V134="Macro",COUNTIFS($U$5:$U$1000,ROW(),$V$5:$V$1000,"Sub"),"")</f>
        <v/>
      </c>
      <c r="X134" s="62">
        <f>IF($V134&lt;&gt;"Sub","",IF(AND(ISNUMBER($H134),N($H134)&gt;0),$H134,IFERROR(MAX(0,1-SUMIFS($H$5:$H$1000,$U$5:$U$1000,$U134,$V$5:$V$1000,"Sub"))/(COUNTIFS($U$5:$U$1000,$U134,$V$5:$V$1000,"Sub")-COUNTIFS($U$5:$U$1000,$U134,$V$5:$V$1000,"Sub",$H$5:$H$1000,"&gt;0")),0)))</f>
        <v/>
      </c>
      <c r="Y134" s="62">
        <f>IF($V134="","",IF($V134="Sub",N($X134)*IF(ISNUMBER($G134),1,MIN(1,MAX(0,IFERROR(LOOKUP(2,1/ISNUMBER($I134:$L134),$I134:$L134),0)))),IF(ISNUMBER($G134),1,IFERROR(LOOKUP(2,1/($I134:$L134&lt;&gt;""),$I134:$L134),0))))</f>
        <v/>
      </c>
      <c r="Z134" s="62">
        <f>IF($V134="","",IF(AND(ISNUMBER($G134),$G134&lt;=IF($S134=MesCiclo,InicioCiclo,$S134+MOD(2-WEEKDAY($S134),7))+6),1,IF(ISNUMBER($I134),$I134,0)))</f>
        <v/>
      </c>
      <c r="AA134" s="62">
        <f>IF($V134="","",IF(AND(ISNUMBER($G134),$G134&lt;=IF($S134=MesCiclo,InicioCiclo,$S134+MOD(2-WEEKDAY($S134),7))+13),1,IF(ISNUMBER($J134),$J134,$Z134)))</f>
        <v/>
      </c>
      <c r="AB134" s="62">
        <f>IF($V134="","",IF(AND(ISNUMBER($G134),$G134&lt;=IF($S134=MesCiclo,InicioCiclo,$S134+MOD(2-WEEKDAY($S134),7))+20),1,IF(ISNUMBER($K134),$K134,$AA134)))</f>
        <v/>
      </c>
      <c r="AC134" s="62">
        <f>IF($V134="","",IF(AND(ISNUMBER($G134),$G134&lt;=IF($S134=MesCiclo,InicioCiclo,$S134+MOD(2-WEEKDAY($S134),7))+27),1,IF(ISNUMBER($L134),$L134,$AB134)))</f>
        <v/>
      </c>
      <c r="AD134" s="62">
        <f>IF($V134&lt;&gt;"Sub","",N($X134)*IF(AND(ISNUMBER($G134),$G134&lt;=IF($S134=MesCiclo,InicioCiclo,$S134+MOD(2-WEEKDAY($S134),7))+6),1,MIN(1,MAX(0,IF(ISNUMBER(OFFSET($A$1,ROW()-1,8)),OFFSET($A$1,ROW()-1,8),0)))))</f>
        <v/>
      </c>
      <c r="AE134" s="62">
        <f>IF($V134&lt;&gt;"Sub","",N($X134)*IF(AND(ISNUMBER($G134),$G134&lt;=IF($S134=MesCiclo,InicioCiclo,$S134+MOD(2-WEEKDAY($S134),7))+13),1,MIN(1,MAX(0,IF(ISNUMBER(OFFSET($A$1,ROW()-1,9)),OFFSET($A$1,ROW()-1,9),IF(ISNUMBER(OFFSET($A$1,ROW()-1,8)),OFFSET($A$1,ROW()-1,8),0))))))</f>
        <v/>
      </c>
      <c r="AF134" s="62">
        <f>IF($V134&lt;&gt;"Sub","",N($X134)*IF(AND(ISNUMBER($G134),$G134&lt;=IF($S134=MesCiclo,InicioCiclo,$S134+MOD(2-WEEKDAY($S134),7))+20),1,MIN(1,MAX(0,IF(ISNUMBER(OFFSET($A$1,ROW()-1,10)),OFFSET($A$1,ROW()-1,10),IF(ISNUMBER(OFFSET($A$1,ROW()-1,9)),OFFSET($A$1,ROW()-1,9),IF(ISNUMBER(OFFSET($A$1,ROW()-1,8)),OFFSET($A$1,ROW()-1,8),0)))))))</f>
        <v/>
      </c>
      <c r="AG134" s="62">
        <f>IF($V134&lt;&gt;"Sub","",N($X134)*IF(AND(ISNUMBER($G134),$G134&lt;=IF($S134=MesCiclo,InicioCiclo,$S134+MOD(2-WEEKDAY($S134),7))+27),1,MIN(1,MAX(0,IF(ISNUMBER(OFFSET($A$1,ROW()-1,11)),OFFSET($A$1,ROW()-1,11),IF(ISNUMBER(OFFSET($A$1,ROW()-1,10)),OFFSET($A$1,ROW()-1,10),IF(ISNUMBER(OFFSET($A$1,ROW()-1,9)),OFFSET($A$1,ROW()-1,9),IF(ISNUMBER(OFFSET($A$1,ROW()-1,8)),OFFSET($A$1,ROW()-1,8),0))))))))</f>
        <v/>
      </c>
      <c r="AH134" s="62">
        <f>IF($V134="","",IF(AND(ISNUMBER($G134),$G134&lt;=IF($S134=MesCiclo,InicioCiclo,$S134+MOD(2-WEEKDAY($S134),7))+6),1,IF(N($W134)&gt;0,MIN(1,SUMIFS($AD$5:$AD$1000,$U$5:$U$1000,ROW(),$V$5:$V$1000,"Sub")),$Z134)))</f>
        <v/>
      </c>
      <c r="AI134" s="62">
        <f>IF($V134="","",IF(AND(ISNUMBER($G134),$G134&lt;=IF($S134=MesCiclo,InicioCiclo,$S134+MOD(2-WEEKDAY($S134),7))+13),1,IF(N($W134)&gt;0,MIN(1,SUMIFS($AE$5:$AE$1000,$U$5:$U$1000,ROW(),$V$5:$V$1000,"Sub")),$AA134)))</f>
        <v/>
      </c>
      <c r="AJ134" s="62">
        <f>IF($V134="","",IF(AND(ISNUMBER($G134),$G134&lt;=IF($S134=MesCiclo,InicioCiclo,$S134+MOD(2-WEEKDAY($S134),7))+20),1,IF(N($W134)&gt;0,MIN(1,SUMIFS($AF$5:$AF$1000,$U$5:$U$1000,ROW(),$V$5:$V$1000,"Sub")),$AB134)))</f>
        <v/>
      </c>
      <c r="AK134" s="62">
        <f>IF($V134="","",IF(AND(ISNUMBER($G134),$G134&lt;=IF($S134=MesCiclo,InicioCiclo,$S134+MOD(2-WEEKDAY($S134),7))+27),1,IF(N($W134)&gt;0,MIN(1,SUMIFS($AG$5:$AG$1000,$U$5:$U$1000,ROW(),$V$5:$V$1000,"Sub")),$AC134)))</f>
        <v/>
      </c>
      <c r="AL134" s="62">
        <f>IF($V134&lt;&gt;"Macro","",IF(COUNTIFS($S$5:$S$1000,$S134,$V$5:$V$1000,"Macro",$H$5:$H$1000,"&gt;0")=0,1/COUNTIFS($S$5:$S$1000,$S134,$V$5:$V$1000,"Macro"),IF(AND(ISNUMBER($H134),N($H134)&gt;0),$H134,SUMIFS($H$5:$H$1000,$S$5:$S$1000,$S134,$V$5:$V$1000,"Macro")/COUNTIFS($S$5:$S$1000,$S134,$V$5:$V$1000,"Macro",$H$5:$H$1000,"&gt;0"))/(COUNTIFS($S$5:$S$1000,$S134,$V$5:$V$1000,"Macro")*SUMIFS($H$5:$H$1000,$S$5:$S$1000,$S134,$V$5:$V$1000,"Macro")/COUNTIFS($S$5:$S$1000,$S134,$V$5:$V$1000,"Macro",$H$5:$H$1000,"&gt;0"))))</f>
        <v/>
      </c>
      <c r="AM134" s="62" t="n"/>
      <c r="AN134" s="62" t="n"/>
      <c r="AO134" s="62" t="n"/>
      <c r="AP134" s="62" t="n"/>
      <c r="AQ134" s="62">
        <f>IF(LEFT($C134,11)="[Jefatura] ",IFERROR(MATCH("Asistente Técnico de Riesgo|"&amp;MID($C134,12,500),rDname_ADM,0),0),"")</f>
        <v/>
      </c>
      <c r="AR134" s="62">
        <f>IF(N($AQ134)&gt;0,INDEX(rIni_ADM,$AQ134),IF(ISNUMBER($E134),$E134,""))</f>
        <v/>
      </c>
      <c r="AS134" s="62">
        <f>IF(N($AQ134)&gt;0,INDEX(rLim_ADM,$AQ134),IF(ISNUMBER($F134),$F134,""))</f>
        <v/>
      </c>
    </row>
    <row r="135">
      <c r="A135" s="56">
        <f>IF(NOT((COUNTA($B135:$D135)+COUNTA($G135:$H135)+COUNTA($Q135))&gt;0),"",IF($V135="Macro",COUNTIFS($V$5:$V135,"Macro",$S$5:$S135,$S135),IF(N($U135)=0,"?",COUNTIFS(INDEX($V$5:$V$1000,1):INDEX($V$5:$V$1000,$U135-4),"Macro",INDEX($S$5:$S$1000,1):INDEX($S$5:$S$1000,$U135-4),INDEX($S$5:$S$1000,$U135-4))&amp;"."&amp;COUNTIFS($U$5:$U135,$U135,$V$5:$V135,"Sub"))))</f>
        <v/>
      </c>
      <c r="B135" s="57" t="n"/>
      <c r="C135" s="58" t="n"/>
      <c r="D135" s="58" t="n"/>
      <c r="E135" s="59">
        <f>IF(N($AQ135)&gt;0,INDEX(rIni_ADM,$AQ135),"")</f>
        <v/>
      </c>
      <c r="F135" s="59">
        <f>IF(N($AQ135)&gt;0,INDEX(rLim_ADM,$AQ135),"")</f>
        <v/>
      </c>
      <c r="G135" s="59" t="n"/>
      <c r="H135" s="60" t="n"/>
      <c r="I135" s="60">
        <f>IF(N($W135)=0,"",IF(AND($S135=MesCiclo,1&gt;SemanaActual),"",MIN(1,SUMIFS(OFFSET($A$1,ROW(),29,1000-ROW(),1),OFFSET($A$1,ROW(),20,1000-ROW(),1),ROW(),OFFSET($A$1,ROW(),21,1000-ROW(),1),"Sub"))))</f>
        <v/>
      </c>
      <c r="J135" s="60">
        <f>IF(N($W135)=0,"",IF(AND($S135=MesCiclo,2&gt;SemanaActual),"",MIN(1,SUMIFS(OFFSET($A$1,ROW(),30,1000-ROW(),1),OFFSET($A$1,ROW(),20,1000-ROW(),1),ROW(),OFFSET($A$1,ROW(),21,1000-ROW(),1),"Sub"))))</f>
        <v/>
      </c>
      <c r="K135" s="60">
        <f>IF(N($W135)=0,"",IF(AND($S135=MesCiclo,3&gt;SemanaActual),"",MIN(1,SUMIFS(OFFSET($A$1,ROW(),31,1000-ROW(),1),OFFSET($A$1,ROW(),20,1000-ROW(),1),ROW(),OFFSET($A$1,ROW(),21,1000-ROW(),1),"Sub"))))</f>
        <v/>
      </c>
      <c r="L135" s="60">
        <f>IF(N($W135)=0,"",IF(AND($S135=MesCiclo,4&gt;SemanaActual),"",MIN(1,SUMIFS(OFFSET($A$1,ROW(),32,1000-ROW(),1),OFFSET($A$1,ROW(),20,1000-ROW(),1),ROW(),OFFSET($A$1,ROW(),21,1000-ROW(),1),"Sub"))))</f>
        <v/>
      </c>
      <c r="M135" s="61">
        <f>IF(OR(NOT((COUNTA($B135:$D135)+COUNTA($G135:$H135)+COUNTA($Q135))&gt;0),$V135="Sub"),"",IF(ISNUMBER($G135),1,IF(N($W135)&gt;0,MIN(1,SUMIFS($Y$5:$Y$1000,$U$5:$U$1000,ROW(),$V$5:$V$1000,"Sub")),$Y135)))</f>
        <v/>
      </c>
      <c r="N135" s="56">
        <f>IF(OR($M135="",$V135="Sub"),"",IF($M135&gt;=1,"Completado",IF($M135&gt;0,"En curso","Pendiente")))</f>
        <v/>
      </c>
      <c r="O135" s="56">
        <f>IF(OR(NOT((COUNTA($B135:$D135)+COUNTA($G135:$H135)+COUNTA($Q135))&gt;0),$V135="Sub"),"",IF(ISNUMBER($G135),IF(AND(ISNUMBER($AS135),$G135&gt;$AS135),"Cumplida con "&amp;($G135-$AS135)&amp;IF($G135-$AS135=1," día"," días")&amp;" de retraso","Cumplida"),IF(N($M135)&gt;=1,"Cumplida",IF(NOT(ISNUMBER($AS135)),"Sin fecha límite",IF($AS135&lt;FechaRef,"Vencida hace "&amp;(FechaRef-$AS135)&amp;IF(FechaRef-$AS135=1," día"," días"),IF($AS135=FechaRef,"Vence hoy",IF($AS135-FechaRef&lt;=DiasAlerta,"Vence en "&amp;($AS135-FechaRef)&amp;IF($AS135-FechaRef=1," día"," días"),"En plazo")))))))</f>
        <v/>
      </c>
      <c r="P135" s="62" t="n"/>
      <c r="Q135" s="58" t="n"/>
      <c r="R135" s="63">
        <f>IF(NOT((COUNTA($B135:$D135)+COUNTA($G135:$H135)+COUNTA($Q135))&gt;0),"",IF((IF($C135="","Falta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 OK","⚠ "&amp;LEFT(IF($C135="","Falta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",""),LEN(IF($C135="","Falta el nombre de la actividad"&amp;" · ","")&amp;IF(AND($V135="Sub",N($U135)=0),"Subactividad sin macroactividad arriba"&amp;" · ","")&amp;IF(AND($V135="Macro",$AR135=""),"Sin fecha de inicio"&amp;" · ","")&amp;IF(AND($V135="Macro",$AS135=""),"Sin fecha límite"&amp;" · ","")&amp;IF(AND(LEFT($C135,11)="[Jefatura] ",N($AQ135)=0),"No se encuentra en la hoja de la jefatura (elíjala de nuevo en la lista)"&amp;" · ","")&amp;IF(OR(AND($E135&lt;&gt;"",NOT(ISNUMBER($E135))),AND($F135&lt;&gt;"",NOT(ISNUMBER($F135))),AND($G135&lt;&gt;"",NOT(ISNUMBER($G135)))),"Fecha no válida"&amp;" · ","")&amp;IF(AND(ISNUMBER($AR135),ISNUMBER($AS135),$AR135&gt;$AS135),"Inicio posterior a fecha límite"&amp;" · ","")&amp;IF(AND($V135="Macro",$H135&lt;&gt;"",OR(NOT(ISNUMBER($H135)),$H135&lt;0,$H135&gt;1)),"Peso fuera de rango"&amp;" · ","")&amp;IF(AND($V135="Sub",$H135&lt;&gt;"",OR(NOT(ISNUMBER($H135)),$H135&lt;0,$H135&gt;1)),"% de la subactividad fuera de rango 0-100%"&amp;" · ","")&amp;IF(AND(N($W135)&gt;0,SUMIFS($H$5:$H$1000,$U$5:$U$1000,ROW(),$V$5:$V$1000,"Sub")&gt;1.0001),"Las subactividades suman más de 100%"&amp;" · ","")&amp;IF(AND(N($W135)&gt;0,OR(IF(ISNUMBER($I135),ROUND($I135,6)&lt;&gt;ROUND(MIN(1,SUMIFS($AD$5:$AD$1000,$U$5:$U$1000,ROW(),$V$5:$V$1000,"Sub")),6),FALSE),IF(ISNUMBER($J135),ROUND($J135,6)&lt;&gt;ROUND(MIN(1,SUMIFS($AE$5:$AE$1000,$U$5:$U$1000,ROW(),$V$5:$V$1000,"Sub")),6),FALSE),IF(ISNUMBER($K135),ROUND($K135,6)&lt;&gt;ROUND(MIN(1,SUMIFS($AF$5:$AF$1000,$U$5:$U$1000,ROW(),$V$5:$V$1000,"Sub")),6),FALSE),IF(ISNUMBER($L135),ROUND($L135,6)&lt;&gt;ROUND(MIN(1,SUMIFS($AG$5:$AG$1000,$U$5:$U$1000,ROW(),$V$5:$V$1000,"Sub")),6),FALSE))),"Con subactividades: no escriba en las semanas (se llenan solas)"&amp;" · ","")&amp;IF((COUNTIF($I135:$L135,"&gt;1")+COUNTIF($I135:$L135,"&lt;0")+SUMPRODUCT((LEN($I135:$L135)&gt;0)*NOT(ISNUMBER($I135:$L135))))&gt;0,"Avance fuera de rango 0-100%"&amp;" · ","")&amp;IF(OR(AND(ISNUMBER($J135),$J135&lt;N($I135)),AND(ISNUMBER($K135),$K135&lt;MAX($I135:$J135)),AND(ISNUMBER($L135),$L135&lt;MAX($I135:$K135))),"Avance semanal decreciente"&amp;" · ","")&amp;IF(AND(ISNUMBER($AS135),$AS135&lt;FechaRef,IF($V135="Sub",1,N($M135))&lt;1),"Vencida"&amp;" · ","")&amp;IF(AND(ObsObligatoria="Sí",ISNUMBER($AS135),$AS135&lt;FechaRef,IF($V135="Sub",1,N($M135))&lt;1,$Q135=""),"Vencida sin observación"&amp;" · ",""))-3)))</f>
        <v/>
      </c>
      <c r="S135" s="64">
        <f>IF(NOT((COUNTA($B135:$D135)+COUNTA($G135:$H135)+COUNTA($Q135))&gt;0),"",IF(AND($V135="Sub",N($U135)&gt;0),IF(ISNUMBER(INDEX($AR$5:$AR$1000,$U135-4)),DATE(YEAR(INDEX($AR$5:$AR$1000,$U135-4)),MONTH(INDEX($AR$5:$AR$1000,$U135-4)),1),IF(ISNUMBER(INDEX($AS$5:$AS$1000,$U135-4)),DATE(YEAR(INDEX($AS$5:$AS$1000,$U135-4)),MONTH(INDEX($AS$5:$AS$1000,$U135-4)),1),MesCiclo)),IF(ISNUMBER($AR135),DATE(YEAR($AR135),MONTH($AR135),1),IF(ISNUMBER($AS135),DATE(YEAR($AS135),MONTH($AS135),1),MesCiclo))))</f>
        <v/>
      </c>
      <c r="T135" s="62">
        <f>IF(OR($S135="",$S135&lt;&gt;MesCiclo,$V135&lt;&gt;"Macro"),"",COUNTIFS($S$5:$S135,MesCiclo,$V$5:$V135,"Macro"))</f>
        <v/>
      </c>
      <c r="U135" s="62">
        <f>IF($V135="","",IF($V135="Macro",ROW(),IFERROR(LOOKUP(2,1/($V$5:$V135="Macro"),ROW($V$5:$V135)),0)))</f>
        <v/>
      </c>
      <c r="V135" s="62">
        <f>IF(NOT((COUNTA($B135:$D135)+COUNTA($G135:$H135)+COUNTA($Q135))&gt;0),"",IF($B135="Subactividad","Sub","Macro"))</f>
        <v/>
      </c>
      <c r="W135" s="62">
        <f>IF($V135="Macro",COUNTIFS($U$5:$U$1000,ROW(),$V$5:$V$1000,"Sub"),"")</f>
        <v/>
      </c>
      <c r="X135" s="62">
        <f>IF($V135&lt;&gt;"Sub","",IF(AND(ISNUMBER($H135),N($H135)&gt;0),$H135,IFERROR(MAX(0,1-SUMIFS($H$5:$H$1000,$U$5:$U$1000,$U135,$V$5:$V$1000,"Sub"))/(COUNTIFS($U$5:$U$1000,$U135,$V$5:$V$1000,"Sub")-COUNTIFS($U$5:$U$1000,$U135,$V$5:$V$1000,"Sub",$H$5:$H$1000,"&gt;0")),0)))</f>
        <v/>
      </c>
      <c r="Y135" s="62">
        <f>IF($V135="","",IF($V135="Sub",N($X135)*IF(ISNUMBER($G135),1,MIN(1,MAX(0,IFERROR(LOOKUP(2,1/ISNUMBER($I135:$L135),$I135:$L135),0)))),IF(ISNUMBER($G135),1,IFERROR(LOOKUP(2,1/($I135:$L135&lt;&gt;""),$I135:$L135),0))))</f>
        <v/>
      </c>
      <c r="Z135" s="62">
        <f>IF($V135="","",IF(AND(ISNUMBER($G135),$G135&lt;=IF($S135=MesCiclo,InicioCiclo,$S135+MOD(2-WEEKDAY($S135),7))+6),1,IF(ISNUMBER($I135),$I135,0)))</f>
        <v/>
      </c>
      <c r="AA135" s="62">
        <f>IF($V135="","",IF(AND(ISNUMBER($G135),$G135&lt;=IF($S135=MesCiclo,InicioCiclo,$S135+MOD(2-WEEKDAY($S135),7))+13),1,IF(ISNUMBER($J135),$J135,$Z135)))</f>
        <v/>
      </c>
      <c r="AB135" s="62">
        <f>IF($V135="","",IF(AND(ISNUMBER($G135),$G135&lt;=IF($S135=MesCiclo,InicioCiclo,$S135+MOD(2-WEEKDAY($S135),7))+20),1,IF(ISNUMBER($K135),$K135,$AA135)))</f>
        <v/>
      </c>
      <c r="AC135" s="62">
        <f>IF($V135="","",IF(AND(ISNUMBER($G135),$G135&lt;=IF($S135=MesCiclo,InicioCiclo,$S135+MOD(2-WEEKDAY($S135),7))+27),1,IF(ISNUMBER($L135),$L135,$AB135)))</f>
        <v/>
      </c>
      <c r="AD135" s="62">
        <f>IF($V135&lt;&gt;"Sub","",N($X135)*IF(AND(ISNUMBER($G135),$G135&lt;=IF($S135=MesCiclo,InicioCiclo,$S135+MOD(2-WEEKDAY($S135),7))+6),1,MIN(1,MAX(0,IF(ISNUMBER(OFFSET($A$1,ROW()-1,8)),OFFSET($A$1,ROW()-1,8),0)))))</f>
        <v/>
      </c>
      <c r="AE135" s="62">
        <f>IF($V135&lt;&gt;"Sub","",N($X135)*IF(AND(ISNUMBER($G135),$G135&lt;=IF($S135=MesCiclo,InicioCiclo,$S135+MOD(2-WEEKDAY($S135),7))+13),1,MIN(1,MAX(0,IF(ISNUMBER(OFFSET($A$1,ROW()-1,9)),OFFSET($A$1,ROW()-1,9),IF(ISNUMBER(OFFSET($A$1,ROW()-1,8)),OFFSET($A$1,ROW()-1,8),0))))))</f>
        <v/>
      </c>
      <c r="AF135" s="62">
        <f>IF($V135&lt;&gt;"Sub","",N($X135)*IF(AND(ISNUMBER($G135),$G135&lt;=IF($S135=MesCiclo,InicioCiclo,$S135+MOD(2-WEEKDAY($S135),7))+20),1,MIN(1,MAX(0,IF(ISNUMBER(OFFSET($A$1,ROW()-1,10)),OFFSET($A$1,ROW()-1,10),IF(ISNUMBER(OFFSET($A$1,ROW()-1,9)),OFFSET($A$1,ROW()-1,9),IF(ISNUMBER(OFFSET($A$1,ROW()-1,8)),OFFSET($A$1,ROW()-1,8),0)))))))</f>
        <v/>
      </c>
      <c r="AG135" s="62">
        <f>IF($V135&lt;&gt;"Sub","",N($X135)*IF(AND(ISNUMBER($G135),$G135&lt;=IF($S135=MesCiclo,InicioCiclo,$S135+MOD(2-WEEKDAY($S135),7))+27),1,MIN(1,MAX(0,IF(ISNUMBER(OFFSET($A$1,ROW()-1,11)),OFFSET($A$1,ROW()-1,11),IF(ISNUMBER(OFFSET($A$1,ROW()-1,10)),OFFSET($A$1,ROW()-1,10),IF(ISNUMBER(OFFSET($A$1,ROW()-1,9)),OFFSET($A$1,ROW()-1,9),IF(ISNUMBER(OFFSET($A$1,ROW()-1,8)),OFFSET($A$1,ROW()-1,8),0))))))))</f>
        <v/>
      </c>
      <c r="AH135" s="62">
        <f>IF($V135="","",IF(AND(ISNUMBER($G135),$G135&lt;=IF($S135=MesCiclo,InicioCiclo,$S135+MOD(2-WEEKDAY($S135),7))+6),1,IF(N($W135)&gt;0,MIN(1,SUMIFS($AD$5:$AD$1000,$U$5:$U$1000,ROW(),$V$5:$V$1000,"Sub")),$Z135)))</f>
        <v/>
      </c>
      <c r="AI135" s="62">
        <f>IF($V135="","",IF(AND(ISNUMBER($G135),$G135&lt;=IF($S135=MesCiclo,InicioCiclo,$S135+MOD(2-WEEKDAY($S135),7))+13),1,IF(N($W135)&gt;0,MIN(1,SUMIFS($AE$5:$AE$1000,$U$5:$U$1000,ROW(),$V$5:$V$1000,"Sub")),$AA135)))</f>
        <v/>
      </c>
      <c r="AJ135" s="62">
        <f>IF($V135="","",IF(AND(ISNUMBER($G135),$G135&lt;=IF($S135=MesCiclo,InicioCiclo,$S135+MOD(2-WEEKDAY($S135),7))+20),1,IF(N($W135)&gt;0,MIN(1,SUMIFS($AF$5:$AF$1000,$U$5:$U$1000,ROW(),$V$5:$V$1000,"Sub")),$AB135)))</f>
        <v/>
      </c>
      <c r="AK135" s="62">
        <f>IF($V135="","",IF(AND(ISNUMBER($G135),$G135&lt;=IF($S135=MesCiclo,InicioCiclo,$S135+MOD(2-WEEKDAY($S135),7))+27),1,IF(N($W135)&gt;0,MIN(1,SUMIFS($AG$5:$AG$1000,$U$5:$U$1000,ROW(),$V$5:$V$1000,"Sub")),$AC135)))</f>
        <v/>
      </c>
      <c r="AL135" s="62">
        <f>IF($V135&lt;&gt;"Macro","",IF(COUNTIFS($S$5:$S$1000,$S135,$V$5:$V$1000,"Macro",$H$5:$H$1000,"&gt;0")=0,1/COUNTIFS($S$5:$S$1000,$S135,$V$5:$V$1000,"Macro"),IF(AND(ISNUMBER($H135),N($H135)&gt;0),$H135,SUMIFS($H$5:$H$1000,$S$5:$S$1000,$S135,$V$5:$V$1000,"Macro")/COUNTIFS($S$5:$S$1000,$S135,$V$5:$V$1000,"Macro",$H$5:$H$1000,"&gt;0"))/(COUNTIFS($S$5:$S$1000,$S135,$V$5:$V$1000,"Macro")*SUMIFS($H$5:$H$1000,$S$5:$S$1000,$S135,$V$5:$V$1000,"Macro")/COUNTIFS($S$5:$S$1000,$S135,$V$5:$V$1000,"Macro",$H$5:$H$1000,"&gt;0"))))</f>
        <v/>
      </c>
      <c r="AM135" s="62" t="n"/>
      <c r="AN135" s="62" t="n"/>
      <c r="AO135" s="62" t="n"/>
      <c r="AP135" s="62" t="n"/>
      <c r="AQ135" s="62">
        <f>IF(LEFT($C135,11)="[Jefatura] ",IFERROR(MATCH("Asistente Técnico de Riesgo|"&amp;MID($C135,12,500),rDname_ADM,0),0),"")</f>
        <v/>
      </c>
      <c r="AR135" s="62">
        <f>IF(N($AQ135)&gt;0,INDEX(rIni_ADM,$AQ135),IF(ISNUMBER($E135),$E135,""))</f>
        <v/>
      </c>
      <c r="AS135" s="62">
        <f>IF(N($AQ135)&gt;0,INDEX(rLim_ADM,$AQ135),IF(ISNUMBER($F135),$F135,""))</f>
        <v/>
      </c>
    </row>
    <row r="136">
      <c r="A136" s="56">
        <f>IF(NOT((COUNTA($B136:$D136)+COUNTA($G136:$H136)+COUNTA($Q136))&gt;0),"",IF($V136="Macro",COUNTIFS($V$5:$V136,"Macro",$S$5:$S136,$S136),IF(N($U136)=0,"?",COUNTIFS(INDEX($V$5:$V$1000,1):INDEX($V$5:$V$1000,$U136-4),"Macro",INDEX($S$5:$S$1000,1):INDEX($S$5:$S$1000,$U136-4),INDEX($S$5:$S$1000,$U136-4))&amp;"."&amp;COUNTIFS($U$5:$U136,$U136,$V$5:$V136,"Sub"))))</f>
        <v/>
      </c>
      <c r="B136" s="57" t="n"/>
      <c r="C136" s="58" t="n"/>
      <c r="D136" s="58" t="n"/>
      <c r="E136" s="59">
        <f>IF(N($AQ136)&gt;0,INDEX(rIni_ADM,$AQ136),"")</f>
        <v/>
      </c>
      <c r="F136" s="59">
        <f>IF(N($AQ136)&gt;0,INDEX(rLim_ADM,$AQ136),"")</f>
        <v/>
      </c>
      <c r="G136" s="59" t="n"/>
      <c r="H136" s="60" t="n"/>
      <c r="I136" s="60">
        <f>IF(N($W136)=0,"",IF(AND($S136=MesCiclo,1&gt;SemanaActual),"",MIN(1,SUMIFS(OFFSET($A$1,ROW(),29,1000-ROW(),1),OFFSET($A$1,ROW(),20,1000-ROW(),1),ROW(),OFFSET($A$1,ROW(),21,1000-ROW(),1),"Sub"))))</f>
        <v/>
      </c>
      <c r="J136" s="60">
        <f>IF(N($W136)=0,"",IF(AND($S136=MesCiclo,2&gt;SemanaActual),"",MIN(1,SUMIFS(OFFSET($A$1,ROW(),30,1000-ROW(),1),OFFSET($A$1,ROW(),20,1000-ROW(),1),ROW(),OFFSET($A$1,ROW(),21,1000-ROW(),1),"Sub"))))</f>
        <v/>
      </c>
      <c r="K136" s="60">
        <f>IF(N($W136)=0,"",IF(AND($S136=MesCiclo,3&gt;SemanaActual),"",MIN(1,SUMIFS(OFFSET($A$1,ROW(),31,1000-ROW(),1),OFFSET($A$1,ROW(),20,1000-ROW(),1),ROW(),OFFSET($A$1,ROW(),21,1000-ROW(),1),"Sub"))))</f>
        <v/>
      </c>
      <c r="L136" s="60">
        <f>IF(N($W136)=0,"",IF(AND($S136=MesCiclo,4&gt;SemanaActual),"",MIN(1,SUMIFS(OFFSET($A$1,ROW(),32,1000-ROW(),1),OFFSET($A$1,ROW(),20,1000-ROW(),1),ROW(),OFFSET($A$1,ROW(),21,1000-ROW(),1),"Sub"))))</f>
        <v/>
      </c>
      <c r="M136" s="61">
        <f>IF(OR(NOT((COUNTA($B136:$D136)+COUNTA($G136:$H136)+COUNTA($Q136))&gt;0),$V136="Sub"),"",IF(ISNUMBER($G136),1,IF(N($W136)&gt;0,MIN(1,SUMIFS($Y$5:$Y$1000,$U$5:$U$1000,ROW(),$V$5:$V$1000,"Sub")),$Y136)))</f>
        <v/>
      </c>
      <c r="N136" s="56">
        <f>IF(OR($M136="",$V136="Sub"),"",IF($M136&gt;=1,"Completado",IF($M136&gt;0,"En curso","Pendiente")))</f>
        <v/>
      </c>
      <c r="O136" s="56">
        <f>IF(OR(NOT((COUNTA($B136:$D136)+COUNTA($G136:$H136)+COUNTA($Q136))&gt;0),$V136="Sub"),"",IF(ISNUMBER($G136),IF(AND(ISNUMBER($AS136),$G136&gt;$AS136),"Cumplida con "&amp;($G136-$AS136)&amp;IF($G136-$AS136=1," día"," días")&amp;" de retraso","Cumplida"),IF(N($M136)&gt;=1,"Cumplida",IF(NOT(ISNUMBER($AS136)),"Sin fecha límite",IF($AS136&lt;FechaRef,"Vencida hace "&amp;(FechaRef-$AS136)&amp;IF(FechaRef-$AS136=1," día"," días"),IF($AS136=FechaRef,"Vence hoy",IF($AS136-FechaRef&lt;=DiasAlerta,"Vence en "&amp;($AS136-FechaRef)&amp;IF($AS136-FechaRef=1," día"," días"),"En plazo")))))))</f>
        <v/>
      </c>
      <c r="P136" s="62" t="n"/>
      <c r="Q136" s="58" t="n"/>
      <c r="R136" s="63">
        <f>IF(NOT((COUNTA($B136:$D136)+COUNTA($G136:$H136)+COUNTA($Q136))&gt;0),"",IF((IF($C136="","Falta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 OK","⚠ "&amp;LEFT(IF($C136="","Falta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",""),LEN(IF($C136="","Falta el nombre de la actividad"&amp;" · ","")&amp;IF(AND($V136="Sub",N($U136)=0),"Subactividad sin macroactividad arriba"&amp;" · ","")&amp;IF(AND($V136="Macro",$AR136=""),"Sin fecha de inicio"&amp;" · ","")&amp;IF(AND($V136="Macro",$AS136=""),"Sin fecha límite"&amp;" · ","")&amp;IF(AND(LEFT($C136,11)="[Jefatura] ",N($AQ136)=0),"No se encuentra en la hoja de la jefatura (elíjala de nuevo en la lista)"&amp;" · ","")&amp;IF(OR(AND($E136&lt;&gt;"",NOT(ISNUMBER($E136))),AND($F136&lt;&gt;"",NOT(ISNUMBER($F136))),AND($G136&lt;&gt;"",NOT(ISNUMBER($G136)))),"Fecha no válida"&amp;" · ","")&amp;IF(AND(ISNUMBER($AR136),ISNUMBER($AS136),$AR136&gt;$AS136),"Inicio posterior a fecha límite"&amp;" · ","")&amp;IF(AND($V136="Macro",$H136&lt;&gt;"",OR(NOT(ISNUMBER($H136)),$H136&lt;0,$H136&gt;1)),"Peso fuera de rango"&amp;" · ","")&amp;IF(AND($V136="Sub",$H136&lt;&gt;"",OR(NOT(ISNUMBER($H136)),$H136&lt;0,$H136&gt;1)),"% de la subactividad fuera de rango 0-100%"&amp;" · ","")&amp;IF(AND(N($W136)&gt;0,SUMIFS($H$5:$H$1000,$U$5:$U$1000,ROW(),$V$5:$V$1000,"Sub")&gt;1.0001),"Las subactividades suman más de 100%"&amp;" · ","")&amp;IF(AND(N($W136)&gt;0,OR(IF(ISNUMBER($I136),ROUND($I136,6)&lt;&gt;ROUND(MIN(1,SUMIFS($AD$5:$AD$1000,$U$5:$U$1000,ROW(),$V$5:$V$1000,"Sub")),6),FALSE),IF(ISNUMBER($J136),ROUND($J136,6)&lt;&gt;ROUND(MIN(1,SUMIFS($AE$5:$AE$1000,$U$5:$U$1000,ROW(),$V$5:$V$1000,"Sub")),6),FALSE),IF(ISNUMBER($K136),ROUND($K136,6)&lt;&gt;ROUND(MIN(1,SUMIFS($AF$5:$AF$1000,$U$5:$U$1000,ROW(),$V$5:$V$1000,"Sub")),6),FALSE),IF(ISNUMBER($L136),ROUND($L136,6)&lt;&gt;ROUND(MIN(1,SUMIFS($AG$5:$AG$1000,$U$5:$U$1000,ROW(),$V$5:$V$1000,"Sub")),6),FALSE))),"Con subactividades: no escriba en las semanas (se llenan solas)"&amp;" · ","")&amp;IF((COUNTIF($I136:$L136,"&gt;1")+COUNTIF($I136:$L136,"&lt;0")+SUMPRODUCT((LEN($I136:$L136)&gt;0)*NOT(ISNUMBER($I136:$L136))))&gt;0,"Avance fuera de rango 0-100%"&amp;" · ","")&amp;IF(OR(AND(ISNUMBER($J136),$J136&lt;N($I136)),AND(ISNUMBER($K136),$K136&lt;MAX($I136:$J136)),AND(ISNUMBER($L136),$L136&lt;MAX($I136:$K136))),"Avance semanal decreciente"&amp;" · ","")&amp;IF(AND(ISNUMBER($AS136),$AS136&lt;FechaRef,IF($V136="Sub",1,N($M136))&lt;1),"Vencida"&amp;" · ","")&amp;IF(AND(ObsObligatoria="Sí",ISNUMBER($AS136),$AS136&lt;FechaRef,IF($V136="Sub",1,N($M136))&lt;1,$Q136=""),"Vencida sin observación"&amp;" · ",""))-3)))</f>
        <v/>
      </c>
      <c r="S136" s="64">
        <f>IF(NOT((COUNTA($B136:$D136)+COUNTA($G136:$H136)+COUNTA($Q136))&gt;0),"",IF(AND($V136="Sub",N($U136)&gt;0),IF(ISNUMBER(INDEX($AR$5:$AR$1000,$U136-4)),DATE(YEAR(INDEX($AR$5:$AR$1000,$U136-4)),MONTH(INDEX($AR$5:$AR$1000,$U136-4)),1),IF(ISNUMBER(INDEX($AS$5:$AS$1000,$U136-4)),DATE(YEAR(INDEX($AS$5:$AS$1000,$U136-4)),MONTH(INDEX($AS$5:$AS$1000,$U136-4)),1),MesCiclo)),IF(ISNUMBER($AR136),DATE(YEAR($AR136),MONTH($AR136),1),IF(ISNUMBER($AS136),DATE(YEAR($AS136),MONTH($AS136),1),MesCiclo))))</f>
        <v/>
      </c>
      <c r="T136" s="62">
        <f>IF(OR($S136="",$S136&lt;&gt;MesCiclo,$V136&lt;&gt;"Macro"),"",COUNTIFS($S$5:$S136,MesCiclo,$V$5:$V136,"Macro"))</f>
        <v/>
      </c>
      <c r="U136" s="62">
        <f>IF($V136="","",IF($V136="Macro",ROW(),IFERROR(LOOKUP(2,1/($V$5:$V136="Macro"),ROW($V$5:$V136)),0)))</f>
        <v/>
      </c>
      <c r="V136" s="62">
        <f>IF(NOT((COUNTA($B136:$D136)+COUNTA($G136:$H136)+COUNTA($Q136))&gt;0),"",IF($B136="Subactividad","Sub","Macro"))</f>
        <v/>
      </c>
      <c r="W136" s="62">
        <f>IF($V136="Macro",COUNTIFS($U$5:$U$1000,ROW(),$V$5:$V$1000,"Sub"),"")</f>
        <v/>
      </c>
      <c r="X136" s="62">
        <f>IF($V136&lt;&gt;"Sub","",IF(AND(ISNUMBER($H136),N($H136)&gt;0),$H136,IFERROR(MAX(0,1-SUMIFS($H$5:$H$1000,$U$5:$U$1000,$U136,$V$5:$V$1000,"Sub"))/(COUNTIFS($U$5:$U$1000,$U136,$V$5:$V$1000,"Sub")-COUNTIFS($U$5:$U$1000,$U136,$V$5:$V$1000,"Sub",$H$5:$H$1000,"&gt;0")),0)))</f>
        <v/>
      </c>
      <c r="Y136" s="62">
        <f>IF($V136="","",IF($V136="Sub",N($X136)*IF(ISNUMBER($G136),1,MIN(1,MAX(0,IFERROR(LOOKUP(2,1/ISNUMBER($I136:$L136),$I136:$L136),0)))),IF(ISNUMBER($G136),1,IFERROR(LOOKUP(2,1/($I136:$L136&lt;&gt;""),$I136:$L136),0))))</f>
        <v/>
      </c>
      <c r="Z136" s="62">
        <f>IF($V136="","",IF(AND(ISNUMBER($G136),$G136&lt;=IF($S136=MesCiclo,InicioCiclo,$S136+MOD(2-WEEKDAY($S136),7))+6),1,IF(ISNUMBER($I136),$I136,0)))</f>
        <v/>
      </c>
      <c r="AA136" s="62">
        <f>IF($V136="","",IF(AND(ISNUMBER($G136),$G136&lt;=IF($S136=MesCiclo,InicioCiclo,$S136+MOD(2-WEEKDAY($S136),7))+13),1,IF(ISNUMBER($J136),$J136,$Z136)))</f>
        <v/>
      </c>
      <c r="AB136" s="62">
        <f>IF($V136="","",IF(AND(ISNUMBER($G136),$G136&lt;=IF($S136=MesCiclo,InicioCiclo,$S136+MOD(2-WEEKDAY($S136),7))+20),1,IF(ISNUMBER($K136),$K136,$AA136)))</f>
        <v/>
      </c>
      <c r="AC136" s="62">
        <f>IF($V136="","",IF(AND(ISNUMBER($G136),$G136&lt;=IF($S136=MesCiclo,InicioCiclo,$S136+MOD(2-WEEKDAY($S136),7))+27),1,IF(ISNUMBER($L136),$L136,$AB136)))</f>
        <v/>
      </c>
      <c r="AD136" s="62">
        <f>IF($V136&lt;&gt;"Sub","",N($X136)*IF(AND(ISNUMBER($G136),$G136&lt;=IF($S136=MesCiclo,InicioCiclo,$S136+MOD(2-WEEKDAY($S136),7))+6),1,MIN(1,MAX(0,IF(ISNUMBER(OFFSET($A$1,ROW()-1,8)),OFFSET($A$1,ROW()-1,8),0)))))</f>
        <v/>
      </c>
      <c r="AE136" s="62">
        <f>IF($V136&lt;&gt;"Sub","",N($X136)*IF(AND(ISNUMBER($G136),$G136&lt;=IF($S136=MesCiclo,InicioCiclo,$S136+MOD(2-WEEKDAY($S136),7))+13),1,MIN(1,MAX(0,IF(ISNUMBER(OFFSET($A$1,ROW()-1,9)),OFFSET($A$1,ROW()-1,9),IF(ISNUMBER(OFFSET($A$1,ROW()-1,8)),OFFSET($A$1,ROW()-1,8),0))))))</f>
        <v/>
      </c>
      <c r="AF136" s="62">
        <f>IF($V136&lt;&gt;"Sub","",N($X136)*IF(AND(ISNUMBER($G136),$G136&lt;=IF($S136=MesCiclo,InicioCiclo,$S136+MOD(2-WEEKDAY($S136),7))+20),1,MIN(1,MAX(0,IF(ISNUMBER(OFFSET($A$1,ROW()-1,10)),OFFSET($A$1,ROW()-1,10),IF(ISNUMBER(OFFSET($A$1,ROW()-1,9)),OFFSET($A$1,ROW()-1,9),IF(ISNUMBER(OFFSET($A$1,ROW()-1,8)),OFFSET($A$1,ROW()-1,8),0)))))))</f>
        <v/>
      </c>
      <c r="AG136" s="62">
        <f>IF($V136&lt;&gt;"Sub","",N($X136)*IF(AND(ISNUMBER($G136),$G136&lt;=IF($S136=MesCiclo,InicioCiclo,$S136+MOD(2-WEEKDAY($S136),7))+27),1,MIN(1,MAX(0,IF(ISNUMBER(OFFSET($A$1,ROW()-1,11)),OFFSET($A$1,ROW()-1,11),IF(ISNUMBER(OFFSET($A$1,ROW()-1,10)),OFFSET($A$1,ROW()-1,10),IF(ISNUMBER(OFFSET($A$1,ROW()-1,9)),OFFSET($A$1,ROW()-1,9),IF(ISNUMBER(OFFSET($A$1,ROW()-1,8)),OFFSET($A$1,ROW()-1,8),0))))))))</f>
        <v/>
      </c>
      <c r="AH136" s="62">
        <f>IF($V136="","",IF(AND(ISNUMBER($G136),$G136&lt;=IF($S136=MesCiclo,InicioCiclo,$S136+MOD(2-WEEKDAY($S136),7))+6),1,IF(N($W136)&gt;0,MIN(1,SUMIFS($AD$5:$AD$1000,$U$5:$U$1000,ROW(),$V$5:$V$1000,"Sub")),$Z136)))</f>
        <v/>
      </c>
      <c r="AI136" s="62">
        <f>IF($V136="","",IF(AND(ISNUMBER($G136),$G136&lt;=IF($S136=MesCiclo,InicioCiclo,$S136+MOD(2-WEEKDAY($S136),7))+13),1,IF(N($W136)&gt;0,MIN(1,SUMIFS($AE$5:$AE$1000,$U$5:$U$1000,ROW(),$V$5:$V$1000,"Sub")),$AA136)))</f>
        <v/>
      </c>
      <c r="AJ136" s="62">
        <f>IF($V136="","",IF(AND(ISNUMBER($G136),$G136&lt;=IF($S136=MesCiclo,InicioCiclo,$S136+MOD(2-WEEKDAY($S136),7))+20),1,IF(N($W136)&gt;0,MIN(1,SUMIFS($AF$5:$AF$1000,$U$5:$U$1000,ROW(),$V$5:$V$1000,"Sub")),$AB136)))</f>
        <v/>
      </c>
      <c r="AK136" s="62">
        <f>IF($V136="","",IF(AND(ISNUMBER($G136),$G136&lt;=IF($S136=MesCiclo,InicioCiclo,$S136+MOD(2-WEEKDAY($S136),7))+27),1,IF(N($W136)&gt;0,MIN(1,SUMIFS($AG$5:$AG$1000,$U$5:$U$1000,ROW(),$V$5:$V$1000,"Sub")),$AC136)))</f>
        <v/>
      </c>
      <c r="AL136" s="62">
        <f>IF($V136&lt;&gt;"Macro","",IF(COUNTIFS($S$5:$S$1000,$S136,$V$5:$V$1000,"Macro",$H$5:$H$1000,"&gt;0")=0,1/COUNTIFS($S$5:$S$1000,$S136,$V$5:$V$1000,"Macro"),IF(AND(ISNUMBER($H136),N($H136)&gt;0),$H136,SUMIFS($H$5:$H$1000,$S$5:$S$1000,$S136,$V$5:$V$1000,"Macro")/COUNTIFS($S$5:$S$1000,$S136,$V$5:$V$1000,"Macro",$H$5:$H$1000,"&gt;0"))/(COUNTIFS($S$5:$S$1000,$S136,$V$5:$V$1000,"Macro")*SUMIFS($H$5:$H$1000,$S$5:$S$1000,$S136,$V$5:$V$1000,"Macro")/COUNTIFS($S$5:$S$1000,$S136,$V$5:$V$1000,"Macro",$H$5:$H$1000,"&gt;0"))))</f>
        <v/>
      </c>
      <c r="AM136" s="62" t="n"/>
      <c r="AN136" s="62" t="n"/>
      <c r="AO136" s="62" t="n"/>
      <c r="AP136" s="62" t="n"/>
      <c r="AQ136" s="62">
        <f>IF(LEFT($C136,11)="[Jefatura] ",IFERROR(MATCH("Asistente Técnico de Riesgo|"&amp;MID($C136,12,500),rDname_ADM,0),0),"")</f>
        <v/>
      </c>
      <c r="AR136" s="62">
        <f>IF(N($AQ136)&gt;0,INDEX(rIni_ADM,$AQ136),IF(ISNUMBER($E136),$E136,""))</f>
        <v/>
      </c>
      <c r="AS136" s="62">
        <f>IF(N($AQ136)&gt;0,INDEX(rLim_ADM,$AQ136),IF(ISNUMBER($F136),$F136,""))</f>
        <v/>
      </c>
    </row>
    <row r="137">
      <c r="A137" s="56">
        <f>IF(NOT((COUNTA($B137:$D137)+COUNTA($G137:$H137)+COUNTA($Q137))&gt;0),"",IF($V137="Macro",COUNTIFS($V$5:$V137,"Macro",$S$5:$S137,$S137),IF(N($U137)=0,"?",COUNTIFS(INDEX($V$5:$V$1000,1):INDEX($V$5:$V$1000,$U137-4),"Macro",INDEX($S$5:$S$1000,1):INDEX($S$5:$S$1000,$U137-4),INDEX($S$5:$S$1000,$U137-4))&amp;"."&amp;COUNTIFS($U$5:$U137,$U137,$V$5:$V137,"Sub"))))</f>
        <v/>
      </c>
      <c r="B137" s="57" t="n"/>
      <c r="C137" s="58" t="n"/>
      <c r="D137" s="58" t="n"/>
      <c r="E137" s="59">
        <f>IF(N($AQ137)&gt;0,INDEX(rIni_ADM,$AQ137),"")</f>
        <v/>
      </c>
      <c r="F137" s="59">
        <f>IF(N($AQ137)&gt;0,INDEX(rLim_ADM,$AQ137),"")</f>
        <v/>
      </c>
      <c r="G137" s="59" t="n"/>
      <c r="H137" s="60" t="n"/>
      <c r="I137" s="60">
        <f>IF(N($W137)=0,"",IF(AND($S137=MesCiclo,1&gt;SemanaActual),"",MIN(1,SUMIFS(OFFSET($A$1,ROW(),29,1000-ROW(),1),OFFSET($A$1,ROW(),20,1000-ROW(),1),ROW(),OFFSET($A$1,ROW(),21,1000-ROW(),1),"Sub"))))</f>
        <v/>
      </c>
      <c r="J137" s="60">
        <f>IF(N($W137)=0,"",IF(AND($S137=MesCiclo,2&gt;SemanaActual),"",MIN(1,SUMIFS(OFFSET($A$1,ROW(),30,1000-ROW(),1),OFFSET($A$1,ROW(),20,1000-ROW(),1),ROW(),OFFSET($A$1,ROW(),21,1000-ROW(),1),"Sub"))))</f>
        <v/>
      </c>
      <c r="K137" s="60">
        <f>IF(N($W137)=0,"",IF(AND($S137=MesCiclo,3&gt;SemanaActual),"",MIN(1,SUMIFS(OFFSET($A$1,ROW(),31,1000-ROW(),1),OFFSET($A$1,ROW(),20,1000-ROW(),1),ROW(),OFFSET($A$1,ROW(),21,1000-ROW(),1),"Sub"))))</f>
        <v/>
      </c>
      <c r="L137" s="60">
        <f>IF(N($W137)=0,"",IF(AND($S137=MesCiclo,4&gt;SemanaActual),"",MIN(1,SUMIFS(OFFSET($A$1,ROW(),32,1000-ROW(),1),OFFSET($A$1,ROW(),20,1000-ROW(),1),ROW(),OFFSET($A$1,ROW(),21,1000-ROW(),1),"Sub"))))</f>
        <v/>
      </c>
      <c r="M137" s="61">
        <f>IF(OR(NOT((COUNTA($B137:$D137)+COUNTA($G137:$H137)+COUNTA($Q137))&gt;0),$V137="Sub"),"",IF(ISNUMBER($G137),1,IF(N($W137)&gt;0,MIN(1,SUMIFS($Y$5:$Y$1000,$U$5:$U$1000,ROW(),$V$5:$V$1000,"Sub")),$Y137)))</f>
        <v/>
      </c>
      <c r="N137" s="56">
        <f>IF(OR($M137="",$V137="Sub"),"",IF($M137&gt;=1,"Completado",IF($M137&gt;0,"En curso","Pendiente")))</f>
        <v/>
      </c>
      <c r="O137" s="56">
        <f>IF(OR(NOT((COUNTA($B137:$D137)+COUNTA($G137:$H137)+COUNTA($Q137))&gt;0),$V137="Sub"),"",IF(ISNUMBER($G137),IF(AND(ISNUMBER($AS137),$G137&gt;$AS137),"Cumplida con "&amp;($G137-$AS137)&amp;IF($G137-$AS137=1," día"," días")&amp;" de retraso","Cumplida"),IF(N($M137)&gt;=1,"Cumplida",IF(NOT(ISNUMBER($AS137)),"Sin fecha límite",IF($AS137&lt;FechaRef,"Vencida hace "&amp;(FechaRef-$AS137)&amp;IF(FechaRef-$AS137=1," día"," días"),IF($AS137=FechaRef,"Vence hoy",IF($AS137-FechaRef&lt;=DiasAlerta,"Vence en "&amp;($AS137-FechaRef)&amp;IF($AS137-FechaRef=1," día"," días"),"En plazo")))))))</f>
        <v/>
      </c>
      <c r="P137" s="62" t="n"/>
      <c r="Q137" s="58" t="n"/>
      <c r="R137" s="63">
        <f>IF(NOT((COUNTA($B137:$D137)+COUNTA($G137:$H137)+COUNTA($Q137))&gt;0),"",IF((IF($C137="","Falta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 OK","⚠ "&amp;LEFT(IF($C137="","Falta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",""),LEN(IF($C137="","Falta el nombre de la actividad"&amp;" · ","")&amp;IF(AND($V137="Sub",N($U137)=0),"Subactividad sin macroactividad arriba"&amp;" · ","")&amp;IF(AND($V137="Macro",$AR137=""),"Sin fecha de inicio"&amp;" · ","")&amp;IF(AND($V137="Macro",$AS137=""),"Sin fecha límite"&amp;" · ","")&amp;IF(AND(LEFT($C137,11)="[Jefatura] ",N($AQ137)=0),"No se encuentra en la hoja de la jefatura (elíjala de nuevo en la lista)"&amp;" · ","")&amp;IF(OR(AND($E137&lt;&gt;"",NOT(ISNUMBER($E137))),AND($F137&lt;&gt;"",NOT(ISNUMBER($F137))),AND($G137&lt;&gt;"",NOT(ISNUMBER($G137)))),"Fecha no válida"&amp;" · ","")&amp;IF(AND(ISNUMBER($AR137),ISNUMBER($AS137),$AR137&gt;$AS137),"Inicio posterior a fecha límite"&amp;" · ","")&amp;IF(AND($V137="Macro",$H137&lt;&gt;"",OR(NOT(ISNUMBER($H137)),$H137&lt;0,$H137&gt;1)),"Peso fuera de rango"&amp;" · ","")&amp;IF(AND($V137="Sub",$H137&lt;&gt;"",OR(NOT(ISNUMBER($H137)),$H137&lt;0,$H137&gt;1)),"% de la subactividad fuera de rango 0-100%"&amp;" · ","")&amp;IF(AND(N($W137)&gt;0,SUMIFS($H$5:$H$1000,$U$5:$U$1000,ROW(),$V$5:$V$1000,"Sub")&gt;1.0001),"Las subactividades suman más de 100%"&amp;" · ","")&amp;IF(AND(N($W137)&gt;0,OR(IF(ISNUMBER($I137),ROUND($I137,6)&lt;&gt;ROUND(MIN(1,SUMIFS($AD$5:$AD$1000,$U$5:$U$1000,ROW(),$V$5:$V$1000,"Sub")),6),FALSE),IF(ISNUMBER($J137),ROUND($J137,6)&lt;&gt;ROUND(MIN(1,SUMIFS($AE$5:$AE$1000,$U$5:$U$1000,ROW(),$V$5:$V$1000,"Sub")),6),FALSE),IF(ISNUMBER($K137),ROUND($K137,6)&lt;&gt;ROUND(MIN(1,SUMIFS($AF$5:$AF$1000,$U$5:$U$1000,ROW(),$V$5:$V$1000,"Sub")),6),FALSE),IF(ISNUMBER($L137),ROUND($L137,6)&lt;&gt;ROUND(MIN(1,SUMIFS($AG$5:$AG$1000,$U$5:$U$1000,ROW(),$V$5:$V$1000,"Sub")),6),FALSE))),"Con subactividades: no escriba en las semanas (se llenan solas)"&amp;" · ","")&amp;IF((COUNTIF($I137:$L137,"&gt;1")+COUNTIF($I137:$L137,"&lt;0")+SUMPRODUCT((LEN($I137:$L137)&gt;0)*NOT(ISNUMBER($I137:$L137))))&gt;0,"Avance fuera de rango 0-100%"&amp;" · ","")&amp;IF(OR(AND(ISNUMBER($J137),$J137&lt;N($I137)),AND(ISNUMBER($K137),$K137&lt;MAX($I137:$J137)),AND(ISNUMBER($L137),$L137&lt;MAX($I137:$K137))),"Avance semanal decreciente"&amp;" · ","")&amp;IF(AND(ISNUMBER($AS137),$AS137&lt;FechaRef,IF($V137="Sub",1,N($M137))&lt;1),"Vencida"&amp;" · ","")&amp;IF(AND(ObsObligatoria="Sí",ISNUMBER($AS137),$AS137&lt;FechaRef,IF($V137="Sub",1,N($M137))&lt;1,$Q137=""),"Vencida sin observación"&amp;" · ",""))-3)))</f>
        <v/>
      </c>
      <c r="S137" s="64">
        <f>IF(NOT((COUNTA($B137:$D137)+COUNTA($G137:$H137)+COUNTA($Q137))&gt;0),"",IF(AND($V137="Sub",N($U137)&gt;0),IF(ISNUMBER(INDEX($AR$5:$AR$1000,$U137-4)),DATE(YEAR(INDEX($AR$5:$AR$1000,$U137-4)),MONTH(INDEX($AR$5:$AR$1000,$U137-4)),1),IF(ISNUMBER(INDEX($AS$5:$AS$1000,$U137-4)),DATE(YEAR(INDEX($AS$5:$AS$1000,$U137-4)),MONTH(INDEX($AS$5:$AS$1000,$U137-4)),1),MesCiclo)),IF(ISNUMBER($AR137),DATE(YEAR($AR137),MONTH($AR137),1),IF(ISNUMBER($AS137),DATE(YEAR($AS137),MONTH($AS137),1),MesCiclo))))</f>
        <v/>
      </c>
      <c r="T137" s="62">
        <f>IF(OR($S137="",$S137&lt;&gt;MesCiclo,$V137&lt;&gt;"Macro"),"",COUNTIFS($S$5:$S137,MesCiclo,$V$5:$V137,"Macro"))</f>
        <v/>
      </c>
      <c r="U137" s="62">
        <f>IF($V137="","",IF($V137="Macro",ROW(),IFERROR(LOOKUP(2,1/($V$5:$V137="Macro"),ROW($V$5:$V137)),0)))</f>
        <v/>
      </c>
      <c r="V137" s="62">
        <f>IF(NOT((COUNTA($B137:$D137)+COUNTA($G137:$H137)+COUNTA($Q137))&gt;0),"",IF($B137="Subactividad","Sub","Macro"))</f>
        <v/>
      </c>
      <c r="W137" s="62">
        <f>IF($V137="Macro",COUNTIFS($U$5:$U$1000,ROW(),$V$5:$V$1000,"Sub"),"")</f>
        <v/>
      </c>
      <c r="X137" s="62">
        <f>IF($V137&lt;&gt;"Sub","",IF(AND(ISNUMBER($H137),N($H137)&gt;0),$H137,IFERROR(MAX(0,1-SUMIFS($H$5:$H$1000,$U$5:$U$1000,$U137,$V$5:$V$1000,"Sub"))/(COUNTIFS($U$5:$U$1000,$U137,$V$5:$V$1000,"Sub")-COUNTIFS($U$5:$U$1000,$U137,$V$5:$V$1000,"Sub",$H$5:$H$1000,"&gt;0")),0)))</f>
        <v/>
      </c>
      <c r="Y137" s="62">
        <f>IF($V137="","",IF($V137="Sub",N($X137)*IF(ISNUMBER($G137),1,MIN(1,MAX(0,IFERROR(LOOKUP(2,1/ISNUMBER($I137:$L137),$I137:$L137),0)))),IF(ISNUMBER($G137),1,IFERROR(LOOKUP(2,1/($I137:$L137&lt;&gt;""),$I137:$L137),0))))</f>
        <v/>
      </c>
      <c r="Z137" s="62">
        <f>IF($V137="","",IF(AND(ISNUMBER($G137),$G137&lt;=IF($S137=MesCiclo,InicioCiclo,$S137+MOD(2-WEEKDAY($S137),7))+6),1,IF(ISNUMBER($I137),$I137,0)))</f>
        <v/>
      </c>
      <c r="AA137" s="62">
        <f>IF($V137="","",IF(AND(ISNUMBER($G137),$G137&lt;=IF($S137=MesCiclo,InicioCiclo,$S137+MOD(2-WEEKDAY($S137),7))+13),1,IF(ISNUMBER($J137),$J137,$Z137)))</f>
        <v/>
      </c>
      <c r="AB137" s="62">
        <f>IF($V137="","",IF(AND(ISNUMBER($G137),$G137&lt;=IF($S137=MesCiclo,InicioCiclo,$S137+MOD(2-WEEKDAY($S137),7))+20),1,IF(ISNUMBER($K137),$K137,$AA137)))</f>
        <v/>
      </c>
      <c r="AC137" s="62">
        <f>IF($V137="","",IF(AND(ISNUMBER($G137),$G137&lt;=IF($S137=MesCiclo,InicioCiclo,$S137+MOD(2-WEEKDAY($S137),7))+27),1,IF(ISNUMBER($L137),$L137,$AB137)))</f>
        <v/>
      </c>
      <c r="AD137" s="62">
        <f>IF($V137&lt;&gt;"Sub","",N($X137)*IF(AND(ISNUMBER($G137),$G137&lt;=IF($S137=MesCiclo,InicioCiclo,$S137+MOD(2-WEEKDAY($S137),7))+6),1,MIN(1,MAX(0,IF(ISNUMBER(OFFSET($A$1,ROW()-1,8)),OFFSET($A$1,ROW()-1,8),0)))))</f>
        <v/>
      </c>
      <c r="AE137" s="62">
        <f>IF($V137&lt;&gt;"Sub","",N($X137)*IF(AND(ISNUMBER($G137),$G137&lt;=IF($S137=MesCiclo,InicioCiclo,$S137+MOD(2-WEEKDAY($S137),7))+13),1,MIN(1,MAX(0,IF(ISNUMBER(OFFSET($A$1,ROW()-1,9)),OFFSET($A$1,ROW()-1,9),IF(ISNUMBER(OFFSET($A$1,ROW()-1,8)),OFFSET($A$1,ROW()-1,8),0))))))</f>
        <v/>
      </c>
      <c r="AF137" s="62">
        <f>IF($V137&lt;&gt;"Sub","",N($X137)*IF(AND(ISNUMBER($G137),$G137&lt;=IF($S137=MesCiclo,InicioCiclo,$S137+MOD(2-WEEKDAY($S137),7))+20),1,MIN(1,MAX(0,IF(ISNUMBER(OFFSET($A$1,ROW()-1,10)),OFFSET($A$1,ROW()-1,10),IF(ISNUMBER(OFFSET($A$1,ROW()-1,9)),OFFSET($A$1,ROW()-1,9),IF(ISNUMBER(OFFSET($A$1,ROW()-1,8)),OFFSET($A$1,ROW()-1,8),0)))))))</f>
        <v/>
      </c>
      <c r="AG137" s="62">
        <f>IF($V137&lt;&gt;"Sub","",N($X137)*IF(AND(ISNUMBER($G137),$G137&lt;=IF($S137=MesCiclo,InicioCiclo,$S137+MOD(2-WEEKDAY($S137),7))+27),1,MIN(1,MAX(0,IF(ISNUMBER(OFFSET($A$1,ROW()-1,11)),OFFSET($A$1,ROW()-1,11),IF(ISNUMBER(OFFSET($A$1,ROW()-1,10)),OFFSET($A$1,ROW()-1,10),IF(ISNUMBER(OFFSET($A$1,ROW()-1,9)),OFFSET($A$1,ROW()-1,9),IF(ISNUMBER(OFFSET($A$1,ROW()-1,8)),OFFSET($A$1,ROW()-1,8),0))))))))</f>
        <v/>
      </c>
      <c r="AH137" s="62">
        <f>IF($V137="","",IF(AND(ISNUMBER($G137),$G137&lt;=IF($S137=MesCiclo,InicioCiclo,$S137+MOD(2-WEEKDAY($S137),7))+6),1,IF(N($W137)&gt;0,MIN(1,SUMIFS($AD$5:$AD$1000,$U$5:$U$1000,ROW(),$V$5:$V$1000,"Sub")),$Z137)))</f>
        <v/>
      </c>
      <c r="AI137" s="62">
        <f>IF($V137="","",IF(AND(ISNUMBER($G137),$G137&lt;=IF($S137=MesCiclo,InicioCiclo,$S137+MOD(2-WEEKDAY($S137),7))+13),1,IF(N($W137)&gt;0,MIN(1,SUMIFS($AE$5:$AE$1000,$U$5:$U$1000,ROW(),$V$5:$V$1000,"Sub")),$AA137)))</f>
        <v/>
      </c>
      <c r="AJ137" s="62">
        <f>IF($V137="","",IF(AND(ISNUMBER($G137),$G137&lt;=IF($S137=MesCiclo,InicioCiclo,$S137+MOD(2-WEEKDAY($S137),7))+20),1,IF(N($W137)&gt;0,MIN(1,SUMIFS($AF$5:$AF$1000,$U$5:$U$1000,ROW(),$V$5:$V$1000,"Sub")),$AB137)))</f>
        <v/>
      </c>
      <c r="AK137" s="62">
        <f>IF($V137="","",IF(AND(ISNUMBER($G137),$G137&lt;=IF($S137=MesCiclo,InicioCiclo,$S137+MOD(2-WEEKDAY($S137),7))+27),1,IF(N($W137)&gt;0,MIN(1,SUMIFS($AG$5:$AG$1000,$U$5:$U$1000,ROW(),$V$5:$V$1000,"Sub")),$AC137)))</f>
        <v/>
      </c>
      <c r="AL137" s="62">
        <f>IF($V137&lt;&gt;"Macro","",IF(COUNTIFS($S$5:$S$1000,$S137,$V$5:$V$1000,"Macro",$H$5:$H$1000,"&gt;0")=0,1/COUNTIFS($S$5:$S$1000,$S137,$V$5:$V$1000,"Macro"),IF(AND(ISNUMBER($H137),N($H137)&gt;0),$H137,SUMIFS($H$5:$H$1000,$S$5:$S$1000,$S137,$V$5:$V$1000,"Macro")/COUNTIFS($S$5:$S$1000,$S137,$V$5:$V$1000,"Macro",$H$5:$H$1000,"&gt;0"))/(COUNTIFS($S$5:$S$1000,$S137,$V$5:$V$1000,"Macro")*SUMIFS($H$5:$H$1000,$S$5:$S$1000,$S137,$V$5:$V$1000,"Macro")/COUNTIFS($S$5:$S$1000,$S137,$V$5:$V$1000,"Macro",$H$5:$H$1000,"&gt;0"))))</f>
        <v/>
      </c>
      <c r="AM137" s="62" t="n"/>
      <c r="AN137" s="62" t="n"/>
      <c r="AO137" s="62" t="n"/>
      <c r="AP137" s="62" t="n"/>
      <c r="AQ137" s="62">
        <f>IF(LEFT($C137,11)="[Jefatura] ",IFERROR(MATCH("Asistente Técnico de Riesgo|"&amp;MID($C137,12,500),rDname_ADM,0),0),"")</f>
        <v/>
      </c>
      <c r="AR137" s="62">
        <f>IF(N($AQ137)&gt;0,INDEX(rIni_ADM,$AQ137),IF(ISNUMBER($E137),$E137,""))</f>
        <v/>
      </c>
      <c r="AS137" s="62">
        <f>IF(N($AQ137)&gt;0,INDEX(rLim_ADM,$AQ137),IF(ISNUMBER($F137),$F137,""))</f>
        <v/>
      </c>
    </row>
    <row r="138">
      <c r="A138" s="56">
        <f>IF(NOT((COUNTA($B138:$D138)+COUNTA($G138:$H138)+COUNTA($Q138))&gt;0),"",IF($V138="Macro",COUNTIFS($V$5:$V138,"Macro",$S$5:$S138,$S138),IF(N($U138)=0,"?",COUNTIFS(INDEX($V$5:$V$1000,1):INDEX($V$5:$V$1000,$U138-4),"Macro",INDEX($S$5:$S$1000,1):INDEX($S$5:$S$1000,$U138-4),INDEX($S$5:$S$1000,$U138-4))&amp;"."&amp;COUNTIFS($U$5:$U138,$U138,$V$5:$V138,"Sub"))))</f>
        <v/>
      </c>
      <c r="B138" s="57" t="n"/>
      <c r="C138" s="58" t="n"/>
      <c r="D138" s="58" t="n"/>
      <c r="E138" s="59">
        <f>IF(N($AQ138)&gt;0,INDEX(rIni_ADM,$AQ138),"")</f>
        <v/>
      </c>
      <c r="F138" s="59">
        <f>IF(N($AQ138)&gt;0,INDEX(rLim_ADM,$AQ138),"")</f>
        <v/>
      </c>
      <c r="G138" s="59" t="n"/>
      <c r="H138" s="60" t="n"/>
      <c r="I138" s="60">
        <f>IF(N($W138)=0,"",IF(AND($S138=MesCiclo,1&gt;SemanaActual),"",MIN(1,SUMIFS(OFFSET($A$1,ROW(),29,1000-ROW(),1),OFFSET($A$1,ROW(),20,1000-ROW(),1),ROW(),OFFSET($A$1,ROW(),21,1000-ROW(),1),"Sub"))))</f>
        <v/>
      </c>
      <c r="J138" s="60">
        <f>IF(N($W138)=0,"",IF(AND($S138=MesCiclo,2&gt;SemanaActual),"",MIN(1,SUMIFS(OFFSET($A$1,ROW(),30,1000-ROW(),1),OFFSET($A$1,ROW(),20,1000-ROW(),1),ROW(),OFFSET($A$1,ROW(),21,1000-ROW(),1),"Sub"))))</f>
        <v/>
      </c>
      <c r="K138" s="60">
        <f>IF(N($W138)=0,"",IF(AND($S138=MesCiclo,3&gt;SemanaActual),"",MIN(1,SUMIFS(OFFSET($A$1,ROW(),31,1000-ROW(),1),OFFSET($A$1,ROW(),20,1000-ROW(),1),ROW(),OFFSET($A$1,ROW(),21,1000-ROW(),1),"Sub"))))</f>
        <v/>
      </c>
      <c r="L138" s="60">
        <f>IF(N($W138)=0,"",IF(AND($S138=MesCiclo,4&gt;SemanaActual),"",MIN(1,SUMIFS(OFFSET($A$1,ROW(),32,1000-ROW(),1),OFFSET($A$1,ROW(),20,1000-ROW(),1),ROW(),OFFSET($A$1,ROW(),21,1000-ROW(),1),"Sub"))))</f>
        <v/>
      </c>
      <c r="M138" s="61">
        <f>IF(OR(NOT((COUNTA($B138:$D138)+COUNTA($G138:$H138)+COUNTA($Q138))&gt;0),$V138="Sub"),"",IF(ISNUMBER($G138),1,IF(N($W138)&gt;0,MIN(1,SUMIFS($Y$5:$Y$1000,$U$5:$U$1000,ROW(),$V$5:$V$1000,"Sub")),$Y138)))</f>
        <v/>
      </c>
      <c r="N138" s="56">
        <f>IF(OR($M138="",$V138="Sub"),"",IF($M138&gt;=1,"Completado",IF($M138&gt;0,"En curso","Pendiente")))</f>
        <v/>
      </c>
      <c r="O138" s="56">
        <f>IF(OR(NOT((COUNTA($B138:$D138)+COUNTA($G138:$H138)+COUNTA($Q138))&gt;0),$V138="Sub"),"",IF(ISNUMBER($G138),IF(AND(ISNUMBER($AS138),$G138&gt;$AS138),"Cumplida con "&amp;($G138-$AS138)&amp;IF($G138-$AS138=1," día"," días")&amp;" de retraso","Cumplida"),IF(N($M138)&gt;=1,"Cumplida",IF(NOT(ISNUMBER($AS138)),"Sin fecha límite",IF($AS138&lt;FechaRef,"Vencida hace "&amp;(FechaRef-$AS138)&amp;IF(FechaRef-$AS138=1," día"," días"),IF($AS138=FechaRef,"Vence hoy",IF($AS138-FechaRef&lt;=DiasAlerta,"Vence en "&amp;($AS138-FechaRef)&amp;IF($AS138-FechaRef=1," día"," días"),"En plazo")))))))</f>
        <v/>
      </c>
      <c r="P138" s="62" t="n"/>
      <c r="Q138" s="58" t="n"/>
      <c r="R138" s="63">
        <f>IF(NOT((COUNTA($B138:$D138)+COUNTA($G138:$H138)+COUNTA($Q138))&gt;0),"",IF((IF($C138="","Falta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 OK","⚠ "&amp;LEFT(IF($C138="","Falta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",""),LEN(IF($C138="","Falta el nombre de la actividad"&amp;" · ","")&amp;IF(AND($V138="Sub",N($U138)=0),"Subactividad sin macroactividad arriba"&amp;" · ","")&amp;IF(AND($V138="Macro",$AR138=""),"Sin fecha de inicio"&amp;" · ","")&amp;IF(AND($V138="Macro",$AS138=""),"Sin fecha límite"&amp;" · ","")&amp;IF(AND(LEFT($C138,11)="[Jefatura] ",N($AQ138)=0),"No se encuentra en la hoja de la jefatura (elíjala de nuevo en la lista)"&amp;" · ","")&amp;IF(OR(AND($E138&lt;&gt;"",NOT(ISNUMBER($E138))),AND($F138&lt;&gt;"",NOT(ISNUMBER($F138))),AND($G138&lt;&gt;"",NOT(ISNUMBER($G138)))),"Fecha no válida"&amp;" · ","")&amp;IF(AND(ISNUMBER($AR138),ISNUMBER($AS138),$AR138&gt;$AS138),"Inicio posterior a fecha límite"&amp;" · ","")&amp;IF(AND($V138="Macro",$H138&lt;&gt;"",OR(NOT(ISNUMBER($H138)),$H138&lt;0,$H138&gt;1)),"Peso fuera de rango"&amp;" · ","")&amp;IF(AND($V138="Sub",$H138&lt;&gt;"",OR(NOT(ISNUMBER($H138)),$H138&lt;0,$H138&gt;1)),"% de la subactividad fuera de rango 0-100%"&amp;" · ","")&amp;IF(AND(N($W138)&gt;0,SUMIFS($H$5:$H$1000,$U$5:$U$1000,ROW(),$V$5:$V$1000,"Sub")&gt;1.0001),"Las subactividades suman más de 100%"&amp;" · ","")&amp;IF(AND(N($W138)&gt;0,OR(IF(ISNUMBER($I138),ROUND($I138,6)&lt;&gt;ROUND(MIN(1,SUMIFS($AD$5:$AD$1000,$U$5:$U$1000,ROW(),$V$5:$V$1000,"Sub")),6),FALSE),IF(ISNUMBER($J138),ROUND($J138,6)&lt;&gt;ROUND(MIN(1,SUMIFS($AE$5:$AE$1000,$U$5:$U$1000,ROW(),$V$5:$V$1000,"Sub")),6),FALSE),IF(ISNUMBER($K138),ROUND($K138,6)&lt;&gt;ROUND(MIN(1,SUMIFS($AF$5:$AF$1000,$U$5:$U$1000,ROW(),$V$5:$V$1000,"Sub")),6),FALSE),IF(ISNUMBER($L138),ROUND($L138,6)&lt;&gt;ROUND(MIN(1,SUMIFS($AG$5:$AG$1000,$U$5:$U$1000,ROW(),$V$5:$V$1000,"Sub")),6),FALSE))),"Con subactividades: no escriba en las semanas (se llenan solas)"&amp;" · ","")&amp;IF((COUNTIF($I138:$L138,"&gt;1")+COUNTIF($I138:$L138,"&lt;0")+SUMPRODUCT((LEN($I138:$L138)&gt;0)*NOT(ISNUMBER($I138:$L138))))&gt;0,"Avance fuera de rango 0-100%"&amp;" · ","")&amp;IF(OR(AND(ISNUMBER($J138),$J138&lt;N($I138)),AND(ISNUMBER($K138),$K138&lt;MAX($I138:$J138)),AND(ISNUMBER($L138),$L138&lt;MAX($I138:$K138))),"Avance semanal decreciente"&amp;" · ","")&amp;IF(AND(ISNUMBER($AS138),$AS138&lt;FechaRef,IF($V138="Sub",1,N($M138))&lt;1),"Vencida"&amp;" · ","")&amp;IF(AND(ObsObligatoria="Sí",ISNUMBER($AS138),$AS138&lt;FechaRef,IF($V138="Sub",1,N($M138))&lt;1,$Q138=""),"Vencida sin observación"&amp;" · ",""))-3)))</f>
        <v/>
      </c>
      <c r="S138" s="64">
        <f>IF(NOT((COUNTA($B138:$D138)+COUNTA($G138:$H138)+COUNTA($Q138))&gt;0),"",IF(AND($V138="Sub",N($U138)&gt;0),IF(ISNUMBER(INDEX($AR$5:$AR$1000,$U138-4)),DATE(YEAR(INDEX($AR$5:$AR$1000,$U138-4)),MONTH(INDEX($AR$5:$AR$1000,$U138-4)),1),IF(ISNUMBER(INDEX($AS$5:$AS$1000,$U138-4)),DATE(YEAR(INDEX($AS$5:$AS$1000,$U138-4)),MONTH(INDEX($AS$5:$AS$1000,$U138-4)),1),MesCiclo)),IF(ISNUMBER($AR138),DATE(YEAR($AR138),MONTH($AR138),1),IF(ISNUMBER($AS138),DATE(YEAR($AS138),MONTH($AS138),1),MesCiclo))))</f>
        <v/>
      </c>
      <c r="T138" s="62">
        <f>IF(OR($S138="",$S138&lt;&gt;MesCiclo,$V138&lt;&gt;"Macro"),"",COUNTIFS($S$5:$S138,MesCiclo,$V$5:$V138,"Macro"))</f>
        <v/>
      </c>
      <c r="U138" s="62">
        <f>IF($V138="","",IF($V138="Macro",ROW(),IFERROR(LOOKUP(2,1/($V$5:$V138="Macro"),ROW($V$5:$V138)),0)))</f>
        <v/>
      </c>
      <c r="V138" s="62">
        <f>IF(NOT((COUNTA($B138:$D138)+COUNTA($G138:$H138)+COUNTA($Q138))&gt;0),"",IF($B138="Subactividad","Sub","Macro"))</f>
        <v/>
      </c>
      <c r="W138" s="62">
        <f>IF($V138="Macro",COUNTIFS($U$5:$U$1000,ROW(),$V$5:$V$1000,"Sub"),"")</f>
        <v/>
      </c>
      <c r="X138" s="62">
        <f>IF($V138&lt;&gt;"Sub","",IF(AND(ISNUMBER($H138),N($H138)&gt;0),$H138,IFERROR(MAX(0,1-SUMIFS($H$5:$H$1000,$U$5:$U$1000,$U138,$V$5:$V$1000,"Sub"))/(COUNTIFS($U$5:$U$1000,$U138,$V$5:$V$1000,"Sub")-COUNTIFS($U$5:$U$1000,$U138,$V$5:$V$1000,"Sub",$H$5:$H$1000,"&gt;0")),0)))</f>
        <v/>
      </c>
      <c r="Y138" s="62">
        <f>IF($V138="","",IF($V138="Sub",N($X138)*IF(ISNUMBER($G138),1,MIN(1,MAX(0,IFERROR(LOOKUP(2,1/ISNUMBER($I138:$L138),$I138:$L138),0)))),IF(ISNUMBER($G138),1,IFERROR(LOOKUP(2,1/($I138:$L138&lt;&gt;""),$I138:$L138),0))))</f>
        <v/>
      </c>
      <c r="Z138" s="62">
        <f>IF($V138="","",IF(AND(ISNUMBER($G138),$G138&lt;=IF($S138=MesCiclo,InicioCiclo,$S138+MOD(2-WEEKDAY($S138),7))+6),1,IF(ISNUMBER($I138),$I138,0)))</f>
        <v/>
      </c>
      <c r="AA138" s="62">
        <f>IF($V138="","",IF(AND(ISNUMBER($G138),$G138&lt;=IF($S138=MesCiclo,InicioCiclo,$S138+MOD(2-WEEKDAY($S138),7))+13),1,IF(ISNUMBER($J138),$J138,$Z138)))</f>
        <v/>
      </c>
      <c r="AB138" s="62">
        <f>IF($V138="","",IF(AND(ISNUMBER($G138),$G138&lt;=IF($S138=MesCiclo,InicioCiclo,$S138+MOD(2-WEEKDAY($S138),7))+20),1,IF(ISNUMBER($K138),$K138,$AA138)))</f>
        <v/>
      </c>
      <c r="AC138" s="62">
        <f>IF($V138="","",IF(AND(ISNUMBER($G138),$G138&lt;=IF($S138=MesCiclo,InicioCiclo,$S138+MOD(2-WEEKDAY($S138),7))+27),1,IF(ISNUMBER($L138),$L138,$AB138)))</f>
        <v/>
      </c>
      <c r="AD138" s="62">
        <f>IF($V138&lt;&gt;"Sub","",N($X138)*IF(AND(ISNUMBER($G138),$G138&lt;=IF($S138=MesCiclo,InicioCiclo,$S138+MOD(2-WEEKDAY($S138),7))+6),1,MIN(1,MAX(0,IF(ISNUMBER(OFFSET($A$1,ROW()-1,8)),OFFSET($A$1,ROW()-1,8),0)))))</f>
        <v/>
      </c>
      <c r="AE138" s="62">
        <f>IF($V138&lt;&gt;"Sub","",N($X138)*IF(AND(ISNUMBER($G138),$G138&lt;=IF($S138=MesCiclo,InicioCiclo,$S138+MOD(2-WEEKDAY($S138),7))+13),1,MIN(1,MAX(0,IF(ISNUMBER(OFFSET($A$1,ROW()-1,9)),OFFSET($A$1,ROW()-1,9),IF(ISNUMBER(OFFSET($A$1,ROW()-1,8)),OFFSET($A$1,ROW()-1,8),0))))))</f>
        <v/>
      </c>
      <c r="AF138" s="62">
        <f>IF($V138&lt;&gt;"Sub","",N($X138)*IF(AND(ISNUMBER($G138),$G138&lt;=IF($S138=MesCiclo,InicioCiclo,$S138+MOD(2-WEEKDAY($S138),7))+20),1,MIN(1,MAX(0,IF(ISNUMBER(OFFSET($A$1,ROW()-1,10)),OFFSET($A$1,ROW()-1,10),IF(ISNUMBER(OFFSET($A$1,ROW()-1,9)),OFFSET($A$1,ROW()-1,9),IF(ISNUMBER(OFFSET($A$1,ROW()-1,8)),OFFSET($A$1,ROW()-1,8),0)))))))</f>
        <v/>
      </c>
      <c r="AG138" s="62">
        <f>IF($V138&lt;&gt;"Sub","",N($X138)*IF(AND(ISNUMBER($G138),$G138&lt;=IF($S138=MesCiclo,InicioCiclo,$S138+MOD(2-WEEKDAY($S138),7))+27),1,MIN(1,MAX(0,IF(ISNUMBER(OFFSET($A$1,ROW()-1,11)),OFFSET($A$1,ROW()-1,11),IF(ISNUMBER(OFFSET($A$1,ROW()-1,10)),OFFSET($A$1,ROW()-1,10),IF(ISNUMBER(OFFSET($A$1,ROW()-1,9)),OFFSET($A$1,ROW()-1,9),IF(ISNUMBER(OFFSET($A$1,ROW()-1,8)),OFFSET($A$1,ROW()-1,8),0))))))))</f>
        <v/>
      </c>
      <c r="AH138" s="62">
        <f>IF($V138="","",IF(AND(ISNUMBER($G138),$G138&lt;=IF($S138=MesCiclo,InicioCiclo,$S138+MOD(2-WEEKDAY($S138),7))+6),1,IF(N($W138)&gt;0,MIN(1,SUMIFS($AD$5:$AD$1000,$U$5:$U$1000,ROW(),$V$5:$V$1000,"Sub")),$Z138)))</f>
        <v/>
      </c>
      <c r="AI138" s="62">
        <f>IF($V138="","",IF(AND(ISNUMBER($G138),$G138&lt;=IF($S138=MesCiclo,InicioCiclo,$S138+MOD(2-WEEKDAY($S138),7))+13),1,IF(N($W138)&gt;0,MIN(1,SUMIFS($AE$5:$AE$1000,$U$5:$U$1000,ROW(),$V$5:$V$1000,"Sub")),$AA138)))</f>
        <v/>
      </c>
      <c r="AJ138" s="62">
        <f>IF($V138="","",IF(AND(ISNUMBER($G138),$G138&lt;=IF($S138=MesCiclo,InicioCiclo,$S138+MOD(2-WEEKDAY($S138),7))+20),1,IF(N($W138)&gt;0,MIN(1,SUMIFS($AF$5:$AF$1000,$U$5:$U$1000,ROW(),$V$5:$V$1000,"Sub")),$AB138)))</f>
        <v/>
      </c>
      <c r="AK138" s="62">
        <f>IF($V138="","",IF(AND(ISNUMBER($G138),$G138&lt;=IF($S138=MesCiclo,InicioCiclo,$S138+MOD(2-WEEKDAY($S138),7))+27),1,IF(N($W138)&gt;0,MIN(1,SUMIFS($AG$5:$AG$1000,$U$5:$U$1000,ROW(),$V$5:$V$1000,"Sub")),$AC138)))</f>
        <v/>
      </c>
      <c r="AL138" s="62">
        <f>IF($V138&lt;&gt;"Macro","",IF(COUNTIFS($S$5:$S$1000,$S138,$V$5:$V$1000,"Macro",$H$5:$H$1000,"&gt;0")=0,1/COUNTIFS($S$5:$S$1000,$S138,$V$5:$V$1000,"Macro"),IF(AND(ISNUMBER($H138),N($H138)&gt;0),$H138,SUMIFS($H$5:$H$1000,$S$5:$S$1000,$S138,$V$5:$V$1000,"Macro")/COUNTIFS($S$5:$S$1000,$S138,$V$5:$V$1000,"Macro",$H$5:$H$1000,"&gt;0"))/(COUNTIFS($S$5:$S$1000,$S138,$V$5:$V$1000,"Macro")*SUMIFS($H$5:$H$1000,$S$5:$S$1000,$S138,$V$5:$V$1000,"Macro")/COUNTIFS($S$5:$S$1000,$S138,$V$5:$V$1000,"Macro",$H$5:$H$1000,"&gt;0"))))</f>
        <v/>
      </c>
      <c r="AM138" s="62" t="n"/>
      <c r="AN138" s="62" t="n"/>
      <c r="AO138" s="62" t="n"/>
      <c r="AP138" s="62" t="n"/>
      <c r="AQ138" s="62">
        <f>IF(LEFT($C138,11)="[Jefatura] ",IFERROR(MATCH("Asistente Técnico de Riesgo|"&amp;MID($C138,12,500),rDname_ADM,0),0),"")</f>
        <v/>
      </c>
      <c r="AR138" s="62">
        <f>IF(N($AQ138)&gt;0,INDEX(rIni_ADM,$AQ138),IF(ISNUMBER($E138),$E138,""))</f>
        <v/>
      </c>
      <c r="AS138" s="62">
        <f>IF(N($AQ138)&gt;0,INDEX(rLim_ADM,$AQ138),IF(ISNUMBER($F138),$F138,""))</f>
        <v/>
      </c>
    </row>
    <row r="139">
      <c r="A139" s="56">
        <f>IF(NOT((COUNTA($B139:$D139)+COUNTA($G139:$H139)+COUNTA($Q139))&gt;0),"",IF($V139="Macro",COUNTIFS($V$5:$V139,"Macro",$S$5:$S139,$S139),IF(N($U139)=0,"?",COUNTIFS(INDEX($V$5:$V$1000,1):INDEX($V$5:$V$1000,$U139-4),"Macro",INDEX($S$5:$S$1000,1):INDEX($S$5:$S$1000,$U139-4),INDEX($S$5:$S$1000,$U139-4))&amp;"."&amp;COUNTIFS($U$5:$U139,$U139,$V$5:$V139,"Sub"))))</f>
        <v/>
      </c>
      <c r="B139" s="57" t="n"/>
      <c r="C139" s="58" t="n"/>
      <c r="D139" s="58" t="n"/>
      <c r="E139" s="59">
        <f>IF(N($AQ139)&gt;0,INDEX(rIni_ADM,$AQ139),"")</f>
        <v/>
      </c>
      <c r="F139" s="59">
        <f>IF(N($AQ139)&gt;0,INDEX(rLim_ADM,$AQ139),"")</f>
        <v/>
      </c>
      <c r="G139" s="59" t="n"/>
      <c r="H139" s="60" t="n"/>
      <c r="I139" s="60">
        <f>IF(N($W139)=0,"",IF(AND($S139=MesCiclo,1&gt;SemanaActual),"",MIN(1,SUMIFS(OFFSET($A$1,ROW(),29,1000-ROW(),1),OFFSET($A$1,ROW(),20,1000-ROW(),1),ROW(),OFFSET($A$1,ROW(),21,1000-ROW(),1),"Sub"))))</f>
        <v/>
      </c>
      <c r="J139" s="60">
        <f>IF(N($W139)=0,"",IF(AND($S139=MesCiclo,2&gt;SemanaActual),"",MIN(1,SUMIFS(OFFSET($A$1,ROW(),30,1000-ROW(),1),OFFSET($A$1,ROW(),20,1000-ROW(),1),ROW(),OFFSET($A$1,ROW(),21,1000-ROW(),1),"Sub"))))</f>
        <v/>
      </c>
      <c r="K139" s="60">
        <f>IF(N($W139)=0,"",IF(AND($S139=MesCiclo,3&gt;SemanaActual),"",MIN(1,SUMIFS(OFFSET($A$1,ROW(),31,1000-ROW(),1),OFFSET($A$1,ROW(),20,1000-ROW(),1),ROW(),OFFSET($A$1,ROW(),21,1000-ROW(),1),"Sub"))))</f>
        <v/>
      </c>
      <c r="L139" s="60">
        <f>IF(N($W139)=0,"",IF(AND($S139=MesCiclo,4&gt;SemanaActual),"",MIN(1,SUMIFS(OFFSET($A$1,ROW(),32,1000-ROW(),1),OFFSET($A$1,ROW(),20,1000-ROW(),1),ROW(),OFFSET($A$1,ROW(),21,1000-ROW(),1),"Sub"))))</f>
        <v/>
      </c>
      <c r="M139" s="61">
        <f>IF(OR(NOT((COUNTA($B139:$D139)+COUNTA($G139:$H139)+COUNTA($Q139))&gt;0),$V139="Sub"),"",IF(ISNUMBER($G139),1,IF(N($W139)&gt;0,MIN(1,SUMIFS($Y$5:$Y$1000,$U$5:$U$1000,ROW(),$V$5:$V$1000,"Sub")),$Y139)))</f>
        <v/>
      </c>
      <c r="N139" s="56">
        <f>IF(OR($M139="",$V139="Sub"),"",IF($M139&gt;=1,"Completado",IF($M139&gt;0,"En curso","Pendiente")))</f>
        <v/>
      </c>
      <c r="O139" s="56">
        <f>IF(OR(NOT((COUNTA($B139:$D139)+COUNTA($G139:$H139)+COUNTA($Q139))&gt;0),$V139="Sub"),"",IF(ISNUMBER($G139),IF(AND(ISNUMBER($AS139),$G139&gt;$AS139),"Cumplida con "&amp;($G139-$AS139)&amp;IF($G139-$AS139=1," día"," días")&amp;" de retraso","Cumplida"),IF(N($M139)&gt;=1,"Cumplida",IF(NOT(ISNUMBER($AS139)),"Sin fecha límite",IF($AS139&lt;FechaRef,"Vencida hace "&amp;(FechaRef-$AS139)&amp;IF(FechaRef-$AS139=1," día"," días"),IF($AS139=FechaRef,"Vence hoy",IF($AS139-FechaRef&lt;=DiasAlerta,"Vence en "&amp;($AS139-FechaRef)&amp;IF($AS139-FechaRef=1," día"," días"),"En plazo")))))))</f>
        <v/>
      </c>
      <c r="P139" s="62" t="n"/>
      <c r="Q139" s="58" t="n"/>
      <c r="R139" s="63">
        <f>IF(NOT((COUNTA($B139:$D139)+COUNTA($G139:$H139)+COUNTA($Q139))&gt;0),"",IF((IF($C139="","Falta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 OK","⚠ "&amp;LEFT(IF($C139="","Falta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",""),LEN(IF($C139="","Falta el nombre de la actividad"&amp;" · ","")&amp;IF(AND($V139="Sub",N($U139)=0),"Subactividad sin macroactividad arriba"&amp;" · ","")&amp;IF(AND($V139="Macro",$AR139=""),"Sin fecha de inicio"&amp;" · ","")&amp;IF(AND($V139="Macro",$AS139=""),"Sin fecha límite"&amp;" · ","")&amp;IF(AND(LEFT($C139,11)="[Jefatura] ",N($AQ139)=0),"No se encuentra en la hoja de la jefatura (elíjala de nuevo en la lista)"&amp;" · ","")&amp;IF(OR(AND($E139&lt;&gt;"",NOT(ISNUMBER($E139))),AND($F139&lt;&gt;"",NOT(ISNUMBER($F139))),AND($G139&lt;&gt;"",NOT(ISNUMBER($G139)))),"Fecha no válida"&amp;" · ","")&amp;IF(AND(ISNUMBER($AR139),ISNUMBER($AS139),$AR139&gt;$AS139),"Inicio posterior a fecha límite"&amp;" · ","")&amp;IF(AND($V139="Macro",$H139&lt;&gt;"",OR(NOT(ISNUMBER($H139)),$H139&lt;0,$H139&gt;1)),"Peso fuera de rango"&amp;" · ","")&amp;IF(AND($V139="Sub",$H139&lt;&gt;"",OR(NOT(ISNUMBER($H139)),$H139&lt;0,$H139&gt;1)),"% de la subactividad fuera de rango 0-100%"&amp;" · ","")&amp;IF(AND(N($W139)&gt;0,SUMIFS($H$5:$H$1000,$U$5:$U$1000,ROW(),$V$5:$V$1000,"Sub")&gt;1.0001),"Las subactividades suman más de 100%"&amp;" · ","")&amp;IF(AND(N($W139)&gt;0,OR(IF(ISNUMBER($I139),ROUND($I139,6)&lt;&gt;ROUND(MIN(1,SUMIFS($AD$5:$AD$1000,$U$5:$U$1000,ROW(),$V$5:$V$1000,"Sub")),6),FALSE),IF(ISNUMBER($J139),ROUND($J139,6)&lt;&gt;ROUND(MIN(1,SUMIFS($AE$5:$AE$1000,$U$5:$U$1000,ROW(),$V$5:$V$1000,"Sub")),6),FALSE),IF(ISNUMBER($K139),ROUND($K139,6)&lt;&gt;ROUND(MIN(1,SUMIFS($AF$5:$AF$1000,$U$5:$U$1000,ROW(),$V$5:$V$1000,"Sub")),6),FALSE),IF(ISNUMBER($L139),ROUND($L139,6)&lt;&gt;ROUND(MIN(1,SUMIFS($AG$5:$AG$1000,$U$5:$U$1000,ROW(),$V$5:$V$1000,"Sub")),6),FALSE))),"Con subactividades: no escriba en las semanas (se llenan solas)"&amp;" · ","")&amp;IF((COUNTIF($I139:$L139,"&gt;1")+COUNTIF($I139:$L139,"&lt;0")+SUMPRODUCT((LEN($I139:$L139)&gt;0)*NOT(ISNUMBER($I139:$L139))))&gt;0,"Avance fuera de rango 0-100%"&amp;" · ","")&amp;IF(OR(AND(ISNUMBER($J139),$J139&lt;N($I139)),AND(ISNUMBER($K139),$K139&lt;MAX($I139:$J139)),AND(ISNUMBER($L139),$L139&lt;MAX($I139:$K139))),"Avance semanal decreciente"&amp;" · ","")&amp;IF(AND(ISNUMBER($AS139),$AS139&lt;FechaRef,IF($V139="Sub",1,N($M139))&lt;1),"Vencida"&amp;" · ","")&amp;IF(AND(ObsObligatoria="Sí",ISNUMBER($AS139),$AS139&lt;FechaRef,IF($V139="Sub",1,N($M139))&lt;1,$Q139=""),"Vencida sin observación"&amp;" · ",""))-3)))</f>
        <v/>
      </c>
      <c r="S139" s="64">
        <f>IF(NOT((COUNTA($B139:$D139)+COUNTA($G139:$H139)+COUNTA($Q139))&gt;0),"",IF(AND($V139="Sub",N($U139)&gt;0),IF(ISNUMBER(INDEX($AR$5:$AR$1000,$U139-4)),DATE(YEAR(INDEX($AR$5:$AR$1000,$U139-4)),MONTH(INDEX($AR$5:$AR$1000,$U139-4)),1),IF(ISNUMBER(INDEX($AS$5:$AS$1000,$U139-4)),DATE(YEAR(INDEX($AS$5:$AS$1000,$U139-4)),MONTH(INDEX($AS$5:$AS$1000,$U139-4)),1),MesCiclo)),IF(ISNUMBER($AR139),DATE(YEAR($AR139),MONTH($AR139),1),IF(ISNUMBER($AS139),DATE(YEAR($AS139),MONTH($AS139),1),MesCiclo))))</f>
        <v/>
      </c>
      <c r="T139" s="62">
        <f>IF(OR($S139="",$S139&lt;&gt;MesCiclo,$V139&lt;&gt;"Macro"),"",COUNTIFS($S$5:$S139,MesCiclo,$V$5:$V139,"Macro"))</f>
        <v/>
      </c>
      <c r="U139" s="62">
        <f>IF($V139="","",IF($V139="Macro",ROW(),IFERROR(LOOKUP(2,1/($V$5:$V139="Macro"),ROW($V$5:$V139)),0)))</f>
        <v/>
      </c>
      <c r="V139" s="62">
        <f>IF(NOT((COUNTA($B139:$D139)+COUNTA($G139:$H139)+COUNTA($Q139))&gt;0),"",IF($B139="Subactividad","Sub","Macro"))</f>
        <v/>
      </c>
      <c r="W139" s="62">
        <f>IF($V139="Macro",COUNTIFS($U$5:$U$1000,ROW(),$V$5:$V$1000,"Sub"),"")</f>
        <v/>
      </c>
      <c r="X139" s="62">
        <f>IF($V139&lt;&gt;"Sub","",IF(AND(ISNUMBER($H139),N($H139)&gt;0),$H139,IFERROR(MAX(0,1-SUMIFS($H$5:$H$1000,$U$5:$U$1000,$U139,$V$5:$V$1000,"Sub"))/(COUNTIFS($U$5:$U$1000,$U139,$V$5:$V$1000,"Sub")-COUNTIFS($U$5:$U$1000,$U139,$V$5:$V$1000,"Sub",$H$5:$H$1000,"&gt;0")),0)))</f>
        <v/>
      </c>
      <c r="Y139" s="62">
        <f>IF($V139="","",IF($V139="Sub",N($X139)*IF(ISNUMBER($G139),1,MIN(1,MAX(0,IFERROR(LOOKUP(2,1/ISNUMBER($I139:$L139),$I139:$L139),0)))),IF(ISNUMBER($G139),1,IFERROR(LOOKUP(2,1/($I139:$L139&lt;&gt;""),$I139:$L139),0))))</f>
        <v/>
      </c>
      <c r="Z139" s="62">
        <f>IF($V139="","",IF(AND(ISNUMBER($G139),$G139&lt;=IF($S139=MesCiclo,InicioCiclo,$S139+MOD(2-WEEKDAY($S139),7))+6),1,IF(ISNUMBER($I139),$I139,0)))</f>
        <v/>
      </c>
      <c r="AA139" s="62">
        <f>IF($V139="","",IF(AND(ISNUMBER($G139),$G139&lt;=IF($S139=MesCiclo,InicioCiclo,$S139+MOD(2-WEEKDAY($S139),7))+13),1,IF(ISNUMBER($J139),$J139,$Z139)))</f>
        <v/>
      </c>
      <c r="AB139" s="62">
        <f>IF($V139="","",IF(AND(ISNUMBER($G139),$G139&lt;=IF($S139=MesCiclo,InicioCiclo,$S139+MOD(2-WEEKDAY($S139),7))+20),1,IF(ISNUMBER($K139),$K139,$AA139)))</f>
        <v/>
      </c>
      <c r="AC139" s="62">
        <f>IF($V139="","",IF(AND(ISNUMBER($G139),$G139&lt;=IF($S139=MesCiclo,InicioCiclo,$S139+MOD(2-WEEKDAY($S139),7))+27),1,IF(ISNUMBER($L139),$L139,$AB139)))</f>
        <v/>
      </c>
      <c r="AD139" s="62">
        <f>IF($V139&lt;&gt;"Sub","",N($X139)*IF(AND(ISNUMBER($G139),$G139&lt;=IF($S139=MesCiclo,InicioCiclo,$S139+MOD(2-WEEKDAY($S139),7))+6),1,MIN(1,MAX(0,IF(ISNUMBER(OFFSET($A$1,ROW()-1,8)),OFFSET($A$1,ROW()-1,8),0)))))</f>
        <v/>
      </c>
      <c r="AE139" s="62">
        <f>IF($V139&lt;&gt;"Sub","",N($X139)*IF(AND(ISNUMBER($G139),$G139&lt;=IF($S139=MesCiclo,InicioCiclo,$S139+MOD(2-WEEKDAY($S139),7))+13),1,MIN(1,MAX(0,IF(ISNUMBER(OFFSET($A$1,ROW()-1,9)),OFFSET($A$1,ROW()-1,9),IF(ISNUMBER(OFFSET($A$1,ROW()-1,8)),OFFSET($A$1,ROW()-1,8),0))))))</f>
        <v/>
      </c>
      <c r="AF139" s="62">
        <f>IF($V139&lt;&gt;"Sub","",N($X139)*IF(AND(ISNUMBER($G139),$G139&lt;=IF($S139=MesCiclo,InicioCiclo,$S139+MOD(2-WEEKDAY($S139),7))+20),1,MIN(1,MAX(0,IF(ISNUMBER(OFFSET($A$1,ROW()-1,10)),OFFSET($A$1,ROW()-1,10),IF(ISNUMBER(OFFSET($A$1,ROW()-1,9)),OFFSET($A$1,ROW()-1,9),IF(ISNUMBER(OFFSET($A$1,ROW()-1,8)),OFFSET($A$1,ROW()-1,8),0)))))))</f>
        <v/>
      </c>
      <c r="AG139" s="62">
        <f>IF($V139&lt;&gt;"Sub","",N($X139)*IF(AND(ISNUMBER($G139),$G139&lt;=IF($S139=MesCiclo,InicioCiclo,$S139+MOD(2-WEEKDAY($S139),7))+27),1,MIN(1,MAX(0,IF(ISNUMBER(OFFSET($A$1,ROW()-1,11)),OFFSET($A$1,ROW()-1,11),IF(ISNUMBER(OFFSET($A$1,ROW()-1,10)),OFFSET($A$1,ROW()-1,10),IF(ISNUMBER(OFFSET($A$1,ROW()-1,9)),OFFSET($A$1,ROW()-1,9),IF(ISNUMBER(OFFSET($A$1,ROW()-1,8)),OFFSET($A$1,ROW()-1,8),0))))))))</f>
        <v/>
      </c>
      <c r="AH139" s="62">
        <f>IF($V139="","",IF(AND(ISNUMBER($G139),$G139&lt;=IF($S139=MesCiclo,InicioCiclo,$S139+MOD(2-WEEKDAY($S139),7))+6),1,IF(N($W139)&gt;0,MIN(1,SUMIFS($AD$5:$AD$1000,$U$5:$U$1000,ROW(),$V$5:$V$1000,"Sub")),$Z139)))</f>
        <v/>
      </c>
      <c r="AI139" s="62">
        <f>IF($V139="","",IF(AND(ISNUMBER($G139),$G139&lt;=IF($S139=MesCiclo,InicioCiclo,$S139+MOD(2-WEEKDAY($S139),7))+13),1,IF(N($W139)&gt;0,MIN(1,SUMIFS($AE$5:$AE$1000,$U$5:$U$1000,ROW(),$V$5:$V$1000,"Sub")),$AA139)))</f>
        <v/>
      </c>
      <c r="AJ139" s="62">
        <f>IF($V139="","",IF(AND(ISNUMBER($G139),$G139&lt;=IF($S139=MesCiclo,InicioCiclo,$S139+MOD(2-WEEKDAY($S139),7))+20),1,IF(N($W139)&gt;0,MIN(1,SUMIFS($AF$5:$AF$1000,$U$5:$U$1000,ROW(),$V$5:$V$1000,"Sub")),$AB139)))</f>
        <v/>
      </c>
      <c r="AK139" s="62">
        <f>IF($V139="","",IF(AND(ISNUMBER($G139),$G139&lt;=IF($S139=MesCiclo,InicioCiclo,$S139+MOD(2-WEEKDAY($S139),7))+27),1,IF(N($W139)&gt;0,MIN(1,SUMIFS($AG$5:$AG$1000,$U$5:$U$1000,ROW(),$V$5:$V$1000,"Sub")),$AC139)))</f>
        <v/>
      </c>
      <c r="AL139" s="62">
        <f>IF($V139&lt;&gt;"Macro","",IF(COUNTIFS($S$5:$S$1000,$S139,$V$5:$V$1000,"Macro",$H$5:$H$1000,"&gt;0")=0,1/COUNTIFS($S$5:$S$1000,$S139,$V$5:$V$1000,"Macro"),IF(AND(ISNUMBER($H139),N($H139)&gt;0),$H139,SUMIFS($H$5:$H$1000,$S$5:$S$1000,$S139,$V$5:$V$1000,"Macro")/COUNTIFS($S$5:$S$1000,$S139,$V$5:$V$1000,"Macro",$H$5:$H$1000,"&gt;0"))/(COUNTIFS($S$5:$S$1000,$S139,$V$5:$V$1000,"Macro")*SUMIFS($H$5:$H$1000,$S$5:$S$1000,$S139,$V$5:$V$1000,"Macro")/COUNTIFS($S$5:$S$1000,$S139,$V$5:$V$1000,"Macro",$H$5:$H$1000,"&gt;0"))))</f>
        <v/>
      </c>
      <c r="AM139" s="62" t="n"/>
      <c r="AN139" s="62" t="n"/>
      <c r="AO139" s="62" t="n"/>
      <c r="AP139" s="62" t="n"/>
      <c r="AQ139" s="62">
        <f>IF(LEFT($C139,11)="[Jefatura] ",IFERROR(MATCH("Asistente Técnico de Riesgo|"&amp;MID($C139,12,500),rDname_ADM,0),0),"")</f>
        <v/>
      </c>
      <c r="AR139" s="62">
        <f>IF(N($AQ139)&gt;0,INDEX(rIni_ADM,$AQ139),IF(ISNUMBER($E139),$E139,""))</f>
        <v/>
      </c>
      <c r="AS139" s="62">
        <f>IF(N($AQ139)&gt;0,INDEX(rLim_ADM,$AQ139),IF(ISNUMBER($F139),$F139,""))</f>
        <v/>
      </c>
    </row>
    <row r="140">
      <c r="A140" s="56">
        <f>IF(NOT((COUNTA($B140:$D140)+COUNTA($G140:$H140)+COUNTA($Q140))&gt;0),"",IF($V140="Macro",COUNTIFS($V$5:$V140,"Macro",$S$5:$S140,$S140),IF(N($U140)=0,"?",COUNTIFS(INDEX($V$5:$V$1000,1):INDEX($V$5:$V$1000,$U140-4),"Macro",INDEX($S$5:$S$1000,1):INDEX($S$5:$S$1000,$U140-4),INDEX($S$5:$S$1000,$U140-4))&amp;"."&amp;COUNTIFS($U$5:$U140,$U140,$V$5:$V140,"Sub"))))</f>
        <v/>
      </c>
      <c r="B140" s="57" t="n"/>
      <c r="C140" s="58" t="n"/>
      <c r="D140" s="58" t="n"/>
      <c r="E140" s="59">
        <f>IF(N($AQ140)&gt;0,INDEX(rIni_ADM,$AQ140),"")</f>
        <v/>
      </c>
      <c r="F140" s="59">
        <f>IF(N($AQ140)&gt;0,INDEX(rLim_ADM,$AQ140),"")</f>
        <v/>
      </c>
      <c r="G140" s="59" t="n"/>
      <c r="H140" s="60" t="n"/>
      <c r="I140" s="60">
        <f>IF(N($W140)=0,"",IF(AND($S140=MesCiclo,1&gt;SemanaActual),"",MIN(1,SUMIFS(OFFSET($A$1,ROW(),29,1000-ROW(),1),OFFSET($A$1,ROW(),20,1000-ROW(),1),ROW(),OFFSET($A$1,ROW(),21,1000-ROW(),1),"Sub"))))</f>
        <v/>
      </c>
      <c r="J140" s="60">
        <f>IF(N($W140)=0,"",IF(AND($S140=MesCiclo,2&gt;SemanaActual),"",MIN(1,SUMIFS(OFFSET($A$1,ROW(),30,1000-ROW(),1),OFFSET($A$1,ROW(),20,1000-ROW(),1),ROW(),OFFSET($A$1,ROW(),21,1000-ROW(),1),"Sub"))))</f>
        <v/>
      </c>
      <c r="K140" s="60">
        <f>IF(N($W140)=0,"",IF(AND($S140=MesCiclo,3&gt;SemanaActual),"",MIN(1,SUMIFS(OFFSET($A$1,ROW(),31,1000-ROW(),1),OFFSET($A$1,ROW(),20,1000-ROW(),1),ROW(),OFFSET($A$1,ROW(),21,1000-ROW(),1),"Sub"))))</f>
        <v/>
      </c>
      <c r="L140" s="60">
        <f>IF(N($W140)=0,"",IF(AND($S140=MesCiclo,4&gt;SemanaActual),"",MIN(1,SUMIFS(OFFSET($A$1,ROW(),32,1000-ROW(),1),OFFSET($A$1,ROW(),20,1000-ROW(),1),ROW(),OFFSET($A$1,ROW(),21,1000-ROW(),1),"Sub"))))</f>
        <v/>
      </c>
      <c r="M140" s="61">
        <f>IF(OR(NOT((COUNTA($B140:$D140)+COUNTA($G140:$H140)+COUNTA($Q140))&gt;0),$V140="Sub"),"",IF(ISNUMBER($G140),1,IF(N($W140)&gt;0,MIN(1,SUMIFS($Y$5:$Y$1000,$U$5:$U$1000,ROW(),$V$5:$V$1000,"Sub")),$Y140)))</f>
        <v/>
      </c>
      <c r="N140" s="56">
        <f>IF(OR($M140="",$V140="Sub"),"",IF($M140&gt;=1,"Completado",IF($M140&gt;0,"En curso","Pendiente")))</f>
        <v/>
      </c>
      <c r="O140" s="56">
        <f>IF(OR(NOT((COUNTA($B140:$D140)+COUNTA($G140:$H140)+COUNTA($Q140))&gt;0),$V140="Sub"),"",IF(ISNUMBER($G140),IF(AND(ISNUMBER($AS140),$G140&gt;$AS140),"Cumplida con "&amp;($G140-$AS140)&amp;IF($G140-$AS140=1," día"," días")&amp;" de retraso","Cumplida"),IF(N($M140)&gt;=1,"Cumplida",IF(NOT(ISNUMBER($AS140)),"Sin fecha límite",IF($AS140&lt;FechaRef,"Vencida hace "&amp;(FechaRef-$AS140)&amp;IF(FechaRef-$AS140=1," día"," días"),IF($AS140=FechaRef,"Vence hoy",IF($AS140-FechaRef&lt;=DiasAlerta,"Vence en "&amp;($AS140-FechaRef)&amp;IF($AS140-FechaRef=1," día"," días"),"En plazo")))))))</f>
        <v/>
      </c>
      <c r="P140" s="62" t="n"/>
      <c r="Q140" s="58" t="n"/>
      <c r="R140" s="63">
        <f>IF(NOT((COUNTA($B140:$D140)+COUNTA($G140:$H140)+COUNTA($Q140))&gt;0),"",IF((IF($C140="","Falta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 OK","⚠ "&amp;LEFT(IF($C140="","Falta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",""),LEN(IF($C140="","Falta el nombre de la actividad"&amp;" · ","")&amp;IF(AND($V140="Sub",N($U140)=0),"Subactividad sin macroactividad arriba"&amp;" · ","")&amp;IF(AND($V140="Macro",$AR140=""),"Sin fecha de inicio"&amp;" · ","")&amp;IF(AND($V140="Macro",$AS140=""),"Sin fecha límite"&amp;" · ","")&amp;IF(AND(LEFT($C140,11)="[Jefatura] ",N($AQ140)=0),"No se encuentra en la hoja de la jefatura (elíjala de nuevo en la lista)"&amp;" · ","")&amp;IF(OR(AND($E140&lt;&gt;"",NOT(ISNUMBER($E140))),AND($F140&lt;&gt;"",NOT(ISNUMBER($F140))),AND($G140&lt;&gt;"",NOT(ISNUMBER($G140)))),"Fecha no válida"&amp;" · ","")&amp;IF(AND(ISNUMBER($AR140),ISNUMBER($AS140),$AR140&gt;$AS140),"Inicio posterior a fecha límite"&amp;" · ","")&amp;IF(AND($V140="Macro",$H140&lt;&gt;"",OR(NOT(ISNUMBER($H140)),$H140&lt;0,$H140&gt;1)),"Peso fuera de rango"&amp;" · ","")&amp;IF(AND($V140="Sub",$H140&lt;&gt;"",OR(NOT(ISNUMBER($H140)),$H140&lt;0,$H140&gt;1)),"% de la subactividad fuera de rango 0-100%"&amp;" · ","")&amp;IF(AND(N($W140)&gt;0,SUMIFS($H$5:$H$1000,$U$5:$U$1000,ROW(),$V$5:$V$1000,"Sub")&gt;1.0001),"Las subactividades suman más de 100%"&amp;" · ","")&amp;IF(AND(N($W140)&gt;0,OR(IF(ISNUMBER($I140),ROUND($I140,6)&lt;&gt;ROUND(MIN(1,SUMIFS($AD$5:$AD$1000,$U$5:$U$1000,ROW(),$V$5:$V$1000,"Sub")),6),FALSE),IF(ISNUMBER($J140),ROUND($J140,6)&lt;&gt;ROUND(MIN(1,SUMIFS($AE$5:$AE$1000,$U$5:$U$1000,ROW(),$V$5:$V$1000,"Sub")),6),FALSE),IF(ISNUMBER($K140),ROUND($K140,6)&lt;&gt;ROUND(MIN(1,SUMIFS($AF$5:$AF$1000,$U$5:$U$1000,ROW(),$V$5:$V$1000,"Sub")),6),FALSE),IF(ISNUMBER($L140),ROUND($L140,6)&lt;&gt;ROUND(MIN(1,SUMIFS($AG$5:$AG$1000,$U$5:$U$1000,ROW(),$V$5:$V$1000,"Sub")),6),FALSE))),"Con subactividades: no escriba en las semanas (se llenan solas)"&amp;" · ","")&amp;IF((COUNTIF($I140:$L140,"&gt;1")+COUNTIF($I140:$L140,"&lt;0")+SUMPRODUCT((LEN($I140:$L140)&gt;0)*NOT(ISNUMBER($I140:$L140))))&gt;0,"Avance fuera de rango 0-100%"&amp;" · ","")&amp;IF(OR(AND(ISNUMBER($J140),$J140&lt;N($I140)),AND(ISNUMBER($K140),$K140&lt;MAX($I140:$J140)),AND(ISNUMBER($L140),$L140&lt;MAX($I140:$K140))),"Avance semanal decreciente"&amp;" · ","")&amp;IF(AND(ISNUMBER($AS140),$AS140&lt;FechaRef,IF($V140="Sub",1,N($M140))&lt;1),"Vencida"&amp;" · ","")&amp;IF(AND(ObsObligatoria="Sí",ISNUMBER($AS140),$AS140&lt;FechaRef,IF($V140="Sub",1,N($M140))&lt;1,$Q140=""),"Vencida sin observación"&amp;" · ",""))-3)))</f>
        <v/>
      </c>
      <c r="S140" s="64">
        <f>IF(NOT((COUNTA($B140:$D140)+COUNTA($G140:$H140)+COUNTA($Q140))&gt;0),"",IF(AND($V140="Sub",N($U140)&gt;0),IF(ISNUMBER(INDEX($AR$5:$AR$1000,$U140-4)),DATE(YEAR(INDEX($AR$5:$AR$1000,$U140-4)),MONTH(INDEX($AR$5:$AR$1000,$U140-4)),1),IF(ISNUMBER(INDEX($AS$5:$AS$1000,$U140-4)),DATE(YEAR(INDEX($AS$5:$AS$1000,$U140-4)),MONTH(INDEX($AS$5:$AS$1000,$U140-4)),1),MesCiclo)),IF(ISNUMBER($AR140),DATE(YEAR($AR140),MONTH($AR140),1),IF(ISNUMBER($AS140),DATE(YEAR($AS140),MONTH($AS140),1),MesCiclo))))</f>
        <v/>
      </c>
      <c r="T140" s="62">
        <f>IF(OR($S140="",$S140&lt;&gt;MesCiclo,$V140&lt;&gt;"Macro"),"",COUNTIFS($S$5:$S140,MesCiclo,$V$5:$V140,"Macro"))</f>
        <v/>
      </c>
      <c r="U140" s="62">
        <f>IF($V140="","",IF($V140="Macro",ROW(),IFERROR(LOOKUP(2,1/($V$5:$V140="Macro"),ROW($V$5:$V140)),0)))</f>
        <v/>
      </c>
      <c r="V140" s="62">
        <f>IF(NOT((COUNTA($B140:$D140)+COUNTA($G140:$H140)+COUNTA($Q140))&gt;0),"",IF($B140="Subactividad","Sub","Macro"))</f>
        <v/>
      </c>
      <c r="W140" s="62">
        <f>IF($V140="Macro",COUNTIFS($U$5:$U$1000,ROW(),$V$5:$V$1000,"Sub"),"")</f>
        <v/>
      </c>
      <c r="X140" s="62">
        <f>IF($V140&lt;&gt;"Sub","",IF(AND(ISNUMBER($H140),N($H140)&gt;0),$H140,IFERROR(MAX(0,1-SUMIFS($H$5:$H$1000,$U$5:$U$1000,$U140,$V$5:$V$1000,"Sub"))/(COUNTIFS($U$5:$U$1000,$U140,$V$5:$V$1000,"Sub")-COUNTIFS($U$5:$U$1000,$U140,$V$5:$V$1000,"Sub",$H$5:$H$1000,"&gt;0")),0)))</f>
        <v/>
      </c>
      <c r="Y140" s="62">
        <f>IF($V140="","",IF($V140="Sub",N($X140)*IF(ISNUMBER($G140),1,MIN(1,MAX(0,IFERROR(LOOKUP(2,1/ISNUMBER($I140:$L140),$I140:$L140),0)))),IF(ISNUMBER($G140),1,IFERROR(LOOKUP(2,1/($I140:$L140&lt;&gt;""),$I140:$L140),0))))</f>
        <v/>
      </c>
      <c r="Z140" s="62">
        <f>IF($V140="","",IF(AND(ISNUMBER($G140),$G140&lt;=IF($S140=MesCiclo,InicioCiclo,$S140+MOD(2-WEEKDAY($S140),7))+6),1,IF(ISNUMBER($I140),$I140,0)))</f>
        <v/>
      </c>
      <c r="AA140" s="62">
        <f>IF($V140="","",IF(AND(ISNUMBER($G140),$G140&lt;=IF($S140=MesCiclo,InicioCiclo,$S140+MOD(2-WEEKDAY($S140),7))+13),1,IF(ISNUMBER($J140),$J140,$Z140)))</f>
        <v/>
      </c>
      <c r="AB140" s="62">
        <f>IF($V140="","",IF(AND(ISNUMBER($G140),$G140&lt;=IF($S140=MesCiclo,InicioCiclo,$S140+MOD(2-WEEKDAY($S140),7))+20),1,IF(ISNUMBER($K140),$K140,$AA140)))</f>
        <v/>
      </c>
      <c r="AC140" s="62">
        <f>IF($V140="","",IF(AND(ISNUMBER($G140),$G140&lt;=IF($S140=MesCiclo,InicioCiclo,$S140+MOD(2-WEEKDAY($S140),7))+27),1,IF(ISNUMBER($L140),$L140,$AB140)))</f>
        <v/>
      </c>
      <c r="AD140" s="62">
        <f>IF($V140&lt;&gt;"Sub","",N($X140)*IF(AND(ISNUMBER($G140),$G140&lt;=IF($S140=MesCiclo,InicioCiclo,$S140+MOD(2-WEEKDAY($S140),7))+6),1,MIN(1,MAX(0,IF(ISNUMBER(OFFSET($A$1,ROW()-1,8)),OFFSET($A$1,ROW()-1,8),0)))))</f>
        <v/>
      </c>
      <c r="AE140" s="62">
        <f>IF($V140&lt;&gt;"Sub","",N($X140)*IF(AND(ISNUMBER($G140),$G140&lt;=IF($S140=MesCiclo,InicioCiclo,$S140+MOD(2-WEEKDAY($S140),7))+13),1,MIN(1,MAX(0,IF(ISNUMBER(OFFSET($A$1,ROW()-1,9)),OFFSET($A$1,ROW()-1,9),IF(ISNUMBER(OFFSET($A$1,ROW()-1,8)),OFFSET($A$1,ROW()-1,8),0))))))</f>
        <v/>
      </c>
      <c r="AF140" s="62">
        <f>IF($V140&lt;&gt;"Sub","",N($X140)*IF(AND(ISNUMBER($G140),$G140&lt;=IF($S140=MesCiclo,InicioCiclo,$S140+MOD(2-WEEKDAY($S140),7))+20),1,MIN(1,MAX(0,IF(ISNUMBER(OFFSET($A$1,ROW()-1,10)),OFFSET($A$1,ROW()-1,10),IF(ISNUMBER(OFFSET($A$1,ROW()-1,9)),OFFSET($A$1,ROW()-1,9),IF(ISNUMBER(OFFSET($A$1,ROW()-1,8)),OFFSET($A$1,ROW()-1,8),0)))))))</f>
        <v/>
      </c>
      <c r="AG140" s="62">
        <f>IF($V140&lt;&gt;"Sub","",N($X140)*IF(AND(ISNUMBER($G140),$G140&lt;=IF($S140=MesCiclo,InicioCiclo,$S140+MOD(2-WEEKDAY($S140),7))+27),1,MIN(1,MAX(0,IF(ISNUMBER(OFFSET($A$1,ROW()-1,11)),OFFSET($A$1,ROW()-1,11),IF(ISNUMBER(OFFSET($A$1,ROW()-1,10)),OFFSET($A$1,ROW()-1,10),IF(ISNUMBER(OFFSET($A$1,ROW()-1,9)),OFFSET($A$1,ROW()-1,9),IF(ISNUMBER(OFFSET($A$1,ROW()-1,8)),OFFSET($A$1,ROW()-1,8),0))))))))</f>
        <v/>
      </c>
      <c r="AH140" s="62">
        <f>IF($V140="","",IF(AND(ISNUMBER($G140),$G140&lt;=IF($S140=MesCiclo,InicioCiclo,$S140+MOD(2-WEEKDAY($S140),7))+6),1,IF(N($W140)&gt;0,MIN(1,SUMIFS($AD$5:$AD$1000,$U$5:$U$1000,ROW(),$V$5:$V$1000,"Sub")),$Z140)))</f>
        <v/>
      </c>
      <c r="AI140" s="62">
        <f>IF($V140="","",IF(AND(ISNUMBER($G140),$G140&lt;=IF($S140=MesCiclo,InicioCiclo,$S140+MOD(2-WEEKDAY($S140),7))+13),1,IF(N($W140)&gt;0,MIN(1,SUMIFS($AE$5:$AE$1000,$U$5:$U$1000,ROW(),$V$5:$V$1000,"Sub")),$AA140)))</f>
        <v/>
      </c>
      <c r="AJ140" s="62">
        <f>IF($V140="","",IF(AND(ISNUMBER($G140),$G140&lt;=IF($S140=MesCiclo,InicioCiclo,$S140+MOD(2-WEEKDAY($S140),7))+20),1,IF(N($W140)&gt;0,MIN(1,SUMIFS($AF$5:$AF$1000,$U$5:$U$1000,ROW(),$V$5:$V$1000,"Sub")),$AB140)))</f>
        <v/>
      </c>
      <c r="AK140" s="62">
        <f>IF($V140="","",IF(AND(ISNUMBER($G140),$G140&lt;=IF($S140=MesCiclo,InicioCiclo,$S140+MOD(2-WEEKDAY($S140),7))+27),1,IF(N($W140)&gt;0,MIN(1,SUMIFS($AG$5:$AG$1000,$U$5:$U$1000,ROW(),$V$5:$V$1000,"Sub")),$AC140)))</f>
        <v/>
      </c>
      <c r="AL140" s="62">
        <f>IF($V140&lt;&gt;"Macro","",IF(COUNTIFS($S$5:$S$1000,$S140,$V$5:$V$1000,"Macro",$H$5:$H$1000,"&gt;0")=0,1/COUNTIFS($S$5:$S$1000,$S140,$V$5:$V$1000,"Macro"),IF(AND(ISNUMBER($H140),N($H140)&gt;0),$H140,SUMIFS($H$5:$H$1000,$S$5:$S$1000,$S140,$V$5:$V$1000,"Macro")/COUNTIFS($S$5:$S$1000,$S140,$V$5:$V$1000,"Macro",$H$5:$H$1000,"&gt;0"))/(COUNTIFS($S$5:$S$1000,$S140,$V$5:$V$1000,"Macro")*SUMIFS($H$5:$H$1000,$S$5:$S$1000,$S140,$V$5:$V$1000,"Macro")/COUNTIFS($S$5:$S$1000,$S140,$V$5:$V$1000,"Macro",$H$5:$H$1000,"&gt;0"))))</f>
        <v/>
      </c>
      <c r="AM140" s="62" t="n"/>
      <c r="AN140" s="62" t="n"/>
      <c r="AO140" s="62" t="n"/>
      <c r="AP140" s="62" t="n"/>
      <c r="AQ140" s="62">
        <f>IF(LEFT($C140,11)="[Jefatura] ",IFERROR(MATCH("Asistente Técnico de Riesgo|"&amp;MID($C140,12,500),rDname_ADM,0),0),"")</f>
        <v/>
      </c>
      <c r="AR140" s="62">
        <f>IF(N($AQ140)&gt;0,INDEX(rIni_ADM,$AQ140),IF(ISNUMBER($E140),$E140,""))</f>
        <v/>
      </c>
      <c r="AS140" s="62">
        <f>IF(N($AQ140)&gt;0,INDEX(rLim_ADM,$AQ140),IF(ISNUMBER($F140),$F140,""))</f>
        <v/>
      </c>
    </row>
    <row r="141">
      <c r="A141" s="56">
        <f>IF(NOT((COUNTA($B141:$D141)+COUNTA($G141:$H141)+COUNTA($Q141))&gt;0),"",IF($V141="Macro",COUNTIFS($V$5:$V141,"Macro",$S$5:$S141,$S141),IF(N($U141)=0,"?",COUNTIFS(INDEX($V$5:$V$1000,1):INDEX($V$5:$V$1000,$U141-4),"Macro",INDEX($S$5:$S$1000,1):INDEX($S$5:$S$1000,$U141-4),INDEX($S$5:$S$1000,$U141-4))&amp;"."&amp;COUNTIFS($U$5:$U141,$U141,$V$5:$V141,"Sub"))))</f>
        <v/>
      </c>
      <c r="B141" s="57" t="n"/>
      <c r="C141" s="58" t="n"/>
      <c r="D141" s="58" t="n"/>
      <c r="E141" s="59">
        <f>IF(N($AQ141)&gt;0,INDEX(rIni_ADM,$AQ141),"")</f>
        <v/>
      </c>
      <c r="F141" s="59">
        <f>IF(N($AQ141)&gt;0,INDEX(rLim_ADM,$AQ141),"")</f>
        <v/>
      </c>
      <c r="G141" s="59" t="n"/>
      <c r="H141" s="60" t="n"/>
      <c r="I141" s="60">
        <f>IF(N($W141)=0,"",IF(AND($S141=MesCiclo,1&gt;SemanaActual),"",MIN(1,SUMIFS(OFFSET($A$1,ROW(),29,1000-ROW(),1),OFFSET($A$1,ROW(),20,1000-ROW(),1),ROW(),OFFSET($A$1,ROW(),21,1000-ROW(),1),"Sub"))))</f>
        <v/>
      </c>
      <c r="J141" s="60">
        <f>IF(N($W141)=0,"",IF(AND($S141=MesCiclo,2&gt;SemanaActual),"",MIN(1,SUMIFS(OFFSET($A$1,ROW(),30,1000-ROW(),1),OFFSET($A$1,ROW(),20,1000-ROW(),1),ROW(),OFFSET($A$1,ROW(),21,1000-ROW(),1),"Sub"))))</f>
        <v/>
      </c>
      <c r="K141" s="60">
        <f>IF(N($W141)=0,"",IF(AND($S141=MesCiclo,3&gt;SemanaActual),"",MIN(1,SUMIFS(OFFSET($A$1,ROW(),31,1000-ROW(),1),OFFSET($A$1,ROW(),20,1000-ROW(),1),ROW(),OFFSET($A$1,ROW(),21,1000-ROW(),1),"Sub"))))</f>
        <v/>
      </c>
      <c r="L141" s="60">
        <f>IF(N($W141)=0,"",IF(AND($S141=MesCiclo,4&gt;SemanaActual),"",MIN(1,SUMIFS(OFFSET($A$1,ROW(),32,1000-ROW(),1),OFFSET($A$1,ROW(),20,1000-ROW(),1),ROW(),OFFSET($A$1,ROW(),21,1000-ROW(),1),"Sub"))))</f>
        <v/>
      </c>
      <c r="M141" s="61">
        <f>IF(OR(NOT((COUNTA($B141:$D141)+COUNTA($G141:$H141)+COUNTA($Q141))&gt;0),$V141="Sub"),"",IF(ISNUMBER($G141),1,IF(N($W141)&gt;0,MIN(1,SUMIFS($Y$5:$Y$1000,$U$5:$U$1000,ROW(),$V$5:$V$1000,"Sub")),$Y141)))</f>
        <v/>
      </c>
      <c r="N141" s="56">
        <f>IF(OR($M141="",$V141="Sub"),"",IF($M141&gt;=1,"Completado",IF($M141&gt;0,"En curso","Pendiente")))</f>
        <v/>
      </c>
      <c r="O141" s="56">
        <f>IF(OR(NOT((COUNTA($B141:$D141)+COUNTA($G141:$H141)+COUNTA($Q141))&gt;0),$V141="Sub"),"",IF(ISNUMBER($G141),IF(AND(ISNUMBER($AS141),$G141&gt;$AS141),"Cumplida con "&amp;($G141-$AS141)&amp;IF($G141-$AS141=1," día"," días")&amp;" de retraso","Cumplida"),IF(N($M141)&gt;=1,"Cumplida",IF(NOT(ISNUMBER($AS141)),"Sin fecha límite",IF($AS141&lt;FechaRef,"Vencida hace "&amp;(FechaRef-$AS141)&amp;IF(FechaRef-$AS141=1," día"," días"),IF($AS141=FechaRef,"Vence hoy",IF($AS141-FechaRef&lt;=DiasAlerta,"Vence en "&amp;($AS141-FechaRef)&amp;IF($AS141-FechaRef=1," día"," días"),"En plazo")))))))</f>
        <v/>
      </c>
      <c r="P141" s="62" t="n"/>
      <c r="Q141" s="58" t="n"/>
      <c r="R141" s="63">
        <f>IF(NOT((COUNTA($B141:$D141)+COUNTA($G141:$H141)+COUNTA($Q141))&gt;0),"",IF((IF($C141="","Falta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 OK","⚠ "&amp;LEFT(IF($C141="","Falta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",""),LEN(IF($C141="","Falta el nombre de la actividad"&amp;" · ","")&amp;IF(AND($V141="Sub",N($U141)=0),"Subactividad sin macroactividad arriba"&amp;" · ","")&amp;IF(AND($V141="Macro",$AR141=""),"Sin fecha de inicio"&amp;" · ","")&amp;IF(AND($V141="Macro",$AS141=""),"Sin fecha límite"&amp;" · ","")&amp;IF(AND(LEFT($C141,11)="[Jefatura] ",N($AQ141)=0),"No se encuentra en la hoja de la jefatura (elíjala de nuevo en la lista)"&amp;" · ","")&amp;IF(OR(AND($E141&lt;&gt;"",NOT(ISNUMBER($E141))),AND($F141&lt;&gt;"",NOT(ISNUMBER($F141))),AND($G141&lt;&gt;"",NOT(ISNUMBER($G141)))),"Fecha no válida"&amp;" · ","")&amp;IF(AND(ISNUMBER($AR141),ISNUMBER($AS141),$AR141&gt;$AS141),"Inicio posterior a fecha límite"&amp;" · ","")&amp;IF(AND($V141="Macro",$H141&lt;&gt;"",OR(NOT(ISNUMBER($H141)),$H141&lt;0,$H141&gt;1)),"Peso fuera de rango"&amp;" · ","")&amp;IF(AND($V141="Sub",$H141&lt;&gt;"",OR(NOT(ISNUMBER($H141)),$H141&lt;0,$H141&gt;1)),"% de la subactividad fuera de rango 0-100%"&amp;" · ","")&amp;IF(AND(N($W141)&gt;0,SUMIFS($H$5:$H$1000,$U$5:$U$1000,ROW(),$V$5:$V$1000,"Sub")&gt;1.0001),"Las subactividades suman más de 100%"&amp;" · ","")&amp;IF(AND(N($W141)&gt;0,OR(IF(ISNUMBER($I141),ROUND($I141,6)&lt;&gt;ROUND(MIN(1,SUMIFS($AD$5:$AD$1000,$U$5:$U$1000,ROW(),$V$5:$V$1000,"Sub")),6),FALSE),IF(ISNUMBER($J141),ROUND($J141,6)&lt;&gt;ROUND(MIN(1,SUMIFS($AE$5:$AE$1000,$U$5:$U$1000,ROW(),$V$5:$V$1000,"Sub")),6),FALSE),IF(ISNUMBER($K141),ROUND($K141,6)&lt;&gt;ROUND(MIN(1,SUMIFS($AF$5:$AF$1000,$U$5:$U$1000,ROW(),$V$5:$V$1000,"Sub")),6),FALSE),IF(ISNUMBER($L141),ROUND($L141,6)&lt;&gt;ROUND(MIN(1,SUMIFS($AG$5:$AG$1000,$U$5:$U$1000,ROW(),$V$5:$V$1000,"Sub")),6),FALSE))),"Con subactividades: no escriba en las semanas (se llenan solas)"&amp;" · ","")&amp;IF((COUNTIF($I141:$L141,"&gt;1")+COUNTIF($I141:$L141,"&lt;0")+SUMPRODUCT((LEN($I141:$L141)&gt;0)*NOT(ISNUMBER($I141:$L141))))&gt;0,"Avance fuera de rango 0-100%"&amp;" · ","")&amp;IF(OR(AND(ISNUMBER($J141),$J141&lt;N($I141)),AND(ISNUMBER($K141),$K141&lt;MAX($I141:$J141)),AND(ISNUMBER($L141),$L141&lt;MAX($I141:$K141))),"Avance semanal decreciente"&amp;" · ","")&amp;IF(AND(ISNUMBER($AS141),$AS141&lt;FechaRef,IF($V141="Sub",1,N($M141))&lt;1),"Vencida"&amp;" · ","")&amp;IF(AND(ObsObligatoria="Sí",ISNUMBER($AS141),$AS141&lt;FechaRef,IF($V141="Sub",1,N($M141))&lt;1,$Q141=""),"Vencida sin observación"&amp;" · ",""))-3)))</f>
        <v/>
      </c>
      <c r="S141" s="64">
        <f>IF(NOT((COUNTA($B141:$D141)+COUNTA($G141:$H141)+COUNTA($Q141))&gt;0),"",IF(AND($V141="Sub",N($U141)&gt;0),IF(ISNUMBER(INDEX($AR$5:$AR$1000,$U141-4)),DATE(YEAR(INDEX($AR$5:$AR$1000,$U141-4)),MONTH(INDEX($AR$5:$AR$1000,$U141-4)),1),IF(ISNUMBER(INDEX($AS$5:$AS$1000,$U141-4)),DATE(YEAR(INDEX($AS$5:$AS$1000,$U141-4)),MONTH(INDEX($AS$5:$AS$1000,$U141-4)),1),MesCiclo)),IF(ISNUMBER($AR141),DATE(YEAR($AR141),MONTH($AR141),1),IF(ISNUMBER($AS141),DATE(YEAR($AS141),MONTH($AS141),1),MesCiclo))))</f>
        <v/>
      </c>
      <c r="T141" s="62">
        <f>IF(OR($S141="",$S141&lt;&gt;MesCiclo,$V141&lt;&gt;"Macro"),"",COUNTIFS($S$5:$S141,MesCiclo,$V$5:$V141,"Macro"))</f>
        <v/>
      </c>
      <c r="U141" s="62">
        <f>IF($V141="","",IF($V141="Macro",ROW(),IFERROR(LOOKUP(2,1/($V$5:$V141="Macro"),ROW($V$5:$V141)),0)))</f>
        <v/>
      </c>
      <c r="V141" s="62">
        <f>IF(NOT((COUNTA($B141:$D141)+COUNTA($G141:$H141)+COUNTA($Q141))&gt;0),"",IF($B141="Subactividad","Sub","Macro"))</f>
        <v/>
      </c>
      <c r="W141" s="62">
        <f>IF($V141="Macro",COUNTIFS($U$5:$U$1000,ROW(),$V$5:$V$1000,"Sub"),"")</f>
        <v/>
      </c>
      <c r="X141" s="62">
        <f>IF($V141&lt;&gt;"Sub","",IF(AND(ISNUMBER($H141),N($H141)&gt;0),$H141,IFERROR(MAX(0,1-SUMIFS($H$5:$H$1000,$U$5:$U$1000,$U141,$V$5:$V$1000,"Sub"))/(COUNTIFS($U$5:$U$1000,$U141,$V$5:$V$1000,"Sub")-COUNTIFS($U$5:$U$1000,$U141,$V$5:$V$1000,"Sub",$H$5:$H$1000,"&gt;0")),0)))</f>
        <v/>
      </c>
      <c r="Y141" s="62">
        <f>IF($V141="","",IF($V141="Sub",N($X141)*IF(ISNUMBER($G141),1,MIN(1,MAX(0,IFERROR(LOOKUP(2,1/ISNUMBER($I141:$L141),$I141:$L141),0)))),IF(ISNUMBER($G141),1,IFERROR(LOOKUP(2,1/($I141:$L141&lt;&gt;""),$I141:$L141),0))))</f>
        <v/>
      </c>
      <c r="Z141" s="62">
        <f>IF($V141="","",IF(AND(ISNUMBER($G141),$G141&lt;=IF($S141=MesCiclo,InicioCiclo,$S141+MOD(2-WEEKDAY($S141),7))+6),1,IF(ISNUMBER($I141),$I141,0)))</f>
        <v/>
      </c>
      <c r="AA141" s="62">
        <f>IF($V141="","",IF(AND(ISNUMBER($G141),$G141&lt;=IF($S141=MesCiclo,InicioCiclo,$S141+MOD(2-WEEKDAY($S141),7))+13),1,IF(ISNUMBER($J141),$J141,$Z141)))</f>
        <v/>
      </c>
      <c r="AB141" s="62">
        <f>IF($V141="","",IF(AND(ISNUMBER($G141),$G141&lt;=IF($S141=MesCiclo,InicioCiclo,$S141+MOD(2-WEEKDAY($S141),7))+20),1,IF(ISNUMBER($K141),$K141,$AA141)))</f>
        <v/>
      </c>
      <c r="AC141" s="62">
        <f>IF($V141="","",IF(AND(ISNUMBER($G141),$G141&lt;=IF($S141=MesCiclo,InicioCiclo,$S141+MOD(2-WEEKDAY($S141),7))+27),1,IF(ISNUMBER($L141),$L141,$AB141)))</f>
        <v/>
      </c>
      <c r="AD141" s="62">
        <f>IF($V141&lt;&gt;"Sub","",N($X141)*IF(AND(ISNUMBER($G141),$G141&lt;=IF($S141=MesCiclo,InicioCiclo,$S141+MOD(2-WEEKDAY($S141),7))+6),1,MIN(1,MAX(0,IF(ISNUMBER(OFFSET($A$1,ROW()-1,8)),OFFSET($A$1,ROW()-1,8),0)))))</f>
        <v/>
      </c>
      <c r="AE141" s="62">
        <f>IF($V141&lt;&gt;"Sub","",N($X141)*IF(AND(ISNUMBER($G141),$G141&lt;=IF($S141=MesCiclo,InicioCiclo,$S141+MOD(2-WEEKDAY($S141),7))+13),1,MIN(1,MAX(0,IF(ISNUMBER(OFFSET($A$1,ROW()-1,9)),OFFSET($A$1,ROW()-1,9),IF(ISNUMBER(OFFSET($A$1,ROW()-1,8)),OFFSET($A$1,ROW()-1,8),0))))))</f>
        <v/>
      </c>
      <c r="AF141" s="62">
        <f>IF($V141&lt;&gt;"Sub","",N($X141)*IF(AND(ISNUMBER($G141),$G141&lt;=IF($S141=MesCiclo,InicioCiclo,$S141+MOD(2-WEEKDAY($S141),7))+20),1,MIN(1,MAX(0,IF(ISNUMBER(OFFSET($A$1,ROW()-1,10)),OFFSET($A$1,ROW()-1,10),IF(ISNUMBER(OFFSET($A$1,ROW()-1,9)),OFFSET($A$1,ROW()-1,9),IF(ISNUMBER(OFFSET($A$1,ROW()-1,8)),OFFSET($A$1,ROW()-1,8),0)))))))</f>
        <v/>
      </c>
      <c r="AG141" s="62">
        <f>IF($V141&lt;&gt;"Sub","",N($X141)*IF(AND(ISNUMBER($G141),$G141&lt;=IF($S141=MesCiclo,InicioCiclo,$S141+MOD(2-WEEKDAY($S141),7))+27),1,MIN(1,MAX(0,IF(ISNUMBER(OFFSET($A$1,ROW()-1,11)),OFFSET($A$1,ROW()-1,11),IF(ISNUMBER(OFFSET($A$1,ROW()-1,10)),OFFSET($A$1,ROW()-1,10),IF(ISNUMBER(OFFSET($A$1,ROW()-1,9)),OFFSET($A$1,ROW()-1,9),IF(ISNUMBER(OFFSET($A$1,ROW()-1,8)),OFFSET($A$1,ROW()-1,8),0))))))))</f>
        <v/>
      </c>
      <c r="AH141" s="62">
        <f>IF($V141="","",IF(AND(ISNUMBER($G141),$G141&lt;=IF($S141=MesCiclo,InicioCiclo,$S141+MOD(2-WEEKDAY($S141),7))+6),1,IF(N($W141)&gt;0,MIN(1,SUMIFS($AD$5:$AD$1000,$U$5:$U$1000,ROW(),$V$5:$V$1000,"Sub")),$Z141)))</f>
        <v/>
      </c>
      <c r="AI141" s="62">
        <f>IF($V141="","",IF(AND(ISNUMBER($G141),$G141&lt;=IF($S141=MesCiclo,InicioCiclo,$S141+MOD(2-WEEKDAY($S141),7))+13),1,IF(N($W141)&gt;0,MIN(1,SUMIFS($AE$5:$AE$1000,$U$5:$U$1000,ROW(),$V$5:$V$1000,"Sub")),$AA141)))</f>
        <v/>
      </c>
      <c r="AJ141" s="62">
        <f>IF($V141="","",IF(AND(ISNUMBER($G141),$G141&lt;=IF($S141=MesCiclo,InicioCiclo,$S141+MOD(2-WEEKDAY($S141),7))+20),1,IF(N($W141)&gt;0,MIN(1,SUMIFS($AF$5:$AF$1000,$U$5:$U$1000,ROW(),$V$5:$V$1000,"Sub")),$AB141)))</f>
        <v/>
      </c>
      <c r="AK141" s="62">
        <f>IF($V141="","",IF(AND(ISNUMBER($G141),$G141&lt;=IF($S141=MesCiclo,InicioCiclo,$S141+MOD(2-WEEKDAY($S141),7))+27),1,IF(N($W141)&gt;0,MIN(1,SUMIFS($AG$5:$AG$1000,$U$5:$U$1000,ROW(),$V$5:$V$1000,"Sub")),$AC141)))</f>
        <v/>
      </c>
      <c r="AL141" s="62">
        <f>IF($V141&lt;&gt;"Macro","",IF(COUNTIFS($S$5:$S$1000,$S141,$V$5:$V$1000,"Macro",$H$5:$H$1000,"&gt;0")=0,1/COUNTIFS($S$5:$S$1000,$S141,$V$5:$V$1000,"Macro"),IF(AND(ISNUMBER($H141),N($H141)&gt;0),$H141,SUMIFS($H$5:$H$1000,$S$5:$S$1000,$S141,$V$5:$V$1000,"Macro")/COUNTIFS($S$5:$S$1000,$S141,$V$5:$V$1000,"Macro",$H$5:$H$1000,"&gt;0"))/(COUNTIFS($S$5:$S$1000,$S141,$V$5:$V$1000,"Macro")*SUMIFS($H$5:$H$1000,$S$5:$S$1000,$S141,$V$5:$V$1000,"Macro")/COUNTIFS($S$5:$S$1000,$S141,$V$5:$V$1000,"Macro",$H$5:$H$1000,"&gt;0"))))</f>
        <v/>
      </c>
      <c r="AM141" s="62" t="n"/>
      <c r="AN141" s="62" t="n"/>
      <c r="AO141" s="62" t="n"/>
      <c r="AP141" s="62" t="n"/>
      <c r="AQ141" s="62">
        <f>IF(LEFT($C141,11)="[Jefatura] ",IFERROR(MATCH("Asistente Técnico de Riesgo|"&amp;MID($C141,12,500),rDname_ADM,0),0),"")</f>
        <v/>
      </c>
      <c r="AR141" s="62">
        <f>IF(N($AQ141)&gt;0,INDEX(rIni_ADM,$AQ141),IF(ISNUMBER($E141),$E141,""))</f>
        <v/>
      </c>
      <c r="AS141" s="62">
        <f>IF(N($AQ141)&gt;0,INDEX(rLim_ADM,$AQ141),IF(ISNUMBER($F141),$F141,""))</f>
        <v/>
      </c>
    </row>
    <row r="142">
      <c r="A142" s="56">
        <f>IF(NOT((COUNTA($B142:$D142)+COUNTA($G142:$H142)+COUNTA($Q142))&gt;0),"",IF($V142="Macro",COUNTIFS($V$5:$V142,"Macro",$S$5:$S142,$S142),IF(N($U142)=0,"?",COUNTIFS(INDEX($V$5:$V$1000,1):INDEX($V$5:$V$1000,$U142-4),"Macro",INDEX($S$5:$S$1000,1):INDEX($S$5:$S$1000,$U142-4),INDEX($S$5:$S$1000,$U142-4))&amp;"."&amp;COUNTIFS($U$5:$U142,$U142,$V$5:$V142,"Sub"))))</f>
        <v/>
      </c>
      <c r="B142" s="57" t="n"/>
      <c r="C142" s="58" t="n"/>
      <c r="D142" s="58" t="n"/>
      <c r="E142" s="59">
        <f>IF(N($AQ142)&gt;0,INDEX(rIni_ADM,$AQ142),"")</f>
        <v/>
      </c>
      <c r="F142" s="59">
        <f>IF(N($AQ142)&gt;0,INDEX(rLim_ADM,$AQ142),"")</f>
        <v/>
      </c>
      <c r="G142" s="59" t="n"/>
      <c r="H142" s="60" t="n"/>
      <c r="I142" s="60">
        <f>IF(N($W142)=0,"",IF(AND($S142=MesCiclo,1&gt;SemanaActual),"",MIN(1,SUMIFS(OFFSET($A$1,ROW(),29,1000-ROW(),1),OFFSET($A$1,ROW(),20,1000-ROW(),1),ROW(),OFFSET($A$1,ROW(),21,1000-ROW(),1),"Sub"))))</f>
        <v/>
      </c>
      <c r="J142" s="60">
        <f>IF(N($W142)=0,"",IF(AND($S142=MesCiclo,2&gt;SemanaActual),"",MIN(1,SUMIFS(OFFSET($A$1,ROW(),30,1000-ROW(),1),OFFSET($A$1,ROW(),20,1000-ROW(),1),ROW(),OFFSET($A$1,ROW(),21,1000-ROW(),1),"Sub"))))</f>
        <v/>
      </c>
      <c r="K142" s="60">
        <f>IF(N($W142)=0,"",IF(AND($S142=MesCiclo,3&gt;SemanaActual),"",MIN(1,SUMIFS(OFFSET($A$1,ROW(),31,1000-ROW(),1),OFFSET($A$1,ROW(),20,1000-ROW(),1),ROW(),OFFSET($A$1,ROW(),21,1000-ROW(),1),"Sub"))))</f>
        <v/>
      </c>
      <c r="L142" s="60">
        <f>IF(N($W142)=0,"",IF(AND($S142=MesCiclo,4&gt;SemanaActual),"",MIN(1,SUMIFS(OFFSET($A$1,ROW(),32,1000-ROW(),1),OFFSET($A$1,ROW(),20,1000-ROW(),1),ROW(),OFFSET($A$1,ROW(),21,1000-ROW(),1),"Sub"))))</f>
        <v/>
      </c>
      <c r="M142" s="61">
        <f>IF(OR(NOT((COUNTA($B142:$D142)+COUNTA($G142:$H142)+COUNTA($Q142))&gt;0),$V142="Sub"),"",IF(ISNUMBER($G142),1,IF(N($W142)&gt;0,MIN(1,SUMIFS($Y$5:$Y$1000,$U$5:$U$1000,ROW(),$V$5:$V$1000,"Sub")),$Y142)))</f>
        <v/>
      </c>
      <c r="N142" s="56">
        <f>IF(OR($M142="",$V142="Sub"),"",IF($M142&gt;=1,"Completado",IF($M142&gt;0,"En curso","Pendiente")))</f>
        <v/>
      </c>
      <c r="O142" s="56">
        <f>IF(OR(NOT((COUNTA($B142:$D142)+COUNTA($G142:$H142)+COUNTA($Q142))&gt;0),$V142="Sub"),"",IF(ISNUMBER($G142),IF(AND(ISNUMBER($AS142),$G142&gt;$AS142),"Cumplida con "&amp;($G142-$AS142)&amp;IF($G142-$AS142=1," día"," días")&amp;" de retraso","Cumplida"),IF(N($M142)&gt;=1,"Cumplida",IF(NOT(ISNUMBER($AS142)),"Sin fecha límite",IF($AS142&lt;FechaRef,"Vencida hace "&amp;(FechaRef-$AS142)&amp;IF(FechaRef-$AS142=1," día"," días"),IF($AS142=FechaRef,"Vence hoy",IF($AS142-FechaRef&lt;=DiasAlerta,"Vence en "&amp;($AS142-FechaRef)&amp;IF($AS142-FechaRef=1," día"," días"),"En plazo")))))))</f>
        <v/>
      </c>
      <c r="P142" s="62" t="n"/>
      <c r="Q142" s="58" t="n"/>
      <c r="R142" s="63">
        <f>IF(NOT((COUNTA($B142:$D142)+COUNTA($G142:$H142)+COUNTA($Q142))&gt;0),"",IF((IF($C142="","Falta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 OK","⚠ "&amp;LEFT(IF($C142="","Falta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",""),LEN(IF($C142="","Falta el nombre de la actividad"&amp;" · ","")&amp;IF(AND($V142="Sub",N($U142)=0),"Subactividad sin macroactividad arriba"&amp;" · ","")&amp;IF(AND($V142="Macro",$AR142=""),"Sin fecha de inicio"&amp;" · ","")&amp;IF(AND($V142="Macro",$AS142=""),"Sin fecha límite"&amp;" · ","")&amp;IF(AND(LEFT($C142,11)="[Jefatura] ",N($AQ142)=0),"No se encuentra en la hoja de la jefatura (elíjala de nuevo en la lista)"&amp;" · ","")&amp;IF(OR(AND($E142&lt;&gt;"",NOT(ISNUMBER($E142))),AND($F142&lt;&gt;"",NOT(ISNUMBER($F142))),AND($G142&lt;&gt;"",NOT(ISNUMBER($G142)))),"Fecha no válida"&amp;" · ","")&amp;IF(AND(ISNUMBER($AR142),ISNUMBER($AS142),$AR142&gt;$AS142),"Inicio posterior a fecha límite"&amp;" · ","")&amp;IF(AND($V142="Macro",$H142&lt;&gt;"",OR(NOT(ISNUMBER($H142)),$H142&lt;0,$H142&gt;1)),"Peso fuera de rango"&amp;" · ","")&amp;IF(AND($V142="Sub",$H142&lt;&gt;"",OR(NOT(ISNUMBER($H142)),$H142&lt;0,$H142&gt;1)),"% de la subactividad fuera de rango 0-100%"&amp;" · ","")&amp;IF(AND(N($W142)&gt;0,SUMIFS($H$5:$H$1000,$U$5:$U$1000,ROW(),$V$5:$V$1000,"Sub")&gt;1.0001),"Las subactividades suman más de 100%"&amp;" · ","")&amp;IF(AND(N($W142)&gt;0,OR(IF(ISNUMBER($I142),ROUND($I142,6)&lt;&gt;ROUND(MIN(1,SUMIFS($AD$5:$AD$1000,$U$5:$U$1000,ROW(),$V$5:$V$1000,"Sub")),6),FALSE),IF(ISNUMBER($J142),ROUND($J142,6)&lt;&gt;ROUND(MIN(1,SUMIFS($AE$5:$AE$1000,$U$5:$U$1000,ROW(),$V$5:$V$1000,"Sub")),6),FALSE),IF(ISNUMBER($K142),ROUND($K142,6)&lt;&gt;ROUND(MIN(1,SUMIFS($AF$5:$AF$1000,$U$5:$U$1000,ROW(),$V$5:$V$1000,"Sub")),6),FALSE),IF(ISNUMBER($L142),ROUND($L142,6)&lt;&gt;ROUND(MIN(1,SUMIFS($AG$5:$AG$1000,$U$5:$U$1000,ROW(),$V$5:$V$1000,"Sub")),6),FALSE))),"Con subactividades: no escriba en las semanas (se llenan solas)"&amp;" · ","")&amp;IF((COUNTIF($I142:$L142,"&gt;1")+COUNTIF($I142:$L142,"&lt;0")+SUMPRODUCT((LEN($I142:$L142)&gt;0)*NOT(ISNUMBER($I142:$L142))))&gt;0,"Avance fuera de rango 0-100%"&amp;" · ","")&amp;IF(OR(AND(ISNUMBER($J142),$J142&lt;N($I142)),AND(ISNUMBER($K142),$K142&lt;MAX($I142:$J142)),AND(ISNUMBER($L142),$L142&lt;MAX($I142:$K142))),"Avance semanal decreciente"&amp;" · ","")&amp;IF(AND(ISNUMBER($AS142),$AS142&lt;FechaRef,IF($V142="Sub",1,N($M142))&lt;1),"Vencida"&amp;" · ","")&amp;IF(AND(ObsObligatoria="Sí",ISNUMBER($AS142),$AS142&lt;FechaRef,IF($V142="Sub",1,N($M142))&lt;1,$Q142=""),"Vencida sin observación"&amp;" · ",""))-3)))</f>
        <v/>
      </c>
      <c r="S142" s="64">
        <f>IF(NOT((COUNTA($B142:$D142)+COUNTA($G142:$H142)+COUNTA($Q142))&gt;0),"",IF(AND($V142="Sub",N($U142)&gt;0),IF(ISNUMBER(INDEX($AR$5:$AR$1000,$U142-4)),DATE(YEAR(INDEX($AR$5:$AR$1000,$U142-4)),MONTH(INDEX($AR$5:$AR$1000,$U142-4)),1),IF(ISNUMBER(INDEX($AS$5:$AS$1000,$U142-4)),DATE(YEAR(INDEX($AS$5:$AS$1000,$U142-4)),MONTH(INDEX($AS$5:$AS$1000,$U142-4)),1),MesCiclo)),IF(ISNUMBER($AR142),DATE(YEAR($AR142),MONTH($AR142),1),IF(ISNUMBER($AS142),DATE(YEAR($AS142),MONTH($AS142),1),MesCiclo))))</f>
        <v/>
      </c>
      <c r="T142" s="62">
        <f>IF(OR($S142="",$S142&lt;&gt;MesCiclo,$V142&lt;&gt;"Macro"),"",COUNTIFS($S$5:$S142,MesCiclo,$V$5:$V142,"Macro"))</f>
        <v/>
      </c>
      <c r="U142" s="62">
        <f>IF($V142="","",IF($V142="Macro",ROW(),IFERROR(LOOKUP(2,1/($V$5:$V142="Macro"),ROW($V$5:$V142)),0)))</f>
        <v/>
      </c>
      <c r="V142" s="62">
        <f>IF(NOT((COUNTA($B142:$D142)+COUNTA($G142:$H142)+COUNTA($Q142))&gt;0),"",IF($B142="Subactividad","Sub","Macro"))</f>
        <v/>
      </c>
      <c r="W142" s="62">
        <f>IF($V142="Macro",COUNTIFS($U$5:$U$1000,ROW(),$V$5:$V$1000,"Sub"),"")</f>
        <v/>
      </c>
      <c r="X142" s="62">
        <f>IF($V142&lt;&gt;"Sub","",IF(AND(ISNUMBER($H142),N($H142)&gt;0),$H142,IFERROR(MAX(0,1-SUMIFS($H$5:$H$1000,$U$5:$U$1000,$U142,$V$5:$V$1000,"Sub"))/(COUNTIFS($U$5:$U$1000,$U142,$V$5:$V$1000,"Sub")-COUNTIFS($U$5:$U$1000,$U142,$V$5:$V$1000,"Sub",$H$5:$H$1000,"&gt;0")),0)))</f>
        <v/>
      </c>
      <c r="Y142" s="62">
        <f>IF($V142="","",IF($V142="Sub",N($X142)*IF(ISNUMBER($G142),1,MIN(1,MAX(0,IFERROR(LOOKUP(2,1/ISNUMBER($I142:$L142),$I142:$L142),0)))),IF(ISNUMBER($G142),1,IFERROR(LOOKUP(2,1/($I142:$L142&lt;&gt;""),$I142:$L142),0))))</f>
        <v/>
      </c>
      <c r="Z142" s="62">
        <f>IF($V142="","",IF(AND(ISNUMBER($G142),$G142&lt;=IF($S142=MesCiclo,InicioCiclo,$S142+MOD(2-WEEKDAY($S142),7))+6),1,IF(ISNUMBER($I142),$I142,0)))</f>
        <v/>
      </c>
      <c r="AA142" s="62">
        <f>IF($V142="","",IF(AND(ISNUMBER($G142),$G142&lt;=IF($S142=MesCiclo,InicioCiclo,$S142+MOD(2-WEEKDAY($S142),7))+13),1,IF(ISNUMBER($J142),$J142,$Z142)))</f>
        <v/>
      </c>
      <c r="AB142" s="62">
        <f>IF($V142="","",IF(AND(ISNUMBER($G142),$G142&lt;=IF($S142=MesCiclo,InicioCiclo,$S142+MOD(2-WEEKDAY($S142),7))+20),1,IF(ISNUMBER($K142),$K142,$AA142)))</f>
        <v/>
      </c>
      <c r="AC142" s="62">
        <f>IF($V142="","",IF(AND(ISNUMBER($G142),$G142&lt;=IF($S142=MesCiclo,InicioCiclo,$S142+MOD(2-WEEKDAY($S142),7))+27),1,IF(ISNUMBER($L142),$L142,$AB142)))</f>
        <v/>
      </c>
      <c r="AD142" s="62">
        <f>IF($V142&lt;&gt;"Sub","",N($X142)*IF(AND(ISNUMBER($G142),$G142&lt;=IF($S142=MesCiclo,InicioCiclo,$S142+MOD(2-WEEKDAY($S142),7))+6),1,MIN(1,MAX(0,IF(ISNUMBER(OFFSET($A$1,ROW()-1,8)),OFFSET($A$1,ROW()-1,8),0)))))</f>
        <v/>
      </c>
      <c r="AE142" s="62">
        <f>IF($V142&lt;&gt;"Sub","",N($X142)*IF(AND(ISNUMBER($G142),$G142&lt;=IF($S142=MesCiclo,InicioCiclo,$S142+MOD(2-WEEKDAY($S142),7))+13),1,MIN(1,MAX(0,IF(ISNUMBER(OFFSET($A$1,ROW()-1,9)),OFFSET($A$1,ROW()-1,9),IF(ISNUMBER(OFFSET($A$1,ROW()-1,8)),OFFSET($A$1,ROW()-1,8),0))))))</f>
        <v/>
      </c>
      <c r="AF142" s="62">
        <f>IF($V142&lt;&gt;"Sub","",N($X142)*IF(AND(ISNUMBER($G142),$G142&lt;=IF($S142=MesCiclo,InicioCiclo,$S142+MOD(2-WEEKDAY($S142),7))+20),1,MIN(1,MAX(0,IF(ISNUMBER(OFFSET($A$1,ROW()-1,10)),OFFSET($A$1,ROW()-1,10),IF(ISNUMBER(OFFSET($A$1,ROW()-1,9)),OFFSET($A$1,ROW()-1,9),IF(ISNUMBER(OFFSET($A$1,ROW()-1,8)),OFFSET($A$1,ROW()-1,8),0)))))))</f>
        <v/>
      </c>
      <c r="AG142" s="62">
        <f>IF($V142&lt;&gt;"Sub","",N($X142)*IF(AND(ISNUMBER($G142),$G142&lt;=IF($S142=MesCiclo,InicioCiclo,$S142+MOD(2-WEEKDAY($S142),7))+27),1,MIN(1,MAX(0,IF(ISNUMBER(OFFSET($A$1,ROW()-1,11)),OFFSET($A$1,ROW()-1,11),IF(ISNUMBER(OFFSET($A$1,ROW()-1,10)),OFFSET($A$1,ROW()-1,10),IF(ISNUMBER(OFFSET($A$1,ROW()-1,9)),OFFSET($A$1,ROW()-1,9),IF(ISNUMBER(OFFSET($A$1,ROW()-1,8)),OFFSET($A$1,ROW()-1,8),0))))))))</f>
        <v/>
      </c>
      <c r="AH142" s="62">
        <f>IF($V142="","",IF(AND(ISNUMBER($G142),$G142&lt;=IF($S142=MesCiclo,InicioCiclo,$S142+MOD(2-WEEKDAY($S142),7))+6),1,IF(N($W142)&gt;0,MIN(1,SUMIFS($AD$5:$AD$1000,$U$5:$U$1000,ROW(),$V$5:$V$1000,"Sub")),$Z142)))</f>
        <v/>
      </c>
      <c r="AI142" s="62">
        <f>IF($V142="","",IF(AND(ISNUMBER($G142),$G142&lt;=IF($S142=MesCiclo,InicioCiclo,$S142+MOD(2-WEEKDAY($S142),7))+13),1,IF(N($W142)&gt;0,MIN(1,SUMIFS($AE$5:$AE$1000,$U$5:$U$1000,ROW(),$V$5:$V$1000,"Sub")),$AA142)))</f>
        <v/>
      </c>
      <c r="AJ142" s="62">
        <f>IF($V142="","",IF(AND(ISNUMBER($G142),$G142&lt;=IF($S142=MesCiclo,InicioCiclo,$S142+MOD(2-WEEKDAY($S142),7))+20),1,IF(N($W142)&gt;0,MIN(1,SUMIFS($AF$5:$AF$1000,$U$5:$U$1000,ROW(),$V$5:$V$1000,"Sub")),$AB142)))</f>
        <v/>
      </c>
      <c r="AK142" s="62">
        <f>IF($V142="","",IF(AND(ISNUMBER($G142),$G142&lt;=IF($S142=MesCiclo,InicioCiclo,$S142+MOD(2-WEEKDAY($S142),7))+27),1,IF(N($W142)&gt;0,MIN(1,SUMIFS($AG$5:$AG$1000,$U$5:$U$1000,ROW(),$V$5:$V$1000,"Sub")),$AC142)))</f>
        <v/>
      </c>
      <c r="AL142" s="62">
        <f>IF($V142&lt;&gt;"Macro","",IF(COUNTIFS($S$5:$S$1000,$S142,$V$5:$V$1000,"Macro",$H$5:$H$1000,"&gt;0")=0,1/COUNTIFS($S$5:$S$1000,$S142,$V$5:$V$1000,"Macro"),IF(AND(ISNUMBER($H142),N($H142)&gt;0),$H142,SUMIFS($H$5:$H$1000,$S$5:$S$1000,$S142,$V$5:$V$1000,"Macro")/COUNTIFS($S$5:$S$1000,$S142,$V$5:$V$1000,"Macro",$H$5:$H$1000,"&gt;0"))/(COUNTIFS($S$5:$S$1000,$S142,$V$5:$V$1000,"Macro")*SUMIFS($H$5:$H$1000,$S$5:$S$1000,$S142,$V$5:$V$1000,"Macro")/COUNTIFS($S$5:$S$1000,$S142,$V$5:$V$1000,"Macro",$H$5:$H$1000,"&gt;0"))))</f>
        <v/>
      </c>
      <c r="AM142" s="62" t="n"/>
      <c r="AN142" s="62" t="n"/>
      <c r="AO142" s="62" t="n"/>
      <c r="AP142" s="62" t="n"/>
      <c r="AQ142" s="62">
        <f>IF(LEFT($C142,11)="[Jefatura] ",IFERROR(MATCH("Asistente Técnico de Riesgo|"&amp;MID($C142,12,500),rDname_ADM,0),0),"")</f>
        <v/>
      </c>
      <c r="AR142" s="62">
        <f>IF(N($AQ142)&gt;0,INDEX(rIni_ADM,$AQ142),IF(ISNUMBER($E142),$E142,""))</f>
        <v/>
      </c>
      <c r="AS142" s="62">
        <f>IF(N($AQ142)&gt;0,INDEX(rLim_ADM,$AQ142),IF(ISNUMBER($F142),$F142,""))</f>
        <v/>
      </c>
    </row>
    <row r="143">
      <c r="A143" s="56">
        <f>IF(NOT((COUNTA($B143:$D143)+COUNTA($G143:$H143)+COUNTA($Q143))&gt;0),"",IF($V143="Macro",COUNTIFS($V$5:$V143,"Macro",$S$5:$S143,$S143),IF(N($U143)=0,"?",COUNTIFS(INDEX($V$5:$V$1000,1):INDEX($V$5:$V$1000,$U143-4),"Macro",INDEX($S$5:$S$1000,1):INDEX($S$5:$S$1000,$U143-4),INDEX($S$5:$S$1000,$U143-4))&amp;"."&amp;COUNTIFS($U$5:$U143,$U143,$V$5:$V143,"Sub"))))</f>
        <v/>
      </c>
      <c r="B143" s="57" t="n"/>
      <c r="C143" s="58" t="n"/>
      <c r="D143" s="58" t="n"/>
      <c r="E143" s="59">
        <f>IF(N($AQ143)&gt;0,INDEX(rIni_ADM,$AQ143),"")</f>
        <v/>
      </c>
      <c r="F143" s="59">
        <f>IF(N($AQ143)&gt;0,INDEX(rLim_ADM,$AQ143),"")</f>
        <v/>
      </c>
      <c r="G143" s="59" t="n"/>
      <c r="H143" s="60" t="n"/>
      <c r="I143" s="60">
        <f>IF(N($W143)=0,"",IF(AND($S143=MesCiclo,1&gt;SemanaActual),"",MIN(1,SUMIFS(OFFSET($A$1,ROW(),29,1000-ROW(),1),OFFSET($A$1,ROW(),20,1000-ROW(),1),ROW(),OFFSET($A$1,ROW(),21,1000-ROW(),1),"Sub"))))</f>
        <v/>
      </c>
      <c r="J143" s="60">
        <f>IF(N($W143)=0,"",IF(AND($S143=MesCiclo,2&gt;SemanaActual),"",MIN(1,SUMIFS(OFFSET($A$1,ROW(),30,1000-ROW(),1),OFFSET($A$1,ROW(),20,1000-ROW(),1),ROW(),OFFSET($A$1,ROW(),21,1000-ROW(),1),"Sub"))))</f>
        <v/>
      </c>
      <c r="K143" s="60">
        <f>IF(N($W143)=0,"",IF(AND($S143=MesCiclo,3&gt;SemanaActual),"",MIN(1,SUMIFS(OFFSET($A$1,ROW(),31,1000-ROW(),1),OFFSET($A$1,ROW(),20,1000-ROW(),1),ROW(),OFFSET($A$1,ROW(),21,1000-ROW(),1),"Sub"))))</f>
        <v/>
      </c>
      <c r="L143" s="60">
        <f>IF(N($W143)=0,"",IF(AND($S143=MesCiclo,4&gt;SemanaActual),"",MIN(1,SUMIFS(OFFSET($A$1,ROW(),32,1000-ROW(),1),OFFSET($A$1,ROW(),20,1000-ROW(),1),ROW(),OFFSET($A$1,ROW(),21,1000-ROW(),1),"Sub"))))</f>
        <v/>
      </c>
      <c r="M143" s="61">
        <f>IF(OR(NOT((COUNTA($B143:$D143)+COUNTA($G143:$H143)+COUNTA($Q143))&gt;0),$V143="Sub"),"",IF(ISNUMBER($G143),1,IF(N($W143)&gt;0,MIN(1,SUMIFS($Y$5:$Y$1000,$U$5:$U$1000,ROW(),$V$5:$V$1000,"Sub")),$Y143)))</f>
        <v/>
      </c>
      <c r="N143" s="56">
        <f>IF(OR($M143="",$V143="Sub"),"",IF($M143&gt;=1,"Completado",IF($M143&gt;0,"En curso","Pendiente")))</f>
        <v/>
      </c>
      <c r="O143" s="56">
        <f>IF(OR(NOT((COUNTA($B143:$D143)+COUNTA($G143:$H143)+COUNTA($Q143))&gt;0),$V143="Sub"),"",IF(ISNUMBER($G143),IF(AND(ISNUMBER($AS143),$G143&gt;$AS143),"Cumplida con "&amp;($G143-$AS143)&amp;IF($G143-$AS143=1," día"," días")&amp;" de retraso","Cumplida"),IF(N($M143)&gt;=1,"Cumplida",IF(NOT(ISNUMBER($AS143)),"Sin fecha límite",IF($AS143&lt;FechaRef,"Vencida hace "&amp;(FechaRef-$AS143)&amp;IF(FechaRef-$AS143=1," día"," días"),IF($AS143=FechaRef,"Vence hoy",IF($AS143-FechaRef&lt;=DiasAlerta,"Vence en "&amp;($AS143-FechaRef)&amp;IF($AS143-FechaRef=1," día"," días"),"En plazo")))))))</f>
        <v/>
      </c>
      <c r="P143" s="62" t="n"/>
      <c r="Q143" s="58" t="n"/>
      <c r="R143" s="63">
        <f>IF(NOT((COUNTA($B143:$D143)+COUNTA($G143:$H143)+COUNTA($Q143))&gt;0),"",IF((IF($C143="","Falta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 OK","⚠ "&amp;LEFT(IF($C143="","Falta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",""),LEN(IF($C143="","Falta el nombre de la actividad"&amp;" · ","")&amp;IF(AND($V143="Sub",N($U143)=0),"Subactividad sin macroactividad arriba"&amp;" · ","")&amp;IF(AND($V143="Macro",$AR143=""),"Sin fecha de inicio"&amp;" · ","")&amp;IF(AND($V143="Macro",$AS143=""),"Sin fecha límite"&amp;" · ","")&amp;IF(AND(LEFT($C143,11)="[Jefatura] ",N($AQ143)=0),"No se encuentra en la hoja de la jefatura (elíjala de nuevo en la lista)"&amp;" · ","")&amp;IF(OR(AND($E143&lt;&gt;"",NOT(ISNUMBER($E143))),AND($F143&lt;&gt;"",NOT(ISNUMBER($F143))),AND($G143&lt;&gt;"",NOT(ISNUMBER($G143)))),"Fecha no válida"&amp;" · ","")&amp;IF(AND(ISNUMBER($AR143),ISNUMBER($AS143),$AR143&gt;$AS143),"Inicio posterior a fecha límite"&amp;" · ","")&amp;IF(AND($V143="Macro",$H143&lt;&gt;"",OR(NOT(ISNUMBER($H143)),$H143&lt;0,$H143&gt;1)),"Peso fuera de rango"&amp;" · ","")&amp;IF(AND($V143="Sub",$H143&lt;&gt;"",OR(NOT(ISNUMBER($H143)),$H143&lt;0,$H143&gt;1)),"% de la subactividad fuera de rango 0-100%"&amp;" · ","")&amp;IF(AND(N($W143)&gt;0,SUMIFS($H$5:$H$1000,$U$5:$U$1000,ROW(),$V$5:$V$1000,"Sub")&gt;1.0001),"Las subactividades suman más de 100%"&amp;" · ","")&amp;IF(AND(N($W143)&gt;0,OR(IF(ISNUMBER($I143),ROUND($I143,6)&lt;&gt;ROUND(MIN(1,SUMIFS($AD$5:$AD$1000,$U$5:$U$1000,ROW(),$V$5:$V$1000,"Sub")),6),FALSE),IF(ISNUMBER($J143),ROUND($J143,6)&lt;&gt;ROUND(MIN(1,SUMIFS($AE$5:$AE$1000,$U$5:$U$1000,ROW(),$V$5:$V$1000,"Sub")),6),FALSE),IF(ISNUMBER($K143),ROUND($K143,6)&lt;&gt;ROUND(MIN(1,SUMIFS($AF$5:$AF$1000,$U$5:$U$1000,ROW(),$V$5:$V$1000,"Sub")),6),FALSE),IF(ISNUMBER($L143),ROUND($L143,6)&lt;&gt;ROUND(MIN(1,SUMIFS($AG$5:$AG$1000,$U$5:$U$1000,ROW(),$V$5:$V$1000,"Sub")),6),FALSE))),"Con subactividades: no escriba en las semanas (se llenan solas)"&amp;" · ","")&amp;IF((COUNTIF($I143:$L143,"&gt;1")+COUNTIF($I143:$L143,"&lt;0")+SUMPRODUCT((LEN($I143:$L143)&gt;0)*NOT(ISNUMBER($I143:$L143))))&gt;0,"Avance fuera de rango 0-100%"&amp;" · ","")&amp;IF(OR(AND(ISNUMBER($J143),$J143&lt;N($I143)),AND(ISNUMBER($K143),$K143&lt;MAX($I143:$J143)),AND(ISNUMBER($L143),$L143&lt;MAX($I143:$K143))),"Avance semanal decreciente"&amp;" · ","")&amp;IF(AND(ISNUMBER($AS143),$AS143&lt;FechaRef,IF($V143="Sub",1,N($M143))&lt;1),"Vencida"&amp;" · ","")&amp;IF(AND(ObsObligatoria="Sí",ISNUMBER($AS143),$AS143&lt;FechaRef,IF($V143="Sub",1,N($M143))&lt;1,$Q143=""),"Vencida sin observación"&amp;" · ",""))-3)))</f>
        <v/>
      </c>
      <c r="S143" s="64">
        <f>IF(NOT((COUNTA($B143:$D143)+COUNTA($G143:$H143)+COUNTA($Q143))&gt;0),"",IF(AND($V143="Sub",N($U143)&gt;0),IF(ISNUMBER(INDEX($AR$5:$AR$1000,$U143-4)),DATE(YEAR(INDEX($AR$5:$AR$1000,$U143-4)),MONTH(INDEX($AR$5:$AR$1000,$U143-4)),1),IF(ISNUMBER(INDEX($AS$5:$AS$1000,$U143-4)),DATE(YEAR(INDEX($AS$5:$AS$1000,$U143-4)),MONTH(INDEX($AS$5:$AS$1000,$U143-4)),1),MesCiclo)),IF(ISNUMBER($AR143),DATE(YEAR($AR143),MONTH($AR143),1),IF(ISNUMBER($AS143),DATE(YEAR($AS143),MONTH($AS143),1),MesCiclo))))</f>
        <v/>
      </c>
      <c r="T143" s="62">
        <f>IF(OR($S143="",$S143&lt;&gt;MesCiclo,$V143&lt;&gt;"Macro"),"",COUNTIFS($S$5:$S143,MesCiclo,$V$5:$V143,"Macro"))</f>
        <v/>
      </c>
      <c r="U143" s="62">
        <f>IF($V143="","",IF($V143="Macro",ROW(),IFERROR(LOOKUP(2,1/($V$5:$V143="Macro"),ROW($V$5:$V143)),0)))</f>
        <v/>
      </c>
      <c r="V143" s="62">
        <f>IF(NOT((COUNTA($B143:$D143)+COUNTA($G143:$H143)+COUNTA($Q143))&gt;0),"",IF($B143="Subactividad","Sub","Macro"))</f>
        <v/>
      </c>
      <c r="W143" s="62">
        <f>IF($V143="Macro",COUNTIFS($U$5:$U$1000,ROW(),$V$5:$V$1000,"Sub"),"")</f>
        <v/>
      </c>
      <c r="X143" s="62">
        <f>IF($V143&lt;&gt;"Sub","",IF(AND(ISNUMBER($H143),N($H143)&gt;0),$H143,IFERROR(MAX(0,1-SUMIFS($H$5:$H$1000,$U$5:$U$1000,$U143,$V$5:$V$1000,"Sub"))/(COUNTIFS($U$5:$U$1000,$U143,$V$5:$V$1000,"Sub")-COUNTIFS($U$5:$U$1000,$U143,$V$5:$V$1000,"Sub",$H$5:$H$1000,"&gt;0")),0)))</f>
        <v/>
      </c>
      <c r="Y143" s="62">
        <f>IF($V143="","",IF($V143="Sub",N($X143)*IF(ISNUMBER($G143),1,MIN(1,MAX(0,IFERROR(LOOKUP(2,1/ISNUMBER($I143:$L143),$I143:$L143),0)))),IF(ISNUMBER($G143),1,IFERROR(LOOKUP(2,1/($I143:$L143&lt;&gt;""),$I143:$L143),0))))</f>
        <v/>
      </c>
      <c r="Z143" s="62">
        <f>IF($V143="","",IF(AND(ISNUMBER($G143),$G143&lt;=IF($S143=MesCiclo,InicioCiclo,$S143+MOD(2-WEEKDAY($S143),7))+6),1,IF(ISNUMBER($I143),$I143,0)))</f>
        <v/>
      </c>
      <c r="AA143" s="62">
        <f>IF($V143="","",IF(AND(ISNUMBER($G143),$G143&lt;=IF($S143=MesCiclo,InicioCiclo,$S143+MOD(2-WEEKDAY($S143),7))+13),1,IF(ISNUMBER($J143),$J143,$Z143)))</f>
        <v/>
      </c>
      <c r="AB143" s="62">
        <f>IF($V143="","",IF(AND(ISNUMBER($G143),$G143&lt;=IF($S143=MesCiclo,InicioCiclo,$S143+MOD(2-WEEKDAY($S143),7))+20),1,IF(ISNUMBER($K143),$K143,$AA143)))</f>
        <v/>
      </c>
      <c r="AC143" s="62">
        <f>IF($V143="","",IF(AND(ISNUMBER($G143),$G143&lt;=IF($S143=MesCiclo,InicioCiclo,$S143+MOD(2-WEEKDAY($S143),7))+27),1,IF(ISNUMBER($L143),$L143,$AB143)))</f>
        <v/>
      </c>
      <c r="AD143" s="62">
        <f>IF($V143&lt;&gt;"Sub","",N($X143)*IF(AND(ISNUMBER($G143),$G143&lt;=IF($S143=MesCiclo,InicioCiclo,$S143+MOD(2-WEEKDAY($S143),7))+6),1,MIN(1,MAX(0,IF(ISNUMBER(OFFSET($A$1,ROW()-1,8)),OFFSET($A$1,ROW()-1,8),0)))))</f>
        <v/>
      </c>
      <c r="AE143" s="62">
        <f>IF($V143&lt;&gt;"Sub","",N($X143)*IF(AND(ISNUMBER($G143),$G143&lt;=IF($S143=MesCiclo,InicioCiclo,$S143+MOD(2-WEEKDAY($S143),7))+13),1,MIN(1,MAX(0,IF(ISNUMBER(OFFSET($A$1,ROW()-1,9)),OFFSET($A$1,ROW()-1,9),IF(ISNUMBER(OFFSET($A$1,ROW()-1,8)),OFFSET($A$1,ROW()-1,8),0))))))</f>
        <v/>
      </c>
      <c r="AF143" s="62">
        <f>IF($V143&lt;&gt;"Sub","",N($X143)*IF(AND(ISNUMBER($G143),$G143&lt;=IF($S143=MesCiclo,InicioCiclo,$S143+MOD(2-WEEKDAY($S143),7))+20),1,MIN(1,MAX(0,IF(ISNUMBER(OFFSET($A$1,ROW()-1,10)),OFFSET($A$1,ROW()-1,10),IF(ISNUMBER(OFFSET($A$1,ROW()-1,9)),OFFSET($A$1,ROW()-1,9),IF(ISNUMBER(OFFSET($A$1,ROW()-1,8)),OFFSET($A$1,ROW()-1,8),0)))))))</f>
        <v/>
      </c>
      <c r="AG143" s="62">
        <f>IF($V143&lt;&gt;"Sub","",N($X143)*IF(AND(ISNUMBER($G143),$G143&lt;=IF($S143=MesCiclo,InicioCiclo,$S143+MOD(2-WEEKDAY($S143),7))+27),1,MIN(1,MAX(0,IF(ISNUMBER(OFFSET($A$1,ROW()-1,11)),OFFSET($A$1,ROW()-1,11),IF(ISNUMBER(OFFSET($A$1,ROW()-1,10)),OFFSET($A$1,ROW()-1,10),IF(ISNUMBER(OFFSET($A$1,ROW()-1,9)),OFFSET($A$1,ROW()-1,9),IF(ISNUMBER(OFFSET($A$1,ROW()-1,8)),OFFSET($A$1,ROW()-1,8),0))))))))</f>
        <v/>
      </c>
      <c r="AH143" s="62">
        <f>IF($V143="","",IF(AND(ISNUMBER($G143),$G143&lt;=IF($S143=MesCiclo,InicioCiclo,$S143+MOD(2-WEEKDAY($S143),7))+6),1,IF(N($W143)&gt;0,MIN(1,SUMIFS($AD$5:$AD$1000,$U$5:$U$1000,ROW(),$V$5:$V$1000,"Sub")),$Z143)))</f>
        <v/>
      </c>
      <c r="AI143" s="62">
        <f>IF($V143="","",IF(AND(ISNUMBER($G143),$G143&lt;=IF($S143=MesCiclo,InicioCiclo,$S143+MOD(2-WEEKDAY($S143),7))+13),1,IF(N($W143)&gt;0,MIN(1,SUMIFS($AE$5:$AE$1000,$U$5:$U$1000,ROW(),$V$5:$V$1000,"Sub")),$AA143)))</f>
        <v/>
      </c>
      <c r="AJ143" s="62">
        <f>IF($V143="","",IF(AND(ISNUMBER($G143),$G143&lt;=IF($S143=MesCiclo,InicioCiclo,$S143+MOD(2-WEEKDAY($S143),7))+20),1,IF(N($W143)&gt;0,MIN(1,SUMIFS($AF$5:$AF$1000,$U$5:$U$1000,ROW(),$V$5:$V$1000,"Sub")),$AB143)))</f>
        <v/>
      </c>
      <c r="AK143" s="62">
        <f>IF($V143="","",IF(AND(ISNUMBER($G143),$G143&lt;=IF($S143=MesCiclo,InicioCiclo,$S143+MOD(2-WEEKDAY($S143),7))+27),1,IF(N($W143)&gt;0,MIN(1,SUMIFS($AG$5:$AG$1000,$U$5:$U$1000,ROW(),$V$5:$V$1000,"Sub")),$AC143)))</f>
        <v/>
      </c>
      <c r="AL143" s="62">
        <f>IF($V143&lt;&gt;"Macro","",IF(COUNTIFS($S$5:$S$1000,$S143,$V$5:$V$1000,"Macro",$H$5:$H$1000,"&gt;0")=0,1/COUNTIFS($S$5:$S$1000,$S143,$V$5:$V$1000,"Macro"),IF(AND(ISNUMBER($H143),N($H143)&gt;0),$H143,SUMIFS($H$5:$H$1000,$S$5:$S$1000,$S143,$V$5:$V$1000,"Macro")/COUNTIFS($S$5:$S$1000,$S143,$V$5:$V$1000,"Macro",$H$5:$H$1000,"&gt;0"))/(COUNTIFS($S$5:$S$1000,$S143,$V$5:$V$1000,"Macro")*SUMIFS($H$5:$H$1000,$S$5:$S$1000,$S143,$V$5:$V$1000,"Macro")/COUNTIFS($S$5:$S$1000,$S143,$V$5:$V$1000,"Macro",$H$5:$H$1000,"&gt;0"))))</f>
        <v/>
      </c>
      <c r="AM143" s="62" t="n"/>
      <c r="AN143" s="62" t="n"/>
      <c r="AO143" s="62" t="n"/>
      <c r="AP143" s="62" t="n"/>
      <c r="AQ143" s="62">
        <f>IF(LEFT($C143,11)="[Jefatura] ",IFERROR(MATCH("Asistente Técnico de Riesgo|"&amp;MID($C143,12,500),rDname_ADM,0),0),"")</f>
        <v/>
      </c>
      <c r="AR143" s="62">
        <f>IF(N($AQ143)&gt;0,INDEX(rIni_ADM,$AQ143),IF(ISNUMBER($E143),$E143,""))</f>
        <v/>
      </c>
      <c r="AS143" s="62">
        <f>IF(N($AQ143)&gt;0,INDEX(rLim_ADM,$AQ143),IF(ISNUMBER($F143),$F143,""))</f>
        <v/>
      </c>
    </row>
    <row r="144">
      <c r="A144" s="56">
        <f>IF(NOT((COUNTA($B144:$D144)+COUNTA($G144:$H144)+COUNTA($Q144))&gt;0),"",IF($V144="Macro",COUNTIFS($V$5:$V144,"Macro",$S$5:$S144,$S144),IF(N($U144)=0,"?",COUNTIFS(INDEX($V$5:$V$1000,1):INDEX($V$5:$V$1000,$U144-4),"Macro",INDEX($S$5:$S$1000,1):INDEX($S$5:$S$1000,$U144-4),INDEX($S$5:$S$1000,$U144-4))&amp;"."&amp;COUNTIFS($U$5:$U144,$U144,$V$5:$V144,"Sub"))))</f>
        <v/>
      </c>
      <c r="B144" s="57" t="n"/>
      <c r="C144" s="58" t="n"/>
      <c r="D144" s="58" t="n"/>
      <c r="E144" s="59">
        <f>IF(N($AQ144)&gt;0,INDEX(rIni_ADM,$AQ144),"")</f>
        <v/>
      </c>
      <c r="F144" s="59">
        <f>IF(N($AQ144)&gt;0,INDEX(rLim_ADM,$AQ144),"")</f>
        <v/>
      </c>
      <c r="G144" s="59" t="n"/>
      <c r="H144" s="60" t="n"/>
      <c r="I144" s="60">
        <f>IF(N($W144)=0,"",IF(AND($S144=MesCiclo,1&gt;SemanaActual),"",MIN(1,SUMIFS(OFFSET($A$1,ROW(),29,1000-ROW(),1),OFFSET($A$1,ROW(),20,1000-ROW(),1),ROW(),OFFSET($A$1,ROW(),21,1000-ROW(),1),"Sub"))))</f>
        <v/>
      </c>
      <c r="J144" s="60">
        <f>IF(N($W144)=0,"",IF(AND($S144=MesCiclo,2&gt;SemanaActual),"",MIN(1,SUMIFS(OFFSET($A$1,ROW(),30,1000-ROW(),1),OFFSET($A$1,ROW(),20,1000-ROW(),1),ROW(),OFFSET($A$1,ROW(),21,1000-ROW(),1),"Sub"))))</f>
        <v/>
      </c>
      <c r="K144" s="60">
        <f>IF(N($W144)=0,"",IF(AND($S144=MesCiclo,3&gt;SemanaActual),"",MIN(1,SUMIFS(OFFSET($A$1,ROW(),31,1000-ROW(),1),OFFSET($A$1,ROW(),20,1000-ROW(),1),ROW(),OFFSET($A$1,ROW(),21,1000-ROW(),1),"Sub"))))</f>
        <v/>
      </c>
      <c r="L144" s="60">
        <f>IF(N($W144)=0,"",IF(AND($S144=MesCiclo,4&gt;SemanaActual),"",MIN(1,SUMIFS(OFFSET($A$1,ROW(),32,1000-ROW(),1),OFFSET($A$1,ROW(),20,1000-ROW(),1),ROW(),OFFSET($A$1,ROW(),21,1000-ROW(),1),"Sub"))))</f>
        <v/>
      </c>
      <c r="M144" s="61">
        <f>IF(OR(NOT((COUNTA($B144:$D144)+COUNTA($G144:$H144)+COUNTA($Q144))&gt;0),$V144="Sub"),"",IF(ISNUMBER($G144),1,IF(N($W144)&gt;0,MIN(1,SUMIFS($Y$5:$Y$1000,$U$5:$U$1000,ROW(),$V$5:$V$1000,"Sub")),$Y144)))</f>
        <v/>
      </c>
      <c r="N144" s="56">
        <f>IF(OR($M144="",$V144="Sub"),"",IF($M144&gt;=1,"Completado",IF($M144&gt;0,"En curso","Pendiente")))</f>
        <v/>
      </c>
      <c r="O144" s="56">
        <f>IF(OR(NOT((COUNTA($B144:$D144)+COUNTA($G144:$H144)+COUNTA($Q144))&gt;0),$V144="Sub"),"",IF(ISNUMBER($G144),IF(AND(ISNUMBER($AS144),$G144&gt;$AS144),"Cumplida con "&amp;($G144-$AS144)&amp;IF($G144-$AS144=1," día"," días")&amp;" de retraso","Cumplida"),IF(N($M144)&gt;=1,"Cumplida",IF(NOT(ISNUMBER($AS144)),"Sin fecha límite",IF($AS144&lt;FechaRef,"Vencida hace "&amp;(FechaRef-$AS144)&amp;IF(FechaRef-$AS144=1," día"," días"),IF($AS144=FechaRef,"Vence hoy",IF($AS144-FechaRef&lt;=DiasAlerta,"Vence en "&amp;($AS144-FechaRef)&amp;IF($AS144-FechaRef=1," día"," días"),"En plazo")))))))</f>
        <v/>
      </c>
      <c r="P144" s="62" t="n"/>
      <c r="Q144" s="58" t="n"/>
      <c r="R144" s="63">
        <f>IF(NOT((COUNTA($B144:$D144)+COUNTA($G144:$H144)+COUNTA($Q144))&gt;0),"",IF((IF($C144="","Falta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 OK","⚠ "&amp;LEFT(IF($C144="","Falta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",""),LEN(IF($C144="","Falta el nombre de la actividad"&amp;" · ","")&amp;IF(AND($V144="Sub",N($U144)=0),"Subactividad sin macroactividad arriba"&amp;" · ","")&amp;IF(AND($V144="Macro",$AR144=""),"Sin fecha de inicio"&amp;" · ","")&amp;IF(AND($V144="Macro",$AS144=""),"Sin fecha límite"&amp;" · ","")&amp;IF(AND(LEFT($C144,11)="[Jefatura] ",N($AQ144)=0),"No se encuentra en la hoja de la jefatura (elíjala de nuevo en la lista)"&amp;" · ","")&amp;IF(OR(AND($E144&lt;&gt;"",NOT(ISNUMBER($E144))),AND($F144&lt;&gt;"",NOT(ISNUMBER($F144))),AND($G144&lt;&gt;"",NOT(ISNUMBER($G144)))),"Fecha no válida"&amp;" · ","")&amp;IF(AND(ISNUMBER($AR144),ISNUMBER($AS144),$AR144&gt;$AS144),"Inicio posterior a fecha límite"&amp;" · ","")&amp;IF(AND($V144="Macro",$H144&lt;&gt;"",OR(NOT(ISNUMBER($H144)),$H144&lt;0,$H144&gt;1)),"Peso fuera de rango"&amp;" · ","")&amp;IF(AND($V144="Sub",$H144&lt;&gt;"",OR(NOT(ISNUMBER($H144)),$H144&lt;0,$H144&gt;1)),"% de la subactividad fuera de rango 0-100%"&amp;" · ","")&amp;IF(AND(N($W144)&gt;0,SUMIFS($H$5:$H$1000,$U$5:$U$1000,ROW(),$V$5:$V$1000,"Sub")&gt;1.0001),"Las subactividades suman más de 100%"&amp;" · ","")&amp;IF(AND(N($W144)&gt;0,OR(IF(ISNUMBER($I144),ROUND($I144,6)&lt;&gt;ROUND(MIN(1,SUMIFS($AD$5:$AD$1000,$U$5:$U$1000,ROW(),$V$5:$V$1000,"Sub")),6),FALSE),IF(ISNUMBER($J144),ROUND($J144,6)&lt;&gt;ROUND(MIN(1,SUMIFS($AE$5:$AE$1000,$U$5:$U$1000,ROW(),$V$5:$V$1000,"Sub")),6),FALSE),IF(ISNUMBER($K144),ROUND($K144,6)&lt;&gt;ROUND(MIN(1,SUMIFS($AF$5:$AF$1000,$U$5:$U$1000,ROW(),$V$5:$V$1000,"Sub")),6),FALSE),IF(ISNUMBER($L144),ROUND($L144,6)&lt;&gt;ROUND(MIN(1,SUMIFS($AG$5:$AG$1000,$U$5:$U$1000,ROW(),$V$5:$V$1000,"Sub")),6),FALSE))),"Con subactividades: no escriba en las semanas (se llenan solas)"&amp;" · ","")&amp;IF((COUNTIF($I144:$L144,"&gt;1")+COUNTIF($I144:$L144,"&lt;0")+SUMPRODUCT((LEN($I144:$L144)&gt;0)*NOT(ISNUMBER($I144:$L144))))&gt;0,"Avance fuera de rango 0-100%"&amp;" · ","")&amp;IF(OR(AND(ISNUMBER($J144),$J144&lt;N($I144)),AND(ISNUMBER($K144),$K144&lt;MAX($I144:$J144)),AND(ISNUMBER($L144),$L144&lt;MAX($I144:$K144))),"Avance semanal decreciente"&amp;" · ","")&amp;IF(AND(ISNUMBER($AS144),$AS144&lt;FechaRef,IF($V144="Sub",1,N($M144))&lt;1),"Vencida"&amp;" · ","")&amp;IF(AND(ObsObligatoria="Sí",ISNUMBER($AS144),$AS144&lt;FechaRef,IF($V144="Sub",1,N($M144))&lt;1,$Q144=""),"Vencida sin observación"&amp;" · ",""))-3)))</f>
        <v/>
      </c>
      <c r="S144" s="64">
        <f>IF(NOT((COUNTA($B144:$D144)+COUNTA($G144:$H144)+COUNTA($Q144))&gt;0),"",IF(AND($V144="Sub",N($U144)&gt;0),IF(ISNUMBER(INDEX($AR$5:$AR$1000,$U144-4)),DATE(YEAR(INDEX($AR$5:$AR$1000,$U144-4)),MONTH(INDEX($AR$5:$AR$1000,$U144-4)),1),IF(ISNUMBER(INDEX($AS$5:$AS$1000,$U144-4)),DATE(YEAR(INDEX($AS$5:$AS$1000,$U144-4)),MONTH(INDEX($AS$5:$AS$1000,$U144-4)),1),MesCiclo)),IF(ISNUMBER($AR144),DATE(YEAR($AR144),MONTH($AR144),1),IF(ISNUMBER($AS144),DATE(YEAR($AS144),MONTH($AS144),1),MesCiclo))))</f>
        <v/>
      </c>
      <c r="T144" s="62">
        <f>IF(OR($S144="",$S144&lt;&gt;MesCiclo,$V144&lt;&gt;"Macro"),"",COUNTIFS($S$5:$S144,MesCiclo,$V$5:$V144,"Macro"))</f>
        <v/>
      </c>
      <c r="U144" s="62">
        <f>IF($V144="","",IF($V144="Macro",ROW(),IFERROR(LOOKUP(2,1/($V$5:$V144="Macro"),ROW($V$5:$V144)),0)))</f>
        <v/>
      </c>
      <c r="V144" s="62">
        <f>IF(NOT((COUNTA($B144:$D144)+COUNTA($G144:$H144)+COUNTA($Q144))&gt;0),"",IF($B144="Subactividad","Sub","Macro"))</f>
        <v/>
      </c>
      <c r="W144" s="62">
        <f>IF($V144="Macro",COUNTIFS($U$5:$U$1000,ROW(),$V$5:$V$1000,"Sub"),"")</f>
        <v/>
      </c>
      <c r="X144" s="62">
        <f>IF($V144&lt;&gt;"Sub","",IF(AND(ISNUMBER($H144),N($H144)&gt;0),$H144,IFERROR(MAX(0,1-SUMIFS($H$5:$H$1000,$U$5:$U$1000,$U144,$V$5:$V$1000,"Sub"))/(COUNTIFS($U$5:$U$1000,$U144,$V$5:$V$1000,"Sub")-COUNTIFS($U$5:$U$1000,$U144,$V$5:$V$1000,"Sub",$H$5:$H$1000,"&gt;0")),0)))</f>
        <v/>
      </c>
      <c r="Y144" s="62">
        <f>IF($V144="","",IF($V144="Sub",N($X144)*IF(ISNUMBER($G144),1,MIN(1,MAX(0,IFERROR(LOOKUP(2,1/ISNUMBER($I144:$L144),$I144:$L144),0)))),IF(ISNUMBER($G144),1,IFERROR(LOOKUP(2,1/($I144:$L144&lt;&gt;""),$I144:$L144),0))))</f>
        <v/>
      </c>
      <c r="Z144" s="62">
        <f>IF($V144="","",IF(AND(ISNUMBER($G144),$G144&lt;=IF($S144=MesCiclo,InicioCiclo,$S144+MOD(2-WEEKDAY($S144),7))+6),1,IF(ISNUMBER($I144),$I144,0)))</f>
        <v/>
      </c>
      <c r="AA144" s="62">
        <f>IF($V144="","",IF(AND(ISNUMBER($G144),$G144&lt;=IF($S144=MesCiclo,InicioCiclo,$S144+MOD(2-WEEKDAY($S144),7))+13),1,IF(ISNUMBER($J144),$J144,$Z144)))</f>
        <v/>
      </c>
      <c r="AB144" s="62">
        <f>IF($V144="","",IF(AND(ISNUMBER($G144),$G144&lt;=IF($S144=MesCiclo,InicioCiclo,$S144+MOD(2-WEEKDAY($S144),7))+20),1,IF(ISNUMBER($K144),$K144,$AA144)))</f>
        <v/>
      </c>
      <c r="AC144" s="62">
        <f>IF($V144="","",IF(AND(ISNUMBER($G144),$G144&lt;=IF($S144=MesCiclo,InicioCiclo,$S144+MOD(2-WEEKDAY($S144),7))+27),1,IF(ISNUMBER($L144),$L144,$AB144)))</f>
        <v/>
      </c>
      <c r="AD144" s="62">
        <f>IF($V144&lt;&gt;"Sub","",N($X144)*IF(AND(ISNUMBER($G144),$G144&lt;=IF($S144=MesCiclo,InicioCiclo,$S144+MOD(2-WEEKDAY($S144),7))+6),1,MIN(1,MAX(0,IF(ISNUMBER(OFFSET($A$1,ROW()-1,8)),OFFSET($A$1,ROW()-1,8),0)))))</f>
        <v/>
      </c>
      <c r="AE144" s="62">
        <f>IF($V144&lt;&gt;"Sub","",N($X144)*IF(AND(ISNUMBER($G144),$G144&lt;=IF($S144=MesCiclo,InicioCiclo,$S144+MOD(2-WEEKDAY($S144),7))+13),1,MIN(1,MAX(0,IF(ISNUMBER(OFFSET($A$1,ROW()-1,9)),OFFSET($A$1,ROW()-1,9),IF(ISNUMBER(OFFSET($A$1,ROW()-1,8)),OFFSET($A$1,ROW()-1,8),0))))))</f>
        <v/>
      </c>
      <c r="AF144" s="62">
        <f>IF($V144&lt;&gt;"Sub","",N($X144)*IF(AND(ISNUMBER($G144),$G144&lt;=IF($S144=MesCiclo,InicioCiclo,$S144+MOD(2-WEEKDAY($S144),7))+20),1,MIN(1,MAX(0,IF(ISNUMBER(OFFSET($A$1,ROW()-1,10)),OFFSET($A$1,ROW()-1,10),IF(ISNUMBER(OFFSET($A$1,ROW()-1,9)),OFFSET($A$1,ROW()-1,9),IF(ISNUMBER(OFFSET($A$1,ROW()-1,8)),OFFSET($A$1,ROW()-1,8),0)))))))</f>
        <v/>
      </c>
      <c r="AG144" s="62">
        <f>IF($V144&lt;&gt;"Sub","",N($X144)*IF(AND(ISNUMBER($G144),$G144&lt;=IF($S144=MesCiclo,InicioCiclo,$S144+MOD(2-WEEKDAY($S144),7))+27),1,MIN(1,MAX(0,IF(ISNUMBER(OFFSET($A$1,ROW()-1,11)),OFFSET($A$1,ROW()-1,11),IF(ISNUMBER(OFFSET($A$1,ROW()-1,10)),OFFSET($A$1,ROW()-1,10),IF(ISNUMBER(OFFSET($A$1,ROW()-1,9)),OFFSET($A$1,ROW()-1,9),IF(ISNUMBER(OFFSET($A$1,ROW()-1,8)),OFFSET($A$1,ROW()-1,8),0))))))))</f>
        <v/>
      </c>
      <c r="AH144" s="62">
        <f>IF($V144="","",IF(AND(ISNUMBER($G144),$G144&lt;=IF($S144=MesCiclo,InicioCiclo,$S144+MOD(2-WEEKDAY($S144),7))+6),1,IF(N($W144)&gt;0,MIN(1,SUMIFS($AD$5:$AD$1000,$U$5:$U$1000,ROW(),$V$5:$V$1000,"Sub")),$Z144)))</f>
        <v/>
      </c>
      <c r="AI144" s="62">
        <f>IF($V144="","",IF(AND(ISNUMBER($G144),$G144&lt;=IF($S144=MesCiclo,InicioCiclo,$S144+MOD(2-WEEKDAY($S144),7))+13),1,IF(N($W144)&gt;0,MIN(1,SUMIFS($AE$5:$AE$1000,$U$5:$U$1000,ROW(),$V$5:$V$1000,"Sub")),$AA144)))</f>
        <v/>
      </c>
      <c r="AJ144" s="62">
        <f>IF($V144="","",IF(AND(ISNUMBER($G144),$G144&lt;=IF($S144=MesCiclo,InicioCiclo,$S144+MOD(2-WEEKDAY($S144),7))+20),1,IF(N($W144)&gt;0,MIN(1,SUMIFS($AF$5:$AF$1000,$U$5:$U$1000,ROW(),$V$5:$V$1000,"Sub")),$AB144)))</f>
        <v/>
      </c>
      <c r="AK144" s="62">
        <f>IF($V144="","",IF(AND(ISNUMBER($G144),$G144&lt;=IF($S144=MesCiclo,InicioCiclo,$S144+MOD(2-WEEKDAY($S144),7))+27),1,IF(N($W144)&gt;0,MIN(1,SUMIFS($AG$5:$AG$1000,$U$5:$U$1000,ROW(),$V$5:$V$1000,"Sub")),$AC144)))</f>
        <v/>
      </c>
      <c r="AL144" s="62">
        <f>IF($V144&lt;&gt;"Macro","",IF(COUNTIFS($S$5:$S$1000,$S144,$V$5:$V$1000,"Macro",$H$5:$H$1000,"&gt;0")=0,1/COUNTIFS($S$5:$S$1000,$S144,$V$5:$V$1000,"Macro"),IF(AND(ISNUMBER($H144),N($H144)&gt;0),$H144,SUMIFS($H$5:$H$1000,$S$5:$S$1000,$S144,$V$5:$V$1000,"Macro")/COUNTIFS($S$5:$S$1000,$S144,$V$5:$V$1000,"Macro",$H$5:$H$1000,"&gt;0"))/(COUNTIFS($S$5:$S$1000,$S144,$V$5:$V$1000,"Macro")*SUMIFS($H$5:$H$1000,$S$5:$S$1000,$S144,$V$5:$V$1000,"Macro")/COUNTIFS($S$5:$S$1000,$S144,$V$5:$V$1000,"Macro",$H$5:$H$1000,"&gt;0"))))</f>
        <v/>
      </c>
      <c r="AM144" s="62" t="n"/>
      <c r="AN144" s="62" t="n"/>
      <c r="AO144" s="62" t="n"/>
      <c r="AP144" s="62" t="n"/>
      <c r="AQ144" s="62">
        <f>IF(LEFT($C144,11)="[Jefatura] ",IFERROR(MATCH("Asistente Técnico de Riesgo|"&amp;MID($C144,12,500),rDname_ADM,0),0),"")</f>
        <v/>
      </c>
      <c r="AR144" s="62">
        <f>IF(N($AQ144)&gt;0,INDEX(rIni_ADM,$AQ144),IF(ISNUMBER($E144),$E144,""))</f>
        <v/>
      </c>
      <c r="AS144" s="62">
        <f>IF(N($AQ144)&gt;0,INDEX(rLim_ADM,$AQ144),IF(ISNUMBER($F144),$F144,""))</f>
        <v/>
      </c>
    </row>
    <row r="145">
      <c r="A145" s="56">
        <f>IF(NOT((COUNTA($B145:$D145)+COUNTA($G145:$H145)+COUNTA($Q145))&gt;0),"",IF($V145="Macro",COUNTIFS($V$5:$V145,"Macro",$S$5:$S145,$S145),IF(N($U145)=0,"?",COUNTIFS(INDEX($V$5:$V$1000,1):INDEX($V$5:$V$1000,$U145-4),"Macro",INDEX($S$5:$S$1000,1):INDEX($S$5:$S$1000,$U145-4),INDEX($S$5:$S$1000,$U145-4))&amp;"."&amp;COUNTIFS($U$5:$U145,$U145,$V$5:$V145,"Sub"))))</f>
        <v/>
      </c>
      <c r="B145" s="57" t="n"/>
      <c r="C145" s="58" t="n"/>
      <c r="D145" s="58" t="n"/>
      <c r="E145" s="59">
        <f>IF(N($AQ145)&gt;0,INDEX(rIni_ADM,$AQ145),"")</f>
        <v/>
      </c>
      <c r="F145" s="59">
        <f>IF(N($AQ145)&gt;0,INDEX(rLim_ADM,$AQ145),"")</f>
        <v/>
      </c>
      <c r="G145" s="59" t="n"/>
      <c r="H145" s="60" t="n"/>
      <c r="I145" s="60">
        <f>IF(N($W145)=0,"",IF(AND($S145=MesCiclo,1&gt;SemanaActual),"",MIN(1,SUMIFS(OFFSET($A$1,ROW(),29,1000-ROW(),1),OFFSET($A$1,ROW(),20,1000-ROW(),1),ROW(),OFFSET($A$1,ROW(),21,1000-ROW(),1),"Sub"))))</f>
        <v/>
      </c>
      <c r="J145" s="60">
        <f>IF(N($W145)=0,"",IF(AND($S145=MesCiclo,2&gt;SemanaActual),"",MIN(1,SUMIFS(OFFSET($A$1,ROW(),30,1000-ROW(),1),OFFSET($A$1,ROW(),20,1000-ROW(),1),ROW(),OFFSET($A$1,ROW(),21,1000-ROW(),1),"Sub"))))</f>
        <v/>
      </c>
      <c r="K145" s="60">
        <f>IF(N($W145)=0,"",IF(AND($S145=MesCiclo,3&gt;SemanaActual),"",MIN(1,SUMIFS(OFFSET($A$1,ROW(),31,1000-ROW(),1),OFFSET($A$1,ROW(),20,1000-ROW(),1),ROW(),OFFSET($A$1,ROW(),21,1000-ROW(),1),"Sub"))))</f>
        <v/>
      </c>
      <c r="L145" s="60">
        <f>IF(N($W145)=0,"",IF(AND($S145=MesCiclo,4&gt;SemanaActual),"",MIN(1,SUMIFS(OFFSET($A$1,ROW(),32,1000-ROW(),1),OFFSET($A$1,ROW(),20,1000-ROW(),1),ROW(),OFFSET($A$1,ROW(),21,1000-ROW(),1),"Sub"))))</f>
        <v/>
      </c>
      <c r="M145" s="61">
        <f>IF(OR(NOT((COUNTA($B145:$D145)+COUNTA($G145:$H145)+COUNTA($Q145))&gt;0),$V145="Sub"),"",IF(ISNUMBER($G145),1,IF(N($W145)&gt;0,MIN(1,SUMIFS($Y$5:$Y$1000,$U$5:$U$1000,ROW(),$V$5:$V$1000,"Sub")),$Y145)))</f>
        <v/>
      </c>
      <c r="N145" s="56">
        <f>IF(OR($M145="",$V145="Sub"),"",IF($M145&gt;=1,"Completado",IF($M145&gt;0,"En curso","Pendiente")))</f>
        <v/>
      </c>
      <c r="O145" s="56">
        <f>IF(OR(NOT((COUNTA($B145:$D145)+COUNTA($G145:$H145)+COUNTA($Q145))&gt;0),$V145="Sub"),"",IF(ISNUMBER($G145),IF(AND(ISNUMBER($AS145),$G145&gt;$AS145),"Cumplida con "&amp;($G145-$AS145)&amp;IF($G145-$AS145=1," día"," días")&amp;" de retraso","Cumplida"),IF(N($M145)&gt;=1,"Cumplida",IF(NOT(ISNUMBER($AS145)),"Sin fecha límite",IF($AS145&lt;FechaRef,"Vencida hace "&amp;(FechaRef-$AS145)&amp;IF(FechaRef-$AS145=1," día"," días"),IF($AS145=FechaRef,"Vence hoy",IF($AS145-FechaRef&lt;=DiasAlerta,"Vence en "&amp;($AS145-FechaRef)&amp;IF($AS145-FechaRef=1," día"," días"),"En plazo")))))))</f>
        <v/>
      </c>
      <c r="P145" s="62" t="n"/>
      <c r="Q145" s="58" t="n"/>
      <c r="R145" s="63">
        <f>IF(NOT((COUNTA($B145:$D145)+COUNTA($G145:$H145)+COUNTA($Q145))&gt;0),"",IF((IF($C145="","Falta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 OK","⚠ "&amp;LEFT(IF($C145="","Falta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",""),LEN(IF($C145="","Falta el nombre de la actividad"&amp;" · ","")&amp;IF(AND($V145="Sub",N($U145)=0),"Subactividad sin macroactividad arriba"&amp;" · ","")&amp;IF(AND($V145="Macro",$AR145=""),"Sin fecha de inicio"&amp;" · ","")&amp;IF(AND($V145="Macro",$AS145=""),"Sin fecha límite"&amp;" · ","")&amp;IF(AND(LEFT($C145,11)="[Jefatura] ",N($AQ145)=0),"No se encuentra en la hoja de la jefatura (elíjala de nuevo en la lista)"&amp;" · ","")&amp;IF(OR(AND($E145&lt;&gt;"",NOT(ISNUMBER($E145))),AND($F145&lt;&gt;"",NOT(ISNUMBER($F145))),AND($G145&lt;&gt;"",NOT(ISNUMBER($G145)))),"Fecha no válida"&amp;" · ","")&amp;IF(AND(ISNUMBER($AR145),ISNUMBER($AS145),$AR145&gt;$AS145),"Inicio posterior a fecha límite"&amp;" · ","")&amp;IF(AND($V145="Macro",$H145&lt;&gt;"",OR(NOT(ISNUMBER($H145)),$H145&lt;0,$H145&gt;1)),"Peso fuera de rango"&amp;" · ","")&amp;IF(AND($V145="Sub",$H145&lt;&gt;"",OR(NOT(ISNUMBER($H145)),$H145&lt;0,$H145&gt;1)),"% de la subactividad fuera de rango 0-100%"&amp;" · ","")&amp;IF(AND(N($W145)&gt;0,SUMIFS($H$5:$H$1000,$U$5:$U$1000,ROW(),$V$5:$V$1000,"Sub")&gt;1.0001),"Las subactividades suman más de 100%"&amp;" · ","")&amp;IF(AND(N($W145)&gt;0,OR(IF(ISNUMBER($I145),ROUND($I145,6)&lt;&gt;ROUND(MIN(1,SUMIFS($AD$5:$AD$1000,$U$5:$U$1000,ROW(),$V$5:$V$1000,"Sub")),6),FALSE),IF(ISNUMBER($J145),ROUND($J145,6)&lt;&gt;ROUND(MIN(1,SUMIFS($AE$5:$AE$1000,$U$5:$U$1000,ROW(),$V$5:$V$1000,"Sub")),6),FALSE),IF(ISNUMBER($K145),ROUND($K145,6)&lt;&gt;ROUND(MIN(1,SUMIFS($AF$5:$AF$1000,$U$5:$U$1000,ROW(),$V$5:$V$1000,"Sub")),6),FALSE),IF(ISNUMBER($L145),ROUND($L145,6)&lt;&gt;ROUND(MIN(1,SUMIFS($AG$5:$AG$1000,$U$5:$U$1000,ROW(),$V$5:$V$1000,"Sub")),6),FALSE))),"Con subactividades: no escriba en las semanas (se llenan solas)"&amp;" · ","")&amp;IF((COUNTIF($I145:$L145,"&gt;1")+COUNTIF($I145:$L145,"&lt;0")+SUMPRODUCT((LEN($I145:$L145)&gt;0)*NOT(ISNUMBER($I145:$L145))))&gt;0,"Avance fuera de rango 0-100%"&amp;" · ","")&amp;IF(OR(AND(ISNUMBER($J145),$J145&lt;N($I145)),AND(ISNUMBER($K145),$K145&lt;MAX($I145:$J145)),AND(ISNUMBER($L145),$L145&lt;MAX($I145:$K145))),"Avance semanal decreciente"&amp;" · ","")&amp;IF(AND(ISNUMBER($AS145),$AS145&lt;FechaRef,IF($V145="Sub",1,N($M145))&lt;1),"Vencida"&amp;" · ","")&amp;IF(AND(ObsObligatoria="Sí",ISNUMBER($AS145),$AS145&lt;FechaRef,IF($V145="Sub",1,N($M145))&lt;1,$Q145=""),"Vencida sin observación"&amp;" · ",""))-3)))</f>
        <v/>
      </c>
      <c r="S145" s="64">
        <f>IF(NOT((COUNTA($B145:$D145)+COUNTA($G145:$H145)+COUNTA($Q145))&gt;0),"",IF(AND($V145="Sub",N($U145)&gt;0),IF(ISNUMBER(INDEX($AR$5:$AR$1000,$U145-4)),DATE(YEAR(INDEX($AR$5:$AR$1000,$U145-4)),MONTH(INDEX($AR$5:$AR$1000,$U145-4)),1),IF(ISNUMBER(INDEX($AS$5:$AS$1000,$U145-4)),DATE(YEAR(INDEX($AS$5:$AS$1000,$U145-4)),MONTH(INDEX($AS$5:$AS$1000,$U145-4)),1),MesCiclo)),IF(ISNUMBER($AR145),DATE(YEAR($AR145),MONTH($AR145),1),IF(ISNUMBER($AS145),DATE(YEAR($AS145),MONTH($AS145),1),MesCiclo))))</f>
        <v/>
      </c>
      <c r="T145" s="62">
        <f>IF(OR($S145="",$S145&lt;&gt;MesCiclo,$V145&lt;&gt;"Macro"),"",COUNTIFS($S$5:$S145,MesCiclo,$V$5:$V145,"Macro"))</f>
        <v/>
      </c>
      <c r="U145" s="62">
        <f>IF($V145="","",IF($V145="Macro",ROW(),IFERROR(LOOKUP(2,1/($V$5:$V145="Macro"),ROW($V$5:$V145)),0)))</f>
        <v/>
      </c>
      <c r="V145" s="62">
        <f>IF(NOT((COUNTA($B145:$D145)+COUNTA($G145:$H145)+COUNTA($Q145))&gt;0),"",IF($B145="Subactividad","Sub","Macro"))</f>
        <v/>
      </c>
      <c r="W145" s="62">
        <f>IF($V145="Macro",COUNTIFS($U$5:$U$1000,ROW(),$V$5:$V$1000,"Sub"),"")</f>
        <v/>
      </c>
      <c r="X145" s="62">
        <f>IF($V145&lt;&gt;"Sub","",IF(AND(ISNUMBER($H145),N($H145)&gt;0),$H145,IFERROR(MAX(0,1-SUMIFS($H$5:$H$1000,$U$5:$U$1000,$U145,$V$5:$V$1000,"Sub"))/(COUNTIFS($U$5:$U$1000,$U145,$V$5:$V$1000,"Sub")-COUNTIFS($U$5:$U$1000,$U145,$V$5:$V$1000,"Sub",$H$5:$H$1000,"&gt;0")),0)))</f>
        <v/>
      </c>
      <c r="Y145" s="62">
        <f>IF($V145="","",IF($V145="Sub",N($X145)*IF(ISNUMBER($G145),1,MIN(1,MAX(0,IFERROR(LOOKUP(2,1/ISNUMBER($I145:$L145),$I145:$L145),0)))),IF(ISNUMBER($G145),1,IFERROR(LOOKUP(2,1/($I145:$L145&lt;&gt;""),$I145:$L145),0))))</f>
        <v/>
      </c>
      <c r="Z145" s="62">
        <f>IF($V145="","",IF(AND(ISNUMBER($G145),$G145&lt;=IF($S145=MesCiclo,InicioCiclo,$S145+MOD(2-WEEKDAY($S145),7))+6),1,IF(ISNUMBER($I145),$I145,0)))</f>
        <v/>
      </c>
      <c r="AA145" s="62">
        <f>IF($V145="","",IF(AND(ISNUMBER($G145),$G145&lt;=IF($S145=MesCiclo,InicioCiclo,$S145+MOD(2-WEEKDAY($S145),7))+13),1,IF(ISNUMBER($J145),$J145,$Z145)))</f>
        <v/>
      </c>
      <c r="AB145" s="62">
        <f>IF($V145="","",IF(AND(ISNUMBER($G145),$G145&lt;=IF($S145=MesCiclo,InicioCiclo,$S145+MOD(2-WEEKDAY($S145),7))+20),1,IF(ISNUMBER($K145),$K145,$AA145)))</f>
        <v/>
      </c>
      <c r="AC145" s="62">
        <f>IF($V145="","",IF(AND(ISNUMBER($G145),$G145&lt;=IF($S145=MesCiclo,InicioCiclo,$S145+MOD(2-WEEKDAY($S145),7))+27),1,IF(ISNUMBER($L145),$L145,$AB145)))</f>
        <v/>
      </c>
      <c r="AD145" s="62">
        <f>IF($V145&lt;&gt;"Sub","",N($X145)*IF(AND(ISNUMBER($G145),$G145&lt;=IF($S145=MesCiclo,InicioCiclo,$S145+MOD(2-WEEKDAY($S145),7))+6),1,MIN(1,MAX(0,IF(ISNUMBER(OFFSET($A$1,ROW()-1,8)),OFFSET($A$1,ROW()-1,8),0)))))</f>
        <v/>
      </c>
      <c r="AE145" s="62">
        <f>IF($V145&lt;&gt;"Sub","",N($X145)*IF(AND(ISNUMBER($G145),$G145&lt;=IF($S145=MesCiclo,InicioCiclo,$S145+MOD(2-WEEKDAY($S145),7))+13),1,MIN(1,MAX(0,IF(ISNUMBER(OFFSET($A$1,ROW()-1,9)),OFFSET($A$1,ROW()-1,9),IF(ISNUMBER(OFFSET($A$1,ROW()-1,8)),OFFSET($A$1,ROW()-1,8),0))))))</f>
        <v/>
      </c>
      <c r="AF145" s="62">
        <f>IF($V145&lt;&gt;"Sub","",N($X145)*IF(AND(ISNUMBER($G145),$G145&lt;=IF($S145=MesCiclo,InicioCiclo,$S145+MOD(2-WEEKDAY($S145),7))+20),1,MIN(1,MAX(0,IF(ISNUMBER(OFFSET($A$1,ROW()-1,10)),OFFSET($A$1,ROW()-1,10),IF(ISNUMBER(OFFSET($A$1,ROW()-1,9)),OFFSET($A$1,ROW()-1,9),IF(ISNUMBER(OFFSET($A$1,ROW()-1,8)),OFFSET($A$1,ROW()-1,8),0)))))))</f>
        <v/>
      </c>
      <c r="AG145" s="62">
        <f>IF($V145&lt;&gt;"Sub","",N($X145)*IF(AND(ISNUMBER($G145),$G145&lt;=IF($S145=MesCiclo,InicioCiclo,$S145+MOD(2-WEEKDAY($S145),7))+27),1,MIN(1,MAX(0,IF(ISNUMBER(OFFSET($A$1,ROW()-1,11)),OFFSET($A$1,ROW()-1,11),IF(ISNUMBER(OFFSET($A$1,ROW()-1,10)),OFFSET($A$1,ROW()-1,10),IF(ISNUMBER(OFFSET($A$1,ROW()-1,9)),OFFSET($A$1,ROW()-1,9),IF(ISNUMBER(OFFSET($A$1,ROW()-1,8)),OFFSET($A$1,ROW()-1,8),0))))))))</f>
        <v/>
      </c>
      <c r="AH145" s="62">
        <f>IF($V145="","",IF(AND(ISNUMBER($G145),$G145&lt;=IF($S145=MesCiclo,InicioCiclo,$S145+MOD(2-WEEKDAY($S145),7))+6),1,IF(N($W145)&gt;0,MIN(1,SUMIFS($AD$5:$AD$1000,$U$5:$U$1000,ROW(),$V$5:$V$1000,"Sub")),$Z145)))</f>
        <v/>
      </c>
      <c r="AI145" s="62">
        <f>IF($V145="","",IF(AND(ISNUMBER($G145),$G145&lt;=IF($S145=MesCiclo,InicioCiclo,$S145+MOD(2-WEEKDAY($S145),7))+13),1,IF(N($W145)&gt;0,MIN(1,SUMIFS($AE$5:$AE$1000,$U$5:$U$1000,ROW(),$V$5:$V$1000,"Sub")),$AA145)))</f>
        <v/>
      </c>
      <c r="AJ145" s="62">
        <f>IF($V145="","",IF(AND(ISNUMBER($G145),$G145&lt;=IF($S145=MesCiclo,InicioCiclo,$S145+MOD(2-WEEKDAY($S145),7))+20),1,IF(N($W145)&gt;0,MIN(1,SUMIFS($AF$5:$AF$1000,$U$5:$U$1000,ROW(),$V$5:$V$1000,"Sub")),$AB145)))</f>
        <v/>
      </c>
      <c r="AK145" s="62">
        <f>IF($V145="","",IF(AND(ISNUMBER($G145),$G145&lt;=IF($S145=MesCiclo,InicioCiclo,$S145+MOD(2-WEEKDAY($S145),7))+27),1,IF(N($W145)&gt;0,MIN(1,SUMIFS($AG$5:$AG$1000,$U$5:$U$1000,ROW(),$V$5:$V$1000,"Sub")),$AC145)))</f>
        <v/>
      </c>
      <c r="AL145" s="62">
        <f>IF($V145&lt;&gt;"Macro","",IF(COUNTIFS($S$5:$S$1000,$S145,$V$5:$V$1000,"Macro",$H$5:$H$1000,"&gt;0")=0,1/COUNTIFS($S$5:$S$1000,$S145,$V$5:$V$1000,"Macro"),IF(AND(ISNUMBER($H145),N($H145)&gt;0),$H145,SUMIFS($H$5:$H$1000,$S$5:$S$1000,$S145,$V$5:$V$1000,"Macro")/COUNTIFS($S$5:$S$1000,$S145,$V$5:$V$1000,"Macro",$H$5:$H$1000,"&gt;0"))/(COUNTIFS($S$5:$S$1000,$S145,$V$5:$V$1000,"Macro")*SUMIFS($H$5:$H$1000,$S$5:$S$1000,$S145,$V$5:$V$1000,"Macro")/COUNTIFS($S$5:$S$1000,$S145,$V$5:$V$1000,"Macro",$H$5:$H$1000,"&gt;0"))))</f>
        <v/>
      </c>
      <c r="AM145" s="62" t="n"/>
      <c r="AN145" s="62" t="n"/>
      <c r="AO145" s="62" t="n"/>
      <c r="AP145" s="62" t="n"/>
      <c r="AQ145" s="62">
        <f>IF(LEFT($C145,11)="[Jefatura] ",IFERROR(MATCH("Asistente Técnico de Riesgo|"&amp;MID($C145,12,500),rDname_ADM,0),0),"")</f>
        <v/>
      </c>
      <c r="AR145" s="62">
        <f>IF(N($AQ145)&gt;0,INDEX(rIni_ADM,$AQ145),IF(ISNUMBER($E145),$E145,""))</f>
        <v/>
      </c>
      <c r="AS145" s="62">
        <f>IF(N($AQ145)&gt;0,INDEX(rLim_ADM,$AQ145),IF(ISNUMBER($F145),$F145,""))</f>
        <v/>
      </c>
    </row>
    <row r="146">
      <c r="A146" s="56">
        <f>IF(NOT((COUNTA($B146:$D146)+COUNTA($G146:$H146)+COUNTA($Q146))&gt;0),"",IF($V146="Macro",COUNTIFS($V$5:$V146,"Macro",$S$5:$S146,$S146),IF(N($U146)=0,"?",COUNTIFS(INDEX($V$5:$V$1000,1):INDEX($V$5:$V$1000,$U146-4),"Macro",INDEX($S$5:$S$1000,1):INDEX($S$5:$S$1000,$U146-4),INDEX($S$5:$S$1000,$U146-4))&amp;"."&amp;COUNTIFS($U$5:$U146,$U146,$V$5:$V146,"Sub"))))</f>
        <v/>
      </c>
      <c r="B146" s="57" t="n"/>
      <c r="C146" s="58" t="n"/>
      <c r="D146" s="58" t="n"/>
      <c r="E146" s="59">
        <f>IF(N($AQ146)&gt;0,INDEX(rIni_ADM,$AQ146),"")</f>
        <v/>
      </c>
      <c r="F146" s="59">
        <f>IF(N($AQ146)&gt;0,INDEX(rLim_ADM,$AQ146),"")</f>
        <v/>
      </c>
      <c r="G146" s="59" t="n"/>
      <c r="H146" s="60" t="n"/>
      <c r="I146" s="60">
        <f>IF(N($W146)=0,"",IF(AND($S146=MesCiclo,1&gt;SemanaActual),"",MIN(1,SUMIFS(OFFSET($A$1,ROW(),29,1000-ROW(),1),OFFSET($A$1,ROW(),20,1000-ROW(),1),ROW(),OFFSET($A$1,ROW(),21,1000-ROW(),1),"Sub"))))</f>
        <v/>
      </c>
      <c r="J146" s="60">
        <f>IF(N($W146)=0,"",IF(AND($S146=MesCiclo,2&gt;SemanaActual),"",MIN(1,SUMIFS(OFFSET($A$1,ROW(),30,1000-ROW(),1),OFFSET($A$1,ROW(),20,1000-ROW(),1),ROW(),OFFSET($A$1,ROW(),21,1000-ROW(),1),"Sub"))))</f>
        <v/>
      </c>
      <c r="K146" s="60">
        <f>IF(N($W146)=0,"",IF(AND($S146=MesCiclo,3&gt;SemanaActual),"",MIN(1,SUMIFS(OFFSET($A$1,ROW(),31,1000-ROW(),1),OFFSET($A$1,ROW(),20,1000-ROW(),1),ROW(),OFFSET($A$1,ROW(),21,1000-ROW(),1),"Sub"))))</f>
        <v/>
      </c>
      <c r="L146" s="60">
        <f>IF(N($W146)=0,"",IF(AND($S146=MesCiclo,4&gt;SemanaActual),"",MIN(1,SUMIFS(OFFSET($A$1,ROW(),32,1000-ROW(),1),OFFSET($A$1,ROW(),20,1000-ROW(),1),ROW(),OFFSET($A$1,ROW(),21,1000-ROW(),1),"Sub"))))</f>
        <v/>
      </c>
      <c r="M146" s="61">
        <f>IF(OR(NOT((COUNTA($B146:$D146)+COUNTA($G146:$H146)+COUNTA($Q146))&gt;0),$V146="Sub"),"",IF(ISNUMBER($G146),1,IF(N($W146)&gt;0,MIN(1,SUMIFS($Y$5:$Y$1000,$U$5:$U$1000,ROW(),$V$5:$V$1000,"Sub")),$Y146)))</f>
        <v/>
      </c>
      <c r="N146" s="56">
        <f>IF(OR($M146="",$V146="Sub"),"",IF($M146&gt;=1,"Completado",IF($M146&gt;0,"En curso","Pendiente")))</f>
        <v/>
      </c>
      <c r="O146" s="56">
        <f>IF(OR(NOT((COUNTA($B146:$D146)+COUNTA($G146:$H146)+COUNTA($Q146))&gt;0),$V146="Sub"),"",IF(ISNUMBER($G146),IF(AND(ISNUMBER($AS146),$G146&gt;$AS146),"Cumplida con "&amp;($G146-$AS146)&amp;IF($G146-$AS146=1," día"," días")&amp;" de retraso","Cumplida"),IF(N($M146)&gt;=1,"Cumplida",IF(NOT(ISNUMBER($AS146)),"Sin fecha límite",IF($AS146&lt;FechaRef,"Vencida hace "&amp;(FechaRef-$AS146)&amp;IF(FechaRef-$AS146=1," día"," días"),IF($AS146=FechaRef,"Vence hoy",IF($AS146-FechaRef&lt;=DiasAlerta,"Vence en "&amp;($AS146-FechaRef)&amp;IF($AS146-FechaRef=1," día"," días"),"En plazo")))))))</f>
        <v/>
      </c>
      <c r="P146" s="62" t="n"/>
      <c r="Q146" s="58" t="n"/>
      <c r="R146" s="63">
        <f>IF(NOT((COUNTA($B146:$D146)+COUNTA($G146:$H146)+COUNTA($Q146))&gt;0),"",IF((IF($C146="","Falta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 OK","⚠ "&amp;LEFT(IF($C146="","Falta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",""),LEN(IF($C146="","Falta el nombre de la actividad"&amp;" · ","")&amp;IF(AND($V146="Sub",N($U146)=0),"Subactividad sin macroactividad arriba"&amp;" · ","")&amp;IF(AND($V146="Macro",$AR146=""),"Sin fecha de inicio"&amp;" · ","")&amp;IF(AND($V146="Macro",$AS146=""),"Sin fecha límite"&amp;" · ","")&amp;IF(AND(LEFT($C146,11)="[Jefatura] ",N($AQ146)=0),"No se encuentra en la hoja de la jefatura (elíjala de nuevo en la lista)"&amp;" · ","")&amp;IF(OR(AND($E146&lt;&gt;"",NOT(ISNUMBER($E146))),AND($F146&lt;&gt;"",NOT(ISNUMBER($F146))),AND($G146&lt;&gt;"",NOT(ISNUMBER($G146)))),"Fecha no válida"&amp;" · ","")&amp;IF(AND(ISNUMBER($AR146),ISNUMBER($AS146),$AR146&gt;$AS146),"Inicio posterior a fecha límite"&amp;" · ","")&amp;IF(AND($V146="Macro",$H146&lt;&gt;"",OR(NOT(ISNUMBER($H146)),$H146&lt;0,$H146&gt;1)),"Peso fuera de rango"&amp;" · ","")&amp;IF(AND($V146="Sub",$H146&lt;&gt;"",OR(NOT(ISNUMBER($H146)),$H146&lt;0,$H146&gt;1)),"% de la subactividad fuera de rango 0-100%"&amp;" · ","")&amp;IF(AND(N($W146)&gt;0,SUMIFS($H$5:$H$1000,$U$5:$U$1000,ROW(),$V$5:$V$1000,"Sub")&gt;1.0001),"Las subactividades suman más de 100%"&amp;" · ","")&amp;IF(AND(N($W146)&gt;0,OR(IF(ISNUMBER($I146),ROUND($I146,6)&lt;&gt;ROUND(MIN(1,SUMIFS($AD$5:$AD$1000,$U$5:$U$1000,ROW(),$V$5:$V$1000,"Sub")),6),FALSE),IF(ISNUMBER($J146),ROUND($J146,6)&lt;&gt;ROUND(MIN(1,SUMIFS($AE$5:$AE$1000,$U$5:$U$1000,ROW(),$V$5:$V$1000,"Sub")),6),FALSE),IF(ISNUMBER($K146),ROUND($K146,6)&lt;&gt;ROUND(MIN(1,SUMIFS($AF$5:$AF$1000,$U$5:$U$1000,ROW(),$V$5:$V$1000,"Sub")),6),FALSE),IF(ISNUMBER($L146),ROUND($L146,6)&lt;&gt;ROUND(MIN(1,SUMIFS($AG$5:$AG$1000,$U$5:$U$1000,ROW(),$V$5:$V$1000,"Sub")),6),FALSE))),"Con subactividades: no escriba en las semanas (se llenan solas)"&amp;" · ","")&amp;IF((COUNTIF($I146:$L146,"&gt;1")+COUNTIF($I146:$L146,"&lt;0")+SUMPRODUCT((LEN($I146:$L146)&gt;0)*NOT(ISNUMBER($I146:$L146))))&gt;0,"Avance fuera de rango 0-100%"&amp;" · ","")&amp;IF(OR(AND(ISNUMBER($J146),$J146&lt;N($I146)),AND(ISNUMBER($K146),$K146&lt;MAX($I146:$J146)),AND(ISNUMBER($L146),$L146&lt;MAX($I146:$K146))),"Avance semanal decreciente"&amp;" · ","")&amp;IF(AND(ISNUMBER($AS146),$AS146&lt;FechaRef,IF($V146="Sub",1,N($M146))&lt;1),"Vencida"&amp;" · ","")&amp;IF(AND(ObsObligatoria="Sí",ISNUMBER($AS146),$AS146&lt;FechaRef,IF($V146="Sub",1,N($M146))&lt;1,$Q146=""),"Vencida sin observación"&amp;" · ",""))-3)))</f>
        <v/>
      </c>
      <c r="S146" s="64">
        <f>IF(NOT((COUNTA($B146:$D146)+COUNTA($G146:$H146)+COUNTA($Q146))&gt;0),"",IF(AND($V146="Sub",N($U146)&gt;0),IF(ISNUMBER(INDEX($AR$5:$AR$1000,$U146-4)),DATE(YEAR(INDEX($AR$5:$AR$1000,$U146-4)),MONTH(INDEX($AR$5:$AR$1000,$U146-4)),1),IF(ISNUMBER(INDEX($AS$5:$AS$1000,$U146-4)),DATE(YEAR(INDEX($AS$5:$AS$1000,$U146-4)),MONTH(INDEX($AS$5:$AS$1000,$U146-4)),1),MesCiclo)),IF(ISNUMBER($AR146),DATE(YEAR($AR146),MONTH($AR146),1),IF(ISNUMBER($AS146),DATE(YEAR($AS146),MONTH($AS146),1),MesCiclo))))</f>
        <v/>
      </c>
      <c r="T146" s="62">
        <f>IF(OR($S146="",$S146&lt;&gt;MesCiclo,$V146&lt;&gt;"Macro"),"",COUNTIFS($S$5:$S146,MesCiclo,$V$5:$V146,"Macro"))</f>
        <v/>
      </c>
      <c r="U146" s="62">
        <f>IF($V146="","",IF($V146="Macro",ROW(),IFERROR(LOOKUP(2,1/($V$5:$V146="Macro"),ROW($V$5:$V146)),0)))</f>
        <v/>
      </c>
      <c r="V146" s="62">
        <f>IF(NOT((COUNTA($B146:$D146)+COUNTA($G146:$H146)+COUNTA($Q146))&gt;0),"",IF($B146="Subactividad","Sub","Macro"))</f>
        <v/>
      </c>
      <c r="W146" s="62">
        <f>IF($V146="Macro",COUNTIFS($U$5:$U$1000,ROW(),$V$5:$V$1000,"Sub"),"")</f>
        <v/>
      </c>
      <c r="X146" s="62">
        <f>IF($V146&lt;&gt;"Sub","",IF(AND(ISNUMBER($H146),N($H146)&gt;0),$H146,IFERROR(MAX(0,1-SUMIFS($H$5:$H$1000,$U$5:$U$1000,$U146,$V$5:$V$1000,"Sub"))/(COUNTIFS($U$5:$U$1000,$U146,$V$5:$V$1000,"Sub")-COUNTIFS($U$5:$U$1000,$U146,$V$5:$V$1000,"Sub",$H$5:$H$1000,"&gt;0")),0)))</f>
        <v/>
      </c>
      <c r="Y146" s="62">
        <f>IF($V146="","",IF($V146="Sub",N($X146)*IF(ISNUMBER($G146),1,MIN(1,MAX(0,IFERROR(LOOKUP(2,1/ISNUMBER($I146:$L146),$I146:$L146),0)))),IF(ISNUMBER($G146),1,IFERROR(LOOKUP(2,1/($I146:$L146&lt;&gt;""),$I146:$L146),0))))</f>
        <v/>
      </c>
      <c r="Z146" s="62">
        <f>IF($V146="","",IF(AND(ISNUMBER($G146),$G146&lt;=IF($S146=MesCiclo,InicioCiclo,$S146+MOD(2-WEEKDAY($S146),7))+6),1,IF(ISNUMBER($I146),$I146,0)))</f>
        <v/>
      </c>
      <c r="AA146" s="62">
        <f>IF($V146="","",IF(AND(ISNUMBER($G146),$G146&lt;=IF($S146=MesCiclo,InicioCiclo,$S146+MOD(2-WEEKDAY($S146),7))+13),1,IF(ISNUMBER($J146),$J146,$Z146)))</f>
        <v/>
      </c>
      <c r="AB146" s="62">
        <f>IF($V146="","",IF(AND(ISNUMBER($G146),$G146&lt;=IF($S146=MesCiclo,InicioCiclo,$S146+MOD(2-WEEKDAY($S146),7))+20),1,IF(ISNUMBER($K146),$K146,$AA146)))</f>
        <v/>
      </c>
      <c r="AC146" s="62">
        <f>IF($V146="","",IF(AND(ISNUMBER($G146),$G146&lt;=IF($S146=MesCiclo,InicioCiclo,$S146+MOD(2-WEEKDAY($S146),7))+27),1,IF(ISNUMBER($L146),$L146,$AB146)))</f>
        <v/>
      </c>
      <c r="AD146" s="62">
        <f>IF($V146&lt;&gt;"Sub","",N($X146)*IF(AND(ISNUMBER($G146),$G146&lt;=IF($S146=MesCiclo,InicioCiclo,$S146+MOD(2-WEEKDAY($S146),7))+6),1,MIN(1,MAX(0,IF(ISNUMBER(OFFSET($A$1,ROW()-1,8)),OFFSET($A$1,ROW()-1,8),0)))))</f>
        <v/>
      </c>
      <c r="AE146" s="62">
        <f>IF($V146&lt;&gt;"Sub","",N($X146)*IF(AND(ISNUMBER($G146),$G146&lt;=IF($S146=MesCiclo,InicioCiclo,$S146+MOD(2-WEEKDAY($S146),7))+13),1,MIN(1,MAX(0,IF(ISNUMBER(OFFSET($A$1,ROW()-1,9)),OFFSET($A$1,ROW()-1,9),IF(ISNUMBER(OFFSET($A$1,ROW()-1,8)),OFFSET($A$1,ROW()-1,8),0))))))</f>
        <v/>
      </c>
      <c r="AF146" s="62">
        <f>IF($V146&lt;&gt;"Sub","",N($X146)*IF(AND(ISNUMBER($G146),$G146&lt;=IF($S146=MesCiclo,InicioCiclo,$S146+MOD(2-WEEKDAY($S146),7))+20),1,MIN(1,MAX(0,IF(ISNUMBER(OFFSET($A$1,ROW()-1,10)),OFFSET($A$1,ROW()-1,10),IF(ISNUMBER(OFFSET($A$1,ROW()-1,9)),OFFSET($A$1,ROW()-1,9),IF(ISNUMBER(OFFSET($A$1,ROW()-1,8)),OFFSET($A$1,ROW()-1,8),0)))))))</f>
        <v/>
      </c>
      <c r="AG146" s="62">
        <f>IF($V146&lt;&gt;"Sub","",N($X146)*IF(AND(ISNUMBER($G146),$G146&lt;=IF($S146=MesCiclo,InicioCiclo,$S146+MOD(2-WEEKDAY($S146),7))+27),1,MIN(1,MAX(0,IF(ISNUMBER(OFFSET($A$1,ROW()-1,11)),OFFSET($A$1,ROW()-1,11),IF(ISNUMBER(OFFSET($A$1,ROW()-1,10)),OFFSET($A$1,ROW()-1,10),IF(ISNUMBER(OFFSET($A$1,ROW()-1,9)),OFFSET($A$1,ROW()-1,9),IF(ISNUMBER(OFFSET($A$1,ROW()-1,8)),OFFSET($A$1,ROW()-1,8),0))))))))</f>
        <v/>
      </c>
      <c r="AH146" s="62">
        <f>IF($V146="","",IF(AND(ISNUMBER($G146),$G146&lt;=IF($S146=MesCiclo,InicioCiclo,$S146+MOD(2-WEEKDAY($S146),7))+6),1,IF(N($W146)&gt;0,MIN(1,SUMIFS($AD$5:$AD$1000,$U$5:$U$1000,ROW(),$V$5:$V$1000,"Sub")),$Z146)))</f>
        <v/>
      </c>
      <c r="AI146" s="62">
        <f>IF($V146="","",IF(AND(ISNUMBER($G146),$G146&lt;=IF($S146=MesCiclo,InicioCiclo,$S146+MOD(2-WEEKDAY($S146),7))+13),1,IF(N($W146)&gt;0,MIN(1,SUMIFS($AE$5:$AE$1000,$U$5:$U$1000,ROW(),$V$5:$V$1000,"Sub")),$AA146)))</f>
        <v/>
      </c>
      <c r="AJ146" s="62">
        <f>IF($V146="","",IF(AND(ISNUMBER($G146),$G146&lt;=IF($S146=MesCiclo,InicioCiclo,$S146+MOD(2-WEEKDAY($S146),7))+20),1,IF(N($W146)&gt;0,MIN(1,SUMIFS($AF$5:$AF$1000,$U$5:$U$1000,ROW(),$V$5:$V$1000,"Sub")),$AB146)))</f>
        <v/>
      </c>
      <c r="AK146" s="62">
        <f>IF($V146="","",IF(AND(ISNUMBER($G146),$G146&lt;=IF($S146=MesCiclo,InicioCiclo,$S146+MOD(2-WEEKDAY($S146),7))+27),1,IF(N($W146)&gt;0,MIN(1,SUMIFS($AG$5:$AG$1000,$U$5:$U$1000,ROW(),$V$5:$V$1000,"Sub")),$AC146)))</f>
        <v/>
      </c>
      <c r="AL146" s="62">
        <f>IF($V146&lt;&gt;"Macro","",IF(COUNTIFS($S$5:$S$1000,$S146,$V$5:$V$1000,"Macro",$H$5:$H$1000,"&gt;0")=0,1/COUNTIFS($S$5:$S$1000,$S146,$V$5:$V$1000,"Macro"),IF(AND(ISNUMBER($H146),N($H146)&gt;0),$H146,SUMIFS($H$5:$H$1000,$S$5:$S$1000,$S146,$V$5:$V$1000,"Macro")/COUNTIFS($S$5:$S$1000,$S146,$V$5:$V$1000,"Macro",$H$5:$H$1000,"&gt;0"))/(COUNTIFS($S$5:$S$1000,$S146,$V$5:$V$1000,"Macro")*SUMIFS($H$5:$H$1000,$S$5:$S$1000,$S146,$V$5:$V$1000,"Macro")/COUNTIFS($S$5:$S$1000,$S146,$V$5:$V$1000,"Macro",$H$5:$H$1000,"&gt;0"))))</f>
        <v/>
      </c>
      <c r="AM146" s="62" t="n"/>
      <c r="AN146" s="62" t="n"/>
      <c r="AO146" s="62" t="n"/>
      <c r="AP146" s="62" t="n"/>
      <c r="AQ146" s="62">
        <f>IF(LEFT($C146,11)="[Jefatura] ",IFERROR(MATCH("Asistente Técnico de Riesgo|"&amp;MID($C146,12,500),rDname_ADM,0),0),"")</f>
        <v/>
      </c>
      <c r="AR146" s="62">
        <f>IF(N($AQ146)&gt;0,INDEX(rIni_ADM,$AQ146),IF(ISNUMBER($E146),$E146,""))</f>
        <v/>
      </c>
      <c r="AS146" s="62">
        <f>IF(N($AQ146)&gt;0,INDEX(rLim_ADM,$AQ146),IF(ISNUMBER($F146),$F146,""))</f>
        <v/>
      </c>
    </row>
    <row r="147">
      <c r="A147" s="56">
        <f>IF(NOT((COUNTA($B147:$D147)+COUNTA($G147:$H147)+COUNTA($Q147))&gt;0),"",IF($V147="Macro",COUNTIFS($V$5:$V147,"Macro",$S$5:$S147,$S147),IF(N($U147)=0,"?",COUNTIFS(INDEX($V$5:$V$1000,1):INDEX($V$5:$V$1000,$U147-4),"Macro",INDEX($S$5:$S$1000,1):INDEX($S$5:$S$1000,$U147-4),INDEX($S$5:$S$1000,$U147-4))&amp;"."&amp;COUNTIFS($U$5:$U147,$U147,$V$5:$V147,"Sub"))))</f>
        <v/>
      </c>
      <c r="B147" s="57" t="n"/>
      <c r="C147" s="58" t="n"/>
      <c r="D147" s="58" t="n"/>
      <c r="E147" s="59">
        <f>IF(N($AQ147)&gt;0,INDEX(rIni_ADM,$AQ147),"")</f>
        <v/>
      </c>
      <c r="F147" s="59">
        <f>IF(N($AQ147)&gt;0,INDEX(rLim_ADM,$AQ147),"")</f>
        <v/>
      </c>
      <c r="G147" s="59" t="n"/>
      <c r="H147" s="60" t="n"/>
      <c r="I147" s="60">
        <f>IF(N($W147)=0,"",IF(AND($S147=MesCiclo,1&gt;SemanaActual),"",MIN(1,SUMIFS(OFFSET($A$1,ROW(),29,1000-ROW(),1),OFFSET($A$1,ROW(),20,1000-ROW(),1),ROW(),OFFSET($A$1,ROW(),21,1000-ROW(),1),"Sub"))))</f>
        <v/>
      </c>
      <c r="J147" s="60">
        <f>IF(N($W147)=0,"",IF(AND($S147=MesCiclo,2&gt;SemanaActual),"",MIN(1,SUMIFS(OFFSET($A$1,ROW(),30,1000-ROW(),1),OFFSET($A$1,ROW(),20,1000-ROW(),1),ROW(),OFFSET($A$1,ROW(),21,1000-ROW(),1),"Sub"))))</f>
        <v/>
      </c>
      <c r="K147" s="60">
        <f>IF(N($W147)=0,"",IF(AND($S147=MesCiclo,3&gt;SemanaActual),"",MIN(1,SUMIFS(OFFSET($A$1,ROW(),31,1000-ROW(),1),OFFSET($A$1,ROW(),20,1000-ROW(),1),ROW(),OFFSET($A$1,ROW(),21,1000-ROW(),1),"Sub"))))</f>
        <v/>
      </c>
      <c r="L147" s="60">
        <f>IF(N($W147)=0,"",IF(AND($S147=MesCiclo,4&gt;SemanaActual),"",MIN(1,SUMIFS(OFFSET($A$1,ROW(),32,1000-ROW(),1),OFFSET($A$1,ROW(),20,1000-ROW(),1),ROW(),OFFSET($A$1,ROW(),21,1000-ROW(),1),"Sub"))))</f>
        <v/>
      </c>
      <c r="M147" s="61">
        <f>IF(OR(NOT((COUNTA($B147:$D147)+COUNTA($G147:$H147)+COUNTA($Q147))&gt;0),$V147="Sub"),"",IF(ISNUMBER($G147),1,IF(N($W147)&gt;0,MIN(1,SUMIFS($Y$5:$Y$1000,$U$5:$U$1000,ROW(),$V$5:$V$1000,"Sub")),$Y147)))</f>
        <v/>
      </c>
      <c r="N147" s="56">
        <f>IF(OR($M147="",$V147="Sub"),"",IF($M147&gt;=1,"Completado",IF($M147&gt;0,"En curso","Pendiente")))</f>
        <v/>
      </c>
      <c r="O147" s="56">
        <f>IF(OR(NOT((COUNTA($B147:$D147)+COUNTA($G147:$H147)+COUNTA($Q147))&gt;0),$V147="Sub"),"",IF(ISNUMBER($G147),IF(AND(ISNUMBER($AS147),$G147&gt;$AS147),"Cumplida con "&amp;($G147-$AS147)&amp;IF($G147-$AS147=1," día"," días")&amp;" de retraso","Cumplida"),IF(N($M147)&gt;=1,"Cumplida",IF(NOT(ISNUMBER($AS147)),"Sin fecha límite",IF($AS147&lt;FechaRef,"Vencida hace "&amp;(FechaRef-$AS147)&amp;IF(FechaRef-$AS147=1," día"," días"),IF($AS147=FechaRef,"Vence hoy",IF($AS147-FechaRef&lt;=DiasAlerta,"Vence en "&amp;($AS147-FechaRef)&amp;IF($AS147-FechaRef=1," día"," días"),"En plazo")))))))</f>
        <v/>
      </c>
      <c r="P147" s="62" t="n"/>
      <c r="Q147" s="58" t="n"/>
      <c r="R147" s="63">
        <f>IF(NOT((COUNTA($B147:$D147)+COUNTA($G147:$H147)+COUNTA($Q147))&gt;0),"",IF((IF($C147="","Falta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 OK","⚠ "&amp;LEFT(IF($C147="","Falta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",""),LEN(IF($C147="","Falta el nombre de la actividad"&amp;" · ","")&amp;IF(AND($V147="Sub",N($U147)=0),"Subactividad sin macroactividad arriba"&amp;" · ","")&amp;IF(AND($V147="Macro",$AR147=""),"Sin fecha de inicio"&amp;" · ","")&amp;IF(AND($V147="Macro",$AS147=""),"Sin fecha límite"&amp;" · ","")&amp;IF(AND(LEFT($C147,11)="[Jefatura] ",N($AQ147)=0),"No se encuentra en la hoja de la jefatura (elíjala de nuevo en la lista)"&amp;" · ","")&amp;IF(OR(AND($E147&lt;&gt;"",NOT(ISNUMBER($E147))),AND($F147&lt;&gt;"",NOT(ISNUMBER($F147))),AND($G147&lt;&gt;"",NOT(ISNUMBER($G147)))),"Fecha no válida"&amp;" · ","")&amp;IF(AND(ISNUMBER($AR147),ISNUMBER($AS147),$AR147&gt;$AS147),"Inicio posterior a fecha límite"&amp;" · ","")&amp;IF(AND($V147="Macro",$H147&lt;&gt;"",OR(NOT(ISNUMBER($H147)),$H147&lt;0,$H147&gt;1)),"Peso fuera de rango"&amp;" · ","")&amp;IF(AND($V147="Sub",$H147&lt;&gt;"",OR(NOT(ISNUMBER($H147)),$H147&lt;0,$H147&gt;1)),"% de la subactividad fuera de rango 0-100%"&amp;" · ","")&amp;IF(AND(N($W147)&gt;0,SUMIFS($H$5:$H$1000,$U$5:$U$1000,ROW(),$V$5:$V$1000,"Sub")&gt;1.0001),"Las subactividades suman más de 100%"&amp;" · ","")&amp;IF(AND(N($W147)&gt;0,OR(IF(ISNUMBER($I147),ROUND($I147,6)&lt;&gt;ROUND(MIN(1,SUMIFS($AD$5:$AD$1000,$U$5:$U$1000,ROW(),$V$5:$V$1000,"Sub")),6),FALSE),IF(ISNUMBER($J147),ROUND($J147,6)&lt;&gt;ROUND(MIN(1,SUMIFS($AE$5:$AE$1000,$U$5:$U$1000,ROW(),$V$5:$V$1000,"Sub")),6),FALSE),IF(ISNUMBER($K147),ROUND($K147,6)&lt;&gt;ROUND(MIN(1,SUMIFS($AF$5:$AF$1000,$U$5:$U$1000,ROW(),$V$5:$V$1000,"Sub")),6),FALSE),IF(ISNUMBER($L147),ROUND($L147,6)&lt;&gt;ROUND(MIN(1,SUMIFS($AG$5:$AG$1000,$U$5:$U$1000,ROW(),$V$5:$V$1000,"Sub")),6),FALSE))),"Con subactividades: no escriba en las semanas (se llenan solas)"&amp;" · ","")&amp;IF((COUNTIF($I147:$L147,"&gt;1")+COUNTIF($I147:$L147,"&lt;0")+SUMPRODUCT((LEN($I147:$L147)&gt;0)*NOT(ISNUMBER($I147:$L147))))&gt;0,"Avance fuera de rango 0-100%"&amp;" · ","")&amp;IF(OR(AND(ISNUMBER($J147),$J147&lt;N($I147)),AND(ISNUMBER($K147),$K147&lt;MAX($I147:$J147)),AND(ISNUMBER($L147),$L147&lt;MAX($I147:$K147))),"Avance semanal decreciente"&amp;" · ","")&amp;IF(AND(ISNUMBER($AS147),$AS147&lt;FechaRef,IF($V147="Sub",1,N($M147))&lt;1),"Vencida"&amp;" · ","")&amp;IF(AND(ObsObligatoria="Sí",ISNUMBER($AS147),$AS147&lt;FechaRef,IF($V147="Sub",1,N($M147))&lt;1,$Q147=""),"Vencida sin observación"&amp;" · ",""))-3)))</f>
        <v/>
      </c>
      <c r="S147" s="64">
        <f>IF(NOT((COUNTA($B147:$D147)+COUNTA($G147:$H147)+COUNTA($Q147))&gt;0),"",IF(AND($V147="Sub",N($U147)&gt;0),IF(ISNUMBER(INDEX($AR$5:$AR$1000,$U147-4)),DATE(YEAR(INDEX($AR$5:$AR$1000,$U147-4)),MONTH(INDEX($AR$5:$AR$1000,$U147-4)),1),IF(ISNUMBER(INDEX($AS$5:$AS$1000,$U147-4)),DATE(YEAR(INDEX($AS$5:$AS$1000,$U147-4)),MONTH(INDEX($AS$5:$AS$1000,$U147-4)),1),MesCiclo)),IF(ISNUMBER($AR147),DATE(YEAR($AR147),MONTH($AR147),1),IF(ISNUMBER($AS147),DATE(YEAR($AS147),MONTH($AS147),1),MesCiclo))))</f>
        <v/>
      </c>
      <c r="T147" s="62">
        <f>IF(OR($S147="",$S147&lt;&gt;MesCiclo,$V147&lt;&gt;"Macro"),"",COUNTIFS($S$5:$S147,MesCiclo,$V$5:$V147,"Macro"))</f>
        <v/>
      </c>
      <c r="U147" s="62">
        <f>IF($V147="","",IF($V147="Macro",ROW(),IFERROR(LOOKUP(2,1/($V$5:$V147="Macro"),ROW($V$5:$V147)),0)))</f>
        <v/>
      </c>
      <c r="V147" s="62">
        <f>IF(NOT((COUNTA($B147:$D147)+COUNTA($G147:$H147)+COUNTA($Q147))&gt;0),"",IF($B147="Subactividad","Sub","Macro"))</f>
        <v/>
      </c>
      <c r="W147" s="62">
        <f>IF($V147="Macro",COUNTIFS($U$5:$U$1000,ROW(),$V$5:$V$1000,"Sub"),"")</f>
        <v/>
      </c>
      <c r="X147" s="62">
        <f>IF($V147&lt;&gt;"Sub","",IF(AND(ISNUMBER($H147),N($H147)&gt;0),$H147,IFERROR(MAX(0,1-SUMIFS($H$5:$H$1000,$U$5:$U$1000,$U147,$V$5:$V$1000,"Sub"))/(COUNTIFS($U$5:$U$1000,$U147,$V$5:$V$1000,"Sub")-COUNTIFS($U$5:$U$1000,$U147,$V$5:$V$1000,"Sub",$H$5:$H$1000,"&gt;0")),0)))</f>
        <v/>
      </c>
      <c r="Y147" s="62">
        <f>IF($V147="","",IF($V147="Sub",N($X147)*IF(ISNUMBER($G147),1,MIN(1,MAX(0,IFERROR(LOOKUP(2,1/ISNUMBER($I147:$L147),$I147:$L147),0)))),IF(ISNUMBER($G147),1,IFERROR(LOOKUP(2,1/($I147:$L147&lt;&gt;""),$I147:$L147),0))))</f>
        <v/>
      </c>
      <c r="Z147" s="62">
        <f>IF($V147="","",IF(AND(ISNUMBER($G147),$G147&lt;=IF($S147=MesCiclo,InicioCiclo,$S147+MOD(2-WEEKDAY($S147),7))+6),1,IF(ISNUMBER($I147),$I147,0)))</f>
        <v/>
      </c>
      <c r="AA147" s="62">
        <f>IF($V147="","",IF(AND(ISNUMBER($G147),$G147&lt;=IF($S147=MesCiclo,InicioCiclo,$S147+MOD(2-WEEKDAY($S147),7))+13),1,IF(ISNUMBER($J147),$J147,$Z147)))</f>
        <v/>
      </c>
      <c r="AB147" s="62">
        <f>IF($V147="","",IF(AND(ISNUMBER($G147),$G147&lt;=IF($S147=MesCiclo,InicioCiclo,$S147+MOD(2-WEEKDAY($S147),7))+20),1,IF(ISNUMBER($K147),$K147,$AA147)))</f>
        <v/>
      </c>
      <c r="AC147" s="62">
        <f>IF($V147="","",IF(AND(ISNUMBER($G147),$G147&lt;=IF($S147=MesCiclo,InicioCiclo,$S147+MOD(2-WEEKDAY($S147),7))+27),1,IF(ISNUMBER($L147),$L147,$AB147)))</f>
        <v/>
      </c>
      <c r="AD147" s="62">
        <f>IF($V147&lt;&gt;"Sub","",N($X147)*IF(AND(ISNUMBER($G147),$G147&lt;=IF($S147=MesCiclo,InicioCiclo,$S147+MOD(2-WEEKDAY($S147),7))+6),1,MIN(1,MAX(0,IF(ISNUMBER(OFFSET($A$1,ROW()-1,8)),OFFSET($A$1,ROW()-1,8),0)))))</f>
        <v/>
      </c>
      <c r="AE147" s="62">
        <f>IF($V147&lt;&gt;"Sub","",N($X147)*IF(AND(ISNUMBER($G147),$G147&lt;=IF($S147=MesCiclo,InicioCiclo,$S147+MOD(2-WEEKDAY($S147),7))+13),1,MIN(1,MAX(0,IF(ISNUMBER(OFFSET($A$1,ROW()-1,9)),OFFSET($A$1,ROW()-1,9),IF(ISNUMBER(OFFSET($A$1,ROW()-1,8)),OFFSET($A$1,ROW()-1,8),0))))))</f>
        <v/>
      </c>
      <c r="AF147" s="62">
        <f>IF($V147&lt;&gt;"Sub","",N($X147)*IF(AND(ISNUMBER($G147),$G147&lt;=IF($S147=MesCiclo,InicioCiclo,$S147+MOD(2-WEEKDAY($S147),7))+20),1,MIN(1,MAX(0,IF(ISNUMBER(OFFSET($A$1,ROW()-1,10)),OFFSET($A$1,ROW()-1,10),IF(ISNUMBER(OFFSET($A$1,ROW()-1,9)),OFFSET($A$1,ROW()-1,9),IF(ISNUMBER(OFFSET($A$1,ROW()-1,8)),OFFSET($A$1,ROW()-1,8),0)))))))</f>
        <v/>
      </c>
      <c r="AG147" s="62">
        <f>IF($V147&lt;&gt;"Sub","",N($X147)*IF(AND(ISNUMBER($G147),$G147&lt;=IF($S147=MesCiclo,InicioCiclo,$S147+MOD(2-WEEKDAY($S147),7))+27),1,MIN(1,MAX(0,IF(ISNUMBER(OFFSET($A$1,ROW()-1,11)),OFFSET($A$1,ROW()-1,11),IF(ISNUMBER(OFFSET($A$1,ROW()-1,10)),OFFSET($A$1,ROW()-1,10),IF(ISNUMBER(OFFSET($A$1,ROW()-1,9)),OFFSET($A$1,ROW()-1,9),IF(ISNUMBER(OFFSET($A$1,ROW()-1,8)),OFFSET($A$1,ROW()-1,8),0))))))))</f>
        <v/>
      </c>
      <c r="AH147" s="62">
        <f>IF($V147="","",IF(AND(ISNUMBER($G147),$G147&lt;=IF($S147=MesCiclo,InicioCiclo,$S147+MOD(2-WEEKDAY($S147),7))+6),1,IF(N($W147)&gt;0,MIN(1,SUMIFS($AD$5:$AD$1000,$U$5:$U$1000,ROW(),$V$5:$V$1000,"Sub")),$Z147)))</f>
        <v/>
      </c>
      <c r="AI147" s="62">
        <f>IF($V147="","",IF(AND(ISNUMBER($G147),$G147&lt;=IF($S147=MesCiclo,InicioCiclo,$S147+MOD(2-WEEKDAY($S147),7))+13),1,IF(N($W147)&gt;0,MIN(1,SUMIFS($AE$5:$AE$1000,$U$5:$U$1000,ROW(),$V$5:$V$1000,"Sub")),$AA147)))</f>
        <v/>
      </c>
      <c r="AJ147" s="62">
        <f>IF($V147="","",IF(AND(ISNUMBER($G147),$G147&lt;=IF($S147=MesCiclo,InicioCiclo,$S147+MOD(2-WEEKDAY($S147),7))+20),1,IF(N($W147)&gt;0,MIN(1,SUMIFS($AF$5:$AF$1000,$U$5:$U$1000,ROW(),$V$5:$V$1000,"Sub")),$AB147)))</f>
        <v/>
      </c>
      <c r="AK147" s="62">
        <f>IF($V147="","",IF(AND(ISNUMBER($G147),$G147&lt;=IF($S147=MesCiclo,InicioCiclo,$S147+MOD(2-WEEKDAY($S147),7))+27),1,IF(N($W147)&gt;0,MIN(1,SUMIFS($AG$5:$AG$1000,$U$5:$U$1000,ROW(),$V$5:$V$1000,"Sub")),$AC147)))</f>
        <v/>
      </c>
      <c r="AL147" s="62">
        <f>IF($V147&lt;&gt;"Macro","",IF(COUNTIFS($S$5:$S$1000,$S147,$V$5:$V$1000,"Macro",$H$5:$H$1000,"&gt;0")=0,1/COUNTIFS($S$5:$S$1000,$S147,$V$5:$V$1000,"Macro"),IF(AND(ISNUMBER($H147),N($H147)&gt;0),$H147,SUMIFS($H$5:$H$1000,$S$5:$S$1000,$S147,$V$5:$V$1000,"Macro")/COUNTIFS($S$5:$S$1000,$S147,$V$5:$V$1000,"Macro",$H$5:$H$1000,"&gt;0"))/(COUNTIFS($S$5:$S$1000,$S147,$V$5:$V$1000,"Macro")*SUMIFS($H$5:$H$1000,$S$5:$S$1000,$S147,$V$5:$V$1000,"Macro")/COUNTIFS($S$5:$S$1000,$S147,$V$5:$V$1000,"Macro",$H$5:$H$1000,"&gt;0"))))</f>
        <v/>
      </c>
      <c r="AM147" s="62" t="n"/>
      <c r="AN147" s="62" t="n"/>
      <c r="AO147" s="62" t="n"/>
      <c r="AP147" s="62" t="n"/>
      <c r="AQ147" s="62">
        <f>IF(LEFT($C147,11)="[Jefatura] ",IFERROR(MATCH("Asistente Técnico de Riesgo|"&amp;MID($C147,12,500),rDname_ADM,0),0),"")</f>
        <v/>
      </c>
      <c r="AR147" s="62">
        <f>IF(N($AQ147)&gt;0,INDEX(rIni_ADM,$AQ147),IF(ISNUMBER($E147),$E147,""))</f>
        <v/>
      </c>
      <c r="AS147" s="62">
        <f>IF(N($AQ147)&gt;0,INDEX(rLim_ADM,$AQ147),IF(ISNUMBER($F147),$F147,""))</f>
        <v/>
      </c>
    </row>
    <row r="148">
      <c r="A148" s="56">
        <f>IF(NOT((COUNTA($B148:$D148)+COUNTA($G148:$H148)+COUNTA($Q148))&gt;0),"",IF($V148="Macro",COUNTIFS($V$5:$V148,"Macro",$S$5:$S148,$S148),IF(N($U148)=0,"?",COUNTIFS(INDEX($V$5:$V$1000,1):INDEX($V$5:$V$1000,$U148-4),"Macro",INDEX($S$5:$S$1000,1):INDEX($S$5:$S$1000,$U148-4),INDEX($S$5:$S$1000,$U148-4))&amp;"."&amp;COUNTIFS($U$5:$U148,$U148,$V$5:$V148,"Sub"))))</f>
        <v/>
      </c>
      <c r="B148" s="57" t="n"/>
      <c r="C148" s="58" t="n"/>
      <c r="D148" s="58" t="n"/>
      <c r="E148" s="59">
        <f>IF(N($AQ148)&gt;0,INDEX(rIni_ADM,$AQ148),"")</f>
        <v/>
      </c>
      <c r="F148" s="59">
        <f>IF(N($AQ148)&gt;0,INDEX(rLim_ADM,$AQ148),"")</f>
        <v/>
      </c>
      <c r="G148" s="59" t="n"/>
      <c r="H148" s="60" t="n"/>
      <c r="I148" s="60">
        <f>IF(N($W148)=0,"",IF(AND($S148=MesCiclo,1&gt;SemanaActual),"",MIN(1,SUMIFS(OFFSET($A$1,ROW(),29,1000-ROW(),1),OFFSET($A$1,ROW(),20,1000-ROW(),1),ROW(),OFFSET($A$1,ROW(),21,1000-ROW(),1),"Sub"))))</f>
        <v/>
      </c>
      <c r="J148" s="60">
        <f>IF(N($W148)=0,"",IF(AND($S148=MesCiclo,2&gt;SemanaActual),"",MIN(1,SUMIFS(OFFSET($A$1,ROW(),30,1000-ROW(),1),OFFSET($A$1,ROW(),20,1000-ROW(),1),ROW(),OFFSET($A$1,ROW(),21,1000-ROW(),1),"Sub"))))</f>
        <v/>
      </c>
      <c r="K148" s="60">
        <f>IF(N($W148)=0,"",IF(AND($S148=MesCiclo,3&gt;SemanaActual),"",MIN(1,SUMIFS(OFFSET($A$1,ROW(),31,1000-ROW(),1),OFFSET($A$1,ROW(),20,1000-ROW(),1),ROW(),OFFSET($A$1,ROW(),21,1000-ROW(),1),"Sub"))))</f>
        <v/>
      </c>
      <c r="L148" s="60">
        <f>IF(N($W148)=0,"",IF(AND($S148=MesCiclo,4&gt;SemanaActual),"",MIN(1,SUMIFS(OFFSET($A$1,ROW(),32,1000-ROW(),1),OFFSET($A$1,ROW(),20,1000-ROW(),1),ROW(),OFFSET($A$1,ROW(),21,1000-ROW(),1),"Sub"))))</f>
        <v/>
      </c>
      <c r="M148" s="61">
        <f>IF(OR(NOT((COUNTA($B148:$D148)+COUNTA($G148:$H148)+COUNTA($Q148))&gt;0),$V148="Sub"),"",IF(ISNUMBER($G148),1,IF(N($W148)&gt;0,MIN(1,SUMIFS($Y$5:$Y$1000,$U$5:$U$1000,ROW(),$V$5:$V$1000,"Sub")),$Y148)))</f>
        <v/>
      </c>
      <c r="N148" s="56">
        <f>IF(OR($M148="",$V148="Sub"),"",IF($M148&gt;=1,"Completado",IF($M148&gt;0,"En curso","Pendiente")))</f>
        <v/>
      </c>
      <c r="O148" s="56">
        <f>IF(OR(NOT((COUNTA($B148:$D148)+COUNTA($G148:$H148)+COUNTA($Q148))&gt;0),$V148="Sub"),"",IF(ISNUMBER($G148),IF(AND(ISNUMBER($AS148),$G148&gt;$AS148),"Cumplida con "&amp;($G148-$AS148)&amp;IF($G148-$AS148=1," día"," días")&amp;" de retraso","Cumplida"),IF(N($M148)&gt;=1,"Cumplida",IF(NOT(ISNUMBER($AS148)),"Sin fecha límite",IF($AS148&lt;FechaRef,"Vencida hace "&amp;(FechaRef-$AS148)&amp;IF(FechaRef-$AS148=1," día"," días"),IF($AS148=FechaRef,"Vence hoy",IF($AS148-FechaRef&lt;=DiasAlerta,"Vence en "&amp;($AS148-FechaRef)&amp;IF($AS148-FechaRef=1," día"," días"),"En plazo")))))))</f>
        <v/>
      </c>
      <c r="P148" s="62" t="n"/>
      <c r="Q148" s="58" t="n"/>
      <c r="R148" s="63">
        <f>IF(NOT((COUNTA($B148:$D148)+COUNTA($G148:$H148)+COUNTA($Q148))&gt;0),"",IF((IF($C148="","Falta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 OK","⚠ "&amp;LEFT(IF($C148="","Falta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",""),LEN(IF($C148="","Falta el nombre de la actividad"&amp;" · ","")&amp;IF(AND($V148="Sub",N($U148)=0),"Subactividad sin macroactividad arriba"&amp;" · ","")&amp;IF(AND($V148="Macro",$AR148=""),"Sin fecha de inicio"&amp;" · ","")&amp;IF(AND($V148="Macro",$AS148=""),"Sin fecha límite"&amp;" · ","")&amp;IF(AND(LEFT($C148,11)="[Jefatura] ",N($AQ148)=0),"No se encuentra en la hoja de la jefatura (elíjala de nuevo en la lista)"&amp;" · ","")&amp;IF(OR(AND($E148&lt;&gt;"",NOT(ISNUMBER($E148))),AND($F148&lt;&gt;"",NOT(ISNUMBER($F148))),AND($G148&lt;&gt;"",NOT(ISNUMBER($G148)))),"Fecha no válida"&amp;" · ","")&amp;IF(AND(ISNUMBER($AR148),ISNUMBER($AS148),$AR148&gt;$AS148),"Inicio posterior a fecha límite"&amp;" · ","")&amp;IF(AND($V148="Macro",$H148&lt;&gt;"",OR(NOT(ISNUMBER($H148)),$H148&lt;0,$H148&gt;1)),"Peso fuera de rango"&amp;" · ","")&amp;IF(AND($V148="Sub",$H148&lt;&gt;"",OR(NOT(ISNUMBER($H148)),$H148&lt;0,$H148&gt;1)),"% de la subactividad fuera de rango 0-100%"&amp;" · ","")&amp;IF(AND(N($W148)&gt;0,SUMIFS($H$5:$H$1000,$U$5:$U$1000,ROW(),$V$5:$V$1000,"Sub")&gt;1.0001),"Las subactividades suman más de 100%"&amp;" · ","")&amp;IF(AND(N($W148)&gt;0,OR(IF(ISNUMBER($I148),ROUND($I148,6)&lt;&gt;ROUND(MIN(1,SUMIFS($AD$5:$AD$1000,$U$5:$U$1000,ROW(),$V$5:$V$1000,"Sub")),6),FALSE),IF(ISNUMBER($J148),ROUND($J148,6)&lt;&gt;ROUND(MIN(1,SUMIFS($AE$5:$AE$1000,$U$5:$U$1000,ROW(),$V$5:$V$1000,"Sub")),6),FALSE),IF(ISNUMBER($K148),ROUND($K148,6)&lt;&gt;ROUND(MIN(1,SUMIFS($AF$5:$AF$1000,$U$5:$U$1000,ROW(),$V$5:$V$1000,"Sub")),6),FALSE),IF(ISNUMBER($L148),ROUND($L148,6)&lt;&gt;ROUND(MIN(1,SUMIFS($AG$5:$AG$1000,$U$5:$U$1000,ROW(),$V$5:$V$1000,"Sub")),6),FALSE))),"Con subactividades: no escriba en las semanas (se llenan solas)"&amp;" · ","")&amp;IF((COUNTIF($I148:$L148,"&gt;1")+COUNTIF($I148:$L148,"&lt;0")+SUMPRODUCT((LEN($I148:$L148)&gt;0)*NOT(ISNUMBER($I148:$L148))))&gt;0,"Avance fuera de rango 0-100%"&amp;" · ","")&amp;IF(OR(AND(ISNUMBER($J148),$J148&lt;N($I148)),AND(ISNUMBER($K148),$K148&lt;MAX($I148:$J148)),AND(ISNUMBER($L148),$L148&lt;MAX($I148:$K148))),"Avance semanal decreciente"&amp;" · ","")&amp;IF(AND(ISNUMBER($AS148),$AS148&lt;FechaRef,IF($V148="Sub",1,N($M148))&lt;1),"Vencida"&amp;" · ","")&amp;IF(AND(ObsObligatoria="Sí",ISNUMBER($AS148),$AS148&lt;FechaRef,IF($V148="Sub",1,N($M148))&lt;1,$Q148=""),"Vencida sin observación"&amp;" · ",""))-3)))</f>
        <v/>
      </c>
      <c r="S148" s="64">
        <f>IF(NOT((COUNTA($B148:$D148)+COUNTA($G148:$H148)+COUNTA($Q148))&gt;0),"",IF(AND($V148="Sub",N($U148)&gt;0),IF(ISNUMBER(INDEX($AR$5:$AR$1000,$U148-4)),DATE(YEAR(INDEX($AR$5:$AR$1000,$U148-4)),MONTH(INDEX($AR$5:$AR$1000,$U148-4)),1),IF(ISNUMBER(INDEX($AS$5:$AS$1000,$U148-4)),DATE(YEAR(INDEX($AS$5:$AS$1000,$U148-4)),MONTH(INDEX($AS$5:$AS$1000,$U148-4)),1),MesCiclo)),IF(ISNUMBER($AR148),DATE(YEAR($AR148),MONTH($AR148),1),IF(ISNUMBER($AS148),DATE(YEAR($AS148),MONTH($AS148),1),MesCiclo))))</f>
        <v/>
      </c>
      <c r="T148" s="62">
        <f>IF(OR($S148="",$S148&lt;&gt;MesCiclo,$V148&lt;&gt;"Macro"),"",COUNTIFS($S$5:$S148,MesCiclo,$V$5:$V148,"Macro"))</f>
        <v/>
      </c>
      <c r="U148" s="62">
        <f>IF($V148="","",IF($V148="Macro",ROW(),IFERROR(LOOKUP(2,1/($V$5:$V148="Macro"),ROW($V$5:$V148)),0)))</f>
        <v/>
      </c>
      <c r="V148" s="62">
        <f>IF(NOT((COUNTA($B148:$D148)+COUNTA($G148:$H148)+COUNTA($Q148))&gt;0),"",IF($B148="Subactividad","Sub","Macro"))</f>
        <v/>
      </c>
      <c r="W148" s="62">
        <f>IF($V148="Macro",COUNTIFS($U$5:$U$1000,ROW(),$V$5:$V$1000,"Sub"),"")</f>
        <v/>
      </c>
      <c r="X148" s="62">
        <f>IF($V148&lt;&gt;"Sub","",IF(AND(ISNUMBER($H148),N($H148)&gt;0),$H148,IFERROR(MAX(0,1-SUMIFS($H$5:$H$1000,$U$5:$U$1000,$U148,$V$5:$V$1000,"Sub"))/(COUNTIFS($U$5:$U$1000,$U148,$V$5:$V$1000,"Sub")-COUNTIFS($U$5:$U$1000,$U148,$V$5:$V$1000,"Sub",$H$5:$H$1000,"&gt;0")),0)))</f>
        <v/>
      </c>
      <c r="Y148" s="62">
        <f>IF($V148="","",IF($V148="Sub",N($X148)*IF(ISNUMBER($G148),1,MIN(1,MAX(0,IFERROR(LOOKUP(2,1/ISNUMBER($I148:$L148),$I148:$L148),0)))),IF(ISNUMBER($G148),1,IFERROR(LOOKUP(2,1/($I148:$L148&lt;&gt;""),$I148:$L148),0))))</f>
        <v/>
      </c>
      <c r="Z148" s="62">
        <f>IF($V148="","",IF(AND(ISNUMBER($G148),$G148&lt;=IF($S148=MesCiclo,InicioCiclo,$S148+MOD(2-WEEKDAY($S148),7))+6),1,IF(ISNUMBER($I148),$I148,0)))</f>
        <v/>
      </c>
      <c r="AA148" s="62">
        <f>IF($V148="","",IF(AND(ISNUMBER($G148),$G148&lt;=IF($S148=MesCiclo,InicioCiclo,$S148+MOD(2-WEEKDAY($S148),7))+13),1,IF(ISNUMBER($J148),$J148,$Z148)))</f>
        <v/>
      </c>
      <c r="AB148" s="62">
        <f>IF($V148="","",IF(AND(ISNUMBER($G148),$G148&lt;=IF($S148=MesCiclo,InicioCiclo,$S148+MOD(2-WEEKDAY($S148),7))+20),1,IF(ISNUMBER($K148),$K148,$AA148)))</f>
        <v/>
      </c>
      <c r="AC148" s="62">
        <f>IF($V148="","",IF(AND(ISNUMBER($G148),$G148&lt;=IF($S148=MesCiclo,InicioCiclo,$S148+MOD(2-WEEKDAY($S148),7))+27),1,IF(ISNUMBER($L148),$L148,$AB148)))</f>
        <v/>
      </c>
      <c r="AD148" s="62">
        <f>IF($V148&lt;&gt;"Sub","",N($X148)*IF(AND(ISNUMBER($G148),$G148&lt;=IF($S148=MesCiclo,InicioCiclo,$S148+MOD(2-WEEKDAY($S148),7))+6),1,MIN(1,MAX(0,IF(ISNUMBER(OFFSET($A$1,ROW()-1,8)),OFFSET($A$1,ROW()-1,8),0)))))</f>
        <v/>
      </c>
      <c r="AE148" s="62">
        <f>IF($V148&lt;&gt;"Sub","",N($X148)*IF(AND(ISNUMBER($G148),$G148&lt;=IF($S148=MesCiclo,InicioCiclo,$S148+MOD(2-WEEKDAY($S148),7))+13),1,MIN(1,MAX(0,IF(ISNUMBER(OFFSET($A$1,ROW()-1,9)),OFFSET($A$1,ROW()-1,9),IF(ISNUMBER(OFFSET($A$1,ROW()-1,8)),OFFSET($A$1,ROW()-1,8),0))))))</f>
        <v/>
      </c>
      <c r="AF148" s="62">
        <f>IF($V148&lt;&gt;"Sub","",N($X148)*IF(AND(ISNUMBER($G148),$G148&lt;=IF($S148=MesCiclo,InicioCiclo,$S148+MOD(2-WEEKDAY($S148),7))+20),1,MIN(1,MAX(0,IF(ISNUMBER(OFFSET($A$1,ROW()-1,10)),OFFSET($A$1,ROW()-1,10),IF(ISNUMBER(OFFSET($A$1,ROW()-1,9)),OFFSET($A$1,ROW()-1,9),IF(ISNUMBER(OFFSET($A$1,ROW()-1,8)),OFFSET($A$1,ROW()-1,8),0)))))))</f>
        <v/>
      </c>
      <c r="AG148" s="62">
        <f>IF($V148&lt;&gt;"Sub","",N($X148)*IF(AND(ISNUMBER($G148),$G148&lt;=IF($S148=MesCiclo,InicioCiclo,$S148+MOD(2-WEEKDAY($S148),7))+27),1,MIN(1,MAX(0,IF(ISNUMBER(OFFSET($A$1,ROW()-1,11)),OFFSET($A$1,ROW()-1,11),IF(ISNUMBER(OFFSET($A$1,ROW()-1,10)),OFFSET($A$1,ROW()-1,10),IF(ISNUMBER(OFFSET($A$1,ROW()-1,9)),OFFSET($A$1,ROW()-1,9),IF(ISNUMBER(OFFSET($A$1,ROW()-1,8)),OFFSET($A$1,ROW()-1,8),0))))))))</f>
        <v/>
      </c>
      <c r="AH148" s="62">
        <f>IF($V148="","",IF(AND(ISNUMBER($G148),$G148&lt;=IF($S148=MesCiclo,InicioCiclo,$S148+MOD(2-WEEKDAY($S148),7))+6),1,IF(N($W148)&gt;0,MIN(1,SUMIFS($AD$5:$AD$1000,$U$5:$U$1000,ROW(),$V$5:$V$1000,"Sub")),$Z148)))</f>
        <v/>
      </c>
      <c r="AI148" s="62">
        <f>IF($V148="","",IF(AND(ISNUMBER($G148),$G148&lt;=IF($S148=MesCiclo,InicioCiclo,$S148+MOD(2-WEEKDAY($S148),7))+13),1,IF(N($W148)&gt;0,MIN(1,SUMIFS($AE$5:$AE$1000,$U$5:$U$1000,ROW(),$V$5:$V$1000,"Sub")),$AA148)))</f>
        <v/>
      </c>
      <c r="AJ148" s="62">
        <f>IF($V148="","",IF(AND(ISNUMBER($G148),$G148&lt;=IF($S148=MesCiclo,InicioCiclo,$S148+MOD(2-WEEKDAY($S148),7))+20),1,IF(N($W148)&gt;0,MIN(1,SUMIFS($AF$5:$AF$1000,$U$5:$U$1000,ROW(),$V$5:$V$1000,"Sub")),$AB148)))</f>
        <v/>
      </c>
      <c r="AK148" s="62">
        <f>IF($V148="","",IF(AND(ISNUMBER($G148),$G148&lt;=IF($S148=MesCiclo,InicioCiclo,$S148+MOD(2-WEEKDAY($S148),7))+27),1,IF(N($W148)&gt;0,MIN(1,SUMIFS($AG$5:$AG$1000,$U$5:$U$1000,ROW(),$V$5:$V$1000,"Sub")),$AC148)))</f>
        <v/>
      </c>
      <c r="AL148" s="62">
        <f>IF($V148&lt;&gt;"Macro","",IF(COUNTIFS($S$5:$S$1000,$S148,$V$5:$V$1000,"Macro",$H$5:$H$1000,"&gt;0")=0,1/COUNTIFS($S$5:$S$1000,$S148,$V$5:$V$1000,"Macro"),IF(AND(ISNUMBER($H148),N($H148)&gt;0),$H148,SUMIFS($H$5:$H$1000,$S$5:$S$1000,$S148,$V$5:$V$1000,"Macro")/COUNTIFS($S$5:$S$1000,$S148,$V$5:$V$1000,"Macro",$H$5:$H$1000,"&gt;0"))/(COUNTIFS($S$5:$S$1000,$S148,$V$5:$V$1000,"Macro")*SUMIFS($H$5:$H$1000,$S$5:$S$1000,$S148,$V$5:$V$1000,"Macro")/COUNTIFS($S$5:$S$1000,$S148,$V$5:$V$1000,"Macro",$H$5:$H$1000,"&gt;0"))))</f>
        <v/>
      </c>
      <c r="AM148" s="62" t="n"/>
      <c r="AN148" s="62" t="n"/>
      <c r="AO148" s="62" t="n"/>
      <c r="AP148" s="62" t="n"/>
      <c r="AQ148" s="62">
        <f>IF(LEFT($C148,11)="[Jefatura] ",IFERROR(MATCH("Asistente Técnico de Riesgo|"&amp;MID($C148,12,500),rDname_ADM,0),0),"")</f>
        <v/>
      </c>
      <c r="AR148" s="62">
        <f>IF(N($AQ148)&gt;0,INDEX(rIni_ADM,$AQ148),IF(ISNUMBER($E148),$E148,""))</f>
        <v/>
      </c>
      <c r="AS148" s="62">
        <f>IF(N($AQ148)&gt;0,INDEX(rLim_ADM,$AQ148),IF(ISNUMBER($F148),$F148,""))</f>
        <v/>
      </c>
    </row>
    <row r="149">
      <c r="A149" s="56">
        <f>IF(NOT((COUNTA($B149:$D149)+COUNTA($G149:$H149)+COUNTA($Q149))&gt;0),"",IF($V149="Macro",COUNTIFS($V$5:$V149,"Macro",$S$5:$S149,$S149),IF(N($U149)=0,"?",COUNTIFS(INDEX($V$5:$V$1000,1):INDEX($V$5:$V$1000,$U149-4),"Macro",INDEX($S$5:$S$1000,1):INDEX($S$5:$S$1000,$U149-4),INDEX($S$5:$S$1000,$U149-4))&amp;"."&amp;COUNTIFS($U$5:$U149,$U149,$V$5:$V149,"Sub"))))</f>
        <v/>
      </c>
      <c r="B149" s="57" t="n"/>
      <c r="C149" s="58" t="n"/>
      <c r="D149" s="58" t="n"/>
      <c r="E149" s="59">
        <f>IF(N($AQ149)&gt;0,INDEX(rIni_ADM,$AQ149),"")</f>
        <v/>
      </c>
      <c r="F149" s="59">
        <f>IF(N($AQ149)&gt;0,INDEX(rLim_ADM,$AQ149),"")</f>
        <v/>
      </c>
      <c r="G149" s="59" t="n"/>
      <c r="H149" s="60" t="n"/>
      <c r="I149" s="60">
        <f>IF(N($W149)=0,"",IF(AND($S149=MesCiclo,1&gt;SemanaActual),"",MIN(1,SUMIFS(OFFSET($A$1,ROW(),29,1000-ROW(),1),OFFSET($A$1,ROW(),20,1000-ROW(),1),ROW(),OFFSET($A$1,ROW(),21,1000-ROW(),1),"Sub"))))</f>
        <v/>
      </c>
      <c r="J149" s="60">
        <f>IF(N($W149)=0,"",IF(AND($S149=MesCiclo,2&gt;SemanaActual),"",MIN(1,SUMIFS(OFFSET($A$1,ROW(),30,1000-ROW(),1),OFFSET($A$1,ROW(),20,1000-ROW(),1),ROW(),OFFSET($A$1,ROW(),21,1000-ROW(),1),"Sub"))))</f>
        <v/>
      </c>
      <c r="K149" s="60">
        <f>IF(N($W149)=0,"",IF(AND($S149=MesCiclo,3&gt;SemanaActual),"",MIN(1,SUMIFS(OFFSET($A$1,ROW(),31,1000-ROW(),1),OFFSET($A$1,ROW(),20,1000-ROW(),1),ROW(),OFFSET($A$1,ROW(),21,1000-ROW(),1),"Sub"))))</f>
        <v/>
      </c>
      <c r="L149" s="60">
        <f>IF(N($W149)=0,"",IF(AND($S149=MesCiclo,4&gt;SemanaActual),"",MIN(1,SUMIFS(OFFSET($A$1,ROW(),32,1000-ROW(),1),OFFSET($A$1,ROW(),20,1000-ROW(),1),ROW(),OFFSET($A$1,ROW(),21,1000-ROW(),1),"Sub"))))</f>
        <v/>
      </c>
      <c r="M149" s="61">
        <f>IF(OR(NOT((COUNTA($B149:$D149)+COUNTA($G149:$H149)+COUNTA($Q149))&gt;0),$V149="Sub"),"",IF(ISNUMBER($G149),1,IF(N($W149)&gt;0,MIN(1,SUMIFS($Y$5:$Y$1000,$U$5:$U$1000,ROW(),$V$5:$V$1000,"Sub")),$Y149)))</f>
        <v/>
      </c>
      <c r="N149" s="56">
        <f>IF(OR($M149="",$V149="Sub"),"",IF($M149&gt;=1,"Completado",IF($M149&gt;0,"En curso","Pendiente")))</f>
        <v/>
      </c>
      <c r="O149" s="56">
        <f>IF(OR(NOT((COUNTA($B149:$D149)+COUNTA($G149:$H149)+COUNTA($Q149))&gt;0),$V149="Sub"),"",IF(ISNUMBER($G149),IF(AND(ISNUMBER($AS149),$G149&gt;$AS149),"Cumplida con "&amp;($G149-$AS149)&amp;IF($G149-$AS149=1," día"," días")&amp;" de retraso","Cumplida"),IF(N($M149)&gt;=1,"Cumplida",IF(NOT(ISNUMBER($AS149)),"Sin fecha límite",IF($AS149&lt;FechaRef,"Vencida hace "&amp;(FechaRef-$AS149)&amp;IF(FechaRef-$AS149=1," día"," días"),IF($AS149=FechaRef,"Vence hoy",IF($AS149-FechaRef&lt;=DiasAlerta,"Vence en "&amp;($AS149-FechaRef)&amp;IF($AS149-FechaRef=1," día"," días"),"En plazo")))))))</f>
        <v/>
      </c>
      <c r="P149" s="62" t="n"/>
      <c r="Q149" s="58" t="n"/>
      <c r="R149" s="63">
        <f>IF(NOT((COUNTA($B149:$D149)+COUNTA($G149:$H149)+COUNTA($Q149))&gt;0),"",IF((IF($C149="","Falta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 OK","⚠ "&amp;LEFT(IF($C149="","Falta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",""),LEN(IF($C149="","Falta el nombre de la actividad"&amp;" · ","")&amp;IF(AND($V149="Sub",N($U149)=0),"Subactividad sin macroactividad arriba"&amp;" · ","")&amp;IF(AND($V149="Macro",$AR149=""),"Sin fecha de inicio"&amp;" · ","")&amp;IF(AND($V149="Macro",$AS149=""),"Sin fecha límite"&amp;" · ","")&amp;IF(AND(LEFT($C149,11)="[Jefatura] ",N($AQ149)=0),"No se encuentra en la hoja de la jefatura (elíjala de nuevo en la lista)"&amp;" · ","")&amp;IF(OR(AND($E149&lt;&gt;"",NOT(ISNUMBER($E149))),AND($F149&lt;&gt;"",NOT(ISNUMBER($F149))),AND($G149&lt;&gt;"",NOT(ISNUMBER($G149)))),"Fecha no válida"&amp;" · ","")&amp;IF(AND(ISNUMBER($AR149),ISNUMBER($AS149),$AR149&gt;$AS149),"Inicio posterior a fecha límite"&amp;" · ","")&amp;IF(AND($V149="Macro",$H149&lt;&gt;"",OR(NOT(ISNUMBER($H149)),$H149&lt;0,$H149&gt;1)),"Peso fuera de rango"&amp;" · ","")&amp;IF(AND($V149="Sub",$H149&lt;&gt;"",OR(NOT(ISNUMBER($H149)),$H149&lt;0,$H149&gt;1)),"% de la subactividad fuera de rango 0-100%"&amp;" · ","")&amp;IF(AND(N($W149)&gt;0,SUMIFS($H$5:$H$1000,$U$5:$U$1000,ROW(),$V$5:$V$1000,"Sub")&gt;1.0001),"Las subactividades suman más de 100%"&amp;" · ","")&amp;IF(AND(N($W149)&gt;0,OR(IF(ISNUMBER($I149),ROUND($I149,6)&lt;&gt;ROUND(MIN(1,SUMIFS($AD$5:$AD$1000,$U$5:$U$1000,ROW(),$V$5:$V$1000,"Sub")),6),FALSE),IF(ISNUMBER($J149),ROUND($J149,6)&lt;&gt;ROUND(MIN(1,SUMIFS($AE$5:$AE$1000,$U$5:$U$1000,ROW(),$V$5:$V$1000,"Sub")),6),FALSE),IF(ISNUMBER($K149),ROUND($K149,6)&lt;&gt;ROUND(MIN(1,SUMIFS($AF$5:$AF$1000,$U$5:$U$1000,ROW(),$V$5:$V$1000,"Sub")),6),FALSE),IF(ISNUMBER($L149),ROUND($L149,6)&lt;&gt;ROUND(MIN(1,SUMIFS($AG$5:$AG$1000,$U$5:$U$1000,ROW(),$V$5:$V$1000,"Sub")),6),FALSE))),"Con subactividades: no escriba en las semanas (se llenan solas)"&amp;" · ","")&amp;IF((COUNTIF($I149:$L149,"&gt;1")+COUNTIF($I149:$L149,"&lt;0")+SUMPRODUCT((LEN($I149:$L149)&gt;0)*NOT(ISNUMBER($I149:$L149))))&gt;0,"Avance fuera de rango 0-100%"&amp;" · ","")&amp;IF(OR(AND(ISNUMBER($J149),$J149&lt;N($I149)),AND(ISNUMBER($K149),$K149&lt;MAX($I149:$J149)),AND(ISNUMBER($L149),$L149&lt;MAX($I149:$K149))),"Avance semanal decreciente"&amp;" · ","")&amp;IF(AND(ISNUMBER($AS149),$AS149&lt;FechaRef,IF($V149="Sub",1,N($M149))&lt;1),"Vencida"&amp;" · ","")&amp;IF(AND(ObsObligatoria="Sí",ISNUMBER($AS149),$AS149&lt;FechaRef,IF($V149="Sub",1,N($M149))&lt;1,$Q149=""),"Vencida sin observación"&amp;" · ",""))-3)))</f>
        <v/>
      </c>
      <c r="S149" s="64">
        <f>IF(NOT((COUNTA($B149:$D149)+COUNTA($G149:$H149)+COUNTA($Q149))&gt;0),"",IF(AND($V149="Sub",N($U149)&gt;0),IF(ISNUMBER(INDEX($AR$5:$AR$1000,$U149-4)),DATE(YEAR(INDEX($AR$5:$AR$1000,$U149-4)),MONTH(INDEX($AR$5:$AR$1000,$U149-4)),1),IF(ISNUMBER(INDEX($AS$5:$AS$1000,$U149-4)),DATE(YEAR(INDEX($AS$5:$AS$1000,$U149-4)),MONTH(INDEX($AS$5:$AS$1000,$U149-4)),1),MesCiclo)),IF(ISNUMBER($AR149),DATE(YEAR($AR149),MONTH($AR149),1),IF(ISNUMBER($AS149),DATE(YEAR($AS149),MONTH($AS149),1),MesCiclo))))</f>
        <v/>
      </c>
      <c r="T149" s="62">
        <f>IF(OR($S149="",$S149&lt;&gt;MesCiclo,$V149&lt;&gt;"Macro"),"",COUNTIFS($S$5:$S149,MesCiclo,$V$5:$V149,"Macro"))</f>
        <v/>
      </c>
      <c r="U149" s="62">
        <f>IF($V149="","",IF($V149="Macro",ROW(),IFERROR(LOOKUP(2,1/($V$5:$V149="Macro"),ROW($V$5:$V149)),0)))</f>
        <v/>
      </c>
      <c r="V149" s="62">
        <f>IF(NOT((COUNTA($B149:$D149)+COUNTA($G149:$H149)+COUNTA($Q149))&gt;0),"",IF($B149="Subactividad","Sub","Macro"))</f>
        <v/>
      </c>
      <c r="W149" s="62">
        <f>IF($V149="Macro",COUNTIFS($U$5:$U$1000,ROW(),$V$5:$V$1000,"Sub"),"")</f>
        <v/>
      </c>
      <c r="X149" s="62">
        <f>IF($V149&lt;&gt;"Sub","",IF(AND(ISNUMBER($H149),N($H149)&gt;0),$H149,IFERROR(MAX(0,1-SUMIFS($H$5:$H$1000,$U$5:$U$1000,$U149,$V$5:$V$1000,"Sub"))/(COUNTIFS($U$5:$U$1000,$U149,$V$5:$V$1000,"Sub")-COUNTIFS($U$5:$U$1000,$U149,$V$5:$V$1000,"Sub",$H$5:$H$1000,"&gt;0")),0)))</f>
        <v/>
      </c>
      <c r="Y149" s="62">
        <f>IF($V149="","",IF($V149="Sub",N($X149)*IF(ISNUMBER($G149),1,MIN(1,MAX(0,IFERROR(LOOKUP(2,1/ISNUMBER($I149:$L149),$I149:$L149),0)))),IF(ISNUMBER($G149),1,IFERROR(LOOKUP(2,1/($I149:$L149&lt;&gt;""),$I149:$L149),0))))</f>
        <v/>
      </c>
      <c r="Z149" s="62">
        <f>IF($V149="","",IF(AND(ISNUMBER($G149),$G149&lt;=IF($S149=MesCiclo,InicioCiclo,$S149+MOD(2-WEEKDAY($S149),7))+6),1,IF(ISNUMBER($I149),$I149,0)))</f>
        <v/>
      </c>
      <c r="AA149" s="62">
        <f>IF($V149="","",IF(AND(ISNUMBER($G149),$G149&lt;=IF($S149=MesCiclo,InicioCiclo,$S149+MOD(2-WEEKDAY($S149),7))+13),1,IF(ISNUMBER($J149),$J149,$Z149)))</f>
        <v/>
      </c>
      <c r="AB149" s="62">
        <f>IF($V149="","",IF(AND(ISNUMBER($G149),$G149&lt;=IF($S149=MesCiclo,InicioCiclo,$S149+MOD(2-WEEKDAY($S149),7))+20),1,IF(ISNUMBER($K149),$K149,$AA149)))</f>
        <v/>
      </c>
      <c r="AC149" s="62">
        <f>IF($V149="","",IF(AND(ISNUMBER($G149),$G149&lt;=IF($S149=MesCiclo,InicioCiclo,$S149+MOD(2-WEEKDAY($S149),7))+27),1,IF(ISNUMBER($L149),$L149,$AB149)))</f>
        <v/>
      </c>
      <c r="AD149" s="62">
        <f>IF($V149&lt;&gt;"Sub","",N($X149)*IF(AND(ISNUMBER($G149),$G149&lt;=IF($S149=MesCiclo,InicioCiclo,$S149+MOD(2-WEEKDAY($S149),7))+6),1,MIN(1,MAX(0,IF(ISNUMBER(OFFSET($A$1,ROW()-1,8)),OFFSET($A$1,ROW()-1,8),0)))))</f>
        <v/>
      </c>
      <c r="AE149" s="62">
        <f>IF($V149&lt;&gt;"Sub","",N($X149)*IF(AND(ISNUMBER($G149),$G149&lt;=IF($S149=MesCiclo,InicioCiclo,$S149+MOD(2-WEEKDAY($S149),7))+13),1,MIN(1,MAX(0,IF(ISNUMBER(OFFSET($A$1,ROW()-1,9)),OFFSET($A$1,ROW()-1,9),IF(ISNUMBER(OFFSET($A$1,ROW()-1,8)),OFFSET($A$1,ROW()-1,8),0))))))</f>
        <v/>
      </c>
      <c r="AF149" s="62">
        <f>IF($V149&lt;&gt;"Sub","",N($X149)*IF(AND(ISNUMBER($G149),$G149&lt;=IF($S149=MesCiclo,InicioCiclo,$S149+MOD(2-WEEKDAY($S149),7))+20),1,MIN(1,MAX(0,IF(ISNUMBER(OFFSET($A$1,ROW()-1,10)),OFFSET($A$1,ROW()-1,10),IF(ISNUMBER(OFFSET($A$1,ROW()-1,9)),OFFSET($A$1,ROW()-1,9),IF(ISNUMBER(OFFSET($A$1,ROW()-1,8)),OFFSET($A$1,ROW()-1,8),0)))))))</f>
        <v/>
      </c>
      <c r="AG149" s="62">
        <f>IF($V149&lt;&gt;"Sub","",N($X149)*IF(AND(ISNUMBER($G149),$G149&lt;=IF($S149=MesCiclo,InicioCiclo,$S149+MOD(2-WEEKDAY($S149),7))+27),1,MIN(1,MAX(0,IF(ISNUMBER(OFFSET($A$1,ROW()-1,11)),OFFSET($A$1,ROW()-1,11),IF(ISNUMBER(OFFSET($A$1,ROW()-1,10)),OFFSET($A$1,ROW()-1,10),IF(ISNUMBER(OFFSET($A$1,ROW()-1,9)),OFFSET($A$1,ROW()-1,9),IF(ISNUMBER(OFFSET($A$1,ROW()-1,8)),OFFSET($A$1,ROW()-1,8),0))))))))</f>
        <v/>
      </c>
      <c r="AH149" s="62">
        <f>IF($V149="","",IF(AND(ISNUMBER($G149),$G149&lt;=IF($S149=MesCiclo,InicioCiclo,$S149+MOD(2-WEEKDAY($S149),7))+6),1,IF(N($W149)&gt;0,MIN(1,SUMIFS($AD$5:$AD$1000,$U$5:$U$1000,ROW(),$V$5:$V$1000,"Sub")),$Z149)))</f>
        <v/>
      </c>
      <c r="AI149" s="62">
        <f>IF($V149="","",IF(AND(ISNUMBER($G149),$G149&lt;=IF($S149=MesCiclo,InicioCiclo,$S149+MOD(2-WEEKDAY($S149),7))+13),1,IF(N($W149)&gt;0,MIN(1,SUMIFS($AE$5:$AE$1000,$U$5:$U$1000,ROW(),$V$5:$V$1000,"Sub")),$AA149)))</f>
        <v/>
      </c>
      <c r="AJ149" s="62">
        <f>IF($V149="","",IF(AND(ISNUMBER($G149),$G149&lt;=IF($S149=MesCiclo,InicioCiclo,$S149+MOD(2-WEEKDAY($S149),7))+20),1,IF(N($W149)&gt;0,MIN(1,SUMIFS($AF$5:$AF$1000,$U$5:$U$1000,ROW(),$V$5:$V$1000,"Sub")),$AB149)))</f>
        <v/>
      </c>
      <c r="AK149" s="62">
        <f>IF($V149="","",IF(AND(ISNUMBER($G149),$G149&lt;=IF($S149=MesCiclo,InicioCiclo,$S149+MOD(2-WEEKDAY($S149),7))+27),1,IF(N($W149)&gt;0,MIN(1,SUMIFS($AG$5:$AG$1000,$U$5:$U$1000,ROW(),$V$5:$V$1000,"Sub")),$AC149)))</f>
        <v/>
      </c>
      <c r="AL149" s="62">
        <f>IF($V149&lt;&gt;"Macro","",IF(COUNTIFS($S$5:$S$1000,$S149,$V$5:$V$1000,"Macro",$H$5:$H$1000,"&gt;0")=0,1/COUNTIFS($S$5:$S$1000,$S149,$V$5:$V$1000,"Macro"),IF(AND(ISNUMBER($H149),N($H149)&gt;0),$H149,SUMIFS($H$5:$H$1000,$S$5:$S$1000,$S149,$V$5:$V$1000,"Macro")/COUNTIFS($S$5:$S$1000,$S149,$V$5:$V$1000,"Macro",$H$5:$H$1000,"&gt;0"))/(COUNTIFS($S$5:$S$1000,$S149,$V$5:$V$1000,"Macro")*SUMIFS($H$5:$H$1000,$S$5:$S$1000,$S149,$V$5:$V$1000,"Macro")/COUNTIFS($S$5:$S$1000,$S149,$V$5:$V$1000,"Macro",$H$5:$H$1000,"&gt;0"))))</f>
        <v/>
      </c>
      <c r="AM149" s="62" t="n"/>
      <c r="AN149" s="62" t="n"/>
      <c r="AO149" s="62" t="n"/>
      <c r="AP149" s="62" t="n"/>
      <c r="AQ149" s="62">
        <f>IF(LEFT($C149,11)="[Jefatura] ",IFERROR(MATCH("Asistente Técnico de Riesgo|"&amp;MID($C149,12,500),rDname_ADM,0),0),"")</f>
        <v/>
      </c>
      <c r="AR149" s="62">
        <f>IF(N($AQ149)&gt;0,INDEX(rIni_ADM,$AQ149),IF(ISNUMBER($E149),$E149,""))</f>
        <v/>
      </c>
      <c r="AS149" s="62">
        <f>IF(N($AQ149)&gt;0,INDEX(rLim_ADM,$AQ149),IF(ISNUMBER($F149),$F149,""))</f>
        <v/>
      </c>
    </row>
    <row r="150">
      <c r="A150" s="56">
        <f>IF(NOT((COUNTA($B150:$D150)+COUNTA($G150:$H150)+COUNTA($Q150))&gt;0),"",IF($V150="Macro",COUNTIFS($V$5:$V150,"Macro",$S$5:$S150,$S150),IF(N($U150)=0,"?",COUNTIFS(INDEX($V$5:$V$1000,1):INDEX($V$5:$V$1000,$U150-4),"Macro",INDEX($S$5:$S$1000,1):INDEX($S$5:$S$1000,$U150-4),INDEX($S$5:$S$1000,$U150-4))&amp;"."&amp;COUNTIFS($U$5:$U150,$U150,$V$5:$V150,"Sub"))))</f>
        <v/>
      </c>
      <c r="B150" s="57" t="n"/>
      <c r="C150" s="58" t="n"/>
      <c r="D150" s="58" t="n"/>
      <c r="E150" s="59">
        <f>IF(N($AQ150)&gt;0,INDEX(rIni_ADM,$AQ150),"")</f>
        <v/>
      </c>
      <c r="F150" s="59">
        <f>IF(N($AQ150)&gt;0,INDEX(rLim_ADM,$AQ150),"")</f>
        <v/>
      </c>
      <c r="G150" s="59" t="n"/>
      <c r="H150" s="60" t="n"/>
      <c r="I150" s="60">
        <f>IF(N($W150)=0,"",IF(AND($S150=MesCiclo,1&gt;SemanaActual),"",MIN(1,SUMIFS(OFFSET($A$1,ROW(),29,1000-ROW(),1),OFFSET($A$1,ROW(),20,1000-ROW(),1),ROW(),OFFSET($A$1,ROW(),21,1000-ROW(),1),"Sub"))))</f>
        <v/>
      </c>
      <c r="J150" s="60">
        <f>IF(N($W150)=0,"",IF(AND($S150=MesCiclo,2&gt;SemanaActual),"",MIN(1,SUMIFS(OFFSET($A$1,ROW(),30,1000-ROW(),1),OFFSET($A$1,ROW(),20,1000-ROW(),1),ROW(),OFFSET($A$1,ROW(),21,1000-ROW(),1),"Sub"))))</f>
        <v/>
      </c>
      <c r="K150" s="60">
        <f>IF(N($W150)=0,"",IF(AND($S150=MesCiclo,3&gt;SemanaActual),"",MIN(1,SUMIFS(OFFSET($A$1,ROW(),31,1000-ROW(),1),OFFSET($A$1,ROW(),20,1000-ROW(),1),ROW(),OFFSET($A$1,ROW(),21,1000-ROW(),1),"Sub"))))</f>
        <v/>
      </c>
      <c r="L150" s="60">
        <f>IF(N($W150)=0,"",IF(AND($S150=MesCiclo,4&gt;SemanaActual),"",MIN(1,SUMIFS(OFFSET($A$1,ROW(),32,1000-ROW(),1),OFFSET($A$1,ROW(),20,1000-ROW(),1),ROW(),OFFSET($A$1,ROW(),21,1000-ROW(),1),"Sub"))))</f>
        <v/>
      </c>
      <c r="M150" s="61">
        <f>IF(OR(NOT((COUNTA($B150:$D150)+COUNTA($G150:$H150)+COUNTA($Q150))&gt;0),$V150="Sub"),"",IF(ISNUMBER($G150),1,IF(N($W150)&gt;0,MIN(1,SUMIFS($Y$5:$Y$1000,$U$5:$U$1000,ROW(),$V$5:$V$1000,"Sub")),$Y150)))</f>
        <v/>
      </c>
      <c r="N150" s="56">
        <f>IF(OR($M150="",$V150="Sub"),"",IF($M150&gt;=1,"Completado",IF($M150&gt;0,"En curso","Pendiente")))</f>
        <v/>
      </c>
      <c r="O150" s="56">
        <f>IF(OR(NOT((COUNTA($B150:$D150)+COUNTA($G150:$H150)+COUNTA($Q150))&gt;0),$V150="Sub"),"",IF(ISNUMBER($G150),IF(AND(ISNUMBER($AS150),$G150&gt;$AS150),"Cumplida con "&amp;($G150-$AS150)&amp;IF($G150-$AS150=1," día"," días")&amp;" de retraso","Cumplida"),IF(N($M150)&gt;=1,"Cumplida",IF(NOT(ISNUMBER($AS150)),"Sin fecha límite",IF($AS150&lt;FechaRef,"Vencida hace "&amp;(FechaRef-$AS150)&amp;IF(FechaRef-$AS150=1," día"," días"),IF($AS150=FechaRef,"Vence hoy",IF($AS150-FechaRef&lt;=DiasAlerta,"Vence en "&amp;($AS150-FechaRef)&amp;IF($AS150-FechaRef=1," día"," días"),"En plazo")))))))</f>
        <v/>
      </c>
      <c r="P150" s="62" t="n"/>
      <c r="Q150" s="58" t="n"/>
      <c r="R150" s="63">
        <f>IF(NOT((COUNTA($B150:$D150)+COUNTA($G150:$H150)+COUNTA($Q150))&gt;0),"",IF((IF($C150="","Falta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 OK","⚠ "&amp;LEFT(IF($C150="","Falta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",""),LEN(IF($C150="","Falta el nombre de la actividad"&amp;" · ","")&amp;IF(AND($V150="Sub",N($U150)=0),"Subactividad sin macroactividad arriba"&amp;" · ","")&amp;IF(AND($V150="Macro",$AR150=""),"Sin fecha de inicio"&amp;" · ","")&amp;IF(AND($V150="Macro",$AS150=""),"Sin fecha límite"&amp;" · ","")&amp;IF(AND(LEFT($C150,11)="[Jefatura] ",N($AQ150)=0),"No se encuentra en la hoja de la jefatura (elíjala de nuevo en la lista)"&amp;" · ","")&amp;IF(OR(AND($E150&lt;&gt;"",NOT(ISNUMBER($E150))),AND($F150&lt;&gt;"",NOT(ISNUMBER($F150))),AND($G150&lt;&gt;"",NOT(ISNUMBER($G150)))),"Fecha no válida"&amp;" · ","")&amp;IF(AND(ISNUMBER($AR150),ISNUMBER($AS150),$AR150&gt;$AS150),"Inicio posterior a fecha límite"&amp;" · ","")&amp;IF(AND($V150="Macro",$H150&lt;&gt;"",OR(NOT(ISNUMBER($H150)),$H150&lt;0,$H150&gt;1)),"Peso fuera de rango"&amp;" · ","")&amp;IF(AND($V150="Sub",$H150&lt;&gt;"",OR(NOT(ISNUMBER($H150)),$H150&lt;0,$H150&gt;1)),"% de la subactividad fuera de rango 0-100%"&amp;" · ","")&amp;IF(AND(N($W150)&gt;0,SUMIFS($H$5:$H$1000,$U$5:$U$1000,ROW(),$V$5:$V$1000,"Sub")&gt;1.0001),"Las subactividades suman más de 100%"&amp;" · ","")&amp;IF(AND(N($W150)&gt;0,OR(IF(ISNUMBER($I150),ROUND($I150,6)&lt;&gt;ROUND(MIN(1,SUMIFS($AD$5:$AD$1000,$U$5:$U$1000,ROW(),$V$5:$V$1000,"Sub")),6),FALSE),IF(ISNUMBER($J150),ROUND($J150,6)&lt;&gt;ROUND(MIN(1,SUMIFS($AE$5:$AE$1000,$U$5:$U$1000,ROW(),$V$5:$V$1000,"Sub")),6),FALSE),IF(ISNUMBER($K150),ROUND($K150,6)&lt;&gt;ROUND(MIN(1,SUMIFS($AF$5:$AF$1000,$U$5:$U$1000,ROW(),$V$5:$V$1000,"Sub")),6),FALSE),IF(ISNUMBER($L150),ROUND($L150,6)&lt;&gt;ROUND(MIN(1,SUMIFS($AG$5:$AG$1000,$U$5:$U$1000,ROW(),$V$5:$V$1000,"Sub")),6),FALSE))),"Con subactividades: no escriba en las semanas (se llenan solas)"&amp;" · ","")&amp;IF((COUNTIF($I150:$L150,"&gt;1")+COUNTIF($I150:$L150,"&lt;0")+SUMPRODUCT((LEN($I150:$L150)&gt;0)*NOT(ISNUMBER($I150:$L150))))&gt;0,"Avance fuera de rango 0-100%"&amp;" · ","")&amp;IF(OR(AND(ISNUMBER($J150),$J150&lt;N($I150)),AND(ISNUMBER($K150),$K150&lt;MAX($I150:$J150)),AND(ISNUMBER($L150),$L150&lt;MAX($I150:$K150))),"Avance semanal decreciente"&amp;" · ","")&amp;IF(AND(ISNUMBER($AS150),$AS150&lt;FechaRef,IF($V150="Sub",1,N($M150))&lt;1),"Vencida"&amp;" · ","")&amp;IF(AND(ObsObligatoria="Sí",ISNUMBER($AS150),$AS150&lt;FechaRef,IF($V150="Sub",1,N($M150))&lt;1,$Q150=""),"Vencida sin observación"&amp;" · ",""))-3)))</f>
        <v/>
      </c>
      <c r="S150" s="64">
        <f>IF(NOT((COUNTA($B150:$D150)+COUNTA($G150:$H150)+COUNTA($Q150))&gt;0),"",IF(AND($V150="Sub",N($U150)&gt;0),IF(ISNUMBER(INDEX($AR$5:$AR$1000,$U150-4)),DATE(YEAR(INDEX($AR$5:$AR$1000,$U150-4)),MONTH(INDEX($AR$5:$AR$1000,$U150-4)),1),IF(ISNUMBER(INDEX($AS$5:$AS$1000,$U150-4)),DATE(YEAR(INDEX($AS$5:$AS$1000,$U150-4)),MONTH(INDEX($AS$5:$AS$1000,$U150-4)),1),MesCiclo)),IF(ISNUMBER($AR150),DATE(YEAR($AR150),MONTH($AR150),1),IF(ISNUMBER($AS150),DATE(YEAR($AS150),MONTH($AS150),1),MesCiclo))))</f>
        <v/>
      </c>
      <c r="T150" s="62">
        <f>IF(OR($S150="",$S150&lt;&gt;MesCiclo,$V150&lt;&gt;"Macro"),"",COUNTIFS($S$5:$S150,MesCiclo,$V$5:$V150,"Macro"))</f>
        <v/>
      </c>
      <c r="U150" s="62">
        <f>IF($V150="","",IF($V150="Macro",ROW(),IFERROR(LOOKUP(2,1/($V$5:$V150="Macro"),ROW($V$5:$V150)),0)))</f>
        <v/>
      </c>
      <c r="V150" s="62">
        <f>IF(NOT((COUNTA($B150:$D150)+COUNTA($G150:$H150)+COUNTA($Q150))&gt;0),"",IF($B150="Subactividad","Sub","Macro"))</f>
        <v/>
      </c>
      <c r="W150" s="62">
        <f>IF($V150="Macro",COUNTIFS($U$5:$U$1000,ROW(),$V$5:$V$1000,"Sub"),"")</f>
        <v/>
      </c>
      <c r="X150" s="62">
        <f>IF($V150&lt;&gt;"Sub","",IF(AND(ISNUMBER($H150),N($H150)&gt;0),$H150,IFERROR(MAX(0,1-SUMIFS($H$5:$H$1000,$U$5:$U$1000,$U150,$V$5:$V$1000,"Sub"))/(COUNTIFS($U$5:$U$1000,$U150,$V$5:$V$1000,"Sub")-COUNTIFS($U$5:$U$1000,$U150,$V$5:$V$1000,"Sub",$H$5:$H$1000,"&gt;0")),0)))</f>
        <v/>
      </c>
      <c r="Y150" s="62">
        <f>IF($V150="","",IF($V150="Sub",N($X150)*IF(ISNUMBER($G150),1,MIN(1,MAX(0,IFERROR(LOOKUP(2,1/ISNUMBER($I150:$L150),$I150:$L150),0)))),IF(ISNUMBER($G150),1,IFERROR(LOOKUP(2,1/($I150:$L150&lt;&gt;""),$I150:$L150),0))))</f>
        <v/>
      </c>
      <c r="Z150" s="62">
        <f>IF($V150="","",IF(AND(ISNUMBER($G150),$G150&lt;=IF($S150=MesCiclo,InicioCiclo,$S150+MOD(2-WEEKDAY($S150),7))+6),1,IF(ISNUMBER($I150),$I150,0)))</f>
        <v/>
      </c>
      <c r="AA150" s="62">
        <f>IF($V150="","",IF(AND(ISNUMBER($G150),$G150&lt;=IF($S150=MesCiclo,InicioCiclo,$S150+MOD(2-WEEKDAY($S150),7))+13),1,IF(ISNUMBER($J150),$J150,$Z150)))</f>
        <v/>
      </c>
      <c r="AB150" s="62">
        <f>IF($V150="","",IF(AND(ISNUMBER($G150),$G150&lt;=IF($S150=MesCiclo,InicioCiclo,$S150+MOD(2-WEEKDAY($S150),7))+20),1,IF(ISNUMBER($K150),$K150,$AA150)))</f>
        <v/>
      </c>
      <c r="AC150" s="62">
        <f>IF($V150="","",IF(AND(ISNUMBER($G150),$G150&lt;=IF($S150=MesCiclo,InicioCiclo,$S150+MOD(2-WEEKDAY($S150),7))+27),1,IF(ISNUMBER($L150),$L150,$AB150)))</f>
        <v/>
      </c>
      <c r="AD150" s="62">
        <f>IF($V150&lt;&gt;"Sub","",N($X150)*IF(AND(ISNUMBER($G150),$G150&lt;=IF($S150=MesCiclo,InicioCiclo,$S150+MOD(2-WEEKDAY($S150),7))+6),1,MIN(1,MAX(0,IF(ISNUMBER(OFFSET($A$1,ROW()-1,8)),OFFSET($A$1,ROW()-1,8),0)))))</f>
        <v/>
      </c>
      <c r="AE150" s="62">
        <f>IF($V150&lt;&gt;"Sub","",N($X150)*IF(AND(ISNUMBER($G150),$G150&lt;=IF($S150=MesCiclo,InicioCiclo,$S150+MOD(2-WEEKDAY($S150),7))+13),1,MIN(1,MAX(0,IF(ISNUMBER(OFFSET($A$1,ROW()-1,9)),OFFSET($A$1,ROW()-1,9),IF(ISNUMBER(OFFSET($A$1,ROW()-1,8)),OFFSET($A$1,ROW()-1,8),0))))))</f>
        <v/>
      </c>
      <c r="AF150" s="62">
        <f>IF($V150&lt;&gt;"Sub","",N($X150)*IF(AND(ISNUMBER($G150),$G150&lt;=IF($S150=MesCiclo,InicioCiclo,$S150+MOD(2-WEEKDAY($S150),7))+20),1,MIN(1,MAX(0,IF(ISNUMBER(OFFSET($A$1,ROW()-1,10)),OFFSET($A$1,ROW()-1,10),IF(ISNUMBER(OFFSET($A$1,ROW()-1,9)),OFFSET($A$1,ROW()-1,9),IF(ISNUMBER(OFFSET($A$1,ROW()-1,8)),OFFSET($A$1,ROW()-1,8),0)))))))</f>
        <v/>
      </c>
      <c r="AG150" s="62">
        <f>IF($V150&lt;&gt;"Sub","",N($X150)*IF(AND(ISNUMBER($G150),$G150&lt;=IF($S150=MesCiclo,InicioCiclo,$S150+MOD(2-WEEKDAY($S150),7))+27),1,MIN(1,MAX(0,IF(ISNUMBER(OFFSET($A$1,ROW()-1,11)),OFFSET($A$1,ROW()-1,11),IF(ISNUMBER(OFFSET($A$1,ROW()-1,10)),OFFSET($A$1,ROW()-1,10),IF(ISNUMBER(OFFSET($A$1,ROW()-1,9)),OFFSET($A$1,ROW()-1,9),IF(ISNUMBER(OFFSET($A$1,ROW()-1,8)),OFFSET($A$1,ROW()-1,8),0))))))))</f>
        <v/>
      </c>
      <c r="AH150" s="62">
        <f>IF($V150="","",IF(AND(ISNUMBER($G150),$G150&lt;=IF($S150=MesCiclo,InicioCiclo,$S150+MOD(2-WEEKDAY($S150),7))+6),1,IF(N($W150)&gt;0,MIN(1,SUMIFS($AD$5:$AD$1000,$U$5:$U$1000,ROW(),$V$5:$V$1000,"Sub")),$Z150)))</f>
        <v/>
      </c>
      <c r="AI150" s="62">
        <f>IF($V150="","",IF(AND(ISNUMBER($G150),$G150&lt;=IF($S150=MesCiclo,InicioCiclo,$S150+MOD(2-WEEKDAY($S150),7))+13),1,IF(N($W150)&gt;0,MIN(1,SUMIFS($AE$5:$AE$1000,$U$5:$U$1000,ROW(),$V$5:$V$1000,"Sub")),$AA150)))</f>
        <v/>
      </c>
      <c r="AJ150" s="62">
        <f>IF($V150="","",IF(AND(ISNUMBER($G150),$G150&lt;=IF($S150=MesCiclo,InicioCiclo,$S150+MOD(2-WEEKDAY($S150),7))+20),1,IF(N($W150)&gt;0,MIN(1,SUMIFS($AF$5:$AF$1000,$U$5:$U$1000,ROW(),$V$5:$V$1000,"Sub")),$AB150)))</f>
        <v/>
      </c>
      <c r="AK150" s="62">
        <f>IF($V150="","",IF(AND(ISNUMBER($G150),$G150&lt;=IF($S150=MesCiclo,InicioCiclo,$S150+MOD(2-WEEKDAY($S150),7))+27),1,IF(N($W150)&gt;0,MIN(1,SUMIFS($AG$5:$AG$1000,$U$5:$U$1000,ROW(),$V$5:$V$1000,"Sub")),$AC150)))</f>
        <v/>
      </c>
      <c r="AL150" s="62">
        <f>IF($V150&lt;&gt;"Macro","",IF(COUNTIFS($S$5:$S$1000,$S150,$V$5:$V$1000,"Macro",$H$5:$H$1000,"&gt;0")=0,1/COUNTIFS($S$5:$S$1000,$S150,$V$5:$V$1000,"Macro"),IF(AND(ISNUMBER($H150),N($H150)&gt;0),$H150,SUMIFS($H$5:$H$1000,$S$5:$S$1000,$S150,$V$5:$V$1000,"Macro")/COUNTIFS($S$5:$S$1000,$S150,$V$5:$V$1000,"Macro",$H$5:$H$1000,"&gt;0"))/(COUNTIFS($S$5:$S$1000,$S150,$V$5:$V$1000,"Macro")*SUMIFS($H$5:$H$1000,$S$5:$S$1000,$S150,$V$5:$V$1000,"Macro")/COUNTIFS($S$5:$S$1000,$S150,$V$5:$V$1000,"Macro",$H$5:$H$1000,"&gt;0"))))</f>
        <v/>
      </c>
      <c r="AM150" s="62" t="n"/>
      <c r="AN150" s="62" t="n"/>
      <c r="AO150" s="62" t="n"/>
      <c r="AP150" s="62" t="n"/>
      <c r="AQ150" s="62">
        <f>IF(LEFT($C150,11)="[Jefatura] ",IFERROR(MATCH("Asistente Técnico de Riesgo|"&amp;MID($C150,12,500),rDname_ADM,0),0),"")</f>
        <v/>
      </c>
      <c r="AR150" s="62">
        <f>IF(N($AQ150)&gt;0,INDEX(rIni_ADM,$AQ150),IF(ISNUMBER($E150),$E150,""))</f>
        <v/>
      </c>
      <c r="AS150" s="62">
        <f>IF(N($AQ150)&gt;0,INDEX(rLim_ADM,$AQ150),IF(ISNUMBER($F150),$F150,""))</f>
        <v/>
      </c>
    </row>
    <row r="151">
      <c r="A151" s="56">
        <f>IF(NOT((COUNTA($B151:$D151)+COUNTA($G151:$H151)+COUNTA($Q151))&gt;0),"",IF($V151="Macro",COUNTIFS($V$5:$V151,"Macro",$S$5:$S151,$S151),IF(N($U151)=0,"?",COUNTIFS(INDEX($V$5:$V$1000,1):INDEX($V$5:$V$1000,$U151-4),"Macro",INDEX($S$5:$S$1000,1):INDEX($S$5:$S$1000,$U151-4),INDEX($S$5:$S$1000,$U151-4))&amp;"."&amp;COUNTIFS($U$5:$U151,$U151,$V$5:$V151,"Sub"))))</f>
        <v/>
      </c>
      <c r="B151" s="57" t="n"/>
      <c r="C151" s="58" t="n"/>
      <c r="D151" s="58" t="n"/>
      <c r="E151" s="59">
        <f>IF(N($AQ151)&gt;0,INDEX(rIni_ADM,$AQ151),"")</f>
        <v/>
      </c>
      <c r="F151" s="59">
        <f>IF(N($AQ151)&gt;0,INDEX(rLim_ADM,$AQ151),"")</f>
        <v/>
      </c>
      <c r="G151" s="59" t="n"/>
      <c r="H151" s="60" t="n"/>
      <c r="I151" s="60">
        <f>IF(N($W151)=0,"",IF(AND($S151=MesCiclo,1&gt;SemanaActual),"",MIN(1,SUMIFS(OFFSET($A$1,ROW(),29,1000-ROW(),1),OFFSET($A$1,ROW(),20,1000-ROW(),1),ROW(),OFFSET($A$1,ROW(),21,1000-ROW(),1),"Sub"))))</f>
        <v/>
      </c>
      <c r="J151" s="60">
        <f>IF(N($W151)=0,"",IF(AND($S151=MesCiclo,2&gt;SemanaActual),"",MIN(1,SUMIFS(OFFSET($A$1,ROW(),30,1000-ROW(),1),OFFSET($A$1,ROW(),20,1000-ROW(),1),ROW(),OFFSET($A$1,ROW(),21,1000-ROW(),1),"Sub"))))</f>
        <v/>
      </c>
      <c r="K151" s="60">
        <f>IF(N($W151)=0,"",IF(AND($S151=MesCiclo,3&gt;SemanaActual),"",MIN(1,SUMIFS(OFFSET($A$1,ROW(),31,1000-ROW(),1),OFFSET($A$1,ROW(),20,1000-ROW(),1),ROW(),OFFSET($A$1,ROW(),21,1000-ROW(),1),"Sub"))))</f>
        <v/>
      </c>
      <c r="L151" s="60">
        <f>IF(N($W151)=0,"",IF(AND($S151=MesCiclo,4&gt;SemanaActual),"",MIN(1,SUMIFS(OFFSET($A$1,ROW(),32,1000-ROW(),1),OFFSET($A$1,ROW(),20,1000-ROW(),1),ROW(),OFFSET($A$1,ROW(),21,1000-ROW(),1),"Sub"))))</f>
        <v/>
      </c>
      <c r="M151" s="61">
        <f>IF(OR(NOT((COUNTA($B151:$D151)+COUNTA($G151:$H151)+COUNTA($Q151))&gt;0),$V151="Sub"),"",IF(ISNUMBER($G151),1,IF(N($W151)&gt;0,MIN(1,SUMIFS($Y$5:$Y$1000,$U$5:$U$1000,ROW(),$V$5:$V$1000,"Sub")),$Y151)))</f>
        <v/>
      </c>
      <c r="N151" s="56">
        <f>IF(OR($M151="",$V151="Sub"),"",IF($M151&gt;=1,"Completado",IF($M151&gt;0,"En curso","Pendiente")))</f>
        <v/>
      </c>
      <c r="O151" s="56">
        <f>IF(OR(NOT((COUNTA($B151:$D151)+COUNTA($G151:$H151)+COUNTA($Q151))&gt;0),$V151="Sub"),"",IF(ISNUMBER($G151),IF(AND(ISNUMBER($AS151),$G151&gt;$AS151),"Cumplida con "&amp;($G151-$AS151)&amp;IF($G151-$AS151=1," día"," días")&amp;" de retraso","Cumplida"),IF(N($M151)&gt;=1,"Cumplida",IF(NOT(ISNUMBER($AS151)),"Sin fecha límite",IF($AS151&lt;FechaRef,"Vencida hace "&amp;(FechaRef-$AS151)&amp;IF(FechaRef-$AS151=1," día"," días"),IF($AS151=FechaRef,"Vence hoy",IF($AS151-FechaRef&lt;=DiasAlerta,"Vence en "&amp;($AS151-FechaRef)&amp;IF($AS151-FechaRef=1," día"," días"),"En plazo")))))))</f>
        <v/>
      </c>
      <c r="P151" s="62" t="n"/>
      <c r="Q151" s="58" t="n"/>
      <c r="R151" s="63">
        <f>IF(NOT((COUNTA($B151:$D151)+COUNTA($G151:$H151)+COUNTA($Q151))&gt;0),"",IF((IF($C151="","Falta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 OK","⚠ "&amp;LEFT(IF($C151="","Falta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",""),LEN(IF($C151="","Falta el nombre de la actividad"&amp;" · ","")&amp;IF(AND($V151="Sub",N($U151)=0),"Subactividad sin macroactividad arriba"&amp;" · ","")&amp;IF(AND($V151="Macro",$AR151=""),"Sin fecha de inicio"&amp;" · ","")&amp;IF(AND($V151="Macro",$AS151=""),"Sin fecha límite"&amp;" · ","")&amp;IF(AND(LEFT($C151,11)="[Jefatura] ",N($AQ151)=0),"No se encuentra en la hoja de la jefatura (elíjala de nuevo en la lista)"&amp;" · ","")&amp;IF(OR(AND($E151&lt;&gt;"",NOT(ISNUMBER($E151))),AND($F151&lt;&gt;"",NOT(ISNUMBER($F151))),AND($G151&lt;&gt;"",NOT(ISNUMBER($G151)))),"Fecha no válida"&amp;" · ","")&amp;IF(AND(ISNUMBER($AR151),ISNUMBER($AS151),$AR151&gt;$AS151),"Inicio posterior a fecha límite"&amp;" · ","")&amp;IF(AND($V151="Macro",$H151&lt;&gt;"",OR(NOT(ISNUMBER($H151)),$H151&lt;0,$H151&gt;1)),"Peso fuera de rango"&amp;" · ","")&amp;IF(AND($V151="Sub",$H151&lt;&gt;"",OR(NOT(ISNUMBER($H151)),$H151&lt;0,$H151&gt;1)),"% de la subactividad fuera de rango 0-100%"&amp;" · ","")&amp;IF(AND(N($W151)&gt;0,SUMIFS($H$5:$H$1000,$U$5:$U$1000,ROW(),$V$5:$V$1000,"Sub")&gt;1.0001),"Las subactividades suman más de 100%"&amp;" · ","")&amp;IF(AND(N($W151)&gt;0,OR(IF(ISNUMBER($I151),ROUND($I151,6)&lt;&gt;ROUND(MIN(1,SUMIFS($AD$5:$AD$1000,$U$5:$U$1000,ROW(),$V$5:$V$1000,"Sub")),6),FALSE),IF(ISNUMBER($J151),ROUND($J151,6)&lt;&gt;ROUND(MIN(1,SUMIFS($AE$5:$AE$1000,$U$5:$U$1000,ROW(),$V$5:$V$1000,"Sub")),6),FALSE),IF(ISNUMBER($K151),ROUND($K151,6)&lt;&gt;ROUND(MIN(1,SUMIFS($AF$5:$AF$1000,$U$5:$U$1000,ROW(),$V$5:$V$1000,"Sub")),6),FALSE),IF(ISNUMBER($L151),ROUND($L151,6)&lt;&gt;ROUND(MIN(1,SUMIFS($AG$5:$AG$1000,$U$5:$U$1000,ROW(),$V$5:$V$1000,"Sub")),6),FALSE))),"Con subactividades: no escriba en las semanas (se llenan solas)"&amp;" · ","")&amp;IF((COUNTIF($I151:$L151,"&gt;1")+COUNTIF($I151:$L151,"&lt;0")+SUMPRODUCT((LEN($I151:$L151)&gt;0)*NOT(ISNUMBER($I151:$L151))))&gt;0,"Avance fuera de rango 0-100%"&amp;" · ","")&amp;IF(OR(AND(ISNUMBER($J151),$J151&lt;N($I151)),AND(ISNUMBER($K151),$K151&lt;MAX($I151:$J151)),AND(ISNUMBER($L151),$L151&lt;MAX($I151:$K151))),"Avance semanal decreciente"&amp;" · ","")&amp;IF(AND(ISNUMBER($AS151),$AS151&lt;FechaRef,IF($V151="Sub",1,N($M151))&lt;1),"Vencida"&amp;" · ","")&amp;IF(AND(ObsObligatoria="Sí",ISNUMBER($AS151),$AS151&lt;FechaRef,IF($V151="Sub",1,N($M151))&lt;1,$Q151=""),"Vencida sin observación"&amp;" · ",""))-3)))</f>
        <v/>
      </c>
      <c r="S151" s="64">
        <f>IF(NOT((COUNTA($B151:$D151)+COUNTA($G151:$H151)+COUNTA($Q151))&gt;0),"",IF(AND($V151="Sub",N($U151)&gt;0),IF(ISNUMBER(INDEX($AR$5:$AR$1000,$U151-4)),DATE(YEAR(INDEX($AR$5:$AR$1000,$U151-4)),MONTH(INDEX($AR$5:$AR$1000,$U151-4)),1),IF(ISNUMBER(INDEX($AS$5:$AS$1000,$U151-4)),DATE(YEAR(INDEX($AS$5:$AS$1000,$U151-4)),MONTH(INDEX($AS$5:$AS$1000,$U151-4)),1),MesCiclo)),IF(ISNUMBER($AR151),DATE(YEAR($AR151),MONTH($AR151),1),IF(ISNUMBER($AS151),DATE(YEAR($AS151),MONTH($AS151),1),MesCiclo))))</f>
        <v/>
      </c>
      <c r="T151" s="62">
        <f>IF(OR($S151="",$S151&lt;&gt;MesCiclo,$V151&lt;&gt;"Macro"),"",COUNTIFS($S$5:$S151,MesCiclo,$V$5:$V151,"Macro"))</f>
        <v/>
      </c>
      <c r="U151" s="62">
        <f>IF($V151="","",IF($V151="Macro",ROW(),IFERROR(LOOKUP(2,1/($V$5:$V151="Macro"),ROW($V$5:$V151)),0)))</f>
        <v/>
      </c>
      <c r="V151" s="62">
        <f>IF(NOT((COUNTA($B151:$D151)+COUNTA($G151:$H151)+COUNTA($Q151))&gt;0),"",IF($B151="Subactividad","Sub","Macro"))</f>
        <v/>
      </c>
      <c r="W151" s="62">
        <f>IF($V151="Macro",COUNTIFS($U$5:$U$1000,ROW(),$V$5:$V$1000,"Sub"),"")</f>
        <v/>
      </c>
      <c r="X151" s="62">
        <f>IF($V151&lt;&gt;"Sub","",IF(AND(ISNUMBER($H151),N($H151)&gt;0),$H151,IFERROR(MAX(0,1-SUMIFS($H$5:$H$1000,$U$5:$U$1000,$U151,$V$5:$V$1000,"Sub"))/(COUNTIFS($U$5:$U$1000,$U151,$V$5:$V$1000,"Sub")-COUNTIFS($U$5:$U$1000,$U151,$V$5:$V$1000,"Sub",$H$5:$H$1000,"&gt;0")),0)))</f>
        <v/>
      </c>
      <c r="Y151" s="62">
        <f>IF($V151="","",IF($V151="Sub",N($X151)*IF(ISNUMBER($G151),1,MIN(1,MAX(0,IFERROR(LOOKUP(2,1/ISNUMBER($I151:$L151),$I151:$L151),0)))),IF(ISNUMBER($G151),1,IFERROR(LOOKUP(2,1/($I151:$L151&lt;&gt;""),$I151:$L151),0))))</f>
        <v/>
      </c>
      <c r="Z151" s="62">
        <f>IF($V151="","",IF(AND(ISNUMBER($G151),$G151&lt;=IF($S151=MesCiclo,InicioCiclo,$S151+MOD(2-WEEKDAY($S151),7))+6),1,IF(ISNUMBER($I151),$I151,0)))</f>
        <v/>
      </c>
      <c r="AA151" s="62">
        <f>IF($V151="","",IF(AND(ISNUMBER($G151),$G151&lt;=IF($S151=MesCiclo,InicioCiclo,$S151+MOD(2-WEEKDAY($S151),7))+13),1,IF(ISNUMBER($J151),$J151,$Z151)))</f>
        <v/>
      </c>
      <c r="AB151" s="62">
        <f>IF($V151="","",IF(AND(ISNUMBER($G151),$G151&lt;=IF($S151=MesCiclo,InicioCiclo,$S151+MOD(2-WEEKDAY($S151),7))+20),1,IF(ISNUMBER($K151),$K151,$AA151)))</f>
        <v/>
      </c>
      <c r="AC151" s="62">
        <f>IF($V151="","",IF(AND(ISNUMBER($G151),$G151&lt;=IF($S151=MesCiclo,InicioCiclo,$S151+MOD(2-WEEKDAY($S151),7))+27),1,IF(ISNUMBER($L151),$L151,$AB151)))</f>
        <v/>
      </c>
      <c r="AD151" s="62">
        <f>IF($V151&lt;&gt;"Sub","",N($X151)*IF(AND(ISNUMBER($G151),$G151&lt;=IF($S151=MesCiclo,InicioCiclo,$S151+MOD(2-WEEKDAY($S151),7))+6),1,MIN(1,MAX(0,IF(ISNUMBER(OFFSET($A$1,ROW()-1,8)),OFFSET($A$1,ROW()-1,8),0)))))</f>
        <v/>
      </c>
      <c r="AE151" s="62">
        <f>IF($V151&lt;&gt;"Sub","",N($X151)*IF(AND(ISNUMBER($G151),$G151&lt;=IF($S151=MesCiclo,InicioCiclo,$S151+MOD(2-WEEKDAY($S151),7))+13),1,MIN(1,MAX(0,IF(ISNUMBER(OFFSET($A$1,ROW()-1,9)),OFFSET($A$1,ROW()-1,9),IF(ISNUMBER(OFFSET($A$1,ROW()-1,8)),OFFSET($A$1,ROW()-1,8),0))))))</f>
        <v/>
      </c>
      <c r="AF151" s="62">
        <f>IF($V151&lt;&gt;"Sub","",N($X151)*IF(AND(ISNUMBER($G151),$G151&lt;=IF($S151=MesCiclo,InicioCiclo,$S151+MOD(2-WEEKDAY($S151),7))+20),1,MIN(1,MAX(0,IF(ISNUMBER(OFFSET($A$1,ROW()-1,10)),OFFSET($A$1,ROW()-1,10),IF(ISNUMBER(OFFSET($A$1,ROW()-1,9)),OFFSET($A$1,ROW()-1,9),IF(ISNUMBER(OFFSET($A$1,ROW()-1,8)),OFFSET($A$1,ROW()-1,8),0)))))))</f>
        <v/>
      </c>
      <c r="AG151" s="62">
        <f>IF($V151&lt;&gt;"Sub","",N($X151)*IF(AND(ISNUMBER($G151),$G151&lt;=IF($S151=MesCiclo,InicioCiclo,$S151+MOD(2-WEEKDAY($S151),7))+27),1,MIN(1,MAX(0,IF(ISNUMBER(OFFSET($A$1,ROW()-1,11)),OFFSET($A$1,ROW()-1,11),IF(ISNUMBER(OFFSET($A$1,ROW()-1,10)),OFFSET($A$1,ROW()-1,10),IF(ISNUMBER(OFFSET($A$1,ROW()-1,9)),OFFSET($A$1,ROW()-1,9),IF(ISNUMBER(OFFSET($A$1,ROW()-1,8)),OFFSET($A$1,ROW()-1,8),0))))))))</f>
        <v/>
      </c>
      <c r="AH151" s="62">
        <f>IF($V151="","",IF(AND(ISNUMBER($G151),$G151&lt;=IF($S151=MesCiclo,InicioCiclo,$S151+MOD(2-WEEKDAY($S151),7))+6),1,IF(N($W151)&gt;0,MIN(1,SUMIFS($AD$5:$AD$1000,$U$5:$U$1000,ROW(),$V$5:$V$1000,"Sub")),$Z151)))</f>
        <v/>
      </c>
      <c r="AI151" s="62">
        <f>IF($V151="","",IF(AND(ISNUMBER($G151),$G151&lt;=IF($S151=MesCiclo,InicioCiclo,$S151+MOD(2-WEEKDAY($S151),7))+13),1,IF(N($W151)&gt;0,MIN(1,SUMIFS($AE$5:$AE$1000,$U$5:$U$1000,ROW(),$V$5:$V$1000,"Sub")),$AA151)))</f>
        <v/>
      </c>
      <c r="AJ151" s="62">
        <f>IF($V151="","",IF(AND(ISNUMBER($G151),$G151&lt;=IF($S151=MesCiclo,InicioCiclo,$S151+MOD(2-WEEKDAY($S151),7))+20),1,IF(N($W151)&gt;0,MIN(1,SUMIFS($AF$5:$AF$1000,$U$5:$U$1000,ROW(),$V$5:$V$1000,"Sub")),$AB151)))</f>
        <v/>
      </c>
      <c r="AK151" s="62">
        <f>IF($V151="","",IF(AND(ISNUMBER($G151),$G151&lt;=IF($S151=MesCiclo,InicioCiclo,$S151+MOD(2-WEEKDAY($S151),7))+27),1,IF(N($W151)&gt;0,MIN(1,SUMIFS($AG$5:$AG$1000,$U$5:$U$1000,ROW(),$V$5:$V$1000,"Sub")),$AC151)))</f>
        <v/>
      </c>
      <c r="AL151" s="62">
        <f>IF($V151&lt;&gt;"Macro","",IF(COUNTIFS($S$5:$S$1000,$S151,$V$5:$V$1000,"Macro",$H$5:$H$1000,"&gt;0")=0,1/COUNTIFS($S$5:$S$1000,$S151,$V$5:$V$1000,"Macro"),IF(AND(ISNUMBER($H151),N($H151)&gt;0),$H151,SUMIFS($H$5:$H$1000,$S$5:$S$1000,$S151,$V$5:$V$1000,"Macro")/COUNTIFS($S$5:$S$1000,$S151,$V$5:$V$1000,"Macro",$H$5:$H$1000,"&gt;0"))/(COUNTIFS($S$5:$S$1000,$S151,$V$5:$V$1000,"Macro")*SUMIFS($H$5:$H$1000,$S$5:$S$1000,$S151,$V$5:$V$1000,"Macro")/COUNTIFS($S$5:$S$1000,$S151,$V$5:$V$1000,"Macro",$H$5:$H$1000,"&gt;0"))))</f>
        <v/>
      </c>
      <c r="AM151" s="62" t="n"/>
      <c r="AN151" s="62" t="n"/>
      <c r="AO151" s="62" t="n"/>
      <c r="AP151" s="62" t="n"/>
      <c r="AQ151" s="62">
        <f>IF(LEFT($C151,11)="[Jefatura] ",IFERROR(MATCH("Asistente Técnico de Riesgo|"&amp;MID($C151,12,500),rDname_ADM,0),0),"")</f>
        <v/>
      </c>
      <c r="AR151" s="62">
        <f>IF(N($AQ151)&gt;0,INDEX(rIni_ADM,$AQ151),IF(ISNUMBER($E151),$E151,""))</f>
        <v/>
      </c>
      <c r="AS151" s="62">
        <f>IF(N($AQ151)&gt;0,INDEX(rLim_ADM,$AQ151),IF(ISNUMBER($F151),$F151,""))</f>
        <v/>
      </c>
    </row>
    <row r="152">
      <c r="A152" s="56">
        <f>IF(NOT((COUNTA($B152:$D152)+COUNTA($G152:$H152)+COUNTA($Q152))&gt;0),"",IF($V152="Macro",COUNTIFS($V$5:$V152,"Macro",$S$5:$S152,$S152),IF(N($U152)=0,"?",COUNTIFS(INDEX($V$5:$V$1000,1):INDEX($V$5:$V$1000,$U152-4),"Macro",INDEX($S$5:$S$1000,1):INDEX($S$5:$S$1000,$U152-4),INDEX($S$5:$S$1000,$U152-4))&amp;"."&amp;COUNTIFS($U$5:$U152,$U152,$V$5:$V152,"Sub"))))</f>
        <v/>
      </c>
      <c r="B152" s="57" t="n"/>
      <c r="C152" s="58" t="n"/>
      <c r="D152" s="58" t="n"/>
      <c r="E152" s="59">
        <f>IF(N($AQ152)&gt;0,INDEX(rIni_ADM,$AQ152),"")</f>
        <v/>
      </c>
      <c r="F152" s="59">
        <f>IF(N($AQ152)&gt;0,INDEX(rLim_ADM,$AQ152),"")</f>
        <v/>
      </c>
      <c r="G152" s="59" t="n"/>
      <c r="H152" s="60" t="n"/>
      <c r="I152" s="60">
        <f>IF(N($W152)=0,"",IF(AND($S152=MesCiclo,1&gt;SemanaActual),"",MIN(1,SUMIFS(OFFSET($A$1,ROW(),29,1000-ROW(),1),OFFSET($A$1,ROW(),20,1000-ROW(),1),ROW(),OFFSET($A$1,ROW(),21,1000-ROW(),1),"Sub"))))</f>
        <v/>
      </c>
      <c r="J152" s="60">
        <f>IF(N($W152)=0,"",IF(AND($S152=MesCiclo,2&gt;SemanaActual),"",MIN(1,SUMIFS(OFFSET($A$1,ROW(),30,1000-ROW(),1),OFFSET($A$1,ROW(),20,1000-ROW(),1),ROW(),OFFSET($A$1,ROW(),21,1000-ROW(),1),"Sub"))))</f>
        <v/>
      </c>
      <c r="K152" s="60">
        <f>IF(N($W152)=0,"",IF(AND($S152=MesCiclo,3&gt;SemanaActual),"",MIN(1,SUMIFS(OFFSET($A$1,ROW(),31,1000-ROW(),1),OFFSET($A$1,ROW(),20,1000-ROW(),1),ROW(),OFFSET($A$1,ROW(),21,1000-ROW(),1),"Sub"))))</f>
        <v/>
      </c>
      <c r="L152" s="60">
        <f>IF(N($W152)=0,"",IF(AND($S152=MesCiclo,4&gt;SemanaActual),"",MIN(1,SUMIFS(OFFSET($A$1,ROW(),32,1000-ROW(),1),OFFSET($A$1,ROW(),20,1000-ROW(),1),ROW(),OFFSET($A$1,ROW(),21,1000-ROW(),1),"Sub"))))</f>
        <v/>
      </c>
      <c r="M152" s="61">
        <f>IF(OR(NOT((COUNTA($B152:$D152)+COUNTA($G152:$H152)+COUNTA($Q152))&gt;0),$V152="Sub"),"",IF(ISNUMBER($G152),1,IF(N($W152)&gt;0,MIN(1,SUMIFS($Y$5:$Y$1000,$U$5:$U$1000,ROW(),$V$5:$V$1000,"Sub")),$Y152)))</f>
        <v/>
      </c>
      <c r="N152" s="56">
        <f>IF(OR($M152="",$V152="Sub"),"",IF($M152&gt;=1,"Completado",IF($M152&gt;0,"En curso","Pendiente")))</f>
        <v/>
      </c>
      <c r="O152" s="56">
        <f>IF(OR(NOT((COUNTA($B152:$D152)+COUNTA($G152:$H152)+COUNTA($Q152))&gt;0),$V152="Sub"),"",IF(ISNUMBER($G152),IF(AND(ISNUMBER($AS152),$G152&gt;$AS152),"Cumplida con "&amp;($G152-$AS152)&amp;IF($G152-$AS152=1," día"," días")&amp;" de retraso","Cumplida"),IF(N($M152)&gt;=1,"Cumplida",IF(NOT(ISNUMBER($AS152)),"Sin fecha límite",IF($AS152&lt;FechaRef,"Vencida hace "&amp;(FechaRef-$AS152)&amp;IF(FechaRef-$AS152=1," día"," días"),IF($AS152=FechaRef,"Vence hoy",IF($AS152-FechaRef&lt;=DiasAlerta,"Vence en "&amp;($AS152-FechaRef)&amp;IF($AS152-FechaRef=1," día"," días"),"En plazo")))))))</f>
        <v/>
      </c>
      <c r="P152" s="62" t="n"/>
      <c r="Q152" s="58" t="n"/>
      <c r="R152" s="63">
        <f>IF(NOT((COUNTA($B152:$D152)+COUNTA($G152:$H152)+COUNTA($Q152))&gt;0),"",IF((IF($C152="","Falta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 OK","⚠ "&amp;LEFT(IF($C152="","Falta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",""),LEN(IF($C152="","Falta el nombre de la actividad"&amp;" · ","")&amp;IF(AND($V152="Sub",N($U152)=0),"Subactividad sin macroactividad arriba"&amp;" · ","")&amp;IF(AND($V152="Macro",$AR152=""),"Sin fecha de inicio"&amp;" · ","")&amp;IF(AND($V152="Macro",$AS152=""),"Sin fecha límite"&amp;" · ","")&amp;IF(AND(LEFT($C152,11)="[Jefatura] ",N($AQ152)=0),"No se encuentra en la hoja de la jefatura (elíjala de nuevo en la lista)"&amp;" · ","")&amp;IF(OR(AND($E152&lt;&gt;"",NOT(ISNUMBER($E152))),AND($F152&lt;&gt;"",NOT(ISNUMBER($F152))),AND($G152&lt;&gt;"",NOT(ISNUMBER($G152)))),"Fecha no válida"&amp;" · ","")&amp;IF(AND(ISNUMBER($AR152),ISNUMBER($AS152),$AR152&gt;$AS152),"Inicio posterior a fecha límite"&amp;" · ","")&amp;IF(AND($V152="Macro",$H152&lt;&gt;"",OR(NOT(ISNUMBER($H152)),$H152&lt;0,$H152&gt;1)),"Peso fuera de rango"&amp;" · ","")&amp;IF(AND($V152="Sub",$H152&lt;&gt;"",OR(NOT(ISNUMBER($H152)),$H152&lt;0,$H152&gt;1)),"% de la subactividad fuera de rango 0-100%"&amp;" · ","")&amp;IF(AND(N($W152)&gt;0,SUMIFS($H$5:$H$1000,$U$5:$U$1000,ROW(),$V$5:$V$1000,"Sub")&gt;1.0001),"Las subactividades suman más de 100%"&amp;" · ","")&amp;IF(AND(N($W152)&gt;0,OR(IF(ISNUMBER($I152),ROUND($I152,6)&lt;&gt;ROUND(MIN(1,SUMIFS($AD$5:$AD$1000,$U$5:$U$1000,ROW(),$V$5:$V$1000,"Sub")),6),FALSE),IF(ISNUMBER($J152),ROUND($J152,6)&lt;&gt;ROUND(MIN(1,SUMIFS($AE$5:$AE$1000,$U$5:$U$1000,ROW(),$V$5:$V$1000,"Sub")),6),FALSE),IF(ISNUMBER($K152),ROUND($K152,6)&lt;&gt;ROUND(MIN(1,SUMIFS($AF$5:$AF$1000,$U$5:$U$1000,ROW(),$V$5:$V$1000,"Sub")),6),FALSE),IF(ISNUMBER($L152),ROUND($L152,6)&lt;&gt;ROUND(MIN(1,SUMIFS($AG$5:$AG$1000,$U$5:$U$1000,ROW(),$V$5:$V$1000,"Sub")),6),FALSE))),"Con subactividades: no escriba en las semanas (se llenan solas)"&amp;" · ","")&amp;IF((COUNTIF($I152:$L152,"&gt;1")+COUNTIF($I152:$L152,"&lt;0")+SUMPRODUCT((LEN($I152:$L152)&gt;0)*NOT(ISNUMBER($I152:$L152))))&gt;0,"Avance fuera de rango 0-100%"&amp;" · ","")&amp;IF(OR(AND(ISNUMBER($J152),$J152&lt;N($I152)),AND(ISNUMBER($K152),$K152&lt;MAX($I152:$J152)),AND(ISNUMBER($L152),$L152&lt;MAX($I152:$K152))),"Avance semanal decreciente"&amp;" · ","")&amp;IF(AND(ISNUMBER($AS152),$AS152&lt;FechaRef,IF($V152="Sub",1,N($M152))&lt;1),"Vencida"&amp;" · ","")&amp;IF(AND(ObsObligatoria="Sí",ISNUMBER($AS152),$AS152&lt;FechaRef,IF($V152="Sub",1,N($M152))&lt;1,$Q152=""),"Vencida sin observación"&amp;" · ",""))-3)))</f>
        <v/>
      </c>
      <c r="S152" s="64">
        <f>IF(NOT((COUNTA($B152:$D152)+COUNTA($G152:$H152)+COUNTA($Q152))&gt;0),"",IF(AND($V152="Sub",N($U152)&gt;0),IF(ISNUMBER(INDEX($AR$5:$AR$1000,$U152-4)),DATE(YEAR(INDEX($AR$5:$AR$1000,$U152-4)),MONTH(INDEX($AR$5:$AR$1000,$U152-4)),1),IF(ISNUMBER(INDEX($AS$5:$AS$1000,$U152-4)),DATE(YEAR(INDEX($AS$5:$AS$1000,$U152-4)),MONTH(INDEX($AS$5:$AS$1000,$U152-4)),1),MesCiclo)),IF(ISNUMBER($AR152),DATE(YEAR($AR152),MONTH($AR152),1),IF(ISNUMBER($AS152),DATE(YEAR($AS152),MONTH($AS152),1),MesCiclo))))</f>
        <v/>
      </c>
      <c r="T152" s="62">
        <f>IF(OR($S152="",$S152&lt;&gt;MesCiclo,$V152&lt;&gt;"Macro"),"",COUNTIFS($S$5:$S152,MesCiclo,$V$5:$V152,"Macro"))</f>
        <v/>
      </c>
      <c r="U152" s="62">
        <f>IF($V152="","",IF($V152="Macro",ROW(),IFERROR(LOOKUP(2,1/($V$5:$V152="Macro"),ROW($V$5:$V152)),0)))</f>
        <v/>
      </c>
      <c r="V152" s="62">
        <f>IF(NOT((COUNTA($B152:$D152)+COUNTA($G152:$H152)+COUNTA($Q152))&gt;0),"",IF($B152="Subactividad","Sub","Macro"))</f>
        <v/>
      </c>
      <c r="W152" s="62">
        <f>IF($V152="Macro",COUNTIFS($U$5:$U$1000,ROW(),$V$5:$V$1000,"Sub"),"")</f>
        <v/>
      </c>
      <c r="X152" s="62">
        <f>IF($V152&lt;&gt;"Sub","",IF(AND(ISNUMBER($H152),N($H152)&gt;0),$H152,IFERROR(MAX(0,1-SUMIFS($H$5:$H$1000,$U$5:$U$1000,$U152,$V$5:$V$1000,"Sub"))/(COUNTIFS($U$5:$U$1000,$U152,$V$5:$V$1000,"Sub")-COUNTIFS($U$5:$U$1000,$U152,$V$5:$V$1000,"Sub",$H$5:$H$1000,"&gt;0")),0)))</f>
        <v/>
      </c>
      <c r="Y152" s="62">
        <f>IF($V152="","",IF($V152="Sub",N($X152)*IF(ISNUMBER($G152),1,MIN(1,MAX(0,IFERROR(LOOKUP(2,1/ISNUMBER($I152:$L152),$I152:$L152),0)))),IF(ISNUMBER($G152),1,IFERROR(LOOKUP(2,1/($I152:$L152&lt;&gt;""),$I152:$L152),0))))</f>
        <v/>
      </c>
      <c r="Z152" s="62">
        <f>IF($V152="","",IF(AND(ISNUMBER($G152),$G152&lt;=IF($S152=MesCiclo,InicioCiclo,$S152+MOD(2-WEEKDAY($S152),7))+6),1,IF(ISNUMBER($I152),$I152,0)))</f>
        <v/>
      </c>
      <c r="AA152" s="62">
        <f>IF($V152="","",IF(AND(ISNUMBER($G152),$G152&lt;=IF($S152=MesCiclo,InicioCiclo,$S152+MOD(2-WEEKDAY($S152),7))+13),1,IF(ISNUMBER($J152),$J152,$Z152)))</f>
        <v/>
      </c>
      <c r="AB152" s="62">
        <f>IF($V152="","",IF(AND(ISNUMBER($G152),$G152&lt;=IF($S152=MesCiclo,InicioCiclo,$S152+MOD(2-WEEKDAY($S152),7))+20),1,IF(ISNUMBER($K152),$K152,$AA152)))</f>
        <v/>
      </c>
      <c r="AC152" s="62">
        <f>IF($V152="","",IF(AND(ISNUMBER($G152),$G152&lt;=IF($S152=MesCiclo,InicioCiclo,$S152+MOD(2-WEEKDAY($S152),7))+27),1,IF(ISNUMBER($L152),$L152,$AB152)))</f>
        <v/>
      </c>
      <c r="AD152" s="62">
        <f>IF($V152&lt;&gt;"Sub","",N($X152)*IF(AND(ISNUMBER($G152),$G152&lt;=IF($S152=MesCiclo,InicioCiclo,$S152+MOD(2-WEEKDAY($S152),7))+6),1,MIN(1,MAX(0,IF(ISNUMBER(OFFSET($A$1,ROW()-1,8)),OFFSET($A$1,ROW()-1,8),0)))))</f>
        <v/>
      </c>
      <c r="AE152" s="62">
        <f>IF($V152&lt;&gt;"Sub","",N($X152)*IF(AND(ISNUMBER($G152),$G152&lt;=IF($S152=MesCiclo,InicioCiclo,$S152+MOD(2-WEEKDAY($S152),7))+13),1,MIN(1,MAX(0,IF(ISNUMBER(OFFSET($A$1,ROW()-1,9)),OFFSET($A$1,ROW()-1,9),IF(ISNUMBER(OFFSET($A$1,ROW()-1,8)),OFFSET($A$1,ROW()-1,8),0))))))</f>
        <v/>
      </c>
      <c r="AF152" s="62">
        <f>IF($V152&lt;&gt;"Sub","",N($X152)*IF(AND(ISNUMBER($G152),$G152&lt;=IF($S152=MesCiclo,InicioCiclo,$S152+MOD(2-WEEKDAY($S152),7))+20),1,MIN(1,MAX(0,IF(ISNUMBER(OFFSET($A$1,ROW()-1,10)),OFFSET($A$1,ROW()-1,10),IF(ISNUMBER(OFFSET($A$1,ROW()-1,9)),OFFSET($A$1,ROW()-1,9),IF(ISNUMBER(OFFSET($A$1,ROW()-1,8)),OFFSET($A$1,ROW()-1,8),0)))))))</f>
        <v/>
      </c>
      <c r="AG152" s="62">
        <f>IF($V152&lt;&gt;"Sub","",N($X152)*IF(AND(ISNUMBER($G152),$G152&lt;=IF($S152=MesCiclo,InicioCiclo,$S152+MOD(2-WEEKDAY($S152),7))+27),1,MIN(1,MAX(0,IF(ISNUMBER(OFFSET($A$1,ROW()-1,11)),OFFSET($A$1,ROW()-1,11),IF(ISNUMBER(OFFSET($A$1,ROW()-1,10)),OFFSET($A$1,ROW()-1,10),IF(ISNUMBER(OFFSET($A$1,ROW()-1,9)),OFFSET($A$1,ROW()-1,9),IF(ISNUMBER(OFFSET($A$1,ROW()-1,8)),OFFSET($A$1,ROW()-1,8),0))))))))</f>
        <v/>
      </c>
      <c r="AH152" s="62">
        <f>IF($V152="","",IF(AND(ISNUMBER($G152),$G152&lt;=IF($S152=MesCiclo,InicioCiclo,$S152+MOD(2-WEEKDAY($S152),7))+6),1,IF(N($W152)&gt;0,MIN(1,SUMIFS($AD$5:$AD$1000,$U$5:$U$1000,ROW(),$V$5:$V$1000,"Sub")),$Z152)))</f>
        <v/>
      </c>
      <c r="AI152" s="62">
        <f>IF($V152="","",IF(AND(ISNUMBER($G152),$G152&lt;=IF($S152=MesCiclo,InicioCiclo,$S152+MOD(2-WEEKDAY($S152),7))+13),1,IF(N($W152)&gt;0,MIN(1,SUMIFS($AE$5:$AE$1000,$U$5:$U$1000,ROW(),$V$5:$V$1000,"Sub")),$AA152)))</f>
        <v/>
      </c>
      <c r="AJ152" s="62">
        <f>IF($V152="","",IF(AND(ISNUMBER($G152),$G152&lt;=IF($S152=MesCiclo,InicioCiclo,$S152+MOD(2-WEEKDAY($S152),7))+20),1,IF(N($W152)&gt;0,MIN(1,SUMIFS($AF$5:$AF$1000,$U$5:$U$1000,ROW(),$V$5:$V$1000,"Sub")),$AB152)))</f>
        <v/>
      </c>
      <c r="AK152" s="62">
        <f>IF($V152="","",IF(AND(ISNUMBER($G152),$G152&lt;=IF($S152=MesCiclo,InicioCiclo,$S152+MOD(2-WEEKDAY($S152),7))+27),1,IF(N($W152)&gt;0,MIN(1,SUMIFS($AG$5:$AG$1000,$U$5:$U$1000,ROW(),$V$5:$V$1000,"Sub")),$AC152)))</f>
        <v/>
      </c>
      <c r="AL152" s="62">
        <f>IF($V152&lt;&gt;"Macro","",IF(COUNTIFS($S$5:$S$1000,$S152,$V$5:$V$1000,"Macro",$H$5:$H$1000,"&gt;0")=0,1/COUNTIFS($S$5:$S$1000,$S152,$V$5:$V$1000,"Macro"),IF(AND(ISNUMBER($H152),N($H152)&gt;0),$H152,SUMIFS($H$5:$H$1000,$S$5:$S$1000,$S152,$V$5:$V$1000,"Macro")/COUNTIFS($S$5:$S$1000,$S152,$V$5:$V$1000,"Macro",$H$5:$H$1000,"&gt;0"))/(COUNTIFS($S$5:$S$1000,$S152,$V$5:$V$1000,"Macro")*SUMIFS($H$5:$H$1000,$S$5:$S$1000,$S152,$V$5:$V$1000,"Macro")/COUNTIFS($S$5:$S$1000,$S152,$V$5:$V$1000,"Macro",$H$5:$H$1000,"&gt;0"))))</f>
        <v/>
      </c>
      <c r="AM152" s="62" t="n"/>
      <c r="AN152" s="62" t="n"/>
      <c r="AO152" s="62" t="n"/>
      <c r="AP152" s="62" t="n"/>
      <c r="AQ152" s="62">
        <f>IF(LEFT($C152,11)="[Jefatura] ",IFERROR(MATCH("Asistente Técnico de Riesgo|"&amp;MID($C152,12,500),rDname_ADM,0),0),"")</f>
        <v/>
      </c>
      <c r="AR152" s="62">
        <f>IF(N($AQ152)&gt;0,INDEX(rIni_ADM,$AQ152),IF(ISNUMBER($E152),$E152,""))</f>
        <v/>
      </c>
      <c r="AS152" s="62">
        <f>IF(N($AQ152)&gt;0,INDEX(rLim_ADM,$AQ152),IF(ISNUMBER($F152),$F152,""))</f>
        <v/>
      </c>
    </row>
    <row r="153">
      <c r="A153" s="56">
        <f>IF(NOT((COUNTA($B153:$D153)+COUNTA($G153:$H153)+COUNTA($Q153))&gt;0),"",IF($V153="Macro",COUNTIFS($V$5:$V153,"Macro",$S$5:$S153,$S153),IF(N($U153)=0,"?",COUNTIFS(INDEX($V$5:$V$1000,1):INDEX($V$5:$V$1000,$U153-4),"Macro",INDEX($S$5:$S$1000,1):INDEX($S$5:$S$1000,$U153-4),INDEX($S$5:$S$1000,$U153-4))&amp;"."&amp;COUNTIFS($U$5:$U153,$U153,$V$5:$V153,"Sub"))))</f>
        <v/>
      </c>
      <c r="B153" s="57" t="n"/>
      <c r="C153" s="58" t="n"/>
      <c r="D153" s="58" t="n"/>
      <c r="E153" s="59">
        <f>IF(N($AQ153)&gt;0,INDEX(rIni_ADM,$AQ153),"")</f>
        <v/>
      </c>
      <c r="F153" s="59">
        <f>IF(N($AQ153)&gt;0,INDEX(rLim_ADM,$AQ153),"")</f>
        <v/>
      </c>
      <c r="G153" s="59" t="n"/>
      <c r="H153" s="60" t="n"/>
      <c r="I153" s="60">
        <f>IF(N($W153)=0,"",IF(AND($S153=MesCiclo,1&gt;SemanaActual),"",MIN(1,SUMIFS(OFFSET($A$1,ROW(),29,1000-ROW(),1),OFFSET($A$1,ROW(),20,1000-ROW(),1),ROW(),OFFSET($A$1,ROW(),21,1000-ROW(),1),"Sub"))))</f>
        <v/>
      </c>
      <c r="J153" s="60">
        <f>IF(N($W153)=0,"",IF(AND($S153=MesCiclo,2&gt;SemanaActual),"",MIN(1,SUMIFS(OFFSET($A$1,ROW(),30,1000-ROW(),1),OFFSET($A$1,ROW(),20,1000-ROW(),1),ROW(),OFFSET($A$1,ROW(),21,1000-ROW(),1),"Sub"))))</f>
        <v/>
      </c>
      <c r="K153" s="60">
        <f>IF(N($W153)=0,"",IF(AND($S153=MesCiclo,3&gt;SemanaActual),"",MIN(1,SUMIFS(OFFSET($A$1,ROW(),31,1000-ROW(),1),OFFSET($A$1,ROW(),20,1000-ROW(),1),ROW(),OFFSET($A$1,ROW(),21,1000-ROW(),1),"Sub"))))</f>
        <v/>
      </c>
      <c r="L153" s="60">
        <f>IF(N($W153)=0,"",IF(AND($S153=MesCiclo,4&gt;SemanaActual),"",MIN(1,SUMIFS(OFFSET($A$1,ROW(),32,1000-ROW(),1),OFFSET($A$1,ROW(),20,1000-ROW(),1),ROW(),OFFSET($A$1,ROW(),21,1000-ROW(),1),"Sub"))))</f>
        <v/>
      </c>
      <c r="M153" s="61">
        <f>IF(OR(NOT((COUNTA($B153:$D153)+COUNTA($G153:$H153)+COUNTA($Q153))&gt;0),$V153="Sub"),"",IF(ISNUMBER($G153),1,IF(N($W153)&gt;0,MIN(1,SUMIFS($Y$5:$Y$1000,$U$5:$U$1000,ROW(),$V$5:$V$1000,"Sub")),$Y153)))</f>
        <v/>
      </c>
      <c r="N153" s="56">
        <f>IF(OR($M153="",$V153="Sub"),"",IF($M153&gt;=1,"Completado",IF($M153&gt;0,"En curso","Pendiente")))</f>
        <v/>
      </c>
      <c r="O153" s="56">
        <f>IF(OR(NOT((COUNTA($B153:$D153)+COUNTA($G153:$H153)+COUNTA($Q153))&gt;0),$V153="Sub"),"",IF(ISNUMBER($G153),IF(AND(ISNUMBER($AS153),$G153&gt;$AS153),"Cumplida con "&amp;($G153-$AS153)&amp;IF($G153-$AS153=1," día"," días")&amp;" de retraso","Cumplida"),IF(N($M153)&gt;=1,"Cumplida",IF(NOT(ISNUMBER($AS153)),"Sin fecha límite",IF($AS153&lt;FechaRef,"Vencida hace "&amp;(FechaRef-$AS153)&amp;IF(FechaRef-$AS153=1," día"," días"),IF($AS153=FechaRef,"Vence hoy",IF($AS153-FechaRef&lt;=DiasAlerta,"Vence en "&amp;($AS153-FechaRef)&amp;IF($AS153-FechaRef=1," día"," días"),"En plazo")))))))</f>
        <v/>
      </c>
      <c r="P153" s="62" t="n"/>
      <c r="Q153" s="58" t="n"/>
      <c r="R153" s="63">
        <f>IF(NOT((COUNTA($B153:$D153)+COUNTA($G153:$H153)+COUNTA($Q153))&gt;0),"",IF((IF($C153="","Falta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 OK","⚠ "&amp;LEFT(IF($C153="","Falta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",""),LEN(IF($C153="","Falta el nombre de la actividad"&amp;" · ","")&amp;IF(AND($V153="Sub",N($U153)=0),"Subactividad sin macroactividad arriba"&amp;" · ","")&amp;IF(AND($V153="Macro",$AR153=""),"Sin fecha de inicio"&amp;" · ","")&amp;IF(AND($V153="Macro",$AS153=""),"Sin fecha límite"&amp;" · ","")&amp;IF(AND(LEFT($C153,11)="[Jefatura] ",N($AQ153)=0),"No se encuentra en la hoja de la jefatura (elíjala de nuevo en la lista)"&amp;" · ","")&amp;IF(OR(AND($E153&lt;&gt;"",NOT(ISNUMBER($E153))),AND($F153&lt;&gt;"",NOT(ISNUMBER($F153))),AND($G153&lt;&gt;"",NOT(ISNUMBER($G153)))),"Fecha no válida"&amp;" · ","")&amp;IF(AND(ISNUMBER($AR153),ISNUMBER($AS153),$AR153&gt;$AS153),"Inicio posterior a fecha límite"&amp;" · ","")&amp;IF(AND($V153="Macro",$H153&lt;&gt;"",OR(NOT(ISNUMBER($H153)),$H153&lt;0,$H153&gt;1)),"Peso fuera de rango"&amp;" · ","")&amp;IF(AND($V153="Sub",$H153&lt;&gt;"",OR(NOT(ISNUMBER($H153)),$H153&lt;0,$H153&gt;1)),"% de la subactividad fuera de rango 0-100%"&amp;" · ","")&amp;IF(AND(N($W153)&gt;0,SUMIFS($H$5:$H$1000,$U$5:$U$1000,ROW(),$V$5:$V$1000,"Sub")&gt;1.0001),"Las subactividades suman más de 100%"&amp;" · ","")&amp;IF(AND(N($W153)&gt;0,OR(IF(ISNUMBER($I153),ROUND($I153,6)&lt;&gt;ROUND(MIN(1,SUMIFS($AD$5:$AD$1000,$U$5:$U$1000,ROW(),$V$5:$V$1000,"Sub")),6),FALSE),IF(ISNUMBER($J153),ROUND($J153,6)&lt;&gt;ROUND(MIN(1,SUMIFS($AE$5:$AE$1000,$U$5:$U$1000,ROW(),$V$5:$V$1000,"Sub")),6),FALSE),IF(ISNUMBER($K153),ROUND($K153,6)&lt;&gt;ROUND(MIN(1,SUMIFS($AF$5:$AF$1000,$U$5:$U$1000,ROW(),$V$5:$V$1000,"Sub")),6),FALSE),IF(ISNUMBER($L153),ROUND($L153,6)&lt;&gt;ROUND(MIN(1,SUMIFS($AG$5:$AG$1000,$U$5:$U$1000,ROW(),$V$5:$V$1000,"Sub")),6),FALSE))),"Con subactividades: no escriba en las semanas (se llenan solas)"&amp;" · ","")&amp;IF((COUNTIF($I153:$L153,"&gt;1")+COUNTIF($I153:$L153,"&lt;0")+SUMPRODUCT((LEN($I153:$L153)&gt;0)*NOT(ISNUMBER($I153:$L153))))&gt;0,"Avance fuera de rango 0-100%"&amp;" · ","")&amp;IF(OR(AND(ISNUMBER($J153),$J153&lt;N($I153)),AND(ISNUMBER($K153),$K153&lt;MAX($I153:$J153)),AND(ISNUMBER($L153),$L153&lt;MAX($I153:$K153))),"Avance semanal decreciente"&amp;" · ","")&amp;IF(AND(ISNUMBER($AS153),$AS153&lt;FechaRef,IF($V153="Sub",1,N($M153))&lt;1),"Vencida"&amp;" · ","")&amp;IF(AND(ObsObligatoria="Sí",ISNUMBER($AS153),$AS153&lt;FechaRef,IF($V153="Sub",1,N($M153))&lt;1,$Q153=""),"Vencida sin observación"&amp;" · ",""))-3)))</f>
        <v/>
      </c>
      <c r="S153" s="64">
        <f>IF(NOT((COUNTA($B153:$D153)+COUNTA($G153:$H153)+COUNTA($Q153))&gt;0),"",IF(AND($V153="Sub",N($U153)&gt;0),IF(ISNUMBER(INDEX($AR$5:$AR$1000,$U153-4)),DATE(YEAR(INDEX($AR$5:$AR$1000,$U153-4)),MONTH(INDEX($AR$5:$AR$1000,$U153-4)),1),IF(ISNUMBER(INDEX($AS$5:$AS$1000,$U153-4)),DATE(YEAR(INDEX($AS$5:$AS$1000,$U153-4)),MONTH(INDEX($AS$5:$AS$1000,$U153-4)),1),MesCiclo)),IF(ISNUMBER($AR153),DATE(YEAR($AR153),MONTH($AR153),1),IF(ISNUMBER($AS153),DATE(YEAR($AS153),MONTH($AS153),1),MesCiclo))))</f>
        <v/>
      </c>
      <c r="T153" s="62">
        <f>IF(OR($S153="",$S153&lt;&gt;MesCiclo,$V153&lt;&gt;"Macro"),"",COUNTIFS($S$5:$S153,MesCiclo,$V$5:$V153,"Macro"))</f>
        <v/>
      </c>
      <c r="U153" s="62">
        <f>IF($V153="","",IF($V153="Macro",ROW(),IFERROR(LOOKUP(2,1/($V$5:$V153="Macro"),ROW($V$5:$V153)),0)))</f>
        <v/>
      </c>
      <c r="V153" s="62">
        <f>IF(NOT((COUNTA($B153:$D153)+COUNTA($G153:$H153)+COUNTA($Q153))&gt;0),"",IF($B153="Subactividad","Sub","Macro"))</f>
        <v/>
      </c>
      <c r="W153" s="62">
        <f>IF($V153="Macro",COUNTIFS($U$5:$U$1000,ROW(),$V$5:$V$1000,"Sub"),"")</f>
        <v/>
      </c>
      <c r="X153" s="62">
        <f>IF($V153&lt;&gt;"Sub","",IF(AND(ISNUMBER($H153),N($H153)&gt;0),$H153,IFERROR(MAX(0,1-SUMIFS($H$5:$H$1000,$U$5:$U$1000,$U153,$V$5:$V$1000,"Sub"))/(COUNTIFS($U$5:$U$1000,$U153,$V$5:$V$1000,"Sub")-COUNTIFS($U$5:$U$1000,$U153,$V$5:$V$1000,"Sub",$H$5:$H$1000,"&gt;0")),0)))</f>
        <v/>
      </c>
      <c r="Y153" s="62">
        <f>IF($V153="","",IF($V153="Sub",N($X153)*IF(ISNUMBER($G153),1,MIN(1,MAX(0,IFERROR(LOOKUP(2,1/ISNUMBER($I153:$L153),$I153:$L153),0)))),IF(ISNUMBER($G153),1,IFERROR(LOOKUP(2,1/($I153:$L153&lt;&gt;""),$I153:$L153),0))))</f>
        <v/>
      </c>
      <c r="Z153" s="62">
        <f>IF($V153="","",IF(AND(ISNUMBER($G153),$G153&lt;=IF($S153=MesCiclo,InicioCiclo,$S153+MOD(2-WEEKDAY($S153),7))+6),1,IF(ISNUMBER($I153),$I153,0)))</f>
        <v/>
      </c>
      <c r="AA153" s="62">
        <f>IF($V153="","",IF(AND(ISNUMBER($G153),$G153&lt;=IF($S153=MesCiclo,InicioCiclo,$S153+MOD(2-WEEKDAY($S153),7))+13),1,IF(ISNUMBER($J153),$J153,$Z153)))</f>
        <v/>
      </c>
      <c r="AB153" s="62">
        <f>IF($V153="","",IF(AND(ISNUMBER($G153),$G153&lt;=IF($S153=MesCiclo,InicioCiclo,$S153+MOD(2-WEEKDAY($S153),7))+20),1,IF(ISNUMBER($K153),$K153,$AA153)))</f>
        <v/>
      </c>
      <c r="AC153" s="62">
        <f>IF($V153="","",IF(AND(ISNUMBER($G153),$G153&lt;=IF($S153=MesCiclo,InicioCiclo,$S153+MOD(2-WEEKDAY($S153),7))+27),1,IF(ISNUMBER($L153),$L153,$AB153)))</f>
        <v/>
      </c>
      <c r="AD153" s="62">
        <f>IF($V153&lt;&gt;"Sub","",N($X153)*IF(AND(ISNUMBER($G153),$G153&lt;=IF($S153=MesCiclo,InicioCiclo,$S153+MOD(2-WEEKDAY($S153),7))+6),1,MIN(1,MAX(0,IF(ISNUMBER(OFFSET($A$1,ROW()-1,8)),OFFSET($A$1,ROW()-1,8),0)))))</f>
        <v/>
      </c>
      <c r="AE153" s="62">
        <f>IF($V153&lt;&gt;"Sub","",N($X153)*IF(AND(ISNUMBER($G153),$G153&lt;=IF($S153=MesCiclo,InicioCiclo,$S153+MOD(2-WEEKDAY($S153),7))+13),1,MIN(1,MAX(0,IF(ISNUMBER(OFFSET($A$1,ROW()-1,9)),OFFSET($A$1,ROW()-1,9),IF(ISNUMBER(OFFSET($A$1,ROW()-1,8)),OFFSET($A$1,ROW()-1,8),0))))))</f>
        <v/>
      </c>
      <c r="AF153" s="62">
        <f>IF($V153&lt;&gt;"Sub","",N($X153)*IF(AND(ISNUMBER($G153),$G153&lt;=IF($S153=MesCiclo,InicioCiclo,$S153+MOD(2-WEEKDAY($S153),7))+20),1,MIN(1,MAX(0,IF(ISNUMBER(OFFSET($A$1,ROW()-1,10)),OFFSET($A$1,ROW()-1,10),IF(ISNUMBER(OFFSET($A$1,ROW()-1,9)),OFFSET($A$1,ROW()-1,9),IF(ISNUMBER(OFFSET($A$1,ROW()-1,8)),OFFSET($A$1,ROW()-1,8),0)))))))</f>
        <v/>
      </c>
      <c r="AG153" s="62">
        <f>IF($V153&lt;&gt;"Sub","",N($X153)*IF(AND(ISNUMBER($G153),$G153&lt;=IF($S153=MesCiclo,InicioCiclo,$S153+MOD(2-WEEKDAY($S153),7))+27),1,MIN(1,MAX(0,IF(ISNUMBER(OFFSET($A$1,ROW()-1,11)),OFFSET($A$1,ROW()-1,11),IF(ISNUMBER(OFFSET($A$1,ROW()-1,10)),OFFSET($A$1,ROW()-1,10),IF(ISNUMBER(OFFSET($A$1,ROW()-1,9)),OFFSET($A$1,ROW()-1,9),IF(ISNUMBER(OFFSET($A$1,ROW()-1,8)),OFFSET($A$1,ROW()-1,8),0))))))))</f>
        <v/>
      </c>
      <c r="AH153" s="62">
        <f>IF($V153="","",IF(AND(ISNUMBER($G153),$G153&lt;=IF($S153=MesCiclo,InicioCiclo,$S153+MOD(2-WEEKDAY($S153),7))+6),1,IF(N($W153)&gt;0,MIN(1,SUMIFS($AD$5:$AD$1000,$U$5:$U$1000,ROW(),$V$5:$V$1000,"Sub")),$Z153)))</f>
        <v/>
      </c>
      <c r="AI153" s="62">
        <f>IF($V153="","",IF(AND(ISNUMBER($G153),$G153&lt;=IF($S153=MesCiclo,InicioCiclo,$S153+MOD(2-WEEKDAY($S153),7))+13),1,IF(N($W153)&gt;0,MIN(1,SUMIFS($AE$5:$AE$1000,$U$5:$U$1000,ROW(),$V$5:$V$1000,"Sub")),$AA153)))</f>
        <v/>
      </c>
      <c r="AJ153" s="62">
        <f>IF($V153="","",IF(AND(ISNUMBER($G153),$G153&lt;=IF($S153=MesCiclo,InicioCiclo,$S153+MOD(2-WEEKDAY($S153),7))+20),1,IF(N($W153)&gt;0,MIN(1,SUMIFS($AF$5:$AF$1000,$U$5:$U$1000,ROW(),$V$5:$V$1000,"Sub")),$AB153)))</f>
        <v/>
      </c>
      <c r="AK153" s="62">
        <f>IF($V153="","",IF(AND(ISNUMBER($G153),$G153&lt;=IF($S153=MesCiclo,InicioCiclo,$S153+MOD(2-WEEKDAY($S153),7))+27),1,IF(N($W153)&gt;0,MIN(1,SUMIFS($AG$5:$AG$1000,$U$5:$U$1000,ROW(),$V$5:$V$1000,"Sub")),$AC153)))</f>
        <v/>
      </c>
      <c r="AL153" s="62">
        <f>IF($V153&lt;&gt;"Macro","",IF(COUNTIFS($S$5:$S$1000,$S153,$V$5:$V$1000,"Macro",$H$5:$H$1000,"&gt;0")=0,1/COUNTIFS($S$5:$S$1000,$S153,$V$5:$V$1000,"Macro"),IF(AND(ISNUMBER($H153),N($H153)&gt;0),$H153,SUMIFS($H$5:$H$1000,$S$5:$S$1000,$S153,$V$5:$V$1000,"Macro")/COUNTIFS($S$5:$S$1000,$S153,$V$5:$V$1000,"Macro",$H$5:$H$1000,"&gt;0"))/(COUNTIFS($S$5:$S$1000,$S153,$V$5:$V$1000,"Macro")*SUMIFS($H$5:$H$1000,$S$5:$S$1000,$S153,$V$5:$V$1000,"Macro")/COUNTIFS($S$5:$S$1000,$S153,$V$5:$V$1000,"Macro",$H$5:$H$1000,"&gt;0"))))</f>
        <v/>
      </c>
      <c r="AM153" s="62" t="n"/>
      <c r="AN153" s="62" t="n"/>
      <c r="AO153" s="62" t="n"/>
      <c r="AP153" s="62" t="n"/>
      <c r="AQ153" s="62">
        <f>IF(LEFT($C153,11)="[Jefatura] ",IFERROR(MATCH("Asistente Técnico de Riesgo|"&amp;MID($C153,12,500),rDname_ADM,0),0),"")</f>
        <v/>
      </c>
      <c r="AR153" s="62">
        <f>IF(N($AQ153)&gt;0,INDEX(rIni_ADM,$AQ153),IF(ISNUMBER($E153),$E153,""))</f>
        <v/>
      </c>
      <c r="AS153" s="62">
        <f>IF(N($AQ153)&gt;0,INDEX(rLim_ADM,$AQ153),IF(ISNUMBER($F153),$F153,""))</f>
        <v/>
      </c>
    </row>
    <row r="154">
      <c r="A154" s="56">
        <f>IF(NOT((COUNTA($B154:$D154)+COUNTA($G154:$H154)+COUNTA($Q154))&gt;0),"",IF($V154="Macro",COUNTIFS($V$5:$V154,"Macro",$S$5:$S154,$S154),IF(N($U154)=0,"?",COUNTIFS(INDEX($V$5:$V$1000,1):INDEX($V$5:$V$1000,$U154-4),"Macro",INDEX($S$5:$S$1000,1):INDEX($S$5:$S$1000,$U154-4),INDEX($S$5:$S$1000,$U154-4))&amp;"."&amp;COUNTIFS($U$5:$U154,$U154,$V$5:$V154,"Sub"))))</f>
        <v/>
      </c>
      <c r="B154" s="57" t="n"/>
      <c r="C154" s="58" t="n"/>
      <c r="D154" s="58" t="n"/>
      <c r="E154" s="59">
        <f>IF(N($AQ154)&gt;0,INDEX(rIni_ADM,$AQ154),"")</f>
        <v/>
      </c>
      <c r="F154" s="59">
        <f>IF(N($AQ154)&gt;0,INDEX(rLim_ADM,$AQ154),"")</f>
        <v/>
      </c>
      <c r="G154" s="59" t="n"/>
      <c r="H154" s="60" t="n"/>
      <c r="I154" s="60">
        <f>IF(N($W154)=0,"",IF(AND($S154=MesCiclo,1&gt;SemanaActual),"",MIN(1,SUMIFS(OFFSET($A$1,ROW(),29,1000-ROW(),1),OFFSET($A$1,ROW(),20,1000-ROW(),1),ROW(),OFFSET($A$1,ROW(),21,1000-ROW(),1),"Sub"))))</f>
        <v/>
      </c>
      <c r="J154" s="60">
        <f>IF(N($W154)=0,"",IF(AND($S154=MesCiclo,2&gt;SemanaActual),"",MIN(1,SUMIFS(OFFSET($A$1,ROW(),30,1000-ROW(),1),OFFSET($A$1,ROW(),20,1000-ROW(),1),ROW(),OFFSET($A$1,ROW(),21,1000-ROW(),1),"Sub"))))</f>
        <v/>
      </c>
      <c r="K154" s="60">
        <f>IF(N($W154)=0,"",IF(AND($S154=MesCiclo,3&gt;SemanaActual),"",MIN(1,SUMIFS(OFFSET($A$1,ROW(),31,1000-ROW(),1),OFFSET($A$1,ROW(),20,1000-ROW(),1),ROW(),OFFSET($A$1,ROW(),21,1000-ROW(),1),"Sub"))))</f>
        <v/>
      </c>
      <c r="L154" s="60">
        <f>IF(N($W154)=0,"",IF(AND($S154=MesCiclo,4&gt;SemanaActual),"",MIN(1,SUMIFS(OFFSET($A$1,ROW(),32,1000-ROW(),1),OFFSET($A$1,ROW(),20,1000-ROW(),1),ROW(),OFFSET($A$1,ROW(),21,1000-ROW(),1),"Sub"))))</f>
        <v/>
      </c>
      <c r="M154" s="61">
        <f>IF(OR(NOT((COUNTA($B154:$D154)+COUNTA($G154:$H154)+COUNTA($Q154))&gt;0),$V154="Sub"),"",IF(ISNUMBER($G154),1,IF(N($W154)&gt;0,MIN(1,SUMIFS($Y$5:$Y$1000,$U$5:$U$1000,ROW(),$V$5:$V$1000,"Sub")),$Y154)))</f>
        <v/>
      </c>
      <c r="N154" s="56">
        <f>IF(OR($M154="",$V154="Sub"),"",IF($M154&gt;=1,"Completado",IF($M154&gt;0,"En curso","Pendiente")))</f>
        <v/>
      </c>
      <c r="O154" s="56">
        <f>IF(OR(NOT((COUNTA($B154:$D154)+COUNTA($G154:$H154)+COUNTA($Q154))&gt;0),$V154="Sub"),"",IF(ISNUMBER($G154),IF(AND(ISNUMBER($AS154),$G154&gt;$AS154),"Cumplida con "&amp;($G154-$AS154)&amp;IF($G154-$AS154=1," día"," días")&amp;" de retraso","Cumplida"),IF(N($M154)&gt;=1,"Cumplida",IF(NOT(ISNUMBER($AS154)),"Sin fecha límite",IF($AS154&lt;FechaRef,"Vencida hace "&amp;(FechaRef-$AS154)&amp;IF(FechaRef-$AS154=1," día"," días"),IF($AS154=FechaRef,"Vence hoy",IF($AS154-FechaRef&lt;=DiasAlerta,"Vence en "&amp;($AS154-FechaRef)&amp;IF($AS154-FechaRef=1," día"," días"),"En plazo")))))))</f>
        <v/>
      </c>
      <c r="P154" s="62" t="n"/>
      <c r="Q154" s="58" t="n"/>
      <c r="R154" s="63">
        <f>IF(NOT((COUNTA($B154:$D154)+COUNTA($G154:$H154)+COUNTA($Q154))&gt;0),"",IF((IF($C154="","Falta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 OK","⚠ "&amp;LEFT(IF($C154="","Falta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",""),LEN(IF($C154="","Falta el nombre de la actividad"&amp;" · ","")&amp;IF(AND($V154="Sub",N($U154)=0),"Subactividad sin macroactividad arriba"&amp;" · ","")&amp;IF(AND($V154="Macro",$AR154=""),"Sin fecha de inicio"&amp;" · ","")&amp;IF(AND($V154="Macro",$AS154=""),"Sin fecha límite"&amp;" · ","")&amp;IF(AND(LEFT($C154,11)="[Jefatura] ",N($AQ154)=0),"No se encuentra en la hoja de la jefatura (elíjala de nuevo en la lista)"&amp;" · ","")&amp;IF(OR(AND($E154&lt;&gt;"",NOT(ISNUMBER($E154))),AND($F154&lt;&gt;"",NOT(ISNUMBER($F154))),AND($G154&lt;&gt;"",NOT(ISNUMBER($G154)))),"Fecha no válida"&amp;" · ","")&amp;IF(AND(ISNUMBER($AR154),ISNUMBER($AS154),$AR154&gt;$AS154),"Inicio posterior a fecha límite"&amp;" · ","")&amp;IF(AND($V154="Macro",$H154&lt;&gt;"",OR(NOT(ISNUMBER($H154)),$H154&lt;0,$H154&gt;1)),"Peso fuera de rango"&amp;" · ","")&amp;IF(AND($V154="Sub",$H154&lt;&gt;"",OR(NOT(ISNUMBER($H154)),$H154&lt;0,$H154&gt;1)),"% de la subactividad fuera de rango 0-100%"&amp;" · ","")&amp;IF(AND(N($W154)&gt;0,SUMIFS($H$5:$H$1000,$U$5:$U$1000,ROW(),$V$5:$V$1000,"Sub")&gt;1.0001),"Las subactividades suman más de 100%"&amp;" · ","")&amp;IF(AND(N($W154)&gt;0,OR(IF(ISNUMBER($I154),ROUND($I154,6)&lt;&gt;ROUND(MIN(1,SUMIFS($AD$5:$AD$1000,$U$5:$U$1000,ROW(),$V$5:$V$1000,"Sub")),6),FALSE),IF(ISNUMBER($J154),ROUND($J154,6)&lt;&gt;ROUND(MIN(1,SUMIFS($AE$5:$AE$1000,$U$5:$U$1000,ROW(),$V$5:$V$1000,"Sub")),6),FALSE),IF(ISNUMBER($K154),ROUND($K154,6)&lt;&gt;ROUND(MIN(1,SUMIFS($AF$5:$AF$1000,$U$5:$U$1000,ROW(),$V$5:$V$1000,"Sub")),6),FALSE),IF(ISNUMBER($L154),ROUND($L154,6)&lt;&gt;ROUND(MIN(1,SUMIFS($AG$5:$AG$1000,$U$5:$U$1000,ROW(),$V$5:$V$1000,"Sub")),6),FALSE))),"Con subactividades: no escriba en las semanas (se llenan solas)"&amp;" · ","")&amp;IF((COUNTIF($I154:$L154,"&gt;1")+COUNTIF($I154:$L154,"&lt;0")+SUMPRODUCT((LEN($I154:$L154)&gt;0)*NOT(ISNUMBER($I154:$L154))))&gt;0,"Avance fuera de rango 0-100%"&amp;" · ","")&amp;IF(OR(AND(ISNUMBER($J154),$J154&lt;N($I154)),AND(ISNUMBER($K154),$K154&lt;MAX($I154:$J154)),AND(ISNUMBER($L154),$L154&lt;MAX($I154:$K154))),"Avance semanal decreciente"&amp;" · ","")&amp;IF(AND(ISNUMBER($AS154),$AS154&lt;FechaRef,IF($V154="Sub",1,N($M154))&lt;1),"Vencida"&amp;" · ","")&amp;IF(AND(ObsObligatoria="Sí",ISNUMBER($AS154),$AS154&lt;FechaRef,IF($V154="Sub",1,N($M154))&lt;1,$Q154=""),"Vencida sin observación"&amp;" · ",""))-3)))</f>
        <v/>
      </c>
      <c r="S154" s="64">
        <f>IF(NOT((COUNTA($B154:$D154)+COUNTA($G154:$H154)+COUNTA($Q154))&gt;0),"",IF(AND($V154="Sub",N($U154)&gt;0),IF(ISNUMBER(INDEX($AR$5:$AR$1000,$U154-4)),DATE(YEAR(INDEX($AR$5:$AR$1000,$U154-4)),MONTH(INDEX($AR$5:$AR$1000,$U154-4)),1),IF(ISNUMBER(INDEX($AS$5:$AS$1000,$U154-4)),DATE(YEAR(INDEX($AS$5:$AS$1000,$U154-4)),MONTH(INDEX($AS$5:$AS$1000,$U154-4)),1),MesCiclo)),IF(ISNUMBER($AR154),DATE(YEAR($AR154),MONTH($AR154),1),IF(ISNUMBER($AS154),DATE(YEAR($AS154),MONTH($AS154),1),MesCiclo))))</f>
        <v/>
      </c>
      <c r="T154" s="62">
        <f>IF(OR($S154="",$S154&lt;&gt;MesCiclo,$V154&lt;&gt;"Macro"),"",COUNTIFS($S$5:$S154,MesCiclo,$V$5:$V154,"Macro"))</f>
        <v/>
      </c>
      <c r="U154" s="62">
        <f>IF($V154="","",IF($V154="Macro",ROW(),IFERROR(LOOKUP(2,1/($V$5:$V154="Macro"),ROW($V$5:$V154)),0)))</f>
        <v/>
      </c>
      <c r="V154" s="62">
        <f>IF(NOT((COUNTA($B154:$D154)+COUNTA($G154:$H154)+COUNTA($Q154))&gt;0),"",IF($B154="Subactividad","Sub","Macro"))</f>
        <v/>
      </c>
      <c r="W154" s="62">
        <f>IF($V154="Macro",COUNTIFS($U$5:$U$1000,ROW(),$V$5:$V$1000,"Sub"),"")</f>
        <v/>
      </c>
      <c r="X154" s="62">
        <f>IF($V154&lt;&gt;"Sub","",IF(AND(ISNUMBER($H154),N($H154)&gt;0),$H154,IFERROR(MAX(0,1-SUMIFS($H$5:$H$1000,$U$5:$U$1000,$U154,$V$5:$V$1000,"Sub"))/(COUNTIFS($U$5:$U$1000,$U154,$V$5:$V$1000,"Sub")-COUNTIFS($U$5:$U$1000,$U154,$V$5:$V$1000,"Sub",$H$5:$H$1000,"&gt;0")),0)))</f>
        <v/>
      </c>
      <c r="Y154" s="62">
        <f>IF($V154="","",IF($V154="Sub",N($X154)*IF(ISNUMBER($G154),1,MIN(1,MAX(0,IFERROR(LOOKUP(2,1/ISNUMBER($I154:$L154),$I154:$L154),0)))),IF(ISNUMBER($G154),1,IFERROR(LOOKUP(2,1/($I154:$L154&lt;&gt;""),$I154:$L154),0))))</f>
        <v/>
      </c>
      <c r="Z154" s="62">
        <f>IF($V154="","",IF(AND(ISNUMBER($G154),$G154&lt;=IF($S154=MesCiclo,InicioCiclo,$S154+MOD(2-WEEKDAY($S154),7))+6),1,IF(ISNUMBER($I154),$I154,0)))</f>
        <v/>
      </c>
      <c r="AA154" s="62">
        <f>IF($V154="","",IF(AND(ISNUMBER($G154),$G154&lt;=IF($S154=MesCiclo,InicioCiclo,$S154+MOD(2-WEEKDAY($S154),7))+13),1,IF(ISNUMBER($J154),$J154,$Z154)))</f>
        <v/>
      </c>
      <c r="AB154" s="62">
        <f>IF($V154="","",IF(AND(ISNUMBER($G154),$G154&lt;=IF($S154=MesCiclo,InicioCiclo,$S154+MOD(2-WEEKDAY($S154),7))+20),1,IF(ISNUMBER($K154),$K154,$AA154)))</f>
        <v/>
      </c>
      <c r="AC154" s="62">
        <f>IF($V154="","",IF(AND(ISNUMBER($G154),$G154&lt;=IF($S154=MesCiclo,InicioCiclo,$S154+MOD(2-WEEKDAY($S154),7))+27),1,IF(ISNUMBER($L154),$L154,$AB154)))</f>
        <v/>
      </c>
      <c r="AD154" s="62">
        <f>IF($V154&lt;&gt;"Sub","",N($X154)*IF(AND(ISNUMBER($G154),$G154&lt;=IF($S154=MesCiclo,InicioCiclo,$S154+MOD(2-WEEKDAY($S154),7))+6),1,MIN(1,MAX(0,IF(ISNUMBER(OFFSET($A$1,ROW()-1,8)),OFFSET($A$1,ROW()-1,8),0)))))</f>
        <v/>
      </c>
      <c r="AE154" s="62">
        <f>IF($V154&lt;&gt;"Sub","",N($X154)*IF(AND(ISNUMBER($G154),$G154&lt;=IF($S154=MesCiclo,InicioCiclo,$S154+MOD(2-WEEKDAY($S154),7))+13),1,MIN(1,MAX(0,IF(ISNUMBER(OFFSET($A$1,ROW()-1,9)),OFFSET($A$1,ROW()-1,9),IF(ISNUMBER(OFFSET($A$1,ROW()-1,8)),OFFSET($A$1,ROW()-1,8),0))))))</f>
        <v/>
      </c>
      <c r="AF154" s="62">
        <f>IF($V154&lt;&gt;"Sub","",N($X154)*IF(AND(ISNUMBER($G154),$G154&lt;=IF($S154=MesCiclo,InicioCiclo,$S154+MOD(2-WEEKDAY($S154),7))+20),1,MIN(1,MAX(0,IF(ISNUMBER(OFFSET($A$1,ROW()-1,10)),OFFSET($A$1,ROW()-1,10),IF(ISNUMBER(OFFSET($A$1,ROW()-1,9)),OFFSET($A$1,ROW()-1,9),IF(ISNUMBER(OFFSET($A$1,ROW()-1,8)),OFFSET($A$1,ROW()-1,8),0)))))))</f>
        <v/>
      </c>
      <c r="AG154" s="62">
        <f>IF($V154&lt;&gt;"Sub","",N($X154)*IF(AND(ISNUMBER($G154),$G154&lt;=IF($S154=MesCiclo,InicioCiclo,$S154+MOD(2-WEEKDAY($S154),7))+27),1,MIN(1,MAX(0,IF(ISNUMBER(OFFSET($A$1,ROW()-1,11)),OFFSET($A$1,ROW()-1,11),IF(ISNUMBER(OFFSET($A$1,ROW()-1,10)),OFFSET($A$1,ROW()-1,10),IF(ISNUMBER(OFFSET($A$1,ROW()-1,9)),OFFSET($A$1,ROW()-1,9),IF(ISNUMBER(OFFSET($A$1,ROW()-1,8)),OFFSET($A$1,ROW()-1,8),0))))))))</f>
        <v/>
      </c>
      <c r="AH154" s="62">
        <f>IF($V154="","",IF(AND(ISNUMBER($G154),$G154&lt;=IF($S154=MesCiclo,InicioCiclo,$S154+MOD(2-WEEKDAY($S154),7))+6),1,IF(N($W154)&gt;0,MIN(1,SUMIFS($AD$5:$AD$1000,$U$5:$U$1000,ROW(),$V$5:$V$1000,"Sub")),$Z154)))</f>
        <v/>
      </c>
      <c r="AI154" s="62">
        <f>IF($V154="","",IF(AND(ISNUMBER($G154),$G154&lt;=IF($S154=MesCiclo,InicioCiclo,$S154+MOD(2-WEEKDAY($S154),7))+13),1,IF(N($W154)&gt;0,MIN(1,SUMIFS($AE$5:$AE$1000,$U$5:$U$1000,ROW(),$V$5:$V$1000,"Sub")),$AA154)))</f>
        <v/>
      </c>
      <c r="AJ154" s="62">
        <f>IF($V154="","",IF(AND(ISNUMBER($G154),$G154&lt;=IF($S154=MesCiclo,InicioCiclo,$S154+MOD(2-WEEKDAY($S154),7))+20),1,IF(N($W154)&gt;0,MIN(1,SUMIFS($AF$5:$AF$1000,$U$5:$U$1000,ROW(),$V$5:$V$1000,"Sub")),$AB154)))</f>
        <v/>
      </c>
      <c r="AK154" s="62">
        <f>IF($V154="","",IF(AND(ISNUMBER($G154),$G154&lt;=IF($S154=MesCiclo,InicioCiclo,$S154+MOD(2-WEEKDAY($S154),7))+27),1,IF(N($W154)&gt;0,MIN(1,SUMIFS($AG$5:$AG$1000,$U$5:$U$1000,ROW(),$V$5:$V$1000,"Sub")),$AC154)))</f>
        <v/>
      </c>
      <c r="AL154" s="62">
        <f>IF($V154&lt;&gt;"Macro","",IF(COUNTIFS($S$5:$S$1000,$S154,$V$5:$V$1000,"Macro",$H$5:$H$1000,"&gt;0")=0,1/COUNTIFS($S$5:$S$1000,$S154,$V$5:$V$1000,"Macro"),IF(AND(ISNUMBER($H154),N($H154)&gt;0),$H154,SUMIFS($H$5:$H$1000,$S$5:$S$1000,$S154,$V$5:$V$1000,"Macro")/COUNTIFS($S$5:$S$1000,$S154,$V$5:$V$1000,"Macro",$H$5:$H$1000,"&gt;0"))/(COUNTIFS($S$5:$S$1000,$S154,$V$5:$V$1000,"Macro")*SUMIFS($H$5:$H$1000,$S$5:$S$1000,$S154,$V$5:$V$1000,"Macro")/COUNTIFS($S$5:$S$1000,$S154,$V$5:$V$1000,"Macro",$H$5:$H$1000,"&gt;0"))))</f>
        <v/>
      </c>
      <c r="AM154" s="62" t="n"/>
      <c r="AN154" s="62" t="n"/>
      <c r="AO154" s="62" t="n"/>
      <c r="AP154" s="62" t="n"/>
      <c r="AQ154" s="62">
        <f>IF(LEFT($C154,11)="[Jefatura] ",IFERROR(MATCH("Asistente Técnico de Riesgo|"&amp;MID($C154,12,500),rDname_ADM,0),0),"")</f>
        <v/>
      </c>
      <c r="AR154" s="62">
        <f>IF(N($AQ154)&gt;0,INDEX(rIni_ADM,$AQ154),IF(ISNUMBER($E154),$E154,""))</f>
        <v/>
      </c>
      <c r="AS154" s="62">
        <f>IF(N($AQ154)&gt;0,INDEX(rLim_ADM,$AQ154),IF(ISNUMBER($F154),$F154,""))</f>
        <v/>
      </c>
    </row>
    <row r="155">
      <c r="A155" s="56">
        <f>IF(NOT((COUNTA($B155:$D155)+COUNTA($G155:$H155)+COUNTA($Q155))&gt;0),"",IF($V155="Macro",COUNTIFS($V$5:$V155,"Macro",$S$5:$S155,$S155),IF(N($U155)=0,"?",COUNTIFS(INDEX($V$5:$V$1000,1):INDEX($V$5:$V$1000,$U155-4),"Macro",INDEX($S$5:$S$1000,1):INDEX($S$5:$S$1000,$U155-4),INDEX($S$5:$S$1000,$U155-4))&amp;"."&amp;COUNTIFS($U$5:$U155,$U155,$V$5:$V155,"Sub"))))</f>
        <v/>
      </c>
      <c r="B155" s="57" t="n"/>
      <c r="C155" s="58" t="n"/>
      <c r="D155" s="58" t="n"/>
      <c r="E155" s="59">
        <f>IF(N($AQ155)&gt;0,INDEX(rIni_ADM,$AQ155),"")</f>
        <v/>
      </c>
      <c r="F155" s="59">
        <f>IF(N($AQ155)&gt;0,INDEX(rLim_ADM,$AQ155),"")</f>
        <v/>
      </c>
      <c r="G155" s="59" t="n"/>
      <c r="H155" s="60" t="n"/>
      <c r="I155" s="60">
        <f>IF(N($W155)=0,"",IF(AND($S155=MesCiclo,1&gt;SemanaActual),"",MIN(1,SUMIFS(OFFSET($A$1,ROW(),29,1000-ROW(),1),OFFSET($A$1,ROW(),20,1000-ROW(),1),ROW(),OFFSET($A$1,ROW(),21,1000-ROW(),1),"Sub"))))</f>
        <v/>
      </c>
      <c r="J155" s="60">
        <f>IF(N($W155)=0,"",IF(AND($S155=MesCiclo,2&gt;SemanaActual),"",MIN(1,SUMIFS(OFFSET($A$1,ROW(),30,1000-ROW(),1),OFFSET($A$1,ROW(),20,1000-ROW(),1),ROW(),OFFSET($A$1,ROW(),21,1000-ROW(),1),"Sub"))))</f>
        <v/>
      </c>
      <c r="K155" s="60">
        <f>IF(N($W155)=0,"",IF(AND($S155=MesCiclo,3&gt;SemanaActual),"",MIN(1,SUMIFS(OFFSET($A$1,ROW(),31,1000-ROW(),1),OFFSET($A$1,ROW(),20,1000-ROW(),1),ROW(),OFFSET($A$1,ROW(),21,1000-ROW(),1),"Sub"))))</f>
        <v/>
      </c>
      <c r="L155" s="60">
        <f>IF(N($W155)=0,"",IF(AND($S155=MesCiclo,4&gt;SemanaActual),"",MIN(1,SUMIFS(OFFSET($A$1,ROW(),32,1000-ROW(),1),OFFSET($A$1,ROW(),20,1000-ROW(),1),ROW(),OFFSET($A$1,ROW(),21,1000-ROW(),1),"Sub"))))</f>
        <v/>
      </c>
      <c r="M155" s="61">
        <f>IF(OR(NOT((COUNTA($B155:$D155)+COUNTA($G155:$H155)+COUNTA($Q155))&gt;0),$V155="Sub"),"",IF(ISNUMBER($G155),1,IF(N($W155)&gt;0,MIN(1,SUMIFS($Y$5:$Y$1000,$U$5:$U$1000,ROW(),$V$5:$V$1000,"Sub")),$Y155)))</f>
        <v/>
      </c>
      <c r="N155" s="56">
        <f>IF(OR($M155="",$V155="Sub"),"",IF($M155&gt;=1,"Completado",IF($M155&gt;0,"En curso","Pendiente")))</f>
        <v/>
      </c>
      <c r="O155" s="56">
        <f>IF(OR(NOT((COUNTA($B155:$D155)+COUNTA($G155:$H155)+COUNTA($Q155))&gt;0),$V155="Sub"),"",IF(ISNUMBER($G155),IF(AND(ISNUMBER($AS155),$G155&gt;$AS155),"Cumplida con "&amp;($G155-$AS155)&amp;IF($G155-$AS155=1," día"," días")&amp;" de retraso","Cumplida"),IF(N($M155)&gt;=1,"Cumplida",IF(NOT(ISNUMBER($AS155)),"Sin fecha límite",IF($AS155&lt;FechaRef,"Vencida hace "&amp;(FechaRef-$AS155)&amp;IF(FechaRef-$AS155=1," día"," días"),IF($AS155=FechaRef,"Vence hoy",IF($AS155-FechaRef&lt;=DiasAlerta,"Vence en "&amp;($AS155-FechaRef)&amp;IF($AS155-FechaRef=1," día"," días"),"En plazo")))))))</f>
        <v/>
      </c>
      <c r="P155" s="62" t="n"/>
      <c r="Q155" s="58" t="n"/>
      <c r="R155" s="63">
        <f>IF(NOT((COUNTA($B155:$D155)+COUNTA($G155:$H155)+COUNTA($Q155))&gt;0),"",IF((IF($C155="","Falta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 OK","⚠ "&amp;LEFT(IF($C155="","Falta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",""),LEN(IF($C155="","Falta el nombre de la actividad"&amp;" · ","")&amp;IF(AND($V155="Sub",N($U155)=0),"Subactividad sin macroactividad arriba"&amp;" · ","")&amp;IF(AND($V155="Macro",$AR155=""),"Sin fecha de inicio"&amp;" · ","")&amp;IF(AND($V155="Macro",$AS155=""),"Sin fecha límite"&amp;" · ","")&amp;IF(AND(LEFT($C155,11)="[Jefatura] ",N($AQ155)=0),"No se encuentra en la hoja de la jefatura (elíjala de nuevo en la lista)"&amp;" · ","")&amp;IF(OR(AND($E155&lt;&gt;"",NOT(ISNUMBER($E155))),AND($F155&lt;&gt;"",NOT(ISNUMBER($F155))),AND($G155&lt;&gt;"",NOT(ISNUMBER($G155)))),"Fecha no válida"&amp;" · ","")&amp;IF(AND(ISNUMBER($AR155),ISNUMBER($AS155),$AR155&gt;$AS155),"Inicio posterior a fecha límite"&amp;" · ","")&amp;IF(AND($V155="Macro",$H155&lt;&gt;"",OR(NOT(ISNUMBER($H155)),$H155&lt;0,$H155&gt;1)),"Peso fuera de rango"&amp;" · ","")&amp;IF(AND($V155="Sub",$H155&lt;&gt;"",OR(NOT(ISNUMBER($H155)),$H155&lt;0,$H155&gt;1)),"% de la subactividad fuera de rango 0-100%"&amp;" · ","")&amp;IF(AND(N($W155)&gt;0,SUMIFS($H$5:$H$1000,$U$5:$U$1000,ROW(),$V$5:$V$1000,"Sub")&gt;1.0001),"Las subactividades suman más de 100%"&amp;" · ","")&amp;IF(AND(N($W155)&gt;0,OR(IF(ISNUMBER($I155),ROUND($I155,6)&lt;&gt;ROUND(MIN(1,SUMIFS($AD$5:$AD$1000,$U$5:$U$1000,ROW(),$V$5:$V$1000,"Sub")),6),FALSE),IF(ISNUMBER($J155),ROUND($J155,6)&lt;&gt;ROUND(MIN(1,SUMIFS($AE$5:$AE$1000,$U$5:$U$1000,ROW(),$V$5:$V$1000,"Sub")),6),FALSE),IF(ISNUMBER($K155),ROUND($K155,6)&lt;&gt;ROUND(MIN(1,SUMIFS($AF$5:$AF$1000,$U$5:$U$1000,ROW(),$V$5:$V$1000,"Sub")),6),FALSE),IF(ISNUMBER($L155),ROUND($L155,6)&lt;&gt;ROUND(MIN(1,SUMIFS($AG$5:$AG$1000,$U$5:$U$1000,ROW(),$V$5:$V$1000,"Sub")),6),FALSE))),"Con subactividades: no escriba en las semanas (se llenan solas)"&amp;" · ","")&amp;IF((COUNTIF($I155:$L155,"&gt;1")+COUNTIF($I155:$L155,"&lt;0")+SUMPRODUCT((LEN($I155:$L155)&gt;0)*NOT(ISNUMBER($I155:$L155))))&gt;0,"Avance fuera de rango 0-100%"&amp;" · ","")&amp;IF(OR(AND(ISNUMBER($J155),$J155&lt;N($I155)),AND(ISNUMBER($K155),$K155&lt;MAX($I155:$J155)),AND(ISNUMBER($L155),$L155&lt;MAX($I155:$K155))),"Avance semanal decreciente"&amp;" · ","")&amp;IF(AND(ISNUMBER($AS155),$AS155&lt;FechaRef,IF($V155="Sub",1,N($M155))&lt;1),"Vencida"&amp;" · ","")&amp;IF(AND(ObsObligatoria="Sí",ISNUMBER($AS155),$AS155&lt;FechaRef,IF($V155="Sub",1,N($M155))&lt;1,$Q155=""),"Vencida sin observación"&amp;" · ",""))-3)))</f>
        <v/>
      </c>
      <c r="S155" s="64">
        <f>IF(NOT((COUNTA($B155:$D155)+COUNTA($G155:$H155)+COUNTA($Q155))&gt;0),"",IF(AND($V155="Sub",N($U155)&gt;0),IF(ISNUMBER(INDEX($AR$5:$AR$1000,$U155-4)),DATE(YEAR(INDEX($AR$5:$AR$1000,$U155-4)),MONTH(INDEX($AR$5:$AR$1000,$U155-4)),1),IF(ISNUMBER(INDEX($AS$5:$AS$1000,$U155-4)),DATE(YEAR(INDEX($AS$5:$AS$1000,$U155-4)),MONTH(INDEX($AS$5:$AS$1000,$U155-4)),1),MesCiclo)),IF(ISNUMBER($AR155),DATE(YEAR($AR155),MONTH($AR155),1),IF(ISNUMBER($AS155),DATE(YEAR($AS155),MONTH($AS155),1),MesCiclo))))</f>
        <v/>
      </c>
      <c r="T155" s="62">
        <f>IF(OR($S155="",$S155&lt;&gt;MesCiclo,$V155&lt;&gt;"Macro"),"",COUNTIFS($S$5:$S155,MesCiclo,$V$5:$V155,"Macro"))</f>
        <v/>
      </c>
      <c r="U155" s="62">
        <f>IF($V155="","",IF($V155="Macro",ROW(),IFERROR(LOOKUP(2,1/($V$5:$V155="Macro"),ROW($V$5:$V155)),0)))</f>
        <v/>
      </c>
      <c r="V155" s="62">
        <f>IF(NOT((COUNTA($B155:$D155)+COUNTA($G155:$H155)+COUNTA($Q155))&gt;0),"",IF($B155="Subactividad","Sub","Macro"))</f>
        <v/>
      </c>
      <c r="W155" s="62">
        <f>IF($V155="Macro",COUNTIFS($U$5:$U$1000,ROW(),$V$5:$V$1000,"Sub"),"")</f>
        <v/>
      </c>
      <c r="X155" s="62">
        <f>IF($V155&lt;&gt;"Sub","",IF(AND(ISNUMBER($H155),N($H155)&gt;0),$H155,IFERROR(MAX(0,1-SUMIFS($H$5:$H$1000,$U$5:$U$1000,$U155,$V$5:$V$1000,"Sub"))/(COUNTIFS($U$5:$U$1000,$U155,$V$5:$V$1000,"Sub")-COUNTIFS($U$5:$U$1000,$U155,$V$5:$V$1000,"Sub",$H$5:$H$1000,"&gt;0")),0)))</f>
        <v/>
      </c>
      <c r="Y155" s="62">
        <f>IF($V155="","",IF($V155="Sub",N($X155)*IF(ISNUMBER($G155),1,MIN(1,MAX(0,IFERROR(LOOKUP(2,1/ISNUMBER($I155:$L155),$I155:$L155),0)))),IF(ISNUMBER($G155),1,IFERROR(LOOKUP(2,1/($I155:$L155&lt;&gt;""),$I155:$L155),0))))</f>
        <v/>
      </c>
      <c r="Z155" s="62">
        <f>IF($V155="","",IF(AND(ISNUMBER($G155),$G155&lt;=IF($S155=MesCiclo,InicioCiclo,$S155+MOD(2-WEEKDAY($S155),7))+6),1,IF(ISNUMBER($I155),$I155,0)))</f>
        <v/>
      </c>
      <c r="AA155" s="62">
        <f>IF($V155="","",IF(AND(ISNUMBER($G155),$G155&lt;=IF($S155=MesCiclo,InicioCiclo,$S155+MOD(2-WEEKDAY($S155),7))+13),1,IF(ISNUMBER($J155),$J155,$Z155)))</f>
        <v/>
      </c>
      <c r="AB155" s="62">
        <f>IF($V155="","",IF(AND(ISNUMBER($G155),$G155&lt;=IF($S155=MesCiclo,InicioCiclo,$S155+MOD(2-WEEKDAY($S155),7))+20),1,IF(ISNUMBER($K155),$K155,$AA155)))</f>
        <v/>
      </c>
      <c r="AC155" s="62">
        <f>IF($V155="","",IF(AND(ISNUMBER($G155),$G155&lt;=IF($S155=MesCiclo,InicioCiclo,$S155+MOD(2-WEEKDAY($S155),7))+27),1,IF(ISNUMBER($L155),$L155,$AB155)))</f>
        <v/>
      </c>
      <c r="AD155" s="62">
        <f>IF($V155&lt;&gt;"Sub","",N($X155)*IF(AND(ISNUMBER($G155),$G155&lt;=IF($S155=MesCiclo,InicioCiclo,$S155+MOD(2-WEEKDAY($S155),7))+6),1,MIN(1,MAX(0,IF(ISNUMBER(OFFSET($A$1,ROW()-1,8)),OFFSET($A$1,ROW()-1,8),0)))))</f>
        <v/>
      </c>
      <c r="AE155" s="62">
        <f>IF($V155&lt;&gt;"Sub","",N($X155)*IF(AND(ISNUMBER($G155),$G155&lt;=IF($S155=MesCiclo,InicioCiclo,$S155+MOD(2-WEEKDAY($S155),7))+13),1,MIN(1,MAX(0,IF(ISNUMBER(OFFSET($A$1,ROW()-1,9)),OFFSET($A$1,ROW()-1,9),IF(ISNUMBER(OFFSET($A$1,ROW()-1,8)),OFFSET($A$1,ROW()-1,8),0))))))</f>
        <v/>
      </c>
      <c r="AF155" s="62">
        <f>IF($V155&lt;&gt;"Sub","",N($X155)*IF(AND(ISNUMBER($G155),$G155&lt;=IF($S155=MesCiclo,InicioCiclo,$S155+MOD(2-WEEKDAY($S155),7))+20),1,MIN(1,MAX(0,IF(ISNUMBER(OFFSET($A$1,ROW()-1,10)),OFFSET($A$1,ROW()-1,10),IF(ISNUMBER(OFFSET($A$1,ROW()-1,9)),OFFSET($A$1,ROW()-1,9),IF(ISNUMBER(OFFSET($A$1,ROW()-1,8)),OFFSET($A$1,ROW()-1,8),0)))))))</f>
        <v/>
      </c>
      <c r="AG155" s="62">
        <f>IF($V155&lt;&gt;"Sub","",N($X155)*IF(AND(ISNUMBER($G155),$G155&lt;=IF($S155=MesCiclo,InicioCiclo,$S155+MOD(2-WEEKDAY($S155),7))+27),1,MIN(1,MAX(0,IF(ISNUMBER(OFFSET($A$1,ROW()-1,11)),OFFSET($A$1,ROW()-1,11),IF(ISNUMBER(OFFSET($A$1,ROW()-1,10)),OFFSET($A$1,ROW()-1,10),IF(ISNUMBER(OFFSET($A$1,ROW()-1,9)),OFFSET($A$1,ROW()-1,9),IF(ISNUMBER(OFFSET($A$1,ROW()-1,8)),OFFSET($A$1,ROW()-1,8),0))))))))</f>
        <v/>
      </c>
      <c r="AH155" s="62">
        <f>IF($V155="","",IF(AND(ISNUMBER($G155),$G155&lt;=IF($S155=MesCiclo,InicioCiclo,$S155+MOD(2-WEEKDAY($S155),7))+6),1,IF(N($W155)&gt;0,MIN(1,SUMIFS($AD$5:$AD$1000,$U$5:$U$1000,ROW(),$V$5:$V$1000,"Sub")),$Z155)))</f>
        <v/>
      </c>
      <c r="AI155" s="62">
        <f>IF($V155="","",IF(AND(ISNUMBER($G155),$G155&lt;=IF($S155=MesCiclo,InicioCiclo,$S155+MOD(2-WEEKDAY($S155),7))+13),1,IF(N($W155)&gt;0,MIN(1,SUMIFS($AE$5:$AE$1000,$U$5:$U$1000,ROW(),$V$5:$V$1000,"Sub")),$AA155)))</f>
        <v/>
      </c>
      <c r="AJ155" s="62">
        <f>IF($V155="","",IF(AND(ISNUMBER($G155),$G155&lt;=IF($S155=MesCiclo,InicioCiclo,$S155+MOD(2-WEEKDAY($S155),7))+20),1,IF(N($W155)&gt;0,MIN(1,SUMIFS($AF$5:$AF$1000,$U$5:$U$1000,ROW(),$V$5:$V$1000,"Sub")),$AB155)))</f>
        <v/>
      </c>
      <c r="AK155" s="62">
        <f>IF($V155="","",IF(AND(ISNUMBER($G155),$G155&lt;=IF($S155=MesCiclo,InicioCiclo,$S155+MOD(2-WEEKDAY($S155),7))+27),1,IF(N($W155)&gt;0,MIN(1,SUMIFS($AG$5:$AG$1000,$U$5:$U$1000,ROW(),$V$5:$V$1000,"Sub")),$AC155)))</f>
        <v/>
      </c>
      <c r="AL155" s="62">
        <f>IF($V155&lt;&gt;"Macro","",IF(COUNTIFS($S$5:$S$1000,$S155,$V$5:$V$1000,"Macro",$H$5:$H$1000,"&gt;0")=0,1/COUNTIFS($S$5:$S$1000,$S155,$V$5:$V$1000,"Macro"),IF(AND(ISNUMBER($H155),N($H155)&gt;0),$H155,SUMIFS($H$5:$H$1000,$S$5:$S$1000,$S155,$V$5:$V$1000,"Macro")/COUNTIFS($S$5:$S$1000,$S155,$V$5:$V$1000,"Macro",$H$5:$H$1000,"&gt;0"))/(COUNTIFS($S$5:$S$1000,$S155,$V$5:$V$1000,"Macro")*SUMIFS($H$5:$H$1000,$S$5:$S$1000,$S155,$V$5:$V$1000,"Macro")/COUNTIFS($S$5:$S$1000,$S155,$V$5:$V$1000,"Macro",$H$5:$H$1000,"&gt;0"))))</f>
        <v/>
      </c>
      <c r="AM155" s="62" t="n"/>
      <c r="AN155" s="62" t="n"/>
      <c r="AO155" s="62" t="n"/>
      <c r="AP155" s="62" t="n"/>
      <c r="AQ155" s="62">
        <f>IF(LEFT($C155,11)="[Jefatura] ",IFERROR(MATCH("Asistente Técnico de Riesgo|"&amp;MID($C155,12,500),rDname_ADM,0),0),"")</f>
        <v/>
      </c>
      <c r="AR155" s="62">
        <f>IF(N($AQ155)&gt;0,INDEX(rIni_ADM,$AQ155),IF(ISNUMBER($E155),$E155,""))</f>
        <v/>
      </c>
      <c r="AS155" s="62">
        <f>IF(N($AQ155)&gt;0,INDEX(rLim_ADM,$AQ155),IF(ISNUMBER($F155),$F155,""))</f>
        <v/>
      </c>
    </row>
    <row r="156">
      <c r="A156" s="56">
        <f>IF(NOT((COUNTA($B156:$D156)+COUNTA($G156:$H156)+COUNTA($Q156))&gt;0),"",IF($V156="Macro",COUNTIFS($V$5:$V156,"Macro",$S$5:$S156,$S156),IF(N($U156)=0,"?",COUNTIFS(INDEX($V$5:$V$1000,1):INDEX($V$5:$V$1000,$U156-4),"Macro",INDEX($S$5:$S$1000,1):INDEX($S$5:$S$1000,$U156-4),INDEX($S$5:$S$1000,$U156-4))&amp;"."&amp;COUNTIFS($U$5:$U156,$U156,$V$5:$V156,"Sub"))))</f>
        <v/>
      </c>
      <c r="B156" s="57" t="n"/>
      <c r="C156" s="58" t="n"/>
      <c r="D156" s="58" t="n"/>
      <c r="E156" s="59">
        <f>IF(N($AQ156)&gt;0,INDEX(rIni_ADM,$AQ156),"")</f>
        <v/>
      </c>
      <c r="F156" s="59">
        <f>IF(N($AQ156)&gt;0,INDEX(rLim_ADM,$AQ156),"")</f>
        <v/>
      </c>
      <c r="G156" s="59" t="n"/>
      <c r="H156" s="60" t="n"/>
      <c r="I156" s="60">
        <f>IF(N($W156)=0,"",IF(AND($S156=MesCiclo,1&gt;SemanaActual),"",MIN(1,SUMIFS(OFFSET($A$1,ROW(),29,1000-ROW(),1),OFFSET($A$1,ROW(),20,1000-ROW(),1),ROW(),OFFSET($A$1,ROW(),21,1000-ROW(),1),"Sub"))))</f>
        <v/>
      </c>
      <c r="J156" s="60">
        <f>IF(N($W156)=0,"",IF(AND($S156=MesCiclo,2&gt;SemanaActual),"",MIN(1,SUMIFS(OFFSET($A$1,ROW(),30,1000-ROW(),1),OFFSET($A$1,ROW(),20,1000-ROW(),1),ROW(),OFFSET($A$1,ROW(),21,1000-ROW(),1),"Sub"))))</f>
        <v/>
      </c>
      <c r="K156" s="60">
        <f>IF(N($W156)=0,"",IF(AND($S156=MesCiclo,3&gt;SemanaActual),"",MIN(1,SUMIFS(OFFSET($A$1,ROW(),31,1000-ROW(),1),OFFSET($A$1,ROW(),20,1000-ROW(),1),ROW(),OFFSET($A$1,ROW(),21,1000-ROW(),1),"Sub"))))</f>
        <v/>
      </c>
      <c r="L156" s="60">
        <f>IF(N($W156)=0,"",IF(AND($S156=MesCiclo,4&gt;SemanaActual),"",MIN(1,SUMIFS(OFFSET($A$1,ROW(),32,1000-ROW(),1),OFFSET($A$1,ROW(),20,1000-ROW(),1),ROW(),OFFSET($A$1,ROW(),21,1000-ROW(),1),"Sub"))))</f>
        <v/>
      </c>
      <c r="M156" s="61">
        <f>IF(OR(NOT((COUNTA($B156:$D156)+COUNTA($G156:$H156)+COUNTA($Q156))&gt;0),$V156="Sub"),"",IF(ISNUMBER($G156),1,IF(N($W156)&gt;0,MIN(1,SUMIFS($Y$5:$Y$1000,$U$5:$U$1000,ROW(),$V$5:$V$1000,"Sub")),$Y156)))</f>
        <v/>
      </c>
      <c r="N156" s="56">
        <f>IF(OR($M156="",$V156="Sub"),"",IF($M156&gt;=1,"Completado",IF($M156&gt;0,"En curso","Pendiente")))</f>
        <v/>
      </c>
      <c r="O156" s="56">
        <f>IF(OR(NOT((COUNTA($B156:$D156)+COUNTA($G156:$H156)+COUNTA($Q156))&gt;0),$V156="Sub"),"",IF(ISNUMBER($G156),IF(AND(ISNUMBER($AS156),$G156&gt;$AS156),"Cumplida con "&amp;($G156-$AS156)&amp;IF($G156-$AS156=1," día"," días")&amp;" de retraso","Cumplida"),IF(N($M156)&gt;=1,"Cumplida",IF(NOT(ISNUMBER($AS156)),"Sin fecha límite",IF($AS156&lt;FechaRef,"Vencida hace "&amp;(FechaRef-$AS156)&amp;IF(FechaRef-$AS156=1," día"," días"),IF($AS156=FechaRef,"Vence hoy",IF($AS156-FechaRef&lt;=DiasAlerta,"Vence en "&amp;($AS156-FechaRef)&amp;IF($AS156-FechaRef=1," día"," días"),"En plazo")))))))</f>
        <v/>
      </c>
      <c r="P156" s="62" t="n"/>
      <c r="Q156" s="58" t="n"/>
      <c r="R156" s="63">
        <f>IF(NOT((COUNTA($B156:$D156)+COUNTA($G156:$H156)+COUNTA($Q156))&gt;0),"",IF((IF($C156="","Falta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 OK","⚠ "&amp;LEFT(IF($C156="","Falta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",""),LEN(IF($C156="","Falta el nombre de la actividad"&amp;" · ","")&amp;IF(AND($V156="Sub",N($U156)=0),"Subactividad sin macroactividad arriba"&amp;" · ","")&amp;IF(AND($V156="Macro",$AR156=""),"Sin fecha de inicio"&amp;" · ","")&amp;IF(AND($V156="Macro",$AS156=""),"Sin fecha límite"&amp;" · ","")&amp;IF(AND(LEFT($C156,11)="[Jefatura] ",N($AQ156)=0),"No se encuentra en la hoja de la jefatura (elíjala de nuevo en la lista)"&amp;" · ","")&amp;IF(OR(AND($E156&lt;&gt;"",NOT(ISNUMBER($E156))),AND($F156&lt;&gt;"",NOT(ISNUMBER($F156))),AND($G156&lt;&gt;"",NOT(ISNUMBER($G156)))),"Fecha no válida"&amp;" · ","")&amp;IF(AND(ISNUMBER($AR156),ISNUMBER($AS156),$AR156&gt;$AS156),"Inicio posterior a fecha límite"&amp;" · ","")&amp;IF(AND($V156="Macro",$H156&lt;&gt;"",OR(NOT(ISNUMBER($H156)),$H156&lt;0,$H156&gt;1)),"Peso fuera de rango"&amp;" · ","")&amp;IF(AND($V156="Sub",$H156&lt;&gt;"",OR(NOT(ISNUMBER($H156)),$H156&lt;0,$H156&gt;1)),"% de la subactividad fuera de rango 0-100%"&amp;" · ","")&amp;IF(AND(N($W156)&gt;0,SUMIFS($H$5:$H$1000,$U$5:$U$1000,ROW(),$V$5:$V$1000,"Sub")&gt;1.0001),"Las subactividades suman más de 100%"&amp;" · ","")&amp;IF(AND(N($W156)&gt;0,OR(IF(ISNUMBER($I156),ROUND($I156,6)&lt;&gt;ROUND(MIN(1,SUMIFS($AD$5:$AD$1000,$U$5:$U$1000,ROW(),$V$5:$V$1000,"Sub")),6),FALSE),IF(ISNUMBER($J156),ROUND($J156,6)&lt;&gt;ROUND(MIN(1,SUMIFS($AE$5:$AE$1000,$U$5:$U$1000,ROW(),$V$5:$V$1000,"Sub")),6),FALSE),IF(ISNUMBER($K156),ROUND($K156,6)&lt;&gt;ROUND(MIN(1,SUMIFS($AF$5:$AF$1000,$U$5:$U$1000,ROW(),$V$5:$V$1000,"Sub")),6),FALSE),IF(ISNUMBER($L156),ROUND($L156,6)&lt;&gt;ROUND(MIN(1,SUMIFS($AG$5:$AG$1000,$U$5:$U$1000,ROW(),$V$5:$V$1000,"Sub")),6),FALSE))),"Con subactividades: no escriba en las semanas (se llenan solas)"&amp;" · ","")&amp;IF((COUNTIF($I156:$L156,"&gt;1")+COUNTIF($I156:$L156,"&lt;0")+SUMPRODUCT((LEN($I156:$L156)&gt;0)*NOT(ISNUMBER($I156:$L156))))&gt;0,"Avance fuera de rango 0-100%"&amp;" · ","")&amp;IF(OR(AND(ISNUMBER($J156),$J156&lt;N($I156)),AND(ISNUMBER($K156),$K156&lt;MAX($I156:$J156)),AND(ISNUMBER($L156),$L156&lt;MAX($I156:$K156))),"Avance semanal decreciente"&amp;" · ","")&amp;IF(AND(ISNUMBER($AS156),$AS156&lt;FechaRef,IF($V156="Sub",1,N($M156))&lt;1),"Vencida"&amp;" · ","")&amp;IF(AND(ObsObligatoria="Sí",ISNUMBER($AS156),$AS156&lt;FechaRef,IF($V156="Sub",1,N($M156))&lt;1,$Q156=""),"Vencida sin observación"&amp;" · ",""))-3)))</f>
        <v/>
      </c>
      <c r="S156" s="64">
        <f>IF(NOT((COUNTA($B156:$D156)+COUNTA($G156:$H156)+COUNTA($Q156))&gt;0),"",IF(AND($V156="Sub",N($U156)&gt;0),IF(ISNUMBER(INDEX($AR$5:$AR$1000,$U156-4)),DATE(YEAR(INDEX($AR$5:$AR$1000,$U156-4)),MONTH(INDEX($AR$5:$AR$1000,$U156-4)),1),IF(ISNUMBER(INDEX($AS$5:$AS$1000,$U156-4)),DATE(YEAR(INDEX($AS$5:$AS$1000,$U156-4)),MONTH(INDEX($AS$5:$AS$1000,$U156-4)),1),MesCiclo)),IF(ISNUMBER($AR156),DATE(YEAR($AR156),MONTH($AR156),1),IF(ISNUMBER($AS156),DATE(YEAR($AS156),MONTH($AS156),1),MesCiclo))))</f>
        <v/>
      </c>
      <c r="T156" s="62">
        <f>IF(OR($S156="",$S156&lt;&gt;MesCiclo,$V156&lt;&gt;"Macro"),"",COUNTIFS($S$5:$S156,MesCiclo,$V$5:$V156,"Macro"))</f>
        <v/>
      </c>
      <c r="U156" s="62">
        <f>IF($V156="","",IF($V156="Macro",ROW(),IFERROR(LOOKUP(2,1/($V$5:$V156="Macro"),ROW($V$5:$V156)),0)))</f>
        <v/>
      </c>
      <c r="V156" s="62">
        <f>IF(NOT((COUNTA($B156:$D156)+COUNTA($G156:$H156)+COUNTA($Q156))&gt;0),"",IF($B156="Subactividad","Sub","Macro"))</f>
        <v/>
      </c>
      <c r="W156" s="62">
        <f>IF($V156="Macro",COUNTIFS($U$5:$U$1000,ROW(),$V$5:$V$1000,"Sub"),"")</f>
        <v/>
      </c>
      <c r="X156" s="62">
        <f>IF($V156&lt;&gt;"Sub","",IF(AND(ISNUMBER($H156),N($H156)&gt;0),$H156,IFERROR(MAX(0,1-SUMIFS($H$5:$H$1000,$U$5:$U$1000,$U156,$V$5:$V$1000,"Sub"))/(COUNTIFS($U$5:$U$1000,$U156,$V$5:$V$1000,"Sub")-COUNTIFS($U$5:$U$1000,$U156,$V$5:$V$1000,"Sub",$H$5:$H$1000,"&gt;0")),0)))</f>
        <v/>
      </c>
      <c r="Y156" s="62">
        <f>IF($V156="","",IF($V156="Sub",N($X156)*IF(ISNUMBER($G156),1,MIN(1,MAX(0,IFERROR(LOOKUP(2,1/ISNUMBER($I156:$L156),$I156:$L156),0)))),IF(ISNUMBER($G156),1,IFERROR(LOOKUP(2,1/($I156:$L156&lt;&gt;""),$I156:$L156),0))))</f>
        <v/>
      </c>
      <c r="Z156" s="62">
        <f>IF($V156="","",IF(AND(ISNUMBER($G156),$G156&lt;=IF($S156=MesCiclo,InicioCiclo,$S156+MOD(2-WEEKDAY($S156),7))+6),1,IF(ISNUMBER($I156),$I156,0)))</f>
        <v/>
      </c>
      <c r="AA156" s="62">
        <f>IF($V156="","",IF(AND(ISNUMBER($G156),$G156&lt;=IF($S156=MesCiclo,InicioCiclo,$S156+MOD(2-WEEKDAY($S156),7))+13),1,IF(ISNUMBER($J156),$J156,$Z156)))</f>
        <v/>
      </c>
      <c r="AB156" s="62">
        <f>IF($V156="","",IF(AND(ISNUMBER($G156),$G156&lt;=IF($S156=MesCiclo,InicioCiclo,$S156+MOD(2-WEEKDAY($S156),7))+20),1,IF(ISNUMBER($K156),$K156,$AA156)))</f>
        <v/>
      </c>
      <c r="AC156" s="62">
        <f>IF($V156="","",IF(AND(ISNUMBER($G156),$G156&lt;=IF($S156=MesCiclo,InicioCiclo,$S156+MOD(2-WEEKDAY($S156),7))+27),1,IF(ISNUMBER($L156),$L156,$AB156)))</f>
        <v/>
      </c>
      <c r="AD156" s="62">
        <f>IF($V156&lt;&gt;"Sub","",N($X156)*IF(AND(ISNUMBER($G156),$G156&lt;=IF($S156=MesCiclo,InicioCiclo,$S156+MOD(2-WEEKDAY($S156),7))+6),1,MIN(1,MAX(0,IF(ISNUMBER(OFFSET($A$1,ROW()-1,8)),OFFSET($A$1,ROW()-1,8),0)))))</f>
        <v/>
      </c>
      <c r="AE156" s="62">
        <f>IF($V156&lt;&gt;"Sub","",N($X156)*IF(AND(ISNUMBER($G156),$G156&lt;=IF($S156=MesCiclo,InicioCiclo,$S156+MOD(2-WEEKDAY($S156),7))+13),1,MIN(1,MAX(0,IF(ISNUMBER(OFFSET($A$1,ROW()-1,9)),OFFSET($A$1,ROW()-1,9),IF(ISNUMBER(OFFSET($A$1,ROW()-1,8)),OFFSET($A$1,ROW()-1,8),0))))))</f>
        <v/>
      </c>
      <c r="AF156" s="62">
        <f>IF($V156&lt;&gt;"Sub","",N($X156)*IF(AND(ISNUMBER($G156),$G156&lt;=IF($S156=MesCiclo,InicioCiclo,$S156+MOD(2-WEEKDAY($S156),7))+20),1,MIN(1,MAX(0,IF(ISNUMBER(OFFSET($A$1,ROW()-1,10)),OFFSET($A$1,ROW()-1,10),IF(ISNUMBER(OFFSET($A$1,ROW()-1,9)),OFFSET($A$1,ROW()-1,9),IF(ISNUMBER(OFFSET($A$1,ROW()-1,8)),OFFSET($A$1,ROW()-1,8),0)))))))</f>
        <v/>
      </c>
      <c r="AG156" s="62">
        <f>IF($V156&lt;&gt;"Sub","",N($X156)*IF(AND(ISNUMBER($G156),$G156&lt;=IF($S156=MesCiclo,InicioCiclo,$S156+MOD(2-WEEKDAY($S156),7))+27),1,MIN(1,MAX(0,IF(ISNUMBER(OFFSET($A$1,ROW()-1,11)),OFFSET($A$1,ROW()-1,11),IF(ISNUMBER(OFFSET($A$1,ROW()-1,10)),OFFSET($A$1,ROW()-1,10),IF(ISNUMBER(OFFSET($A$1,ROW()-1,9)),OFFSET($A$1,ROW()-1,9),IF(ISNUMBER(OFFSET($A$1,ROW()-1,8)),OFFSET($A$1,ROW()-1,8),0))))))))</f>
        <v/>
      </c>
      <c r="AH156" s="62">
        <f>IF($V156="","",IF(AND(ISNUMBER($G156),$G156&lt;=IF($S156=MesCiclo,InicioCiclo,$S156+MOD(2-WEEKDAY($S156),7))+6),1,IF(N($W156)&gt;0,MIN(1,SUMIFS($AD$5:$AD$1000,$U$5:$U$1000,ROW(),$V$5:$V$1000,"Sub")),$Z156)))</f>
        <v/>
      </c>
      <c r="AI156" s="62">
        <f>IF($V156="","",IF(AND(ISNUMBER($G156),$G156&lt;=IF($S156=MesCiclo,InicioCiclo,$S156+MOD(2-WEEKDAY($S156),7))+13),1,IF(N($W156)&gt;0,MIN(1,SUMIFS($AE$5:$AE$1000,$U$5:$U$1000,ROW(),$V$5:$V$1000,"Sub")),$AA156)))</f>
        <v/>
      </c>
      <c r="AJ156" s="62">
        <f>IF($V156="","",IF(AND(ISNUMBER($G156),$G156&lt;=IF($S156=MesCiclo,InicioCiclo,$S156+MOD(2-WEEKDAY($S156),7))+20),1,IF(N($W156)&gt;0,MIN(1,SUMIFS($AF$5:$AF$1000,$U$5:$U$1000,ROW(),$V$5:$V$1000,"Sub")),$AB156)))</f>
        <v/>
      </c>
      <c r="AK156" s="62">
        <f>IF($V156="","",IF(AND(ISNUMBER($G156),$G156&lt;=IF($S156=MesCiclo,InicioCiclo,$S156+MOD(2-WEEKDAY($S156),7))+27),1,IF(N($W156)&gt;0,MIN(1,SUMIFS($AG$5:$AG$1000,$U$5:$U$1000,ROW(),$V$5:$V$1000,"Sub")),$AC156)))</f>
        <v/>
      </c>
      <c r="AL156" s="62">
        <f>IF($V156&lt;&gt;"Macro","",IF(COUNTIFS($S$5:$S$1000,$S156,$V$5:$V$1000,"Macro",$H$5:$H$1000,"&gt;0")=0,1/COUNTIFS($S$5:$S$1000,$S156,$V$5:$V$1000,"Macro"),IF(AND(ISNUMBER($H156),N($H156)&gt;0),$H156,SUMIFS($H$5:$H$1000,$S$5:$S$1000,$S156,$V$5:$V$1000,"Macro")/COUNTIFS($S$5:$S$1000,$S156,$V$5:$V$1000,"Macro",$H$5:$H$1000,"&gt;0"))/(COUNTIFS($S$5:$S$1000,$S156,$V$5:$V$1000,"Macro")*SUMIFS($H$5:$H$1000,$S$5:$S$1000,$S156,$V$5:$V$1000,"Macro")/COUNTIFS($S$5:$S$1000,$S156,$V$5:$V$1000,"Macro",$H$5:$H$1000,"&gt;0"))))</f>
        <v/>
      </c>
      <c r="AM156" s="62" t="n"/>
      <c r="AN156" s="62" t="n"/>
      <c r="AO156" s="62" t="n"/>
      <c r="AP156" s="62" t="n"/>
      <c r="AQ156" s="62">
        <f>IF(LEFT($C156,11)="[Jefatura] ",IFERROR(MATCH("Asistente Técnico de Riesgo|"&amp;MID($C156,12,500),rDname_ADM,0),0),"")</f>
        <v/>
      </c>
      <c r="AR156" s="62">
        <f>IF(N($AQ156)&gt;0,INDEX(rIni_ADM,$AQ156),IF(ISNUMBER($E156),$E156,""))</f>
        <v/>
      </c>
      <c r="AS156" s="62">
        <f>IF(N($AQ156)&gt;0,INDEX(rLim_ADM,$AQ156),IF(ISNUMBER($F156),$F156,""))</f>
        <v/>
      </c>
    </row>
    <row r="157">
      <c r="A157" s="56">
        <f>IF(NOT((COUNTA($B157:$D157)+COUNTA($G157:$H157)+COUNTA($Q157))&gt;0),"",IF($V157="Macro",COUNTIFS($V$5:$V157,"Macro",$S$5:$S157,$S157),IF(N($U157)=0,"?",COUNTIFS(INDEX($V$5:$V$1000,1):INDEX($V$5:$V$1000,$U157-4),"Macro",INDEX($S$5:$S$1000,1):INDEX($S$5:$S$1000,$U157-4),INDEX($S$5:$S$1000,$U157-4))&amp;"."&amp;COUNTIFS($U$5:$U157,$U157,$V$5:$V157,"Sub"))))</f>
        <v/>
      </c>
      <c r="B157" s="57" t="n"/>
      <c r="C157" s="58" t="n"/>
      <c r="D157" s="58" t="n"/>
      <c r="E157" s="59">
        <f>IF(N($AQ157)&gt;0,INDEX(rIni_ADM,$AQ157),"")</f>
        <v/>
      </c>
      <c r="F157" s="59">
        <f>IF(N($AQ157)&gt;0,INDEX(rLim_ADM,$AQ157),"")</f>
        <v/>
      </c>
      <c r="G157" s="59" t="n"/>
      <c r="H157" s="60" t="n"/>
      <c r="I157" s="60">
        <f>IF(N($W157)=0,"",IF(AND($S157=MesCiclo,1&gt;SemanaActual),"",MIN(1,SUMIFS(OFFSET($A$1,ROW(),29,1000-ROW(),1),OFFSET($A$1,ROW(),20,1000-ROW(),1),ROW(),OFFSET($A$1,ROW(),21,1000-ROW(),1),"Sub"))))</f>
        <v/>
      </c>
      <c r="J157" s="60">
        <f>IF(N($W157)=0,"",IF(AND($S157=MesCiclo,2&gt;SemanaActual),"",MIN(1,SUMIFS(OFFSET($A$1,ROW(),30,1000-ROW(),1),OFFSET($A$1,ROW(),20,1000-ROW(),1),ROW(),OFFSET($A$1,ROW(),21,1000-ROW(),1),"Sub"))))</f>
        <v/>
      </c>
      <c r="K157" s="60">
        <f>IF(N($W157)=0,"",IF(AND($S157=MesCiclo,3&gt;SemanaActual),"",MIN(1,SUMIFS(OFFSET($A$1,ROW(),31,1000-ROW(),1),OFFSET($A$1,ROW(),20,1000-ROW(),1),ROW(),OFFSET($A$1,ROW(),21,1000-ROW(),1),"Sub"))))</f>
        <v/>
      </c>
      <c r="L157" s="60">
        <f>IF(N($W157)=0,"",IF(AND($S157=MesCiclo,4&gt;SemanaActual),"",MIN(1,SUMIFS(OFFSET($A$1,ROW(),32,1000-ROW(),1),OFFSET($A$1,ROW(),20,1000-ROW(),1),ROW(),OFFSET($A$1,ROW(),21,1000-ROW(),1),"Sub"))))</f>
        <v/>
      </c>
      <c r="M157" s="61">
        <f>IF(OR(NOT((COUNTA($B157:$D157)+COUNTA($G157:$H157)+COUNTA($Q157))&gt;0),$V157="Sub"),"",IF(ISNUMBER($G157),1,IF(N($W157)&gt;0,MIN(1,SUMIFS($Y$5:$Y$1000,$U$5:$U$1000,ROW(),$V$5:$V$1000,"Sub")),$Y157)))</f>
        <v/>
      </c>
      <c r="N157" s="56">
        <f>IF(OR($M157="",$V157="Sub"),"",IF($M157&gt;=1,"Completado",IF($M157&gt;0,"En curso","Pendiente")))</f>
        <v/>
      </c>
      <c r="O157" s="56">
        <f>IF(OR(NOT((COUNTA($B157:$D157)+COUNTA($G157:$H157)+COUNTA($Q157))&gt;0),$V157="Sub"),"",IF(ISNUMBER($G157),IF(AND(ISNUMBER($AS157),$G157&gt;$AS157),"Cumplida con "&amp;($G157-$AS157)&amp;IF($G157-$AS157=1," día"," días")&amp;" de retraso","Cumplida"),IF(N($M157)&gt;=1,"Cumplida",IF(NOT(ISNUMBER($AS157)),"Sin fecha límite",IF($AS157&lt;FechaRef,"Vencida hace "&amp;(FechaRef-$AS157)&amp;IF(FechaRef-$AS157=1," día"," días"),IF($AS157=FechaRef,"Vence hoy",IF($AS157-FechaRef&lt;=DiasAlerta,"Vence en "&amp;($AS157-FechaRef)&amp;IF($AS157-FechaRef=1," día"," días"),"En plazo")))))))</f>
        <v/>
      </c>
      <c r="P157" s="62" t="n"/>
      <c r="Q157" s="58" t="n"/>
      <c r="R157" s="63">
        <f>IF(NOT((COUNTA($B157:$D157)+COUNTA($G157:$H157)+COUNTA($Q157))&gt;0),"",IF((IF($C157="","Falta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 OK","⚠ "&amp;LEFT(IF($C157="","Falta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",""),LEN(IF($C157="","Falta el nombre de la actividad"&amp;" · ","")&amp;IF(AND($V157="Sub",N($U157)=0),"Subactividad sin macroactividad arriba"&amp;" · ","")&amp;IF(AND($V157="Macro",$AR157=""),"Sin fecha de inicio"&amp;" · ","")&amp;IF(AND($V157="Macro",$AS157=""),"Sin fecha límite"&amp;" · ","")&amp;IF(AND(LEFT($C157,11)="[Jefatura] ",N($AQ157)=0),"No se encuentra en la hoja de la jefatura (elíjala de nuevo en la lista)"&amp;" · ","")&amp;IF(OR(AND($E157&lt;&gt;"",NOT(ISNUMBER($E157))),AND($F157&lt;&gt;"",NOT(ISNUMBER($F157))),AND($G157&lt;&gt;"",NOT(ISNUMBER($G157)))),"Fecha no válida"&amp;" · ","")&amp;IF(AND(ISNUMBER($AR157),ISNUMBER($AS157),$AR157&gt;$AS157),"Inicio posterior a fecha límite"&amp;" · ","")&amp;IF(AND($V157="Macro",$H157&lt;&gt;"",OR(NOT(ISNUMBER($H157)),$H157&lt;0,$H157&gt;1)),"Peso fuera de rango"&amp;" · ","")&amp;IF(AND($V157="Sub",$H157&lt;&gt;"",OR(NOT(ISNUMBER($H157)),$H157&lt;0,$H157&gt;1)),"% de la subactividad fuera de rango 0-100%"&amp;" · ","")&amp;IF(AND(N($W157)&gt;0,SUMIFS($H$5:$H$1000,$U$5:$U$1000,ROW(),$V$5:$V$1000,"Sub")&gt;1.0001),"Las subactividades suman más de 100%"&amp;" · ","")&amp;IF(AND(N($W157)&gt;0,OR(IF(ISNUMBER($I157),ROUND($I157,6)&lt;&gt;ROUND(MIN(1,SUMIFS($AD$5:$AD$1000,$U$5:$U$1000,ROW(),$V$5:$V$1000,"Sub")),6),FALSE),IF(ISNUMBER($J157),ROUND($J157,6)&lt;&gt;ROUND(MIN(1,SUMIFS($AE$5:$AE$1000,$U$5:$U$1000,ROW(),$V$5:$V$1000,"Sub")),6),FALSE),IF(ISNUMBER($K157),ROUND($K157,6)&lt;&gt;ROUND(MIN(1,SUMIFS($AF$5:$AF$1000,$U$5:$U$1000,ROW(),$V$5:$V$1000,"Sub")),6),FALSE),IF(ISNUMBER($L157),ROUND($L157,6)&lt;&gt;ROUND(MIN(1,SUMIFS($AG$5:$AG$1000,$U$5:$U$1000,ROW(),$V$5:$V$1000,"Sub")),6),FALSE))),"Con subactividades: no escriba en las semanas (se llenan solas)"&amp;" · ","")&amp;IF((COUNTIF($I157:$L157,"&gt;1")+COUNTIF($I157:$L157,"&lt;0")+SUMPRODUCT((LEN($I157:$L157)&gt;0)*NOT(ISNUMBER($I157:$L157))))&gt;0,"Avance fuera de rango 0-100%"&amp;" · ","")&amp;IF(OR(AND(ISNUMBER($J157),$J157&lt;N($I157)),AND(ISNUMBER($K157),$K157&lt;MAX($I157:$J157)),AND(ISNUMBER($L157),$L157&lt;MAX($I157:$K157))),"Avance semanal decreciente"&amp;" · ","")&amp;IF(AND(ISNUMBER($AS157),$AS157&lt;FechaRef,IF($V157="Sub",1,N($M157))&lt;1),"Vencida"&amp;" · ","")&amp;IF(AND(ObsObligatoria="Sí",ISNUMBER($AS157),$AS157&lt;FechaRef,IF($V157="Sub",1,N($M157))&lt;1,$Q157=""),"Vencida sin observación"&amp;" · ",""))-3)))</f>
        <v/>
      </c>
      <c r="S157" s="64">
        <f>IF(NOT((COUNTA($B157:$D157)+COUNTA($G157:$H157)+COUNTA($Q157))&gt;0),"",IF(AND($V157="Sub",N($U157)&gt;0),IF(ISNUMBER(INDEX($AR$5:$AR$1000,$U157-4)),DATE(YEAR(INDEX($AR$5:$AR$1000,$U157-4)),MONTH(INDEX($AR$5:$AR$1000,$U157-4)),1),IF(ISNUMBER(INDEX($AS$5:$AS$1000,$U157-4)),DATE(YEAR(INDEX($AS$5:$AS$1000,$U157-4)),MONTH(INDEX($AS$5:$AS$1000,$U157-4)),1),MesCiclo)),IF(ISNUMBER($AR157),DATE(YEAR($AR157),MONTH($AR157),1),IF(ISNUMBER($AS157),DATE(YEAR($AS157),MONTH($AS157),1),MesCiclo))))</f>
        <v/>
      </c>
      <c r="T157" s="62">
        <f>IF(OR($S157="",$S157&lt;&gt;MesCiclo,$V157&lt;&gt;"Macro"),"",COUNTIFS($S$5:$S157,MesCiclo,$V$5:$V157,"Macro"))</f>
        <v/>
      </c>
      <c r="U157" s="62">
        <f>IF($V157="","",IF($V157="Macro",ROW(),IFERROR(LOOKUP(2,1/($V$5:$V157="Macro"),ROW($V$5:$V157)),0)))</f>
        <v/>
      </c>
      <c r="V157" s="62">
        <f>IF(NOT((COUNTA($B157:$D157)+COUNTA($G157:$H157)+COUNTA($Q157))&gt;0),"",IF($B157="Subactividad","Sub","Macro"))</f>
        <v/>
      </c>
      <c r="W157" s="62">
        <f>IF($V157="Macro",COUNTIFS($U$5:$U$1000,ROW(),$V$5:$V$1000,"Sub"),"")</f>
        <v/>
      </c>
      <c r="X157" s="62">
        <f>IF($V157&lt;&gt;"Sub","",IF(AND(ISNUMBER($H157),N($H157)&gt;0),$H157,IFERROR(MAX(0,1-SUMIFS($H$5:$H$1000,$U$5:$U$1000,$U157,$V$5:$V$1000,"Sub"))/(COUNTIFS($U$5:$U$1000,$U157,$V$5:$V$1000,"Sub")-COUNTIFS($U$5:$U$1000,$U157,$V$5:$V$1000,"Sub",$H$5:$H$1000,"&gt;0")),0)))</f>
        <v/>
      </c>
      <c r="Y157" s="62">
        <f>IF($V157="","",IF($V157="Sub",N($X157)*IF(ISNUMBER($G157),1,MIN(1,MAX(0,IFERROR(LOOKUP(2,1/ISNUMBER($I157:$L157),$I157:$L157),0)))),IF(ISNUMBER($G157),1,IFERROR(LOOKUP(2,1/($I157:$L157&lt;&gt;""),$I157:$L157),0))))</f>
        <v/>
      </c>
      <c r="Z157" s="62">
        <f>IF($V157="","",IF(AND(ISNUMBER($G157),$G157&lt;=IF($S157=MesCiclo,InicioCiclo,$S157+MOD(2-WEEKDAY($S157),7))+6),1,IF(ISNUMBER($I157),$I157,0)))</f>
        <v/>
      </c>
      <c r="AA157" s="62">
        <f>IF($V157="","",IF(AND(ISNUMBER($G157),$G157&lt;=IF($S157=MesCiclo,InicioCiclo,$S157+MOD(2-WEEKDAY($S157),7))+13),1,IF(ISNUMBER($J157),$J157,$Z157)))</f>
        <v/>
      </c>
      <c r="AB157" s="62">
        <f>IF($V157="","",IF(AND(ISNUMBER($G157),$G157&lt;=IF($S157=MesCiclo,InicioCiclo,$S157+MOD(2-WEEKDAY($S157),7))+20),1,IF(ISNUMBER($K157),$K157,$AA157)))</f>
        <v/>
      </c>
      <c r="AC157" s="62">
        <f>IF($V157="","",IF(AND(ISNUMBER($G157),$G157&lt;=IF($S157=MesCiclo,InicioCiclo,$S157+MOD(2-WEEKDAY($S157),7))+27),1,IF(ISNUMBER($L157),$L157,$AB157)))</f>
        <v/>
      </c>
      <c r="AD157" s="62">
        <f>IF($V157&lt;&gt;"Sub","",N($X157)*IF(AND(ISNUMBER($G157),$G157&lt;=IF($S157=MesCiclo,InicioCiclo,$S157+MOD(2-WEEKDAY($S157),7))+6),1,MIN(1,MAX(0,IF(ISNUMBER(OFFSET($A$1,ROW()-1,8)),OFFSET($A$1,ROW()-1,8),0)))))</f>
        <v/>
      </c>
      <c r="AE157" s="62">
        <f>IF($V157&lt;&gt;"Sub","",N($X157)*IF(AND(ISNUMBER($G157),$G157&lt;=IF($S157=MesCiclo,InicioCiclo,$S157+MOD(2-WEEKDAY($S157),7))+13),1,MIN(1,MAX(0,IF(ISNUMBER(OFFSET($A$1,ROW()-1,9)),OFFSET($A$1,ROW()-1,9),IF(ISNUMBER(OFFSET($A$1,ROW()-1,8)),OFFSET($A$1,ROW()-1,8),0))))))</f>
        <v/>
      </c>
      <c r="AF157" s="62">
        <f>IF($V157&lt;&gt;"Sub","",N($X157)*IF(AND(ISNUMBER($G157),$G157&lt;=IF($S157=MesCiclo,InicioCiclo,$S157+MOD(2-WEEKDAY($S157),7))+20),1,MIN(1,MAX(0,IF(ISNUMBER(OFFSET($A$1,ROW()-1,10)),OFFSET($A$1,ROW()-1,10),IF(ISNUMBER(OFFSET($A$1,ROW()-1,9)),OFFSET($A$1,ROW()-1,9),IF(ISNUMBER(OFFSET($A$1,ROW()-1,8)),OFFSET($A$1,ROW()-1,8),0)))))))</f>
        <v/>
      </c>
      <c r="AG157" s="62">
        <f>IF($V157&lt;&gt;"Sub","",N($X157)*IF(AND(ISNUMBER($G157),$G157&lt;=IF($S157=MesCiclo,InicioCiclo,$S157+MOD(2-WEEKDAY($S157),7))+27),1,MIN(1,MAX(0,IF(ISNUMBER(OFFSET($A$1,ROW()-1,11)),OFFSET($A$1,ROW()-1,11),IF(ISNUMBER(OFFSET($A$1,ROW()-1,10)),OFFSET($A$1,ROW()-1,10),IF(ISNUMBER(OFFSET($A$1,ROW()-1,9)),OFFSET($A$1,ROW()-1,9),IF(ISNUMBER(OFFSET($A$1,ROW()-1,8)),OFFSET($A$1,ROW()-1,8),0))))))))</f>
        <v/>
      </c>
      <c r="AH157" s="62">
        <f>IF($V157="","",IF(AND(ISNUMBER($G157),$G157&lt;=IF($S157=MesCiclo,InicioCiclo,$S157+MOD(2-WEEKDAY($S157),7))+6),1,IF(N($W157)&gt;0,MIN(1,SUMIFS($AD$5:$AD$1000,$U$5:$U$1000,ROW(),$V$5:$V$1000,"Sub")),$Z157)))</f>
        <v/>
      </c>
      <c r="AI157" s="62">
        <f>IF($V157="","",IF(AND(ISNUMBER($G157),$G157&lt;=IF($S157=MesCiclo,InicioCiclo,$S157+MOD(2-WEEKDAY($S157),7))+13),1,IF(N($W157)&gt;0,MIN(1,SUMIFS($AE$5:$AE$1000,$U$5:$U$1000,ROW(),$V$5:$V$1000,"Sub")),$AA157)))</f>
        <v/>
      </c>
      <c r="AJ157" s="62">
        <f>IF($V157="","",IF(AND(ISNUMBER($G157),$G157&lt;=IF($S157=MesCiclo,InicioCiclo,$S157+MOD(2-WEEKDAY($S157),7))+20),1,IF(N($W157)&gt;0,MIN(1,SUMIFS($AF$5:$AF$1000,$U$5:$U$1000,ROW(),$V$5:$V$1000,"Sub")),$AB157)))</f>
        <v/>
      </c>
      <c r="AK157" s="62">
        <f>IF($V157="","",IF(AND(ISNUMBER($G157),$G157&lt;=IF($S157=MesCiclo,InicioCiclo,$S157+MOD(2-WEEKDAY($S157),7))+27),1,IF(N($W157)&gt;0,MIN(1,SUMIFS($AG$5:$AG$1000,$U$5:$U$1000,ROW(),$V$5:$V$1000,"Sub")),$AC157)))</f>
        <v/>
      </c>
      <c r="AL157" s="62">
        <f>IF($V157&lt;&gt;"Macro","",IF(COUNTIFS($S$5:$S$1000,$S157,$V$5:$V$1000,"Macro",$H$5:$H$1000,"&gt;0")=0,1/COUNTIFS($S$5:$S$1000,$S157,$V$5:$V$1000,"Macro"),IF(AND(ISNUMBER($H157),N($H157)&gt;0),$H157,SUMIFS($H$5:$H$1000,$S$5:$S$1000,$S157,$V$5:$V$1000,"Macro")/COUNTIFS($S$5:$S$1000,$S157,$V$5:$V$1000,"Macro",$H$5:$H$1000,"&gt;0"))/(COUNTIFS($S$5:$S$1000,$S157,$V$5:$V$1000,"Macro")*SUMIFS($H$5:$H$1000,$S$5:$S$1000,$S157,$V$5:$V$1000,"Macro")/COUNTIFS($S$5:$S$1000,$S157,$V$5:$V$1000,"Macro",$H$5:$H$1000,"&gt;0"))))</f>
        <v/>
      </c>
      <c r="AM157" s="62" t="n"/>
      <c r="AN157" s="62" t="n"/>
      <c r="AO157" s="62" t="n"/>
      <c r="AP157" s="62" t="n"/>
      <c r="AQ157" s="62">
        <f>IF(LEFT($C157,11)="[Jefatura] ",IFERROR(MATCH("Asistente Técnico de Riesgo|"&amp;MID($C157,12,500),rDname_ADM,0),0),"")</f>
        <v/>
      </c>
      <c r="AR157" s="62">
        <f>IF(N($AQ157)&gt;0,INDEX(rIni_ADM,$AQ157),IF(ISNUMBER($E157),$E157,""))</f>
        <v/>
      </c>
      <c r="AS157" s="62">
        <f>IF(N($AQ157)&gt;0,INDEX(rLim_ADM,$AQ157),IF(ISNUMBER($F157),$F157,""))</f>
        <v/>
      </c>
    </row>
    <row r="158">
      <c r="A158" s="56">
        <f>IF(NOT((COUNTA($B158:$D158)+COUNTA($G158:$H158)+COUNTA($Q158))&gt;0),"",IF($V158="Macro",COUNTIFS($V$5:$V158,"Macro",$S$5:$S158,$S158),IF(N($U158)=0,"?",COUNTIFS(INDEX($V$5:$V$1000,1):INDEX($V$5:$V$1000,$U158-4),"Macro",INDEX($S$5:$S$1000,1):INDEX($S$5:$S$1000,$U158-4),INDEX($S$5:$S$1000,$U158-4))&amp;"."&amp;COUNTIFS($U$5:$U158,$U158,$V$5:$V158,"Sub"))))</f>
        <v/>
      </c>
      <c r="B158" s="57" t="n"/>
      <c r="C158" s="58" t="n"/>
      <c r="D158" s="58" t="n"/>
      <c r="E158" s="59">
        <f>IF(N($AQ158)&gt;0,INDEX(rIni_ADM,$AQ158),"")</f>
        <v/>
      </c>
      <c r="F158" s="59">
        <f>IF(N($AQ158)&gt;0,INDEX(rLim_ADM,$AQ158),"")</f>
        <v/>
      </c>
      <c r="G158" s="59" t="n"/>
      <c r="H158" s="60" t="n"/>
      <c r="I158" s="60">
        <f>IF(N($W158)=0,"",IF(AND($S158=MesCiclo,1&gt;SemanaActual),"",MIN(1,SUMIFS(OFFSET($A$1,ROW(),29,1000-ROW(),1),OFFSET($A$1,ROW(),20,1000-ROW(),1),ROW(),OFFSET($A$1,ROW(),21,1000-ROW(),1),"Sub"))))</f>
        <v/>
      </c>
      <c r="J158" s="60">
        <f>IF(N($W158)=0,"",IF(AND($S158=MesCiclo,2&gt;SemanaActual),"",MIN(1,SUMIFS(OFFSET($A$1,ROW(),30,1000-ROW(),1),OFFSET($A$1,ROW(),20,1000-ROW(),1),ROW(),OFFSET($A$1,ROW(),21,1000-ROW(),1),"Sub"))))</f>
        <v/>
      </c>
      <c r="K158" s="60">
        <f>IF(N($W158)=0,"",IF(AND($S158=MesCiclo,3&gt;SemanaActual),"",MIN(1,SUMIFS(OFFSET($A$1,ROW(),31,1000-ROW(),1),OFFSET($A$1,ROW(),20,1000-ROW(),1),ROW(),OFFSET($A$1,ROW(),21,1000-ROW(),1),"Sub"))))</f>
        <v/>
      </c>
      <c r="L158" s="60">
        <f>IF(N($W158)=0,"",IF(AND($S158=MesCiclo,4&gt;SemanaActual),"",MIN(1,SUMIFS(OFFSET($A$1,ROW(),32,1000-ROW(),1),OFFSET($A$1,ROW(),20,1000-ROW(),1),ROW(),OFFSET($A$1,ROW(),21,1000-ROW(),1),"Sub"))))</f>
        <v/>
      </c>
      <c r="M158" s="61">
        <f>IF(OR(NOT((COUNTA($B158:$D158)+COUNTA($G158:$H158)+COUNTA($Q158))&gt;0),$V158="Sub"),"",IF(ISNUMBER($G158),1,IF(N($W158)&gt;0,MIN(1,SUMIFS($Y$5:$Y$1000,$U$5:$U$1000,ROW(),$V$5:$V$1000,"Sub")),$Y158)))</f>
        <v/>
      </c>
      <c r="N158" s="56">
        <f>IF(OR($M158="",$V158="Sub"),"",IF($M158&gt;=1,"Completado",IF($M158&gt;0,"En curso","Pendiente")))</f>
        <v/>
      </c>
      <c r="O158" s="56">
        <f>IF(OR(NOT((COUNTA($B158:$D158)+COUNTA($G158:$H158)+COUNTA($Q158))&gt;0),$V158="Sub"),"",IF(ISNUMBER($G158),IF(AND(ISNUMBER($AS158),$G158&gt;$AS158),"Cumplida con "&amp;($G158-$AS158)&amp;IF($G158-$AS158=1," día"," días")&amp;" de retraso","Cumplida"),IF(N($M158)&gt;=1,"Cumplida",IF(NOT(ISNUMBER($AS158)),"Sin fecha límite",IF($AS158&lt;FechaRef,"Vencida hace "&amp;(FechaRef-$AS158)&amp;IF(FechaRef-$AS158=1," día"," días"),IF($AS158=FechaRef,"Vence hoy",IF($AS158-FechaRef&lt;=DiasAlerta,"Vence en "&amp;($AS158-FechaRef)&amp;IF($AS158-FechaRef=1," día"," días"),"En plazo")))))))</f>
        <v/>
      </c>
      <c r="P158" s="62" t="n"/>
      <c r="Q158" s="58" t="n"/>
      <c r="R158" s="63">
        <f>IF(NOT((COUNTA($B158:$D158)+COUNTA($G158:$H158)+COUNTA($Q158))&gt;0),"",IF((IF($C158="","Falta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 OK","⚠ "&amp;LEFT(IF($C158="","Falta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",""),LEN(IF($C158="","Falta el nombre de la actividad"&amp;" · ","")&amp;IF(AND($V158="Sub",N($U158)=0),"Subactividad sin macroactividad arriba"&amp;" · ","")&amp;IF(AND($V158="Macro",$AR158=""),"Sin fecha de inicio"&amp;" · ","")&amp;IF(AND($V158="Macro",$AS158=""),"Sin fecha límite"&amp;" · ","")&amp;IF(AND(LEFT($C158,11)="[Jefatura] ",N($AQ158)=0),"No se encuentra en la hoja de la jefatura (elíjala de nuevo en la lista)"&amp;" · ","")&amp;IF(OR(AND($E158&lt;&gt;"",NOT(ISNUMBER($E158))),AND($F158&lt;&gt;"",NOT(ISNUMBER($F158))),AND($G158&lt;&gt;"",NOT(ISNUMBER($G158)))),"Fecha no válida"&amp;" · ","")&amp;IF(AND(ISNUMBER($AR158),ISNUMBER($AS158),$AR158&gt;$AS158),"Inicio posterior a fecha límite"&amp;" · ","")&amp;IF(AND($V158="Macro",$H158&lt;&gt;"",OR(NOT(ISNUMBER($H158)),$H158&lt;0,$H158&gt;1)),"Peso fuera de rango"&amp;" · ","")&amp;IF(AND($V158="Sub",$H158&lt;&gt;"",OR(NOT(ISNUMBER($H158)),$H158&lt;0,$H158&gt;1)),"% de la subactividad fuera de rango 0-100%"&amp;" · ","")&amp;IF(AND(N($W158)&gt;0,SUMIFS($H$5:$H$1000,$U$5:$U$1000,ROW(),$V$5:$V$1000,"Sub")&gt;1.0001),"Las subactividades suman más de 100%"&amp;" · ","")&amp;IF(AND(N($W158)&gt;0,OR(IF(ISNUMBER($I158),ROUND($I158,6)&lt;&gt;ROUND(MIN(1,SUMIFS($AD$5:$AD$1000,$U$5:$U$1000,ROW(),$V$5:$V$1000,"Sub")),6),FALSE),IF(ISNUMBER($J158),ROUND($J158,6)&lt;&gt;ROUND(MIN(1,SUMIFS($AE$5:$AE$1000,$U$5:$U$1000,ROW(),$V$5:$V$1000,"Sub")),6),FALSE),IF(ISNUMBER($K158),ROUND($K158,6)&lt;&gt;ROUND(MIN(1,SUMIFS($AF$5:$AF$1000,$U$5:$U$1000,ROW(),$V$5:$V$1000,"Sub")),6),FALSE),IF(ISNUMBER($L158),ROUND($L158,6)&lt;&gt;ROUND(MIN(1,SUMIFS($AG$5:$AG$1000,$U$5:$U$1000,ROW(),$V$5:$V$1000,"Sub")),6),FALSE))),"Con subactividades: no escriba en las semanas (se llenan solas)"&amp;" · ","")&amp;IF((COUNTIF($I158:$L158,"&gt;1")+COUNTIF($I158:$L158,"&lt;0")+SUMPRODUCT((LEN($I158:$L158)&gt;0)*NOT(ISNUMBER($I158:$L158))))&gt;0,"Avance fuera de rango 0-100%"&amp;" · ","")&amp;IF(OR(AND(ISNUMBER($J158),$J158&lt;N($I158)),AND(ISNUMBER($K158),$K158&lt;MAX($I158:$J158)),AND(ISNUMBER($L158),$L158&lt;MAX($I158:$K158))),"Avance semanal decreciente"&amp;" · ","")&amp;IF(AND(ISNUMBER($AS158),$AS158&lt;FechaRef,IF($V158="Sub",1,N($M158))&lt;1),"Vencida"&amp;" · ","")&amp;IF(AND(ObsObligatoria="Sí",ISNUMBER($AS158),$AS158&lt;FechaRef,IF($V158="Sub",1,N($M158))&lt;1,$Q158=""),"Vencida sin observación"&amp;" · ",""))-3)))</f>
        <v/>
      </c>
      <c r="S158" s="64">
        <f>IF(NOT((COUNTA($B158:$D158)+COUNTA($G158:$H158)+COUNTA($Q158))&gt;0),"",IF(AND($V158="Sub",N($U158)&gt;0),IF(ISNUMBER(INDEX($AR$5:$AR$1000,$U158-4)),DATE(YEAR(INDEX($AR$5:$AR$1000,$U158-4)),MONTH(INDEX($AR$5:$AR$1000,$U158-4)),1),IF(ISNUMBER(INDEX($AS$5:$AS$1000,$U158-4)),DATE(YEAR(INDEX($AS$5:$AS$1000,$U158-4)),MONTH(INDEX($AS$5:$AS$1000,$U158-4)),1),MesCiclo)),IF(ISNUMBER($AR158),DATE(YEAR($AR158),MONTH($AR158),1),IF(ISNUMBER($AS158),DATE(YEAR($AS158),MONTH($AS158),1),MesCiclo))))</f>
        <v/>
      </c>
      <c r="T158" s="62">
        <f>IF(OR($S158="",$S158&lt;&gt;MesCiclo,$V158&lt;&gt;"Macro"),"",COUNTIFS($S$5:$S158,MesCiclo,$V$5:$V158,"Macro"))</f>
        <v/>
      </c>
      <c r="U158" s="62">
        <f>IF($V158="","",IF($V158="Macro",ROW(),IFERROR(LOOKUP(2,1/($V$5:$V158="Macro"),ROW($V$5:$V158)),0)))</f>
        <v/>
      </c>
      <c r="V158" s="62">
        <f>IF(NOT((COUNTA($B158:$D158)+COUNTA($G158:$H158)+COUNTA($Q158))&gt;0),"",IF($B158="Subactividad","Sub","Macro"))</f>
        <v/>
      </c>
      <c r="W158" s="62">
        <f>IF($V158="Macro",COUNTIFS($U$5:$U$1000,ROW(),$V$5:$V$1000,"Sub"),"")</f>
        <v/>
      </c>
      <c r="X158" s="62">
        <f>IF($V158&lt;&gt;"Sub","",IF(AND(ISNUMBER($H158),N($H158)&gt;0),$H158,IFERROR(MAX(0,1-SUMIFS($H$5:$H$1000,$U$5:$U$1000,$U158,$V$5:$V$1000,"Sub"))/(COUNTIFS($U$5:$U$1000,$U158,$V$5:$V$1000,"Sub")-COUNTIFS($U$5:$U$1000,$U158,$V$5:$V$1000,"Sub",$H$5:$H$1000,"&gt;0")),0)))</f>
        <v/>
      </c>
      <c r="Y158" s="62">
        <f>IF($V158="","",IF($V158="Sub",N($X158)*IF(ISNUMBER($G158),1,MIN(1,MAX(0,IFERROR(LOOKUP(2,1/ISNUMBER($I158:$L158),$I158:$L158),0)))),IF(ISNUMBER($G158),1,IFERROR(LOOKUP(2,1/($I158:$L158&lt;&gt;""),$I158:$L158),0))))</f>
        <v/>
      </c>
      <c r="Z158" s="62">
        <f>IF($V158="","",IF(AND(ISNUMBER($G158),$G158&lt;=IF($S158=MesCiclo,InicioCiclo,$S158+MOD(2-WEEKDAY($S158),7))+6),1,IF(ISNUMBER($I158),$I158,0)))</f>
        <v/>
      </c>
      <c r="AA158" s="62">
        <f>IF($V158="","",IF(AND(ISNUMBER($G158),$G158&lt;=IF($S158=MesCiclo,InicioCiclo,$S158+MOD(2-WEEKDAY($S158),7))+13),1,IF(ISNUMBER($J158),$J158,$Z158)))</f>
        <v/>
      </c>
      <c r="AB158" s="62">
        <f>IF($V158="","",IF(AND(ISNUMBER($G158),$G158&lt;=IF($S158=MesCiclo,InicioCiclo,$S158+MOD(2-WEEKDAY($S158),7))+20),1,IF(ISNUMBER($K158),$K158,$AA158)))</f>
        <v/>
      </c>
      <c r="AC158" s="62">
        <f>IF($V158="","",IF(AND(ISNUMBER($G158),$G158&lt;=IF($S158=MesCiclo,InicioCiclo,$S158+MOD(2-WEEKDAY($S158),7))+27),1,IF(ISNUMBER($L158),$L158,$AB158)))</f>
        <v/>
      </c>
      <c r="AD158" s="62">
        <f>IF($V158&lt;&gt;"Sub","",N($X158)*IF(AND(ISNUMBER($G158),$G158&lt;=IF($S158=MesCiclo,InicioCiclo,$S158+MOD(2-WEEKDAY($S158),7))+6),1,MIN(1,MAX(0,IF(ISNUMBER(OFFSET($A$1,ROW()-1,8)),OFFSET($A$1,ROW()-1,8),0)))))</f>
        <v/>
      </c>
      <c r="AE158" s="62">
        <f>IF($V158&lt;&gt;"Sub","",N($X158)*IF(AND(ISNUMBER($G158),$G158&lt;=IF($S158=MesCiclo,InicioCiclo,$S158+MOD(2-WEEKDAY($S158),7))+13),1,MIN(1,MAX(0,IF(ISNUMBER(OFFSET($A$1,ROW()-1,9)),OFFSET($A$1,ROW()-1,9),IF(ISNUMBER(OFFSET($A$1,ROW()-1,8)),OFFSET($A$1,ROW()-1,8),0))))))</f>
        <v/>
      </c>
      <c r="AF158" s="62">
        <f>IF($V158&lt;&gt;"Sub","",N($X158)*IF(AND(ISNUMBER($G158),$G158&lt;=IF($S158=MesCiclo,InicioCiclo,$S158+MOD(2-WEEKDAY($S158),7))+20),1,MIN(1,MAX(0,IF(ISNUMBER(OFFSET($A$1,ROW()-1,10)),OFFSET($A$1,ROW()-1,10),IF(ISNUMBER(OFFSET($A$1,ROW()-1,9)),OFFSET($A$1,ROW()-1,9),IF(ISNUMBER(OFFSET($A$1,ROW()-1,8)),OFFSET($A$1,ROW()-1,8),0)))))))</f>
        <v/>
      </c>
      <c r="AG158" s="62">
        <f>IF($V158&lt;&gt;"Sub","",N($X158)*IF(AND(ISNUMBER($G158),$G158&lt;=IF($S158=MesCiclo,InicioCiclo,$S158+MOD(2-WEEKDAY($S158),7))+27),1,MIN(1,MAX(0,IF(ISNUMBER(OFFSET($A$1,ROW()-1,11)),OFFSET($A$1,ROW()-1,11),IF(ISNUMBER(OFFSET($A$1,ROW()-1,10)),OFFSET($A$1,ROW()-1,10),IF(ISNUMBER(OFFSET($A$1,ROW()-1,9)),OFFSET($A$1,ROW()-1,9),IF(ISNUMBER(OFFSET($A$1,ROW()-1,8)),OFFSET($A$1,ROW()-1,8),0))))))))</f>
        <v/>
      </c>
      <c r="AH158" s="62">
        <f>IF($V158="","",IF(AND(ISNUMBER($G158),$G158&lt;=IF($S158=MesCiclo,InicioCiclo,$S158+MOD(2-WEEKDAY($S158),7))+6),1,IF(N($W158)&gt;0,MIN(1,SUMIFS($AD$5:$AD$1000,$U$5:$U$1000,ROW(),$V$5:$V$1000,"Sub")),$Z158)))</f>
        <v/>
      </c>
      <c r="AI158" s="62">
        <f>IF($V158="","",IF(AND(ISNUMBER($G158),$G158&lt;=IF($S158=MesCiclo,InicioCiclo,$S158+MOD(2-WEEKDAY($S158),7))+13),1,IF(N($W158)&gt;0,MIN(1,SUMIFS($AE$5:$AE$1000,$U$5:$U$1000,ROW(),$V$5:$V$1000,"Sub")),$AA158)))</f>
        <v/>
      </c>
      <c r="AJ158" s="62">
        <f>IF($V158="","",IF(AND(ISNUMBER($G158),$G158&lt;=IF($S158=MesCiclo,InicioCiclo,$S158+MOD(2-WEEKDAY($S158),7))+20),1,IF(N($W158)&gt;0,MIN(1,SUMIFS($AF$5:$AF$1000,$U$5:$U$1000,ROW(),$V$5:$V$1000,"Sub")),$AB158)))</f>
        <v/>
      </c>
      <c r="AK158" s="62">
        <f>IF($V158="","",IF(AND(ISNUMBER($G158),$G158&lt;=IF($S158=MesCiclo,InicioCiclo,$S158+MOD(2-WEEKDAY($S158),7))+27),1,IF(N($W158)&gt;0,MIN(1,SUMIFS($AG$5:$AG$1000,$U$5:$U$1000,ROW(),$V$5:$V$1000,"Sub")),$AC158)))</f>
        <v/>
      </c>
      <c r="AL158" s="62">
        <f>IF($V158&lt;&gt;"Macro","",IF(COUNTIFS($S$5:$S$1000,$S158,$V$5:$V$1000,"Macro",$H$5:$H$1000,"&gt;0")=0,1/COUNTIFS($S$5:$S$1000,$S158,$V$5:$V$1000,"Macro"),IF(AND(ISNUMBER($H158),N($H158)&gt;0),$H158,SUMIFS($H$5:$H$1000,$S$5:$S$1000,$S158,$V$5:$V$1000,"Macro")/COUNTIFS($S$5:$S$1000,$S158,$V$5:$V$1000,"Macro",$H$5:$H$1000,"&gt;0"))/(COUNTIFS($S$5:$S$1000,$S158,$V$5:$V$1000,"Macro")*SUMIFS($H$5:$H$1000,$S$5:$S$1000,$S158,$V$5:$V$1000,"Macro")/COUNTIFS($S$5:$S$1000,$S158,$V$5:$V$1000,"Macro",$H$5:$H$1000,"&gt;0"))))</f>
        <v/>
      </c>
      <c r="AM158" s="62" t="n"/>
      <c r="AN158" s="62" t="n"/>
      <c r="AO158" s="62" t="n"/>
      <c r="AP158" s="62" t="n"/>
      <c r="AQ158" s="62">
        <f>IF(LEFT($C158,11)="[Jefatura] ",IFERROR(MATCH("Asistente Técnico de Riesgo|"&amp;MID($C158,12,500),rDname_ADM,0),0),"")</f>
        <v/>
      </c>
      <c r="AR158" s="62">
        <f>IF(N($AQ158)&gt;0,INDEX(rIni_ADM,$AQ158),IF(ISNUMBER($E158),$E158,""))</f>
        <v/>
      </c>
      <c r="AS158" s="62">
        <f>IF(N($AQ158)&gt;0,INDEX(rLim_ADM,$AQ158),IF(ISNUMBER($F158),$F158,""))</f>
        <v/>
      </c>
    </row>
    <row r="159">
      <c r="A159" s="56">
        <f>IF(NOT((COUNTA($B159:$D159)+COUNTA($G159:$H159)+COUNTA($Q159))&gt;0),"",IF($V159="Macro",COUNTIFS($V$5:$V159,"Macro",$S$5:$S159,$S159),IF(N($U159)=0,"?",COUNTIFS(INDEX($V$5:$V$1000,1):INDEX($V$5:$V$1000,$U159-4),"Macro",INDEX($S$5:$S$1000,1):INDEX($S$5:$S$1000,$U159-4),INDEX($S$5:$S$1000,$U159-4))&amp;"."&amp;COUNTIFS($U$5:$U159,$U159,$V$5:$V159,"Sub"))))</f>
        <v/>
      </c>
      <c r="B159" s="57" t="n"/>
      <c r="C159" s="58" t="n"/>
      <c r="D159" s="58" t="n"/>
      <c r="E159" s="59">
        <f>IF(N($AQ159)&gt;0,INDEX(rIni_ADM,$AQ159),"")</f>
        <v/>
      </c>
      <c r="F159" s="59">
        <f>IF(N($AQ159)&gt;0,INDEX(rLim_ADM,$AQ159),"")</f>
        <v/>
      </c>
      <c r="G159" s="59" t="n"/>
      <c r="H159" s="60" t="n"/>
      <c r="I159" s="60">
        <f>IF(N($W159)=0,"",IF(AND($S159=MesCiclo,1&gt;SemanaActual),"",MIN(1,SUMIFS(OFFSET($A$1,ROW(),29,1000-ROW(),1),OFFSET($A$1,ROW(),20,1000-ROW(),1),ROW(),OFFSET($A$1,ROW(),21,1000-ROW(),1),"Sub"))))</f>
        <v/>
      </c>
      <c r="J159" s="60">
        <f>IF(N($W159)=0,"",IF(AND($S159=MesCiclo,2&gt;SemanaActual),"",MIN(1,SUMIFS(OFFSET($A$1,ROW(),30,1000-ROW(),1),OFFSET($A$1,ROW(),20,1000-ROW(),1),ROW(),OFFSET($A$1,ROW(),21,1000-ROW(),1),"Sub"))))</f>
        <v/>
      </c>
      <c r="K159" s="60">
        <f>IF(N($W159)=0,"",IF(AND($S159=MesCiclo,3&gt;SemanaActual),"",MIN(1,SUMIFS(OFFSET($A$1,ROW(),31,1000-ROW(),1),OFFSET($A$1,ROW(),20,1000-ROW(),1),ROW(),OFFSET($A$1,ROW(),21,1000-ROW(),1),"Sub"))))</f>
        <v/>
      </c>
      <c r="L159" s="60">
        <f>IF(N($W159)=0,"",IF(AND($S159=MesCiclo,4&gt;SemanaActual),"",MIN(1,SUMIFS(OFFSET($A$1,ROW(),32,1000-ROW(),1),OFFSET($A$1,ROW(),20,1000-ROW(),1),ROW(),OFFSET($A$1,ROW(),21,1000-ROW(),1),"Sub"))))</f>
        <v/>
      </c>
      <c r="M159" s="61">
        <f>IF(OR(NOT((COUNTA($B159:$D159)+COUNTA($G159:$H159)+COUNTA($Q159))&gt;0),$V159="Sub"),"",IF(ISNUMBER($G159),1,IF(N($W159)&gt;0,MIN(1,SUMIFS($Y$5:$Y$1000,$U$5:$U$1000,ROW(),$V$5:$V$1000,"Sub")),$Y159)))</f>
        <v/>
      </c>
      <c r="N159" s="56">
        <f>IF(OR($M159="",$V159="Sub"),"",IF($M159&gt;=1,"Completado",IF($M159&gt;0,"En curso","Pendiente")))</f>
        <v/>
      </c>
      <c r="O159" s="56">
        <f>IF(OR(NOT((COUNTA($B159:$D159)+COUNTA($G159:$H159)+COUNTA($Q159))&gt;0),$V159="Sub"),"",IF(ISNUMBER($G159),IF(AND(ISNUMBER($AS159),$G159&gt;$AS159),"Cumplida con "&amp;($G159-$AS159)&amp;IF($G159-$AS159=1," día"," días")&amp;" de retraso","Cumplida"),IF(N($M159)&gt;=1,"Cumplida",IF(NOT(ISNUMBER($AS159)),"Sin fecha límite",IF($AS159&lt;FechaRef,"Vencida hace "&amp;(FechaRef-$AS159)&amp;IF(FechaRef-$AS159=1," día"," días"),IF($AS159=FechaRef,"Vence hoy",IF($AS159-FechaRef&lt;=DiasAlerta,"Vence en "&amp;($AS159-FechaRef)&amp;IF($AS159-FechaRef=1," día"," días"),"En plazo")))))))</f>
        <v/>
      </c>
      <c r="P159" s="62" t="n"/>
      <c r="Q159" s="58" t="n"/>
      <c r="R159" s="63">
        <f>IF(NOT((COUNTA($B159:$D159)+COUNTA($G159:$H159)+COUNTA($Q159))&gt;0),"",IF((IF($C159="","Falta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 OK","⚠ "&amp;LEFT(IF($C159="","Falta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",""),LEN(IF($C159="","Falta el nombre de la actividad"&amp;" · ","")&amp;IF(AND($V159="Sub",N($U159)=0),"Subactividad sin macroactividad arriba"&amp;" · ","")&amp;IF(AND($V159="Macro",$AR159=""),"Sin fecha de inicio"&amp;" · ","")&amp;IF(AND($V159="Macro",$AS159=""),"Sin fecha límite"&amp;" · ","")&amp;IF(AND(LEFT($C159,11)="[Jefatura] ",N($AQ159)=0),"No se encuentra en la hoja de la jefatura (elíjala de nuevo en la lista)"&amp;" · ","")&amp;IF(OR(AND($E159&lt;&gt;"",NOT(ISNUMBER($E159))),AND($F159&lt;&gt;"",NOT(ISNUMBER($F159))),AND($G159&lt;&gt;"",NOT(ISNUMBER($G159)))),"Fecha no válida"&amp;" · ","")&amp;IF(AND(ISNUMBER($AR159),ISNUMBER($AS159),$AR159&gt;$AS159),"Inicio posterior a fecha límite"&amp;" · ","")&amp;IF(AND($V159="Macro",$H159&lt;&gt;"",OR(NOT(ISNUMBER($H159)),$H159&lt;0,$H159&gt;1)),"Peso fuera de rango"&amp;" · ","")&amp;IF(AND($V159="Sub",$H159&lt;&gt;"",OR(NOT(ISNUMBER($H159)),$H159&lt;0,$H159&gt;1)),"% de la subactividad fuera de rango 0-100%"&amp;" · ","")&amp;IF(AND(N($W159)&gt;0,SUMIFS($H$5:$H$1000,$U$5:$U$1000,ROW(),$V$5:$V$1000,"Sub")&gt;1.0001),"Las subactividades suman más de 100%"&amp;" · ","")&amp;IF(AND(N($W159)&gt;0,OR(IF(ISNUMBER($I159),ROUND($I159,6)&lt;&gt;ROUND(MIN(1,SUMIFS($AD$5:$AD$1000,$U$5:$U$1000,ROW(),$V$5:$V$1000,"Sub")),6),FALSE),IF(ISNUMBER($J159),ROUND($J159,6)&lt;&gt;ROUND(MIN(1,SUMIFS($AE$5:$AE$1000,$U$5:$U$1000,ROW(),$V$5:$V$1000,"Sub")),6),FALSE),IF(ISNUMBER($K159),ROUND($K159,6)&lt;&gt;ROUND(MIN(1,SUMIFS($AF$5:$AF$1000,$U$5:$U$1000,ROW(),$V$5:$V$1000,"Sub")),6),FALSE),IF(ISNUMBER($L159),ROUND($L159,6)&lt;&gt;ROUND(MIN(1,SUMIFS($AG$5:$AG$1000,$U$5:$U$1000,ROW(),$V$5:$V$1000,"Sub")),6),FALSE))),"Con subactividades: no escriba en las semanas (se llenan solas)"&amp;" · ","")&amp;IF((COUNTIF($I159:$L159,"&gt;1")+COUNTIF($I159:$L159,"&lt;0")+SUMPRODUCT((LEN($I159:$L159)&gt;0)*NOT(ISNUMBER($I159:$L159))))&gt;0,"Avance fuera de rango 0-100%"&amp;" · ","")&amp;IF(OR(AND(ISNUMBER($J159),$J159&lt;N($I159)),AND(ISNUMBER($K159),$K159&lt;MAX($I159:$J159)),AND(ISNUMBER($L159),$L159&lt;MAX($I159:$K159))),"Avance semanal decreciente"&amp;" · ","")&amp;IF(AND(ISNUMBER($AS159),$AS159&lt;FechaRef,IF($V159="Sub",1,N($M159))&lt;1),"Vencida"&amp;" · ","")&amp;IF(AND(ObsObligatoria="Sí",ISNUMBER($AS159),$AS159&lt;FechaRef,IF($V159="Sub",1,N($M159))&lt;1,$Q159=""),"Vencida sin observación"&amp;" · ",""))-3)))</f>
        <v/>
      </c>
      <c r="S159" s="64">
        <f>IF(NOT((COUNTA($B159:$D159)+COUNTA($G159:$H159)+COUNTA($Q159))&gt;0),"",IF(AND($V159="Sub",N($U159)&gt;0),IF(ISNUMBER(INDEX($AR$5:$AR$1000,$U159-4)),DATE(YEAR(INDEX($AR$5:$AR$1000,$U159-4)),MONTH(INDEX($AR$5:$AR$1000,$U159-4)),1),IF(ISNUMBER(INDEX($AS$5:$AS$1000,$U159-4)),DATE(YEAR(INDEX($AS$5:$AS$1000,$U159-4)),MONTH(INDEX($AS$5:$AS$1000,$U159-4)),1),MesCiclo)),IF(ISNUMBER($AR159),DATE(YEAR($AR159),MONTH($AR159),1),IF(ISNUMBER($AS159),DATE(YEAR($AS159),MONTH($AS159),1),MesCiclo))))</f>
        <v/>
      </c>
      <c r="T159" s="62">
        <f>IF(OR($S159="",$S159&lt;&gt;MesCiclo,$V159&lt;&gt;"Macro"),"",COUNTIFS($S$5:$S159,MesCiclo,$V$5:$V159,"Macro"))</f>
        <v/>
      </c>
      <c r="U159" s="62">
        <f>IF($V159="","",IF($V159="Macro",ROW(),IFERROR(LOOKUP(2,1/($V$5:$V159="Macro"),ROW($V$5:$V159)),0)))</f>
        <v/>
      </c>
      <c r="V159" s="62">
        <f>IF(NOT((COUNTA($B159:$D159)+COUNTA($G159:$H159)+COUNTA($Q159))&gt;0),"",IF($B159="Subactividad","Sub","Macro"))</f>
        <v/>
      </c>
      <c r="W159" s="62">
        <f>IF($V159="Macro",COUNTIFS($U$5:$U$1000,ROW(),$V$5:$V$1000,"Sub"),"")</f>
        <v/>
      </c>
      <c r="X159" s="62">
        <f>IF($V159&lt;&gt;"Sub","",IF(AND(ISNUMBER($H159),N($H159)&gt;0),$H159,IFERROR(MAX(0,1-SUMIFS($H$5:$H$1000,$U$5:$U$1000,$U159,$V$5:$V$1000,"Sub"))/(COUNTIFS($U$5:$U$1000,$U159,$V$5:$V$1000,"Sub")-COUNTIFS($U$5:$U$1000,$U159,$V$5:$V$1000,"Sub",$H$5:$H$1000,"&gt;0")),0)))</f>
        <v/>
      </c>
      <c r="Y159" s="62">
        <f>IF($V159="","",IF($V159="Sub",N($X159)*IF(ISNUMBER($G159),1,MIN(1,MAX(0,IFERROR(LOOKUP(2,1/ISNUMBER($I159:$L159),$I159:$L159),0)))),IF(ISNUMBER($G159),1,IFERROR(LOOKUP(2,1/($I159:$L159&lt;&gt;""),$I159:$L159),0))))</f>
        <v/>
      </c>
      <c r="Z159" s="62">
        <f>IF($V159="","",IF(AND(ISNUMBER($G159),$G159&lt;=IF($S159=MesCiclo,InicioCiclo,$S159+MOD(2-WEEKDAY($S159),7))+6),1,IF(ISNUMBER($I159),$I159,0)))</f>
        <v/>
      </c>
      <c r="AA159" s="62">
        <f>IF($V159="","",IF(AND(ISNUMBER($G159),$G159&lt;=IF($S159=MesCiclo,InicioCiclo,$S159+MOD(2-WEEKDAY($S159),7))+13),1,IF(ISNUMBER($J159),$J159,$Z159)))</f>
        <v/>
      </c>
      <c r="AB159" s="62">
        <f>IF($V159="","",IF(AND(ISNUMBER($G159),$G159&lt;=IF($S159=MesCiclo,InicioCiclo,$S159+MOD(2-WEEKDAY($S159),7))+20),1,IF(ISNUMBER($K159),$K159,$AA159)))</f>
        <v/>
      </c>
      <c r="AC159" s="62">
        <f>IF($V159="","",IF(AND(ISNUMBER($G159),$G159&lt;=IF($S159=MesCiclo,InicioCiclo,$S159+MOD(2-WEEKDAY($S159),7))+27),1,IF(ISNUMBER($L159),$L159,$AB159)))</f>
        <v/>
      </c>
      <c r="AD159" s="62">
        <f>IF($V159&lt;&gt;"Sub","",N($X159)*IF(AND(ISNUMBER($G159),$G159&lt;=IF($S159=MesCiclo,InicioCiclo,$S159+MOD(2-WEEKDAY($S159),7))+6),1,MIN(1,MAX(0,IF(ISNUMBER(OFFSET($A$1,ROW()-1,8)),OFFSET($A$1,ROW()-1,8),0)))))</f>
        <v/>
      </c>
      <c r="AE159" s="62">
        <f>IF($V159&lt;&gt;"Sub","",N($X159)*IF(AND(ISNUMBER($G159),$G159&lt;=IF($S159=MesCiclo,InicioCiclo,$S159+MOD(2-WEEKDAY($S159),7))+13),1,MIN(1,MAX(0,IF(ISNUMBER(OFFSET($A$1,ROW()-1,9)),OFFSET($A$1,ROW()-1,9),IF(ISNUMBER(OFFSET($A$1,ROW()-1,8)),OFFSET($A$1,ROW()-1,8),0))))))</f>
        <v/>
      </c>
      <c r="AF159" s="62">
        <f>IF($V159&lt;&gt;"Sub","",N($X159)*IF(AND(ISNUMBER($G159),$G159&lt;=IF($S159=MesCiclo,InicioCiclo,$S159+MOD(2-WEEKDAY($S159),7))+20),1,MIN(1,MAX(0,IF(ISNUMBER(OFFSET($A$1,ROW()-1,10)),OFFSET($A$1,ROW()-1,10),IF(ISNUMBER(OFFSET($A$1,ROW()-1,9)),OFFSET($A$1,ROW()-1,9),IF(ISNUMBER(OFFSET($A$1,ROW()-1,8)),OFFSET($A$1,ROW()-1,8),0)))))))</f>
        <v/>
      </c>
      <c r="AG159" s="62">
        <f>IF($V159&lt;&gt;"Sub","",N($X159)*IF(AND(ISNUMBER($G159),$G159&lt;=IF($S159=MesCiclo,InicioCiclo,$S159+MOD(2-WEEKDAY($S159),7))+27),1,MIN(1,MAX(0,IF(ISNUMBER(OFFSET($A$1,ROW()-1,11)),OFFSET($A$1,ROW()-1,11),IF(ISNUMBER(OFFSET($A$1,ROW()-1,10)),OFFSET($A$1,ROW()-1,10),IF(ISNUMBER(OFFSET($A$1,ROW()-1,9)),OFFSET($A$1,ROW()-1,9),IF(ISNUMBER(OFFSET($A$1,ROW()-1,8)),OFFSET($A$1,ROW()-1,8),0))))))))</f>
        <v/>
      </c>
      <c r="AH159" s="62">
        <f>IF($V159="","",IF(AND(ISNUMBER($G159),$G159&lt;=IF($S159=MesCiclo,InicioCiclo,$S159+MOD(2-WEEKDAY($S159),7))+6),1,IF(N($W159)&gt;0,MIN(1,SUMIFS($AD$5:$AD$1000,$U$5:$U$1000,ROW(),$V$5:$V$1000,"Sub")),$Z159)))</f>
        <v/>
      </c>
      <c r="AI159" s="62">
        <f>IF($V159="","",IF(AND(ISNUMBER($G159),$G159&lt;=IF($S159=MesCiclo,InicioCiclo,$S159+MOD(2-WEEKDAY($S159),7))+13),1,IF(N($W159)&gt;0,MIN(1,SUMIFS($AE$5:$AE$1000,$U$5:$U$1000,ROW(),$V$5:$V$1000,"Sub")),$AA159)))</f>
        <v/>
      </c>
      <c r="AJ159" s="62">
        <f>IF($V159="","",IF(AND(ISNUMBER($G159),$G159&lt;=IF($S159=MesCiclo,InicioCiclo,$S159+MOD(2-WEEKDAY($S159),7))+20),1,IF(N($W159)&gt;0,MIN(1,SUMIFS($AF$5:$AF$1000,$U$5:$U$1000,ROW(),$V$5:$V$1000,"Sub")),$AB159)))</f>
        <v/>
      </c>
      <c r="AK159" s="62">
        <f>IF($V159="","",IF(AND(ISNUMBER($G159),$G159&lt;=IF($S159=MesCiclo,InicioCiclo,$S159+MOD(2-WEEKDAY($S159),7))+27),1,IF(N($W159)&gt;0,MIN(1,SUMIFS($AG$5:$AG$1000,$U$5:$U$1000,ROW(),$V$5:$V$1000,"Sub")),$AC159)))</f>
        <v/>
      </c>
      <c r="AL159" s="62">
        <f>IF($V159&lt;&gt;"Macro","",IF(COUNTIFS($S$5:$S$1000,$S159,$V$5:$V$1000,"Macro",$H$5:$H$1000,"&gt;0")=0,1/COUNTIFS($S$5:$S$1000,$S159,$V$5:$V$1000,"Macro"),IF(AND(ISNUMBER($H159),N($H159)&gt;0),$H159,SUMIFS($H$5:$H$1000,$S$5:$S$1000,$S159,$V$5:$V$1000,"Macro")/COUNTIFS($S$5:$S$1000,$S159,$V$5:$V$1000,"Macro",$H$5:$H$1000,"&gt;0"))/(COUNTIFS($S$5:$S$1000,$S159,$V$5:$V$1000,"Macro")*SUMIFS($H$5:$H$1000,$S$5:$S$1000,$S159,$V$5:$V$1000,"Macro")/COUNTIFS($S$5:$S$1000,$S159,$V$5:$V$1000,"Macro",$H$5:$H$1000,"&gt;0"))))</f>
        <v/>
      </c>
      <c r="AM159" s="62" t="n"/>
      <c r="AN159" s="62" t="n"/>
      <c r="AO159" s="62" t="n"/>
      <c r="AP159" s="62" t="n"/>
      <c r="AQ159" s="62">
        <f>IF(LEFT($C159,11)="[Jefatura] ",IFERROR(MATCH("Asistente Técnico de Riesgo|"&amp;MID($C159,12,500),rDname_ADM,0),0),"")</f>
        <v/>
      </c>
      <c r="AR159" s="62">
        <f>IF(N($AQ159)&gt;0,INDEX(rIni_ADM,$AQ159),IF(ISNUMBER($E159),$E159,""))</f>
        <v/>
      </c>
      <c r="AS159" s="62">
        <f>IF(N($AQ159)&gt;0,INDEX(rLim_ADM,$AQ159),IF(ISNUMBER($F159),$F159,""))</f>
        <v/>
      </c>
    </row>
    <row r="160">
      <c r="A160" s="56">
        <f>IF(NOT((COUNTA($B160:$D160)+COUNTA($G160:$H160)+COUNTA($Q160))&gt;0),"",IF($V160="Macro",COUNTIFS($V$5:$V160,"Macro",$S$5:$S160,$S160),IF(N($U160)=0,"?",COUNTIFS(INDEX($V$5:$V$1000,1):INDEX($V$5:$V$1000,$U160-4),"Macro",INDEX($S$5:$S$1000,1):INDEX($S$5:$S$1000,$U160-4),INDEX($S$5:$S$1000,$U160-4))&amp;"."&amp;COUNTIFS($U$5:$U160,$U160,$V$5:$V160,"Sub"))))</f>
        <v/>
      </c>
      <c r="B160" s="57" t="n"/>
      <c r="C160" s="58" t="n"/>
      <c r="D160" s="58" t="n"/>
      <c r="E160" s="59">
        <f>IF(N($AQ160)&gt;0,INDEX(rIni_ADM,$AQ160),"")</f>
        <v/>
      </c>
      <c r="F160" s="59">
        <f>IF(N($AQ160)&gt;0,INDEX(rLim_ADM,$AQ160),"")</f>
        <v/>
      </c>
      <c r="G160" s="59" t="n"/>
      <c r="H160" s="60" t="n"/>
      <c r="I160" s="60">
        <f>IF(N($W160)=0,"",IF(AND($S160=MesCiclo,1&gt;SemanaActual),"",MIN(1,SUMIFS(OFFSET($A$1,ROW(),29,1000-ROW(),1),OFFSET($A$1,ROW(),20,1000-ROW(),1),ROW(),OFFSET($A$1,ROW(),21,1000-ROW(),1),"Sub"))))</f>
        <v/>
      </c>
      <c r="J160" s="60">
        <f>IF(N($W160)=0,"",IF(AND($S160=MesCiclo,2&gt;SemanaActual),"",MIN(1,SUMIFS(OFFSET($A$1,ROW(),30,1000-ROW(),1),OFFSET($A$1,ROW(),20,1000-ROW(),1),ROW(),OFFSET($A$1,ROW(),21,1000-ROW(),1),"Sub"))))</f>
        <v/>
      </c>
      <c r="K160" s="60">
        <f>IF(N($W160)=0,"",IF(AND($S160=MesCiclo,3&gt;SemanaActual),"",MIN(1,SUMIFS(OFFSET($A$1,ROW(),31,1000-ROW(),1),OFFSET($A$1,ROW(),20,1000-ROW(),1),ROW(),OFFSET($A$1,ROW(),21,1000-ROW(),1),"Sub"))))</f>
        <v/>
      </c>
      <c r="L160" s="60">
        <f>IF(N($W160)=0,"",IF(AND($S160=MesCiclo,4&gt;SemanaActual),"",MIN(1,SUMIFS(OFFSET($A$1,ROW(),32,1000-ROW(),1),OFFSET($A$1,ROW(),20,1000-ROW(),1),ROW(),OFFSET($A$1,ROW(),21,1000-ROW(),1),"Sub"))))</f>
        <v/>
      </c>
      <c r="M160" s="61">
        <f>IF(OR(NOT((COUNTA($B160:$D160)+COUNTA($G160:$H160)+COUNTA($Q160))&gt;0),$V160="Sub"),"",IF(ISNUMBER($G160),1,IF(N($W160)&gt;0,MIN(1,SUMIFS($Y$5:$Y$1000,$U$5:$U$1000,ROW(),$V$5:$V$1000,"Sub")),$Y160)))</f>
        <v/>
      </c>
      <c r="N160" s="56">
        <f>IF(OR($M160="",$V160="Sub"),"",IF($M160&gt;=1,"Completado",IF($M160&gt;0,"En curso","Pendiente")))</f>
        <v/>
      </c>
      <c r="O160" s="56">
        <f>IF(OR(NOT((COUNTA($B160:$D160)+COUNTA($G160:$H160)+COUNTA($Q160))&gt;0),$V160="Sub"),"",IF(ISNUMBER($G160),IF(AND(ISNUMBER($AS160),$G160&gt;$AS160),"Cumplida con "&amp;($G160-$AS160)&amp;IF($G160-$AS160=1," día"," días")&amp;" de retraso","Cumplida"),IF(N($M160)&gt;=1,"Cumplida",IF(NOT(ISNUMBER($AS160)),"Sin fecha límite",IF($AS160&lt;FechaRef,"Vencida hace "&amp;(FechaRef-$AS160)&amp;IF(FechaRef-$AS160=1," día"," días"),IF($AS160=FechaRef,"Vence hoy",IF($AS160-FechaRef&lt;=DiasAlerta,"Vence en "&amp;($AS160-FechaRef)&amp;IF($AS160-FechaRef=1," día"," días"),"En plazo")))))))</f>
        <v/>
      </c>
      <c r="P160" s="62" t="n"/>
      <c r="Q160" s="58" t="n"/>
      <c r="R160" s="63">
        <f>IF(NOT((COUNTA($B160:$D160)+COUNTA($G160:$H160)+COUNTA($Q160))&gt;0),"",IF((IF($C160="","Falta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 OK","⚠ "&amp;LEFT(IF($C160="","Falta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",""),LEN(IF($C160="","Falta el nombre de la actividad"&amp;" · ","")&amp;IF(AND($V160="Sub",N($U160)=0),"Subactividad sin macroactividad arriba"&amp;" · ","")&amp;IF(AND($V160="Macro",$AR160=""),"Sin fecha de inicio"&amp;" · ","")&amp;IF(AND($V160="Macro",$AS160=""),"Sin fecha límite"&amp;" · ","")&amp;IF(AND(LEFT($C160,11)="[Jefatura] ",N($AQ160)=0),"No se encuentra en la hoja de la jefatura (elíjala de nuevo en la lista)"&amp;" · ","")&amp;IF(OR(AND($E160&lt;&gt;"",NOT(ISNUMBER($E160))),AND($F160&lt;&gt;"",NOT(ISNUMBER($F160))),AND($G160&lt;&gt;"",NOT(ISNUMBER($G160)))),"Fecha no válida"&amp;" · ","")&amp;IF(AND(ISNUMBER($AR160),ISNUMBER($AS160),$AR160&gt;$AS160),"Inicio posterior a fecha límite"&amp;" · ","")&amp;IF(AND($V160="Macro",$H160&lt;&gt;"",OR(NOT(ISNUMBER($H160)),$H160&lt;0,$H160&gt;1)),"Peso fuera de rango"&amp;" · ","")&amp;IF(AND($V160="Sub",$H160&lt;&gt;"",OR(NOT(ISNUMBER($H160)),$H160&lt;0,$H160&gt;1)),"% de la subactividad fuera de rango 0-100%"&amp;" · ","")&amp;IF(AND(N($W160)&gt;0,SUMIFS($H$5:$H$1000,$U$5:$U$1000,ROW(),$V$5:$V$1000,"Sub")&gt;1.0001),"Las subactividades suman más de 100%"&amp;" · ","")&amp;IF(AND(N($W160)&gt;0,OR(IF(ISNUMBER($I160),ROUND($I160,6)&lt;&gt;ROUND(MIN(1,SUMIFS($AD$5:$AD$1000,$U$5:$U$1000,ROW(),$V$5:$V$1000,"Sub")),6),FALSE),IF(ISNUMBER($J160),ROUND($J160,6)&lt;&gt;ROUND(MIN(1,SUMIFS($AE$5:$AE$1000,$U$5:$U$1000,ROW(),$V$5:$V$1000,"Sub")),6),FALSE),IF(ISNUMBER($K160),ROUND($K160,6)&lt;&gt;ROUND(MIN(1,SUMIFS($AF$5:$AF$1000,$U$5:$U$1000,ROW(),$V$5:$V$1000,"Sub")),6),FALSE),IF(ISNUMBER($L160),ROUND($L160,6)&lt;&gt;ROUND(MIN(1,SUMIFS($AG$5:$AG$1000,$U$5:$U$1000,ROW(),$V$5:$V$1000,"Sub")),6),FALSE))),"Con subactividades: no escriba en las semanas (se llenan solas)"&amp;" · ","")&amp;IF((COUNTIF($I160:$L160,"&gt;1")+COUNTIF($I160:$L160,"&lt;0")+SUMPRODUCT((LEN($I160:$L160)&gt;0)*NOT(ISNUMBER($I160:$L160))))&gt;0,"Avance fuera de rango 0-100%"&amp;" · ","")&amp;IF(OR(AND(ISNUMBER($J160),$J160&lt;N($I160)),AND(ISNUMBER($K160),$K160&lt;MAX($I160:$J160)),AND(ISNUMBER($L160),$L160&lt;MAX($I160:$K160))),"Avance semanal decreciente"&amp;" · ","")&amp;IF(AND(ISNUMBER($AS160),$AS160&lt;FechaRef,IF($V160="Sub",1,N($M160))&lt;1),"Vencida"&amp;" · ","")&amp;IF(AND(ObsObligatoria="Sí",ISNUMBER($AS160),$AS160&lt;FechaRef,IF($V160="Sub",1,N($M160))&lt;1,$Q160=""),"Vencida sin observación"&amp;" · ",""))-3)))</f>
        <v/>
      </c>
      <c r="S160" s="64">
        <f>IF(NOT((COUNTA($B160:$D160)+COUNTA($G160:$H160)+COUNTA($Q160))&gt;0),"",IF(AND($V160="Sub",N($U160)&gt;0),IF(ISNUMBER(INDEX($AR$5:$AR$1000,$U160-4)),DATE(YEAR(INDEX($AR$5:$AR$1000,$U160-4)),MONTH(INDEX($AR$5:$AR$1000,$U160-4)),1),IF(ISNUMBER(INDEX($AS$5:$AS$1000,$U160-4)),DATE(YEAR(INDEX($AS$5:$AS$1000,$U160-4)),MONTH(INDEX($AS$5:$AS$1000,$U160-4)),1),MesCiclo)),IF(ISNUMBER($AR160),DATE(YEAR($AR160),MONTH($AR160),1),IF(ISNUMBER($AS160),DATE(YEAR($AS160),MONTH($AS160),1),MesCiclo))))</f>
        <v/>
      </c>
      <c r="T160" s="62">
        <f>IF(OR($S160="",$S160&lt;&gt;MesCiclo,$V160&lt;&gt;"Macro"),"",COUNTIFS($S$5:$S160,MesCiclo,$V$5:$V160,"Macro"))</f>
        <v/>
      </c>
      <c r="U160" s="62">
        <f>IF($V160="","",IF($V160="Macro",ROW(),IFERROR(LOOKUP(2,1/($V$5:$V160="Macro"),ROW($V$5:$V160)),0)))</f>
        <v/>
      </c>
      <c r="V160" s="62">
        <f>IF(NOT((COUNTA($B160:$D160)+COUNTA($G160:$H160)+COUNTA($Q160))&gt;0),"",IF($B160="Subactividad","Sub","Macro"))</f>
        <v/>
      </c>
      <c r="W160" s="62">
        <f>IF($V160="Macro",COUNTIFS($U$5:$U$1000,ROW(),$V$5:$V$1000,"Sub"),"")</f>
        <v/>
      </c>
      <c r="X160" s="62">
        <f>IF($V160&lt;&gt;"Sub","",IF(AND(ISNUMBER($H160),N($H160)&gt;0),$H160,IFERROR(MAX(0,1-SUMIFS($H$5:$H$1000,$U$5:$U$1000,$U160,$V$5:$V$1000,"Sub"))/(COUNTIFS($U$5:$U$1000,$U160,$V$5:$V$1000,"Sub")-COUNTIFS($U$5:$U$1000,$U160,$V$5:$V$1000,"Sub",$H$5:$H$1000,"&gt;0")),0)))</f>
        <v/>
      </c>
      <c r="Y160" s="62">
        <f>IF($V160="","",IF($V160="Sub",N($X160)*IF(ISNUMBER($G160),1,MIN(1,MAX(0,IFERROR(LOOKUP(2,1/ISNUMBER($I160:$L160),$I160:$L160),0)))),IF(ISNUMBER($G160),1,IFERROR(LOOKUP(2,1/($I160:$L160&lt;&gt;""),$I160:$L160),0))))</f>
        <v/>
      </c>
      <c r="Z160" s="62">
        <f>IF($V160="","",IF(AND(ISNUMBER($G160),$G160&lt;=IF($S160=MesCiclo,InicioCiclo,$S160+MOD(2-WEEKDAY($S160),7))+6),1,IF(ISNUMBER($I160),$I160,0)))</f>
        <v/>
      </c>
      <c r="AA160" s="62">
        <f>IF($V160="","",IF(AND(ISNUMBER($G160),$G160&lt;=IF($S160=MesCiclo,InicioCiclo,$S160+MOD(2-WEEKDAY($S160),7))+13),1,IF(ISNUMBER($J160),$J160,$Z160)))</f>
        <v/>
      </c>
      <c r="AB160" s="62">
        <f>IF($V160="","",IF(AND(ISNUMBER($G160),$G160&lt;=IF($S160=MesCiclo,InicioCiclo,$S160+MOD(2-WEEKDAY($S160),7))+20),1,IF(ISNUMBER($K160),$K160,$AA160)))</f>
        <v/>
      </c>
      <c r="AC160" s="62">
        <f>IF($V160="","",IF(AND(ISNUMBER($G160),$G160&lt;=IF($S160=MesCiclo,InicioCiclo,$S160+MOD(2-WEEKDAY($S160),7))+27),1,IF(ISNUMBER($L160),$L160,$AB160)))</f>
        <v/>
      </c>
      <c r="AD160" s="62">
        <f>IF($V160&lt;&gt;"Sub","",N($X160)*IF(AND(ISNUMBER($G160),$G160&lt;=IF($S160=MesCiclo,InicioCiclo,$S160+MOD(2-WEEKDAY($S160),7))+6),1,MIN(1,MAX(0,IF(ISNUMBER(OFFSET($A$1,ROW()-1,8)),OFFSET($A$1,ROW()-1,8),0)))))</f>
        <v/>
      </c>
      <c r="AE160" s="62">
        <f>IF($V160&lt;&gt;"Sub","",N($X160)*IF(AND(ISNUMBER($G160),$G160&lt;=IF($S160=MesCiclo,InicioCiclo,$S160+MOD(2-WEEKDAY($S160),7))+13),1,MIN(1,MAX(0,IF(ISNUMBER(OFFSET($A$1,ROW()-1,9)),OFFSET($A$1,ROW()-1,9),IF(ISNUMBER(OFFSET($A$1,ROW()-1,8)),OFFSET($A$1,ROW()-1,8),0))))))</f>
        <v/>
      </c>
      <c r="AF160" s="62">
        <f>IF($V160&lt;&gt;"Sub","",N($X160)*IF(AND(ISNUMBER($G160),$G160&lt;=IF($S160=MesCiclo,InicioCiclo,$S160+MOD(2-WEEKDAY($S160),7))+20),1,MIN(1,MAX(0,IF(ISNUMBER(OFFSET($A$1,ROW()-1,10)),OFFSET($A$1,ROW()-1,10),IF(ISNUMBER(OFFSET($A$1,ROW()-1,9)),OFFSET($A$1,ROW()-1,9),IF(ISNUMBER(OFFSET($A$1,ROW()-1,8)),OFFSET($A$1,ROW()-1,8),0)))))))</f>
        <v/>
      </c>
      <c r="AG160" s="62">
        <f>IF($V160&lt;&gt;"Sub","",N($X160)*IF(AND(ISNUMBER($G160),$G160&lt;=IF($S160=MesCiclo,InicioCiclo,$S160+MOD(2-WEEKDAY($S160),7))+27),1,MIN(1,MAX(0,IF(ISNUMBER(OFFSET($A$1,ROW()-1,11)),OFFSET($A$1,ROW()-1,11),IF(ISNUMBER(OFFSET($A$1,ROW()-1,10)),OFFSET($A$1,ROW()-1,10),IF(ISNUMBER(OFFSET($A$1,ROW()-1,9)),OFFSET($A$1,ROW()-1,9),IF(ISNUMBER(OFFSET($A$1,ROW()-1,8)),OFFSET($A$1,ROW()-1,8),0))))))))</f>
        <v/>
      </c>
      <c r="AH160" s="62">
        <f>IF($V160="","",IF(AND(ISNUMBER($G160),$G160&lt;=IF($S160=MesCiclo,InicioCiclo,$S160+MOD(2-WEEKDAY($S160),7))+6),1,IF(N($W160)&gt;0,MIN(1,SUMIFS($AD$5:$AD$1000,$U$5:$U$1000,ROW(),$V$5:$V$1000,"Sub")),$Z160)))</f>
        <v/>
      </c>
      <c r="AI160" s="62">
        <f>IF($V160="","",IF(AND(ISNUMBER($G160),$G160&lt;=IF($S160=MesCiclo,InicioCiclo,$S160+MOD(2-WEEKDAY($S160),7))+13),1,IF(N($W160)&gt;0,MIN(1,SUMIFS($AE$5:$AE$1000,$U$5:$U$1000,ROW(),$V$5:$V$1000,"Sub")),$AA160)))</f>
        <v/>
      </c>
      <c r="AJ160" s="62">
        <f>IF($V160="","",IF(AND(ISNUMBER($G160),$G160&lt;=IF($S160=MesCiclo,InicioCiclo,$S160+MOD(2-WEEKDAY($S160),7))+20),1,IF(N($W160)&gt;0,MIN(1,SUMIFS($AF$5:$AF$1000,$U$5:$U$1000,ROW(),$V$5:$V$1000,"Sub")),$AB160)))</f>
        <v/>
      </c>
      <c r="AK160" s="62">
        <f>IF($V160="","",IF(AND(ISNUMBER($G160),$G160&lt;=IF($S160=MesCiclo,InicioCiclo,$S160+MOD(2-WEEKDAY($S160),7))+27),1,IF(N($W160)&gt;0,MIN(1,SUMIFS($AG$5:$AG$1000,$U$5:$U$1000,ROW(),$V$5:$V$1000,"Sub")),$AC160)))</f>
        <v/>
      </c>
      <c r="AL160" s="62">
        <f>IF($V160&lt;&gt;"Macro","",IF(COUNTIFS($S$5:$S$1000,$S160,$V$5:$V$1000,"Macro",$H$5:$H$1000,"&gt;0")=0,1/COUNTIFS($S$5:$S$1000,$S160,$V$5:$V$1000,"Macro"),IF(AND(ISNUMBER($H160),N($H160)&gt;0),$H160,SUMIFS($H$5:$H$1000,$S$5:$S$1000,$S160,$V$5:$V$1000,"Macro")/COUNTIFS($S$5:$S$1000,$S160,$V$5:$V$1000,"Macro",$H$5:$H$1000,"&gt;0"))/(COUNTIFS($S$5:$S$1000,$S160,$V$5:$V$1000,"Macro")*SUMIFS($H$5:$H$1000,$S$5:$S$1000,$S160,$V$5:$V$1000,"Macro")/COUNTIFS($S$5:$S$1000,$S160,$V$5:$V$1000,"Macro",$H$5:$H$1000,"&gt;0"))))</f>
        <v/>
      </c>
      <c r="AM160" s="62" t="n"/>
      <c r="AN160" s="62" t="n"/>
      <c r="AO160" s="62" t="n"/>
      <c r="AP160" s="62" t="n"/>
      <c r="AQ160" s="62">
        <f>IF(LEFT($C160,11)="[Jefatura] ",IFERROR(MATCH("Asistente Técnico de Riesgo|"&amp;MID($C160,12,500),rDname_ADM,0),0),"")</f>
        <v/>
      </c>
      <c r="AR160" s="62">
        <f>IF(N($AQ160)&gt;0,INDEX(rIni_ADM,$AQ160),IF(ISNUMBER($E160),$E160,""))</f>
        <v/>
      </c>
      <c r="AS160" s="62">
        <f>IF(N($AQ160)&gt;0,INDEX(rLim_ADM,$AQ160),IF(ISNUMBER($F160),$F160,""))</f>
        <v/>
      </c>
    </row>
    <row r="161">
      <c r="A161" s="56">
        <f>IF(NOT((COUNTA($B161:$D161)+COUNTA($G161:$H161)+COUNTA($Q161))&gt;0),"",IF($V161="Macro",COUNTIFS($V$5:$V161,"Macro",$S$5:$S161,$S161),IF(N($U161)=0,"?",COUNTIFS(INDEX($V$5:$V$1000,1):INDEX($V$5:$V$1000,$U161-4),"Macro",INDEX($S$5:$S$1000,1):INDEX($S$5:$S$1000,$U161-4),INDEX($S$5:$S$1000,$U161-4))&amp;"."&amp;COUNTIFS($U$5:$U161,$U161,$V$5:$V161,"Sub"))))</f>
        <v/>
      </c>
      <c r="B161" s="57" t="n"/>
      <c r="C161" s="58" t="n"/>
      <c r="D161" s="58" t="n"/>
      <c r="E161" s="59">
        <f>IF(N($AQ161)&gt;0,INDEX(rIni_ADM,$AQ161),"")</f>
        <v/>
      </c>
      <c r="F161" s="59">
        <f>IF(N($AQ161)&gt;0,INDEX(rLim_ADM,$AQ161),"")</f>
        <v/>
      </c>
      <c r="G161" s="59" t="n"/>
      <c r="H161" s="60" t="n"/>
      <c r="I161" s="60">
        <f>IF(N($W161)=0,"",IF(AND($S161=MesCiclo,1&gt;SemanaActual),"",MIN(1,SUMIFS(OFFSET($A$1,ROW(),29,1000-ROW(),1),OFFSET($A$1,ROW(),20,1000-ROW(),1),ROW(),OFFSET($A$1,ROW(),21,1000-ROW(),1),"Sub"))))</f>
        <v/>
      </c>
      <c r="J161" s="60">
        <f>IF(N($W161)=0,"",IF(AND($S161=MesCiclo,2&gt;SemanaActual),"",MIN(1,SUMIFS(OFFSET($A$1,ROW(),30,1000-ROW(),1),OFFSET($A$1,ROW(),20,1000-ROW(),1),ROW(),OFFSET($A$1,ROW(),21,1000-ROW(),1),"Sub"))))</f>
        <v/>
      </c>
      <c r="K161" s="60">
        <f>IF(N($W161)=0,"",IF(AND($S161=MesCiclo,3&gt;SemanaActual),"",MIN(1,SUMIFS(OFFSET($A$1,ROW(),31,1000-ROW(),1),OFFSET($A$1,ROW(),20,1000-ROW(),1),ROW(),OFFSET($A$1,ROW(),21,1000-ROW(),1),"Sub"))))</f>
        <v/>
      </c>
      <c r="L161" s="60">
        <f>IF(N($W161)=0,"",IF(AND($S161=MesCiclo,4&gt;SemanaActual),"",MIN(1,SUMIFS(OFFSET($A$1,ROW(),32,1000-ROW(),1),OFFSET($A$1,ROW(),20,1000-ROW(),1),ROW(),OFFSET($A$1,ROW(),21,1000-ROW(),1),"Sub"))))</f>
        <v/>
      </c>
      <c r="M161" s="61">
        <f>IF(OR(NOT((COUNTA($B161:$D161)+COUNTA($G161:$H161)+COUNTA($Q161))&gt;0),$V161="Sub"),"",IF(ISNUMBER($G161),1,IF(N($W161)&gt;0,MIN(1,SUMIFS($Y$5:$Y$1000,$U$5:$U$1000,ROW(),$V$5:$V$1000,"Sub")),$Y161)))</f>
        <v/>
      </c>
      <c r="N161" s="56">
        <f>IF(OR($M161="",$V161="Sub"),"",IF($M161&gt;=1,"Completado",IF($M161&gt;0,"En curso","Pendiente")))</f>
        <v/>
      </c>
      <c r="O161" s="56">
        <f>IF(OR(NOT((COUNTA($B161:$D161)+COUNTA($G161:$H161)+COUNTA($Q161))&gt;0),$V161="Sub"),"",IF(ISNUMBER($G161),IF(AND(ISNUMBER($AS161),$G161&gt;$AS161),"Cumplida con "&amp;($G161-$AS161)&amp;IF($G161-$AS161=1," día"," días")&amp;" de retraso","Cumplida"),IF(N($M161)&gt;=1,"Cumplida",IF(NOT(ISNUMBER($AS161)),"Sin fecha límite",IF($AS161&lt;FechaRef,"Vencida hace "&amp;(FechaRef-$AS161)&amp;IF(FechaRef-$AS161=1," día"," días"),IF($AS161=FechaRef,"Vence hoy",IF($AS161-FechaRef&lt;=DiasAlerta,"Vence en "&amp;($AS161-FechaRef)&amp;IF($AS161-FechaRef=1," día"," días"),"En plazo")))))))</f>
        <v/>
      </c>
      <c r="P161" s="62" t="n"/>
      <c r="Q161" s="58" t="n"/>
      <c r="R161" s="63">
        <f>IF(NOT((COUNTA($B161:$D161)+COUNTA($G161:$H161)+COUNTA($Q161))&gt;0),"",IF((IF($C161="","Falta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 OK","⚠ "&amp;LEFT(IF($C161="","Falta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",""),LEN(IF($C161="","Falta el nombre de la actividad"&amp;" · ","")&amp;IF(AND($V161="Sub",N($U161)=0),"Subactividad sin macroactividad arriba"&amp;" · ","")&amp;IF(AND($V161="Macro",$AR161=""),"Sin fecha de inicio"&amp;" · ","")&amp;IF(AND($V161="Macro",$AS161=""),"Sin fecha límite"&amp;" · ","")&amp;IF(AND(LEFT($C161,11)="[Jefatura] ",N($AQ161)=0),"No se encuentra en la hoja de la jefatura (elíjala de nuevo en la lista)"&amp;" · ","")&amp;IF(OR(AND($E161&lt;&gt;"",NOT(ISNUMBER($E161))),AND($F161&lt;&gt;"",NOT(ISNUMBER($F161))),AND($G161&lt;&gt;"",NOT(ISNUMBER($G161)))),"Fecha no válida"&amp;" · ","")&amp;IF(AND(ISNUMBER($AR161),ISNUMBER($AS161),$AR161&gt;$AS161),"Inicio posterior a fecha límite"&amp;" · ","")&amp;IF(AND($V161="Macro",$H161&lt;&gt;"",OR(NOT(ISNUMBER($H161)),$H161&lt;0,$H161&gt;1)),"Peso fuera de rango"&amp;" · ","")&amp;IF(AND($V161="Sub",$H161&lt;&gt;"",OR(NOT(ISNUMBER($H161)),$H161&lt;0,$H161&gt;1)),"% de la subactividad fuera de rango 0-100%"&amp;" · ","")&amp;IF(AND(N($W161)&gt;0,SUMIFS($H$5:$H$1000,$U$5:$U$1000,ROW(),$V$5:$V$1000,"Sub")&gt;1.0001),"Las subactividades suman más de 100%"&amp;" · ","")&amp;IF(AND(N($W161)&gt;0,OR(IF(ISNUMBER($I161),ROUND($I161,6)&lt;&gt;ROUND(MIN(1,SUMIFS($AD$5:$AD$1000,$U$5:$U$1000,ROW(),$V$5:$V$1000,"Sub")),6),FALSE),IF(ISNUMBER($J161),ROUND($J161,6)&lt;&gt;ROUND(MIN(1,SUMIFS($AE$5:$AE$1000,$U$5:$U$1000,ROW(),$V$5:$V$1000,"Sub")),6),FALSE),IF(ISNUMBER($K161),ROUND($K161,6)&lt;&gt;ROUND(MIN(1,SUMIFS($AF$5:$AF$1000,$U$5:$U$1000,ROW(),$V$5:$V$1000,"Sub")),6),FALSE),IF(ISNUMBER($L161),ROUND($L161,6)&lt;&gt;ROUND(MIN(1,SUMIFS($AG$5:$AG$1000,$U$5:$U$1000,ROW(),$V$5:$V$1000,"Sub")),6),FALSE))),"Con subactividades: no escriba en las semanas (se llenan solas)"&amp;" · ","")&amp;IF((COUNTIF($I161:$L161,"&gt;1")+COUNTIF($I161:$L161,"&lt;0")+SUMPRODUCT((LEN($I161:$L161)&gt;0)*NOT(ISNUMBER($I161:$L161))))&gt;0,"Avance fuera de rango 0-100%"&amp;" · ","")&amp;IF(OR(AND(ISNUMBER($J161),$J161&lt;N($I161)),AND(ISNUMBER($K161),$K161&lt;MAX($I161:$J161)),AND(ISNUMBER($L161),$L161&lt;MAX($I161:$K161))),"Avance semanal decreciente"&amp;" · ","")&amp;IF(AND(ISNUMBER($AS161),$AS161&lt;FechaRef,IF($V161="Sub",1,N($M161))&lt;1),"Vencida"&amp;" · ","")&amp;IF(AND(ObsObligatoria="Sí",ISNUMBER($AS161),$AS161&lt;FechaRef,IF($V161="Sub",1,N($M161))&lt;1,$Q161=""),"Vencida sin observación"&amp;" · ",""))-3)))</f>
        <v/>
      </c>
      <c r="S161" s="64">
        <f>IF(NOT((COUNTA($B161:$D161)+COUNTA($G161:$H161)+COUNTA($Q161))&gt;0),"",IF(AND($V161="Sub",N($U161)&gt;0),IF(ISNUMBER(INDEX($AR$5:$AR$1000,$U161-4)),DATE(YEAR(INDEX($AR$5:$AR$1000,$U161-4)),MONTH(INDEX($AR$5:$AR$1000,$U161-4)),1),IF(ISNUMBER(INDEX($AS$5:$AS$1000,$U161-4)),DATE(YEAR(INDEX($AS$5:$AS$1000,$U161-4)),MONTH(INDEX($AS$5:$AS$1000,$U161-4)),1),MesCiclo)),IF(ISNUMBER($AR161),DATE(YEAR($AR161),MONTH($AR161),1),IF(ISNUMBER($AS161),DATE(YEAR($AS161),MONTH($AS161),1),MesCiclo))))</f>
        <v/>
      </c>
      <c r="T161" s="62">
        <f>IF(OR($S161="",$S161&lt;&gt;MesCiclo,$V161&lt;&gt;"Macro"),"",COUNTIFS($S$5:$S161,MesCiclo,$V$5:$V161,"Macro"))</f>
        <v/>
      </c>
      <c r="U161" s="62">
        <f>IF($V161="","",IF($V161="Macro",ROW(),IFERROR(LOOKUP(2,1/($V$5:$V161="Macro"),ROW($V$5:$V161)),0)))</f>
        <v/>
      </c>
      <c r="V161" s="62">
        <f>IF(NOT((COUNTA($B161:$D161)+COUNTA($G161:$H161)+COUNTA($Q161))&gt;0),"",IF($B161="Subactividad","Sub","Macro"))</f>
        <v/>
      </c>
      <c r="W161" s="62">
        <f>IF($V161="Macro",COUNTIFS($U$5:$U$1000,ROW(),$V$5:$V$1000,"Sub"),"")</f>
        <v/>
      </c>
      <c r="X161" s="62">
        <f>IF($V161&lt;&gt;"Sub","",IF(AND(ISNUMBER($H161),N($H161)&gt;0),$H161,IFERROR(MAX(0,1-SUMIFS($H$5:$H$1000,$U$5:$U$1000,$U161,$V$5:$V$1000,"Sub"))/(COUNTIFS($U$5:$U$1000,$U161,$V$5:$V$1000,"Sub")-COUNTIFS($U$5:$U$1000,$U161,$V$5:$V$1000,"Sub",$H$5:$H$1000,"&gt;0")),0)))</f>
        <v/>
      </c>
      <c r="Y161" s="62">
        <f>IF($V161="","",IF($V161="Sub",N($X161)*IF(ISNUMBER($G161),1,MIN(1,MAX(0,IFERROR(LOOKUP(2,1/ISNUMBER($I161:$L161),$I161:$L161),0)))),IF(ISNUMBER($G161),1,IFERROR(LOOKUP(2,1/($I161:$L161&lt;&gt;""),$I161:$L161),0))))</f>
        <v/>
      </c>
      <c r="Z161" s="62">
        <f>IF($V161="","",IF(AND(ISNUMBER($G161),$G161&lt;=IF($S161=MesCiclo,InicioCiclo,$S161+MOD(2-WEEKDAY($S161),7))+6),1,IF(ISNUMBER($I161),$I161,0)))</f>
        <v/>
      </c>
      <c r="AA161" s="62">
        <f>IF($V161="","",IF(AND(ISNUMBER($G161),$G161&lt;=IF($S161=MesCiclo,InicioCiclo,$S161+MOD(2-WEEKDAY($S161),7))+13),1,IF(ISNUMBER($J161),$J161,$Z161)))</f>
        <v/>
      </c>
      <c r="AB161" s="62">
        <f>IF($V161="","",IF(AND(ISNUMBER($G161),$G161&lt;=IF($S161=MesCiclo,InicioCiclo,$S161+MOD(2-WEEKDAY($S161),7))+20),1,IF(ISNUMBER($K161),$K161,$AA161)))</f>
        <v/>
      </c>
      <c r="AC161" s="62">
        <f>IF($V161="","",IF(AND(ISNUMBER($G161),$G161&lt;=IF($S161=MesCiclo,InicioCiclo,$S161+MOD(2-WEEKDAY($S161),7))+27),1,IF(ISNUMBER($L161),$L161,$AB161)))</f>
        <v/>
      </c>
      <c r="AD161" s="62">
        <f>IF($V161&lt;&gt;"Sub","",N($X161)*IF(AND(ISNUMBER($G161),$G161&lt;=IF($S161=MesCiclo,InicioCiclo,$S161+MOD(2-WEEKDAY($S161),7))+6),1,MIN(1,MAX(0,IF(ISNUMBER(OFFSET($A$1,ROW()-1,8)),OFFSET($A$1,ROW()-1,8),0)))))</f>
        <v/>
      </c>
      <c r="AE161" s="62">
        <f>IF($V161&lt;&gt;"Sub","",N($X161)*IF(AND(ISNUMBER($G161),$G161&lt;=IF($S161=MesCiclo,InicioCiclo,$S161+MOD(2-WEEKDAY($S161),7))+13),1,MIN(1,MAX(0,IF(ISNUMBER(OFFSET($A$1,ROW()-1,9)),OFFSET($A$1,ROW()-1,9),IF(ISNUMBER(OFFSET($A$1,ROW()-1,8)),OFFSET($A$1,ROW()-1,8),0))))))</f>
        <v/>
      </c>
      <c r="AF161" s="62">
        <f>IF($V161&lt;&gt;"Sub","",N($X161)*IF(AND(ISNUMBER($G161),$G161&lt;=IF($S161=MesCiclo,InicioCiclo,$S161+MOD(2-WEEKDAY($S161),7))+20),1,MIN(1,MAX(0,IF(ISNUMBER(OFFSET($A$1,ROW()-1,10)),OFFSET($A$1,ROW()-1,10),IF(ISNUMBER(OFFSET($A$1,ROW()-1,9)),OFFSET($A$1,ROW()-1,9),IF(ISNUMBER(OFFSET($A$1,ROW()-1,8)),OFFSET($A$1,ROW()-1,8),0)))))))</f>
        <v/>
      </c>
      <c r="AG161" s="62">
        <f>IF($V161&lt;&gt;"Sub","",N($X161)*IF(AND(ISNUMBER($G161),$G161&lt;=IF($S161=MesCiclo,InicioCiclo,$S161+MOD(2-WEEKDAY($S161),7))+27),1,MIN(1,MAX(0,IF(ISNUMBER(OFFSET($A$1,ROW()-1,11)),OFFSET($A$1,ROW()-1,11),IF(ISNUMBER(OFFSET($A$1,ROW()-1,10)),OFFSET($A$1,ROW()-1,10),IF(ISNUMBER(OFFSET($A$1,ROW()-1,9)),OFFSET($A$1,ROW()-1,9),IF(ISNUMBER(OFFSET($A$1,ROW()-1,8)),OFFSET($A$1,ROW()-1,8),0))))))))</f>
        <v/>
      </c>
      <c r="AH161" s="62">
        <f>IF($V161="","",IF(AND(ISNUMBER($G161),$G161&lt;=IF($S161=MesCiclo,InicioCiclo,$S161+MOD(2-WEEKDAY($S161),7))+6),1,IF(N($W161)&gt;0,MIN(1,SUMIFS($AD$5:$AD$1000,$U$5:$U$1000,ROW(),$V$5:$V$1000,"Sub")),$Z161)))</f>
        <v/>
      </c>
      <c r="AI161" s="62">
        <f>IF($V161="","",IF(AND(ISNUMBER($G161),$G161&lt;=IF($S161=MesCiclo,InicioCiclo,$S161+MOD(2-WEEKDAY($S161),7))+13),1,IF(N($W161)&gt;0,MIN(1,SUMIFS($AE$5:$AE$1000,$U$5:$U$1000,ROW(),$V$5:$V$1000,"Sub")),$AA161)))</f>
        <v/>
      </c>
      <c r="AJ161" s="62">
        <f>IF($V161="","",IF(AND(ISNUMBER($G161),$G161&lt;=IF($S161=MesCiclo,InicioCiclo,$S161+MOD(2-WEEKDAY($S161),7))+20),1,IF(N($W161)&gt;0,MIN(1,SUMIFS($AF$5:$AF$1000,$U$5:$U$1000,ROW(),$V$5:$V$1000,"Sub")),$AB161)))</f>
        <v/>
      </c>
      <c r="AK161" s="62">
        <f>IF($V161="","",IF(AND(ISNUMBER($G161),$G161&lt;=IF($S161=MesCiclo,InicioCiclo,$S161+MOD(2-WEEKDAY($S161),7))+27),1,IF(N($W161)&gt;0,MIN(1,SUMIFS($AG$5:$AG$1000,$U$5:$U$1000,ROW(),$V$5:$V$1000,"Sub")),$AC161)))</f>
        <v/>
      </c>
      <c r="AL161" s="62">
        <f>IF($V161&lt;&gt;"Macro","",IF(COUNTIFS($S$5:$S$1000,$S161,$V$5:$V$1000,"Macro",$H$5:$H$1000,"&gt;0")=0,1/COUNTIFS($S$5:$S$1000,$S161,$V$5:$V$1000,"Macro"),IF(AND(ISNUMBER($H161),N($H161)&gt;0),$H161,SUMIFS($H$5:$H$1000,$S$5:$S$1000,$S161,$V$5:$V$1000,"Macro")/COUNTIFS($S$5:$S$1000,$S161,$V$5:$V$1000,"Macro",$H$5:$H$1000,"&gt;0"))/(COUNTIFS($S$5:$S$1000,$S161,$V$5:$V$1000,"Macro")*SUMIFS($H$5:$H$1000,$S$5:$S$1000,$S161,$V$5:$V$1000,"Macro")/COUNTIFS($S$5:$S$1000,$S161,$V$5:$V$1000,"Macro",$H$5:$H$1000,"&gt;0"))))</f>
        <v/>
      </c>
      <c r="AM161" s="62" t="n"/>
      <c r="AN161" s="62" t="n"/>
      <c r="AO161" s="62" t="n"/>
      <c r="AP161" s="62" t="n"/>
      <c r="AQ161" s="62">
        <f>IF(LEFT($C161,11)="[Jefatura] ",IFERROR(MATCH("Asistente Técnico de Riesgo|"&amp;MID($C161,12,500),rDname_ADM,0),0),"")</f>
        <v/>
      </c>
      <c r="AR161" s="62">
        <f>IF(N($AQ161)&gt;0,INDEX(rIni_ADM,$AQ161),IF(ISNUMBER($E161),$E161,""))</f>
        <v/>
      </c>
      <c r="AS161" s="62">
        <f>IF(N($AQ161)&gt;0,INDEX(rLim_ADM,$AQ161),IF(ISNUMBER($F161),$F161,""))</f>
        <v/>
      </c>
    </row>
    <row r="162">
      <c r="A162" s="56">
        <f>IF(NOT((COUNTA($B162:$D162)+COUNTA($G162:$H162)+COUNTA($Q162))&gt;0),"",IF($V162="Macro",COUNTIFS($V$5:$V162,"Macro",$S$5:$S162,$S162),IF(N($U162)=0,"?",COUNTIFS(INDEX($V$5:$V$1000,1):INDEX($V$5:$V$1000,$U162-4),"Macro",INDEX($S$5:$S$1000,1):INDEX($S$5:$S$1000,$U162-4),INDEX($S$5:$S$1000,$U162-4))&amp;"."&amp;COUNTIFS($U$5:$U162,$U162,$V$5:$V162,"Sub"))))</f>
        <v/>
      </c>
      <c r="B162" s="57" t="n"/>
      <c r="C162" s="58" t="n"/>
      <c r="D162" s="58" t="n"/>
      <c r="E162" s="59">
        <f>IF(N($AQ162)&gt;0,INDEX(rIni_ADM,$AQ162),"")</f>
        <v/>
      </c>
      <c r="F162" s="59">
        <f>IF(N($AQ162)&gt;0,INDEX(rLim_ADM,$AQ162),"")</f>
        <v/>
      </c>
      <c r="G162" s="59" t="n"/>
      <c r="H162" s="60" t="n"/>
      <c r="I162" s="60">
        <f>IF(N($W162)=0,"",IF(AND($S162=MesCiclo,1&gt;SemanaActual),"",MIN(1,SUMIFS(OFFSET($A$1,ROW(),29,1000-ROW(),1),OFFSET($A$1,ROW(),20,1000-ROW(),1),ROW(),OFFSET($A$1,ROW(),21,1000-ROW(),1),"Sub"))))</f>
        <v/>
      </c>
      <c r="J162" s="60">
        <f>IF(N($W162)=0,"",IF(AND($S162=MesCiclo,2&gt;SemanaActual),"",MIN(1,SUMIFS(OFFSET($A$1,ROW(),30,1000-ROW(),1),OFFSET($A$1,ROW(),20,1000-ROW(),1),ROW(),OFFSET($A$1,ROW(),21,1000-ROW(),1),"Sub"))))</f>
        <v/>
      </c>
      <c r="K162" s="60">
        <f>IF(N($W162)=0,"",IF(AND($S162=MesCiclo,3&gt;SemanaActual),"",MIN(1,SUMIFS(OFFSET($A$1,ROW(),31,1000-ROW(),1),OFFSET($A$1,ROW(),20,1000-ROW(),1),ROW(),OFFSET($A$1,ROW(),21,1000-ROW(),1),"Sub"))))</f>
        <v/>
      </c>
      <c r="L162" s="60">
        <f>IF(N($W162)=0,"",IF(AND($S162=MesCiclo,4&gt;SemanaActual),"",MIN(1,SUMIFS(OFFSET($A$1,ROW(),32,1000-ROW(),1),OFFSET($A$1,ROW(),20,1000-ROW(),1),ROW(),OFFSET($A$1,ROW(),21,1000-ROW(),1),"Sub"))))</f>
        <v/>
      </c>
      <c r="M162" s="61">
        <f>IF(OR(NOT((COUNTA($B162:$D162)+COUNTA($G162:$H162)+COUNTA($Q162))&gt;0),$V162="Sub"),"",IF(ISNUMBER($G162),1,IF(N($W162)&gt;0,MIN(1,SUMIFS($Y$5:$Y$1000,$U$5:$U$1000,ROW(),$V$5:$V$1000,"Sub")),$Y162)))</f>
        <v/>
      </c>
      <c r="N162" s="56">
        <f>IF(OR($M162="",$V162="Sub"),"",IF($M162&gt;=1,"Completado",IF($M162&gt;0,"En curso","Pendiente")))</f>
        <v/>
      </c>
      <c r="O162" s="56">
        <f>IF(OR(NOT((COUNTA($B162:$D162)+COUNTA($G162:$H162)+COUNTA($Q162))&gt;0),$V162="Sub"),"",IF(ISNUMBER($G162),IF(AND(ISNUMBER($AS162),$G162&gt;$AS162),"Cumplida con "&amp;($G162-$AS162)&amp;IF($G162-$AS162=1," día"," días")&amp;" de retraso","Cumplida"),IF(N($M162)&gt;=1,"Cumplida",IF(NOT(ISNUMBER($AS162)),"Sin fecha límite",IF($AS162&lt;FechaRef,"Vencida hace "&amp;(FechaRef-$AS162)&amp;IF(FechaRef-$AS162=1," día"," días"),IF($AS162=FechaRef,"Vence hoy",IF($AS162-FechaRef&lt;=DiasAlerta,"Vence en "&amp;($AS162-FechaRef)&amp;IF($AS162-FechaRef=1," día"," días"),"En plazo")))))))</f>
        <v/>
      </c>
      <c r="P162" s="62" t="n"/>
      <c r="Q162" s="58" t="n"/>
      <c r="R162" s="63">
        <f>IF(NOT((COUNTA($B162:$D162)+COUNTA($G162:$H162)+COUNTA($Q162))&gt;0),"",IF((IF($C162="","Falta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 OK","⚠ "&amp;LEFT(IF($C162="","Falta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",""),LEN(IF($C162="","Falta el nombre de la actividad"&amp;" · ","")&amp;IF(AND($V162="Sub",N($U162)=0),"Subactividad sin macroactividad arriba"&amp;" · ","")&amp;IF(AND($V162="Macro",$AR162=""),"Sin fecha de inicio"&amp;" · ","")&amp;IF(AND($V162="Macro",$AS162=""),"Sin fecha límite"&amp;" · ","")&amp;IF(AND(LEFT($C162,11)="[Jefatura] ",N($AQ162)=0),"No se encuentra en la hoja de la jefatura (elíjala de nuevo en la lista)"&amp;" · ","")&amp;IF(OR(AND($E162&lt;&gt;"",NOT(ISNUMBER($E162))),AND($F162&lt;&gt;"",NOT(ISNUMBER($F162))),AND($G162&lt;&gt;"",NOT(ISNUMBER($G162)))),"Fecha no válida"&amp;" · ","")&amp;IF(AND(ISNUMBER($AR162),ISNUMBER($AS162),$AR162&gt;$AS162),"Inicio posterior a fecha límite"&amp;" · ","")&amp;IF(AND($V162="Macro",$H162&lt;&gt;"",OR(NOT(ISNUMBER($H162)),$H162&lt;0,$H162&gt;1)),"Peso fuera de rango"&amp;" · ","")&amp;IF(AND($V162="Sub",$H162&lt;&gt;"",OR(NOT(ISNUMBER($H162)),$H162&lt;0,$H162&gt;1)),"% de la subactividad fuera de rango 0-100%"&amp;" · ","")&amp;IF(AND(N($W162)&gt;0,SUMIFS($H$5:$H$1000,$U$5:$U$1000,ROW(),$V$5:$V$1000,"Sub")&gt;1.0001),"Las subactividades suman más de 100%"&amp;" · ","")&amp;IF(AND(N($W162)&gt;0,OR(IF(ISNUMBER($I162),ROUND($I162,6)&lt;&gt;ROUND(MIN(1,SUMIFS($AD$5:$AD$1000,$U$5:$U$1000,ROW(),$V$5:$V$1000,"Sub")),6),FALSE),IF(ISNUMBER($J162),ROUND($J162,6)&lt;&gt;ROUND(MIN(1,SUMIFS($AE$5:$AE$1000,$U$5:$U$1000,ROW(),$V$5:$V$1000,"Sub")),6),FALSE),IF(ISNUMBER($K162),ROUND($K162,6)&lt;&gt;ROUND(MIN(1,SUMIFS($AF$5:$AF$1000,$U$5:$U$1000,ROW(),$V$5:$V$1000,"Sub")),6),FALSE),IF(ISNUMBER($L162),ROUND($L162,6)&lt;&gt;ROUND(MIN(1,SUMIFS($AG$5:$AG$1000,$U$5:$U$1000,ROW(),$V$5:$V$1000,"Sub")),6),FALSE))),"Con subactividades: no escriba en las semanas (se llenan solas)"&amp;" · ","")&amp;IF((COUNTIF($I162:$L162,"&gt;1")+COUNTIF($I162:$L162,"&lt;0")+SUMPRODUCT((LEN($I162:$L162)&gt;0)*NOT(ISNUMBER($I162:$L162))))&gt;0,"Avance fuera de rango 0-100%"&amp;" · ","")&amp;IF(OR(AND(ISNUMBER($J162),$J162&lt;N($I162)),AND(ISNUMBER($K162),$K162&lt;MAX($I162:$J162)),AND(ISNUMBER($L162),$L162&lt;MAX($I162:$K162))),"Avance semanal decreciente"&amp;" · ","")&amp;IF(AND(ISNUMBER($AS162),$AS162&lt;FechaRef,IF($V162="Sub",1,N($M162))&lt;1),"Vencida"&amp;" · ","")&amp;IF(AND(ObsObligatoria="Sí",ISNUMBER($AS162),$AS162&lt;FechaRef,IF($V162="Sub",1,N($M162))&lt;1,$Q162=""),"Vencida sin observación"&amp;" · ",""))-3)))</f>
        <v/>
      </c>
      <c r="S162" s="64">
        <f>IF(NOT((COUNTA($B162:$D162)+COUNTA($G162:$H162)+COUNTA($Q162))&gt;0),"",IF(AND($V162="Sub",N($U162)&gt;0),IF(ISNUMBER(INDEX($AR$5:$AR$1000,$U162-4)),DATE(YEAR(INDEX($AR$5:$AR$1000,$U162-4)),MONTH(INDEX($AR$5:$AR$1000,$U162-4)),1),IF(ISNUMBER(INDEX($AS$5:$AS$1000,$U162-4)),DATE(YEAR(INDEX($AS$5:$AS$1000,$U162-4)),MONTH(INDEX($AS$5:$AS$1000,$U162-4)),1),MesCiclo)),IF(ISNUMBER($AR162),DATE(YEAR($AR162),MONTH($AR162),1),IF(ISNUMBER($AS162),DATE(YEAR($AS162),MONTH($AS162),1),MesCiclo))))</f>
        <v/>
      </c>
      <c r="T162" s="62">
        <f>IF(OR($S162="",$S162&lt;&gt;MesCiclo,$V162&lt;&gt;"Macro"),"",COUNTIFS($S$5:$S162,MesCiclo,$V$5:$V162,"Macro"))</f>
        <v/>
      </c>
      <c r="U162" s="62">
        <f>IF($V162="","",IF($V162="Macro",ROW(),IFERROR(LOOKUP(2,1/($V$5:$V162="Macro"),ROW($V$5:$V162)),0)))</f>
        <v/>
      </c>
      <c r="V162" s="62">
        <f>IF(NOT((COUNTA($B162:$D162)+COUNTA($G162:$H162)+COUNTA($Q162))&gt;0),"",IF($B162="Subactividad","Sub","Macro"))</f>
        <v/>
      </c>
      <c r="W162" s="62">
        <f>IF($V162="Macro",COUNTIFS($U$5:$U$1000,ROW(),$V$5:$V$1000,"Sub"),"")</f>
        <v/>
      </c>
      <c r="X162" s="62">
        <f>IF($V162&lt;&gt;"Sub","",IF(AND(ISNUMBER($H162),N($H162)&gt;0),$H162,IFERROR(MAX(0,1-SUMIFS($H$5:$H$1000,$U$5:$U$1000,$U162,$V$5:$V$1000,"Sub"))/(COUNTIFS($U$5:$U$1000,$U162,$V$5:$V$1000,"Sub")-COUNTIFS($U$5:$U$1000,$U162,$V$5:$V$1000,"Sub",$H$5:$H$1000,"&gt;0")),0)))</f>
        <v/>
      </c>
      <c r="Y162" s="62">
        <f>IF($V162="","",IF($V162="Sub",N($X162)*IF(ISNUMBER($G162),1,MIN(1,MAX(0,IFERROR(LOOKUP(2,1/ISNUMBER($I162:$L162),$I162:$L162),0)))),IF(ISNUMBER($G162),1,IFERROR(LOOKUP(2,1/($I162:$L162&lt;&gt;""),$I162:$L162),0))))</f>
        <v/>
      </c>
      <c r="Z162" s="62">
        <f>IF($V162="","",IF(AND(ISNUMBER($G162),$G162&lt;=IF($S162=MesCiclo,InicioCiclo,$S162+MOD(2-WEEKDAY($S162),7))+6),1,IF(ISNUMBER($I162),$I162,0)))</f>
        <v/>
      </c>
      <c r="AA162" s="62">
        <f>IF($V162="","",IF(AND(ISNUMBER($G162),$G162&lt;=IF($S162=MesCiclo,InicioCiclo,$S162+MOD(2-WEEKDAY($S162),7))+13),1,IF(ISNUMBER($J162),$J162,$Z162)))</f>
        <v/>
      </c>
      <c r="AB162" s="62">
        <f>IF($V162="","",IF(AND(ISNUMBER($G162),$G162&lt;=IF($S162=MesCiclo,InicioCiclo,$S162+MOD(2-WEEKDAY($S162),7))+20),1,IF(ISNUMBER($K162),$K162,$AA162)))</f>
        <v/>
      </c>
      <c r="AC162" s="62">
        <f>IF($V162="","",IF(AND(ISNUMBER($G162),$G162&lt;=IF($S162=MesCiclo,InicioCiclo,$S162+MOD(2-WEEKDAY($S162),7))+27),1,IF(ISNUMBER($L162),$L162,$AB162)))</f>
        <v/>
      </c>
      <c r="AD162" s="62">
        <f>IF($V162&lt;&gt;"Sub","",N($X162)*IF(AND(ISNUMBER($G162),$G162&lt;=IF($S162=MesCiclo,InicioCiclo,$S162+MOD(2-WEEKDAY($S162),7))+6),1,MIN(1,MAX(0,IF(ISNUMBER(OFFSET($A$1,ROW()-1,8)),OFFSET($A$1,ROW()-1,8),0)))))</f>
        <v/>
      </c>
      <c r="AE162" s="62">
        <f>IF($V162&lt;&gt;"Sub","",N($X162)*IF(AND(ISNUMBER($G162),$G162&lt;=IF($S162=MesCiclo,InicioCiclo,$S162+MOD(2-WEEKDAY($S162),7))+13),1,MIN(1,MAX(0,IF(ISNUMBER(OFFSET($A$1,ROW()-1,9)),OFFSET($A$1,ROW()-1,9),IF(ISNUMBER(OFFSET($A$1,ROW()-1,8)),OFFSET($A$1,ROW()-1,8),0))))))</f>
        <v/>
      </c>
      <c r="AF162" s="62">
        <f>IF($V162&lt;&gt;"Sub","",N($X162)*IF(AND(ISNUMBER($G162),$G162&lt;=IF($S162=MesCiclo,InicioCiclo,$S162+MOD(2-WEEKDAY($S162),7))+20),1,MIN(1,MAX(0,IF(ISNUMBER(OFFSET($A$1,ROW()-1,10)),OFFSET($A$1,ROW()-1,10),IF(ISNUMBER(OFFSET($A$1,ROW()-1,9)),OFFSET($A$1,ROW()-1,9),IF(ISNUMBER(OFFSET($A$1,ROW()-1,8)),OFFSET($A$1,ROW()-1,8),0)))))))</f>
        <v/>
      </c>
      <c r="AG162" s="62">
        <f>IF($V162&lt;&gt;"Sub","",N($X162)*IF(AND(ISNUMBER($G162),$G162&lt;=IF($S162=MesCiclo,InicioCiclo,$S162+MOD(2-WEEKDAY($S162),7))+27),1,MIN(1,MAX(0,IF(ISNUMBER(OFFSET($A$1,ROW()-1,11)),OFFSET($A$1,ROW()-1,11),IF(ISNUMBER(OFFSET($A$1,ROW()-1,10)),OFFSET($A$1,ROW()-1,10),IF(ISNUMBER(OFFSET($A$1,ROW()-1,9)),OFFSET($A$1,ROW()-1,9),IF(ISNUMBER(OFFSET($A$1,ROW()-1,8)),OFFSET($A$1,ROW()-1,8),0))))))))</f>
        <v/>
      </c>
      <c r="AH162" s="62">
        <f>IF($V162="","",IF(AND(ISNUMBER($G162),$G162&lt;=IF($S162=MesCiclo,InicioCiclo,$S162+MOD(2-WEEKDAY($S162),7))+6),1,IF(N($W162)&gt;0,MIN(1,SUMIFS($AD$5:$AD$1000,$U$5:$U$1000,ROW(),$V$5:$V$1000,"Sub")),$Z162)))</f>
        <v/>
      </c>
      <c r="AI162" s="62">
        <f>IF($V162="","",IF(AND(ISNUMBER($G162),$G162&lt;=IF($S162=MesCiclo,InicioCiclo,$S162+MOD(2-WEEKDAY($S162),7))+13),1,IF(N($W162)&gt;0,MIN(1,SUMIFS($AE$5:$AE$1000,$U$5:$U$1000,ROW(),$V$5:$V$1000,"Sub")),$AA162)))</f>
        <v/>
      </c>
      <c r="AJ162" s="62">
        <f>IF($V162="","",IF(AND(ISNUMBER($G162),$G162&lt;=IF($S162=MesCiclo,InicioCiclo,$S162+MOD(2-WEEKDAY($S162),7))+20),1,IF(N($W162)&gt;0,MIN(1,SUMIFS($AF$5:$AF$1000,$U$5:$U$1000,ROW(),$V$5:$V$1000,"Sub")),$AB162)))</f>
        <v/>
      </c>
      <c r="AK162" s="62">
        <f>IF($V162="","",IF(AND(ISNUMBER($G162),$G162&lt;=IF($S162=MesCiclo,InicioCiclo,$S162+MOD(2-WEEKDAY($S162),7))+27),1,IF(N($W162)&gt;0,MIN(1,SUMIFS($AG$5:$AG$1000,$U$5:$U$1000,ROW(),$V$5:$V$1000,"Sub")),$AC162)))</f>
        <v/>
      </c>
      <c r="AL162" s="62">
        <f>IF($V162&lt;&gt;"Macro","",IF(COUNTIFS($S$5:$S$1000,$S162,$V$5:$V$1000,"Macro",$H$5:$H$1000,"&gt;0")=0,1/COUNTIFS($S$5:$S$1000,$S162,$V$5:$V$1000,"Macro"),IF(AND(ISNUMBER($H162),N($H162)&gt;0),$H162,SUMIFS($H$5:$H$1000,$S$5:$S$1000,$S162,$V$5:$V$1000,"Macro")/COUNTIFS($S$5:$S$1000,$S162,$V$5:$V$1000,"Macro",$H$5:$H$1000,"&gt;0"))/(COUNTIFS($S$5:$S$1000,$S162,$V$5:$V$1000,"Macro")*SUMIFS($H$5:$H$1000,$S$5:$S$1000,$S162,$V$5:$V$1000,"Macro")/COUNTIFS($S$5:$S$1000,$S162,$V$5:$V$1000,"Macro",$H$5:$H$1000,"&gt;0"))))</f>
        <v/>
      </c>
      <c r="AM162" s="62" t="n"/>
      <c r="AN162" s="62" t="n"/>
      <c r="AO162" s="62" t="n"/>
      <c r="AP162" s="62" t="n"/>
      <c r="AQ162" s="62">
        <f>IF(LEFT($C162,11)="[Jefatura] ",IFERROR(MATCH("Asistente Técnico de Riesgo|"&amp;MID($C162,12,500),rDname_ADM,0),0),"")</f>
        <v/>
      </c>
      <c r="AR162" s="62">
        <f>IF(N($AQ162)&gt;0,INDEX(rIni_ADM,$AQ162),IF(ISNUMBER($E162),$E162,""))</f>
        <v/>
      </c>
      <c r="AS162" s="62">
        <f>IF(N($AQ162)&gt;0,INDEX(rLim_ADM,$AQ162),IF(ISNUMBER($F162),$F162,""))</f>
        <v/>
      </c>
    </row>
    <row r="163">
      <c r="A163" s="56">
        <f>IF(NOT((COUNTA($B163:$D163)+COUNTA($G163:$H163)+COUNTA($Q163))&gt;0),"",IF($V163="Macro",COUNTIFS($V$5:$V163,"Macro",$S$5:$S163,$S163),IF(N($U163)=0,"?",COUNTIFS(INDEX($V$5:$V$1000,1):INDEX($V$5:$V$1000,$U163-4),"Macro",INDEX($S$5:$S$1000,1):INDEX($S$5:$S$1000,$U163-4),INDEX($S$5:$S$1000,$U163-4))&amp;"."&amp;COUNTIFS($U$5:$U163,$U163,$V$5:$V163,"Sub"))))</f>
        <v/>
      </c>
      <c r="B163" s="57" t="n"/>
      <c r="C163" s="58" t="n"/>
      <c r="D163" s="58" t="n"/>
      <c r="E163" s="59">
        <f>IF(N($AQ163)&gt;0,INDEX(rIni_ADM,$AQ163),"")</f>
        <v/>
      </c>
      <c r="F163" s="59">
        <f>IF(N($AQ163)&gt;0,INDEX(rLim_ADM,$AQ163),"")</f>
        <v/>
      </c>
      <c r="G163" s="59" t="n"/>
      <c r="H163" s="60" t="n"/>
      <c r="I163" s="60">
        <f>IF(N($W163)=0,"",IF(AND($S163=MesCiclo,1&gt;SemanaActual),"",MIN(1,SUMIFS(OFFSET($A$1,ROW(),29,1000-ROW(),1),OFFSET($A$1,ROW(),20,1000-ROW(),1),ROW(),OFFSET($A$1,ROW(),21,1000-ROW(),1),"Sub"))))</f>
        <v/>
      </c>
      <c r="J163" s="60">
        <f>IF(N($W163)=0,"",IF(AND($S163=MesCiclo,2&gt;SemanaActual),"",MIN(1,SUMIFS(OFFSET($A$1,ROW(),30,1000-ROW(),1),OFFSET($A$1,ROW(),20,1000-ROW(),1),ROW(),OFFSET($A$1,ROW(),21,1000-ROW(),1),"Sub"))))</f>
        <v/>
      </c>
      <c r="K163" s="60">
        <f>IF(N($W163)=0,"",IF(AND($S163=MesCiclo,3&gt;SemanaActual),"",MIN(1,SUMIFS(OFFSET($A$1,ROW(),31,1000-ROW(),1),OFFSET($A$1,ROW(),20,1000-ROW(),1),ROW(),OFFSET($A$1,ROW(),21,1000-ROW(),1),"Sub"))))</f>
        <v/>
      </c>
      <c r="L163" s="60">
        <f>IF(N($W163)=0,"",IF(AND($S163=MesCiclo,4&gt;SemanaActual),"",MIN(1,SUMIFS(OFFSET($A$1,ROW(),32,1000-ROW(),1),OFFSET($A$1,ROW(),20,1000-ROW(),1),ROW(),OFFSET($A$1,ROW(),21,1000-ROW(),1),"Sub"))))</f>
        <v/>
      </c>
      <c r="M163" s="61">
        <f>IF(OR(NOT((COUNTA($B163:$D163)+COUNTA($G163:$H163)+COUNTA($Q163))&gt;0),$V163="Sub"),"",IF(ISNUMBER($G163),1,IF(N($W163)&gt;0,MIN(1,SUMIFS($Y$5:$Y$1000,$U$5:$U$1000,ROW(),$V$5:$V$1000,"Sub")),$Y163)))</f>
        <v/>
      </c>
      <c r="N163" s="56">
        <f>IF(OR($M163="",$V163="Sub"),"",IF($M163&gt;=1,"Completado",IF($M163&gt;0,"En curso","Pendiente")))</f>
        <v/>
      </c>
      <c r="O163" s="56">
        <f>IF(OR(NOT((COUNTA($B163:$D163)+COUNTA($G163:$H163)+COUNTA($Q163))&gt;0),$V163="Sub"),"",IF(ISNUMBER($G163),IF(AND(ISNUMBER($AS163),$G163&gt;$AS163),"Cumplida con "&amp;($G163-$AS163)&amp;IF($G163-$AS163=1," día"," días")&amp;" de retraso","Cumplida"),IF(N($M163)&gt;=1,"Cumplida",IF(NOT(ISNUMBER($AS163)),"Sin fecha límite",IF($AS163&lt;FechaRef,"Vencida hace "&amp;(FechaRef-$AS163)&amp;IF(FechaRef-$AS163=1," día"," días"),IF($AS163=FechaRef,"Vence hoy",IF($AS163-FechaRef&lt;=DiasAlerta,"Vence en "&amp;($AS163-FechaRef)&amp;IF($AS163-FechaRef=1," día"," días"),"En plazo")))))))</f>
        <v/>
      </c>
      <c r="P163" s="62" t="n"/>
      <c r="Q163" s="58" t="n"/>
      <c r="R163" s="63">
        <f>IF(NOT((COUNTA($B163:$D163)+COUNTA($G163:$H163)+COUNTA($Q163))&gt;0),"",IF((IF($C163="","Falta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 OK","⚠ "&amp;LEFT(IF($C163="","Falta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",""),LEN(IF($C163="","Falta el nombre de la actividad"&amp;" · ","")&amp;IF(AND($V163="Sub",N($U163)=0),"Subactividad sin macroactividad arriba"&amp;" · ","")&amp;IF(AND($V163="Macro",$AR163=""),"Sin fecha de inicio"&amp;" · ","")&amp;IF(AND($V163="Macro",$AS163=""),"Sin fecha límite"&amp;" · ","")&amp;IF(AND(LEFT($C163,11)="[Jefatura] ",N($AQ163)=0),"No se encuentra en la hoja de la jefatura (elíjala de nuevo en la lista)"&amp;" · ","")&amp;IF(OR(AND($E163&lt;&gt;"",NOT(ISNUMBER($E163))),AND($F163&lt;&gt;"",NOT(ISNUMBER($F163))),AND($G163&lt;&gt;"",NOT(ISNUMBER($G163)))),"Fecha no válida"&amp;" · ","")&amp;IF(AND(ISNUMBER($AR163),ISNUMBER($AS163),$AR163&gt;$AS163),"Inicio posterior a fecha límite"&amp;" · ","")&amp;IF(AND($V163="Macro",$H163&lt;&gt;"",OR(NOT(ISNUMBER($H163)),$H163&lt;0,$H163&gt;1)),"Peso fuera de rango"&amp;" · ","")&amp;IF(AND($V163="Sub",$H163&lt;&gt;"",OR(NOT(ISNUMBER($H163)),$H163&lt;0,$H163&gt;1)),"% de la subactividad fuera de rango 0-100%"&amp;" · ","")&amp;IF(AND(N($W163)&gt;0,SUMIFS($H$5:$H$1000,$U$5:$U$1000,ROW(),$V$5:$V$1000,"Sub")&gt;1.0001),"Las subactividades suman más de 100%"&amp;" · ","")&amp;IF(AND(N($W163)&gt;0,OR(IF(ISNUMBER($I163),ROUND($I163,6)&lt;&gt;ROUND(MIN(1,SUMIFS($AD$5:$AD$1000,$U$5:$U$1000,ROW(),$V$5:$V$1000,"Sub")),6),FALSE),IF(ISNUMBER($J163),ROUND($J163,6)&lt;&gt;ROUND(MIN(1,SUMIFS($AE$5:$AE$1000,$U$5:$U$1000,ROW(),$V$5:$V$1000,"Sub")),6),FALSE),IF(ISNUMBER($K163),ROUND($K163,6)&lt;&gt;ROUND(MIN(1,SUMIFS($AF$5:$AF$1000,$U$5:$U$1000,ROW(),$V$5:$V$1000,"Sub")),6),FALSE),IF(ISNUMBER($L163),ROUND($L163,6)&lt;&gt;ROUND(MIN(1,SUMIFS($AG$5:$AG$1000,$U$5:$U$1000,ROW(),$V$5:$V$1000,"Sub")),6),FALSE))),"Con subactividades: no escriba en las semanas (se llenan solas)"&amp;" · ","")&amp;IF((COUNTIF($I163:$L163,"&gt;1")+COUNTIF($I163:$L163,"&lt;0")+SUMPRODUCT((LEN($I163:$L163)&gt;0)*NOT(ISNUMBER($I163:$L163))))&gt;0,"Avance fuera de rango 0-100%"&amp;" · ","")&amp;IF(OR(AND(ISNUMBER($J163),$J163&lt;N($I163)),AND(ISNUMBER($K163),$K163&lt;MAX($I163:$J163)),AND(ISNUMBER($L163),$L163&lt;MAX($I163:$K163))),"Avance semanal decreciente"&amp;" · ","")&amp;IF(AND(ISNUMBER($AS163),$AS163&lt;FechaRef,IF($V163="Sub",1,N($M163))&lt;1),"Vencida"&amp;" · ","")&amp;IF(AND(ObsObligatoria="Sí",ISNUMBER($AS163),$AS163&lt;FechaRef,IF($V163="Sub",1,N($M163))&lt;1,$Q163=""),"Vencida sin observación"&amp;" · ",""))-3)))</f>
        <v/>
      </c>
      <c r="S163" s="64">
        <f>IF(NOT((COUNTA($B163:$D163)+COUNTA($G163:$H163)+COUNTA($Q163))&gt;0),"",IF(AND($V163="Sub",N($U163)&gt;0),IF(ISNUMBER(INDEX($AR$5:$AR$1000,$U163-4)),DATE(YEAR(INDEX($AR$5:$AR$1000,$U163-4)),MONTH(INDEX($AR$5:$AR$1000,$U163-4)),1),IF(ISNUMBER(INDEX($AS$5:$AS$1000,$U163-4)),DATE(YEAR(INDEX($AS$5:$AS$1000,$U163-4)),MONTH(INDEX($AS$5:$AS$1000,$U163-4)),1),MesCiclo)),IF(ISNUMBER($AR163),DATE(YEAR($AR163),MONTH($AR163),1),IF(ISNUMBER($AS163),DATE(YEAR($AS163),MONTH($AS163),1),MesCiclo))))</f>
        <v/>
      </c>
      <c r="T163" s="62">
        <f>IF(OR($S163="",$S163&lt;&gt;MesCiclo,$V163&lt;&gt;"Macro"),"",COUNTIFS($S$5:$S163,MesCiclo,$V$5:$V163,"Macro"))</f>
        <v/>
      </c>
      <c r="U163" s="62">
        <f>IF($V163="","",IF($V163="Macro",ROW(),IFERROR(LOOKUP(2,1/($V$5:$V163="Macro"),ROW($V$5:$V163)),0)))</f>
        <v/>
      </c>
      <c r="V163" s="62">
        <f>IF(NOT((COUNTA($B163:$D163)+COUNTA($G163:$H163)+COUNTA($Q163))&gt;0),"",IF($B163="Subactividad","Sub","Macro"))</f>
        <v/>
      </c>
      <c r="W163" s="62">
        <f>IF($V163="Macro",COUNTIFS($U$5:$U$1000,ROW(),$V$5:$V$1000,"Sub"),"")</f>
        <v/>
      </c>
      <c r="X163" s="62">
        <f>IF($V163&lt;&gt;"Sub","",IF(AND(ISNUMBER($H163),N($H163)&gt;0),$H163,IFERROR(MAX(0,1-SUMIFS($H$5:$H$1000,$U$5:$U$1000,$U163,$V$5:$V$1000,"Sub"))/(COUNTIFS($U$5:$U$1000,$U163,$V$5:$V$1000,"Sub")-COUNTIFS($U$5:$U$1000,$U163,$V$5:$V$1000,"Sub",$H$5:$H$1000,"&gt;0")),0)))</f>
        <v/>
      </c>
      <c r="Y163" s="62">
        <f>IF($V163="","",IF($V163="Sub",N($X163)*IF(ISNUMBER($G163),1,MIN(1,MAX(0,IFERROR(LOOKUP(2,1/ISNUMBER($I163:$L163),$I163:$L163),0)))),IF(ISNUMBER($G163),1,IFERROR(LOOKUP(2,1/($I163:$L163&lt;&gt;""),$I163:$L163),0))))</f>
        <v/>
      </c>
      <c r="Z163" s="62">
        <f>IF($V163="","",IF(AND(ISNUMBER($G163),$G163&lt;=IF($S163=MesCiclo,InicioCiclo,$S163+MOD(2-WEEKDAY($S163),7))+6),1,IF(ISNUMBER($I163),$I163,0)))</f>
        <v/>
      </c>
      <c r="AA163" s="62">
        <f>IF($V163="","",IF(AND(ISNUMBER($G163),$G163&lt;=IF($S163=MesCiclo,InicioCiclo,$S163+MOD(2-WEEKDAY($S163),7))+13),1,IF(ISNUMBER($J163),$J163,$Z163)))</f>
        <v/>
      </c>
      <c r="AB163" s="62">
        <f>IF($V163="","",IF(AND(ISNUMBER($G163),$G163&lt;=IF($S163=MesCiclo,InicioCiclo,$S163+MOD(2-WEEKDAY($S163),7))+20),1,IF(ISNUMBER($K163),$K163,$AA163)))</f>
        <v/>
      </c>
      <c r="AC163" s="62">
        <f>IF($V163="","",IF(AND(ISNUMBER($G163),$G163&lt;=IF($S163=MesCiclo,InicioCiclo,$S163+MOD(2-WEEKDAY($S163),7))+27),1,IF(ISNUMBER($L163),$L163,$AB163)))</f>
        <v/>
      </c>
      <c r="AD163" s="62">
        <f>IF($V163&lt;&gt;"Sub","",N($X163)*IF(AND(ISNUMBER($G163),$G163&lt;=IF($S163=MesCiclo,InicioCiclo,$S163+MOD(2-WEEKDAY($S163),7))+6),1,MIN(1,MAX(0,IF(ISNUMBER(OFFSET($A$1,ROW()-1,8)),OFFSET($A$1,ROW()-1,8),0)))))</f>
        <v/>
      </c>
      <c r="AE163" s="62">
        <f>IF($V163&lt;&gt;"Sub","",N($X163)*IF(AND(ISNUMBER($G163),$G163&lt;=IF($S163=MesCiclo,InicioCiclo,$S163+MOD(2-WEEKDAY($S163),7))+13),1,MIN(1,MAX(0,IF(ISNUMBER(OFFSET($A$1,ROW()-1,9)),OFFSET($A$1,ROW()-1,9),IF(ISNUMBER(OFFSET($A$1,ROW()-1,8)),OFFSET($A$1,ROW()-1,8),0))))))</f>
        <v/>
      </c>
      <c r="AF163" s="62">
        <f>IF($V163&lt;&gt;"Sub","",N($X163)*IF(AND(ISNUMBER($G163),$G163&lt;=IF($S163=MesCiclo,InicioCiclo,$S163+MOD(2-WEEKDAY($S163),7))+20),1,MIN(1,MAX(0,IF(ISNUMBER(OFFSET($A$1,ROW()-1,10)),OFFSET($A$1,ROW()-1,10),IF(ISNUMBER(OFFSET($A$1,ROW()-1,9)),OFFSET($A$1,ROW()-1,9),IF(ISNUMBER(OFFSET($A$1,ROW()-1,8)),OFFSET($A$1,ROW()-1,8),0)))))))</f>
        <v/>
      </c>
      <c r="AG163" s="62">
        <f>IF($V163&lt;&gt;"Sub","",N($X163)*IF(AND(ISNUMBER($G163),$G163&lt;=IF($S163=MesCiclo,InicioCiclo,$S163+MOD(2-WEEKDAY($S163),7))+27),1,MIN(1,MAX(0,IF(ISNUMBER(OFFSET($A$1,ROW()-1,11)),OFFSET($A$1,ROW()-1,11),IF(ISNUMBER(OFFSET($A$1,ROW()-1,10)),OFFSET($A$1,ROW()-1,10),IF(ISNUMBER(OFFSET($A$1,ROW()-1,9)),OFFSET($A$1,ROW()-1,9),IF(ISNUMBER(OFFSET($A$1,ROW()-1,8)),OFFSET($A$1,ROW()-1,8),0))))))))</f>
        <v/>
      </c>
      <c r="AH163" s="62">
        <f>IF($V163="","",IF(AND(ISNUMBER($G163),$G163&lt;=IF($S163=MesCiclo,InicioCiclo,$S163+MOD(2-WEEKDAY($S163),7))+6),1,IF(N($W163)&gt;0,MIN(1,SUMIFS($AD$5:$AD$1000,$U$5:$U$1000,ROW(),$V$5:$V$1000,"Sub")),$Z163)))</f>
        <v/>
      </c>
      <c r="AI163" s="62">
        <f>IF($V163="","",IF(AND(ISNUMBER($G163),$G163&lt;=IF($S163=MesCiclo,InicioCiclo,$S163+MOD(2-WEEKDAY($S163),7))+13),1,IF(N($W163)&gt;0,MIN(1,SUMIFS($AE$5:$AE$1000,$U$5:$U$1000,ROW(),$V$5:$V$1000,"Sub")),$AA163)))</f>
        <v/>
      </c>
      <c r="AJ163" s="62">
        <f>IF($V163="","",IF(AND(ISNUMBER($G163),$G163&lt;=IF($S163=MesCiclo,InicioCiclo,$S163+MOD(2-WEEKDAY($S163),7))+20),1,IF(N($W163)&gt;0,MIN(1,SUMIFS($AF$5:$AF$1000,$U$5:$U$1000,ROW(),$V$5:$V$1000,"Sub")),$AB163)))</f>
        <v/>
      </c>
      <c r="AK163" s="62">
        <f>IF($V163="","",IF(AND(ISNUMBER($G163),$G163&lt;=IF($S163=MesCiclo,InicioCiclo,$S163+MOD(2-WEEKDAY($S163),7))+27),1,IF(N($W163)&gt;0,MIN(1,SUMIFS($AG$5:$AG$1000,$U$5:$U$1000,ROW(),$V$5:$V$1000,"Sub")),$AC163)))</f>
        <v/>
      </c>
      <c r="AL163" s="62">
        <f>IF($V163&lt;&gt;"Macro","",IF(COUNTIFS($S$5:$S$1000,$S163,$V$5:$V$1000,"Macro",$H$5:$H$1000,"&gt;0")=0,1/COUNTIFS($S$5:$S$1000,$S163,$V$5:$V$1000,"Macro"),IF(AND(ISNUMBER($H163),N($H163)&gt;0),$H163,SUMIFS($H$5:$H$1000,$S$5:$S$1000,$S163,$V$5:$V$1000,"Macro")/COUNTIFS($S$5:$S$1000,$S163,$V$5:$V$1000,"Macro",$H$5:$H$1000,"&gt;0"))/(COUNTIFS($S$5:$S$1000,$S163,$V$5:$V$1000,"Macro")*SUMIFS($H$5:$H$1000,$S$5:$S$1000,$S163,$V$5:$V$1000,"Macro")/COUNTIFS($S$5:$S$1000,$S163,$V$5:$V$1000,"Macro",$H$5:$H$1000,"&gt;0"))))</f>
        <v/>
      </c>
      <c r="AM163" s="62" t="n"/>
      <c r="AN163" s="62" t="n"/>
      <c r="AO163" s="62" t="n"/>
      <c r="AP163" s="62" t="n"/>
      <c r="AQ163" s="62">
        <f>IF(LEFT($C163,11)="[Jefatura] ",IFERROR(MATCH("Asistente Técnico de Riesgo|"&amp;MID($C163,12,500),rDname_ADM,0),0),"")</f>
        <v/>
      </c>
      <c r="AR163" s="62">
        <f>IF(N($AQ163)&gt;0,INDEX(rIni_ADM,$AQ163),IF(ISNUMBER($E163),$E163,""))</f>
        <v/>
      </c>
      <c r="AS163" s="62">
        <f>IF(N($AQ163)&gt;0,INDEX(rLim_ADM,$AQ163),IF(ISNUMBER($F163),$F163,""))</f>
        <v/>
      </c>
    </row>
    <row r="164">
      <c r="A164" s="56">
        <f>IF(NOT((COUNTA($B164:$D164)+COUNTA($G164:$H164)+COUNTA($Q164))&gt;0),"",IF($V164="Macro",COUNTIFS($V$5:$V164,"Macro",$S$5:$S164,$S164),IF(N($U164)=0,"?",COUNTIFS(INDEX($V$5:$V$1000,1):INDEX($V$5:$V$1000,$U164-4),"Macro",INDEX($S$5:$S$1000,1):INDEX($S$5:$S$1000,$U164-4),INDEX($S$5:$S$1000,$U164-4))&amp;"."&amp;COUNTIFS($U$5:$U164,$U164,$V$5:$V164,"Sub"))))</f>
        <v/>
      </c>
      <c r="B164" s="57" t="n"/>
      <c r="C164" s="58" t="n"/>
      <c r="D164" s="58" t="n"/>
      <c r="E164" s="59">
        <f>IF(N($AQ164)&gt;0,INDEX(rIni_ADM,$AQ164),"")</f>
        <v/>
      </c>
      <c r="F164" s="59">
        <f>IF(N($AQ164)&gt;0,INDEX(rLim_ADM,$AQ164),"")</f>
        <v/>
      </c>
      <c r="G164" s="59" t="n"/>
      <c r="H164" s="60" t="n"/>
      <c r="I164" s="60">
        <f>IF(N($W164)=0,"",IF(AND($S164=MesCiclo,1&gt;SemanaActual),"",MIN(1,SUMIFS(OFFSET($A$1,ROW(),29,1000-ROW(),1),OFFSET($A$1,ROW(),20,1000-ROW(),1),ROW(),OFFSET($A$1,ROW(),21,1000-ROW(),1),"Sub"))))</f>
        <v/>
      </c>
      <c r="J164" s="60">
        <f>IF(N($W164)=0,"",IF(AND($S164=MesCiclo,2&gt;SemanaActual),"",MIN(1,SUMIFS(OFFSET($A$1,ROW(),30,1000-ROW(),1),OFFSET($A$1,ROW(),20,1000-ROW(),1),ROW(),OFFSET($A$1,ROW(),21,1000-ROW(),1),"Sub"))))</f>
        <v/>
      </c>
      <c r="K164" s="60">
        <f>IF(N($W164)=0,"",IF(AND($S164=MesCiclo,3&gt;SemanaActual),"",MIN(1,SUMIFS(OFFSET($A$1,ROW(),31,1000-ROW(),1),OFFSET($A$1,ROW(),20,1000-ROW(),1),ROW(),OFFSET($A$1,ROW(),21,1000-ROW(),1),"Sub"))))</f>
        <v/>
      </c>
      <c r="L164" s="60">
        <f>IF(N($W164)=0,"",IF(AND($S164=MesCiclo,4&gt;SemanaActual),"",MIN(1,SUMIFS(OFFSET($A$1,ROW(),32,1000-ROW(),1),OFFSET($A$1,ROW(),20,1000-ROW(),1),ROW(),OFFSET($A$1,ROW(),21,1000-ROW(),1),"Sub"))))</f>
        <v/>
      </c>
      <c r="M164" s="61">
        <f>IF(OR(NOT((COUNTA($B164:$D164)+COUNTA($G164:$H164)+COUNTA($Q164))&gt;0),$V164="Sub"),"",IF(ISNUMBER($G164),1,IF(N($W164)&gt;0,MIN(1,SUMIFS($Y$5:$Y$1000,$U$5:$U$1000,ROW(),$V$5:$V$1000,"Sub")),$Y164)))</f>
        <v/>
      </c>
      <c r="N164" s="56">
        <f>IF(OR($M164="",$V164="Sub"),"",IF($M164&gt;=1,"Completado",IF($M164&gt;0,"En curso","Pendiente")))</f>
        <v/>
      </c>
      <c r="O164" s="56">
        <f>IF(OR(NOT((COUNTA($B164:$D164)+COUNTA($G164:$H164)+COUNTA($Q164))&gt;0),$V164="Sub"),"",IF(ISNUMBER($G164),IF(AND(ISNUMBER($AS164),$G164&gt;$AS164),"Cumplida con "&amp;($G164-$AS164)&amp;IF($G164-$AS164=1," día"," días")&amp;" de retraso","Cumplida"),IF(N($M164)&gt;=1,"Cumplida",IF(NOT(ISNUMBER($AS164)),"Sin fecha límite",IF($AS164&lt;FechaRef,"Vencida hace "&amp;(FechaRef-$AS164)&amp;IF(FechaRef-$AS164=1," día"," días"),IF($AS164=FechaRef,"Vence hoy",IF($AS164-FechaRef&lt;=DiasAlerta,"Vence en "&amp;($AS164-FechaRef)&amp;IF($AS164-FechaRef=1," día"," días"),"En plazo")))))))</f>
        <v/>
      </c>
      <c r="P164" s="62" t="n"/>
      <c r="Q164" s="58" t="n"/>
      <c r="R164" s="63">
        <f>IF(NOT((COUNTA($B164:$D164)+COUNTA($G164:$H164)+COUNTA($Q164))&gt;0),"",IF((IF($C164="","Falta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 OK","⚠ "&amp;LEFT(IF($C164="","Falta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",""),LEN(IF($C164="","Falta el nombre de la actividad"&amp;" · ","")&amp;IF(AND($V164="Sub",N($U164)=0),"Subactividad sin macroactividad arriba"&amp;" · ","")&amp;IF(AND($V164="Macro",$AR164=""),"Sin fecha de inicio"&amp;" · ","")&amp;IF(AND($V164="Macro",$AS164=""),"Sin fecha límite"&amp;" · ","")&amp;IF(AND(LEFT($C164,11)="[Jefatura] ",N($AQ164)=0),"No se encuentra en la hoja de la jefatura (elíjala de nuevo en la lista)"&amp;" · ","")&amp;IF(OR(AND($E164&lt;&gt;"",NOT(ISNUMBER($E164))),AND($F164&lt;&gt;"",NOT(ISNUMBER($F164))),AND($G164&lt;&gt;"",NOT(ISNUMBER($G164)))),"Fecha no válida"&amp;" · ","")&amp;IF(AND(ISNUMBER($AR164),ISNUMBER($AS164),$AR164&gt;$AS164),"Inicio posterior a fecha límite"&amp;" · ","")&amp;IF(AND($V164="Macro",$H164&lt;&gt;"",OR(NOT(ISNUMBER($H164)),$H164&lt;0,$H164&gt;1)),"Peso fuera de rango"&amp;" · ","")&amp;IF(AND($V164="Sub",$H164&lt;&gt;"",OR(NOT(ISNUMBER($H164)),$H164&lt;0,$H164&gt;1)),"% de la subactividad fuera de rango 0-100%"&amp;" · ","")&amp;IF(AND(N($W164)&gt;0,SUMIFS($H$5:$H$1000,$U$5:$U$1000,ROW(),$V$5:$V$1000,"Sub")&gt;1.0001),"Las subactividades suman más de 100%"&amp;" · ","")&amp;IF(AND(N($W164)&gt;0,OR(IF(ISNUMBER($I164),ROUND($I164,6)&lt;&gt;ROUND(MIN(1,SUMIFS($AD$5:$AD$1000,$U$5:$U$1000,ROW(),$V$5:$V$1000,"Sub")),6),FALSE),IF(ISNUMBER($J164),ROUND($J164,6)&lt;&gt;ROUND(MIN(1,SUMIFS($AE$5:$AE$1000,$U$5:$U$1000,ROW(),$V$5:$V$1000,"Sub")),6),FALSE),IF(ISNUMBER($K164),ROUND($K164,6)&lt;&gt;ROUND(MIN(1,SUMIFS($AF$5:$AF$1000,$U$5:$U$1000,ROW(),$V$5:$V$1000,"Sub")),6),FALSE),IF(ISNUMBER($L164),ROUND($L164,6)&lt;&gt;ROUND(MIN(1,SUMIFS($AG$5:$AG$1000,$U$5:$U$1000,ROW(),$V$5:$V$1000,"Sub")),6),FALSE))),"Con subactividades: no escriba en las semanas (se llenan solas)"&amp;" · ","")&amp;IF((COUNTIF($I164:$L164,"&gt;1")+COUNTIF($I164:$L164,"&lt;0")+SUMPRODUCT((LEN($I164:$L164)&gt;0)*NOT(ISNUMBER($I164:$L164))))&gt;0,"Avance fuera de rango 0-100%"&amp;" · ","")&amp;IF(OR(AND(ISNUMBER($J164),$J164&lt;N($I164)),AND(ISNUMBER($K164),$K164&lt;MAX($I164:$J164)),AND(ISNUMBER($L164),$L164&lt;MAX($I164:$K164))),"Avance semanal decreciente"&amp;" · ","")&amp;IF(AND(ISNUMBER($AS164),$AS164&lt;FechaRef,IF($V164="Sub",1,N($M164))&lt;1),"Vencida"&amp;" · ","")&amp;IF(AND(ObsObligatoria="Sí",ISNUMBER($AS164),$AS164&lt;FechaRef,IF($V164="Sub",1,N($M164))&lt;1,$Q164=""),"Vencida sin observación"&amp;" · ",""))-3)))</f>
        <v/>
      </c>
      <c r="S164" s="64">
        <f>IF(NOT((COUNTA($B164:$D164)+COUNTA($G164:$H164)+COUNTA($Q164))&gt;0),"",IF(AND($V164="Sub",N($U164)&gt;0),IF(ISNUMBER(INDEX($AR$5:$AR$1000,$U164-4)),DATE(YEAR(INDEX($AR$5:$AR$1000,$U164-4)),MONTH(INDEX($AR$5:$AR$1000,$U164-4)),1),IF(ISNUMBER(INDEX($AS$5:$AS$1000,$U164-4)),DATE(YEAR(INDEX($AS$5:$AS$1000,$U164-4)),MONTH(INDEX($AS$5:$AS$1000,$U164-4)),1),MesCiclo)),IF(ISNUMBER($AR164),DATE(YEAR($AR164),MONTH($AR164),1),IF(ISNUMBER($AS164),DATE(YEAR($AS164),MONTH($AS164),1),MesCiclo))))</f>
        <v/>
      </c>
      <c r="T164" s="62">
        <f>IF(OR($S164="",$S164&lt;&gt;MesCiclo,$V164&lt;&gt;"Macro"),"",COUNTIFS($S$5:$S164,MesCiclo,$V$5:$V164,"Macro"))</f>
        <v/>
      </c>
      <c r="U164" s="62">
        <f>IF($V164="","",IF($V164="Macro",ROW(),IFERROR(LOOKUP(2,1/($V$5:$V164="Macro"),ROW($V$5:$V164)),0)))</f>
        <v/>
      </c>
      <c r="V164" s="62">
        <f>IF(NOT((COUNTA($B164:$D164)+COUNTA($G164:$H164)+COUNTA($Q164))&gt;0),"",IF($B164="Subactividad","Sub","Macro"))</f>
        <v/>
      </c>
      <c r="W164" s="62">
        <f>IF($V164="Macro",COUNTIFS($U$5:$U$1000,ROW(),$V$5:$V$1000,"Sub"),"")</f>
        <v/>
      </c>
      <c r="X164" s="62">
        <f>IF($V164&lt;&gt;"Sub","",IF(AND(ISNUMBER($H164),N($H164)&gt;0),$H164,IFERROR(MAX(0,1-SUMIFS($H$5:$H$1000,$U$5:$U$1000,$U164,$V$5:$V$1000,"Sub"))/(COUNTIFS($U$5:$U$1000,$U164,$V$5:$V$1000,"Sub")-COUNTIFS($U$5:$U$1000,$U164,$V$5:$V$1000,"Sub",$H$5:$H$1000,"&gt;0")),0)))</f>
        <v/>
      </c>
      <c r="Y164" s="62">
        <f>IF($V164="","",IF($V164="Sub",N($X164)*IF(ISNUMBER($G164),1,MIN(1,MAX(0,IFERROR(LOOKUP(2,1/ISNUMBER($I164:$L164),$I164:$L164),0)))),IF(ISNUMBER($G164),1,IFERROR(LOOKUP(2,1/($I164:$L164&lt;&gt;""),$I164:$L164),0))))</f>
        <v/>
      </c>
      <c r="Z164" s="62">
        <f>IF($V164="","",IF(AND(ISNUMBER($G164),$G164&lt;=IF($S164=MesCiclo,InicioCiclo,$S164+MOD(2-WEEKDAY($S164),7))+6),1,IF(ISNUMBER($I164),$I164,0)))</f>
        <v/>
      </c>
      <c r="AA164" s="62">
        <f>IF($V164="","",IF(AND(ISNUMBER($G164),$G164&lt;=IF($S164=MesCiclo,InicioCiclo,$S164+MOD(2-WEEKDAY($S164),7))+13),1,IF(ISNUMBER($J164),$J164,$Z164)))</f>
        <v/>
      </c>
      <c r="AB164" s="62">
        <f>IF($V164="","",IF(AND(ISNUMBER($G164),$G164&lt;=IF($S164=MesCiclo,InicioCiclo,$S164+MOD(2-WEEKDAY($S164),7))+20),1,IF(ISNUMBER($K164),$K164,$AA164)))</f>
        <v/>
      </c>
      <c r="AC164" s="62">
        <f>IF($V164="","",IF(AND(ISNUMBER($G164),$G164&lt;=IF($S164=MesCiclo,InicioCiclo,$S164+MOD(2-WEEKDAY($S164),7))+27),1,IF(ISNUMBER($L164),$L164,$AB164)))</f>
        <v/>
      </c>
      <c r="AD164" s="62">
        <f>IF($V164&lt;&gt;"Sub","",N($X164)*IF(AND(ISNUMBER($G164),$G164&lt;=IF($S164=MesCiclo,InicioCiclo,$S164+MOD(2-WEEKDAY($S164),7))+6),1,MIN(1,MAX(0,IF(ISNUMBER(OFFSET($A$1,ROW()-1,8)),OFFSET($A$1,ROW()-1,8),0)))))</f>
        <v/>
      </c>
      <c r="AE164" s="62">
        <f>IF($V164&lt;&gt;"Sub","",N($X164)*IF(AND(ISNUMBER($G164),$G164&lt;=IF($S164=MesCiclo,InicioCiclo,$S164+MOD(2-WEEKDAY($S164),7))+13),1,MIN(1,MAX(0,IF(ISNUMBER(OFFSET($A$1,ROW()-1,9)),OFFSET($A$1,ROW()-1,9),IF(ISNUMBER(OFFSET($A$1,ROW()-1,8)),OFFSET($A$1,ROW()-1,8),0))))))</f>
        <v/>
      </c>
      <c r="AF164" s="62">
        <f>IF($V164&lt;&gt;"Sub","",N($X164)*IF(AND(ISNUMBER($G164),$G164&lt;=IF($S164=MesCiclo,InicioCiclo,$S164+MOD(2-WEEKDAY($S164),7))+20),1,MIN(1,MAX(0,IF(ISNUMBER(OFFSET($A$1,ROW()-1,10)),OFFSET($A$1,ROW()-1,10),IF(ISNUMBER(OFFSET($A$1,ROW()-1,9)),OFFSET($A$1,ROW()-1,9),IF(ISNUMBER(OFFSET($A$1,ROW()-1,8)),OFFSET($A$1,ROW()-1,8),0)))))))</f>
        <v/>
      </c>
      <c r="AG164" s="62">
        <f>IF($V164&lt;&gt;"Sub","",N($X164)*IF(AND(ISNUMBER($G164),$G164&lt;=IF($S164=MesCiclo,InicioCiclo,$S164+MOD(2-WEEKDAY($S164),7))+27),1,MIN(1,MAX(0,IF(ISNUMBER(OFFSET($A$1,ROW()-1,11)),OFFSET($A$1,ROW()-1,11),IF(ISNUMBER(OFFSET($A$1,ROW()-1,10)),OFFSET($A$1,ROW()-1,10),IF(ISNUMBER(OFFSET($A$1,ROW()-1,9)),OFFSET($A$1,ROW()-1,9),IF(ISNUMBER(OFFSET($A$1,ROW()-1,8)),OFFSET($A$1,ROW()-1,8),0))))))))</f>
        <v/>
      </c>
      <c r="AH164" s="62">
        <f>IF($V164="","",IF(AND(ISNUMBER($G164),$G164&lt;=IF($S164=MesCiclo,InicioCiclo,$S164+MOD(2-WEEKDAY($S164),7))+6),1,IF(N($W164)&gt;0,MIN(1,SUMIFS($AD$5:$AD$1000,$U$5:$U$1000,ROW(),$V$5:$V$1000,"Sub")),$Z164)))</f>
        <v/>
      </c>
      <c r="AI164" s="62">
        <f>IF($V164="","",IF(AND(ISNUMBER($G164),$G164&lt;=IF($S164=MesCiclo,InicioCiclo,$S164+MOD(2-WEEKDAY($S164),7))+13),1,IF(N($W164)&gt;0,MIN(1,SUMIFS($AE$5:$AE$1000,$U$5:$U$1000,ROW(),$V$5:$V$1000,"Sub")),$AA164)))</f>
        <v/>
      </c>
      <c r="AJ164" s="62">
        <f>IF($V164="","",IF(AND(ISNUMBER($G164),$G164&lt;=IF($S164=MesCiclo,InicioCiclo,$S164+MOD(2-WEEKDAY($S164),7))+20),1,IF(N($W164)&gt;0,MIN(1,SUMIFS($AF$5:$AF$1000,$U$5:$U$1000,ROW(),$V$5:$V$1000,"Sub")),$AB164)))</f>
        <v/>
      </c>
      <c r="AK164" s="62">
        <f>IF($V164="","",IF(AND(ISNUMBER($G164),$G164&lt;=IF($S164=MesCiclo,InicioCiclo,$S164+MOD(2-WEEKDAY($S164),7))+27),1,IF(N($W164)&gt;0,MIN(1,SUMIFS($AG$5:$AG$1000,$U$5:$U$1000,ROW(),$V$5:$V$1000,"Sub")),$AC164)))</f>
        <v/>
      </c>
      <c r="AL164" s="62">
        <f>IF($V164&lt;&gt;"Macro","",IF(COUNTIFS($S$5:$S$1000,$S164,$V$5:$V$1000,"Macro",$H$5:$H$1000,"&gt;0")=0,1/COUNTIFS($S$5:$S$1000,$S164,$V$5:$V$1000,"Macro"),IF(AND(ISNUMBER($H164),N($H164)&gt;0),$H164,SUMIFS($H$5:$H$1000,$S$5:$S$1000,$S164,$V$5:$V$1000,"Macro")/COUNTIFS($S$5:$S$1000,$S164,$V$5:$V$1000,"Macro",$H$5:$H$1000,"&gt;0"))/(COUNTIFS($S$5:$S$1000,$S164,$V$5:$V$1000,"Macro")*SUMIFS($H$5:$H$1000,$S$5:$S$1000,$S164,$V$5:$V$1000,"Macro")/COUNTIFS($S$5:$S$1000,$S164,$V$5:$V$1000,"Macro",$H$5:$H$1000,"&gt;0"))))</f>
        <v/>
      </c>
      <c r="AM164" s="62" t="n"/>
      <c r="AN164" s="62" t="n"/>
      <c r="AO164" s="62" t="n"/>
      <c r="AP164" s="62" t="n"/>
      <c r="AQ164" s="62">
        <f>IF(LEFT($C164,11)="[Jefatura] ",IFERROR(MATCH("Asistente Técnico de Riesgo|"&amp;MID($C164,12,500),rDname_ADM,0),0),"")</f>
        <v/>
      </c>
      <c r="AR164" s="62">
        <f>IF(N($AQ164)&gt;0,INDEX(rIni_ADM,$AQ164),IF(ISNUMBER($E164),$E164,""))</f>
        <v/>
      </c>
      <c r="AS164" s="62">
        <f>IF(N($AQ164)&gt;0,INDEX(rLim_ADM,$AQ164),IF(ISNUMBER($F164),$F164,""))</f>
        <v/>
      </c>
    </row>
    <row r="165">
      <c r="A165" s="56">
        <f>IF(NOT((COUNTA($B165:$D165)+COUNTA($G165:$H165)+COUNTA($Q165))&gt;0),"",IF($V165="Macro",COUNTIFS($V$5:$V165,"Macro",$S$5:$S165,$S165),IF(N($U165)=0,"?",COUNTIFS(INDEX($V$5:$V$1000,1):INDEX($V$5:$V$1000,$U165-4),"Macro",INDEX($S$5:$S$1000,1):INDEX($S$5:$S$1000,$U165-4),INDEX($S$5:$S$1000,$U165-4))&amp;"."&amp;COUNTIFS($U$5:$U165,$U165,$V$5:$V165,"Sub"))))</f>
        <v/>
      </c>
      <c r="B165" s="57" t="n"/>
      <c r="C165" s="58" t="n"/>
      <c r="D165" s="58" t="n"/>
      <c r="E165" s="59">
        <f>IF(N($AQ165)&gt;0,INDEX(rIni_ADM,$AQ165),"")</f>
        <v/>
      </c>
      <c r="F165" s="59">
        <f>IF(N($AQ165)&gt;0,INDEX(rLim_ADM,$AQ165),"")</f>
        <v/>
      </c>
      <c r="G165" s="59" t="n"/>
      <c r="H165" s="60" t="n"/>
      <c r="I165" s="60">
        <f>IF(N($W165)=0,"",IF(AND($S165=MesCiclo,1&gt;SemanaActual),"",MIN(1,SUMIFS(OFFSET($A$1,ROW(),29,1000-ROW(),1),OFFSET($A$1,ROW(),20,1000-ROW(),1),ROW(),OFFSET($A$1,ROW(),21,1000-ROW(),1),"Sub"))))</f>
        <v/>
      </c>
      <c r="J165" s="60">
        <f>IF(N($W165)=0,"",IF(AND($S165=MesCiclo,2&gt;SemanaActual),"",MIN(1,SUMIFS(OFFSET($A$1,ROW(),30,1000-ROW(),1),OFFSET($A$1,ROW(),20,1000-ROW(),1),ROW(),OFFSET($A$1,ROW(),21,1000-ROW(),1),"Sub"))))</f>
        <v/>
      </c>
      <c r="K165" s="60">
        <f>IF(N($W165)=0,"",IF(AND($S165=MesCiclo,3&gt;SemanaActual),"",MIN(1,SUMIFS(OFFSET($A$1,ROW(),31,1000-ROW(),1),OFFSET($A$1,ROW(),20,1000-ROW(),1),ROW(),OFFSET($A$1,ROW(),21,1000-ROW(),1),"Sub"))))</f>
        <v/>
      </c>
      <c r="L165" s="60">
        <f>IF(N($W165)=0,"",IF(AND($S165=MesCiclo,4&gt;SemanaActual),"",MIN(1,SUMIFS(OFFSET($A$1,ROW(),32,1000-ROW(),1),OFFSET($A$1,ROW(),20,1000-ROW(),1),ROW(),OFFSET($A$1,ROW(),21,1000-ROW(),1),"Sub"))))</f>
        <v/>
      </c>
      <c r="M165" s="61">
        <f>IF(OR(NOT((COUNTA($B165:$D165)+COUNTA($G165:$H165)+COUNTA($Q165))&gt;0),$V165="Sub"),"",IF(ISNUMBER($G165),1,IF(N($W165)&gt;0,MIN(1,SUMIFS($Y$5:$Y$1000,$U$5:$U$1000,ROW(),$V$5:$V$1000,"Sub")),$Y165)))</f>
        <v/>
      </c>
      <c r="N165" s="56">
        <f>IF(OR($M165="",$V165="Sub"),"",IF($M165&gt;=1,"Completado",IF($M165&gt;0,"En curso","Pendiente")))</f>
        <v/>
      </c>
      <c r="O165" s="56">
        <f>IF(OR(NOT((COUNTA($B165:$D165)+COUNTA($G165:$H165)+COUNTA($Q165))&gt;0),$V165="Sub"),"",IF(ISNUMBER($G165),IF(AND(ISNUMBER($AS165),$G165&gt;$AS165),"Cumplida con "&amp;($G165-$AS165)&amp;IF($G165-$AS165=1," día"," días")&amp;" de retraso","Cumplida"),IF(N($M165)&gt;=1,"Cumplida",IF(NOT(ISNUMBER($AS165)),"Sin fecha límite",IF($AS165&lt;FechaRef,"Vencida hace "&amp;(FechaRef-$AS165)&amp;IF(FechaRef-$AS165=1," día"," días"),IF($AS165=FechaRef,"Vence hoy",IF($AS165-FechaRef&lt;=DiasAlerta,"Vence en "&amp;($AS165-FechaRef)&amp;IF($AS165-FechaRef=1," día"," días"),"En plazo")))))))</f>
        <v/>
      </c>
      <c r="P165" s="62" t="n"/>
      <c r="Q165" s="58" t="n"/>
      <c r="R165" s="63">
        <f>IF(NOT((COUNTA($B165:$D165)+COUNTA($G165:$H165)+COUNTA($Q165))&gt;0),"",IF((IF($C165="","Falta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 OK","⚠ "&amp;LEFT(IF($C165="","Falta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",""),LEN(IF($C165="","Falta el nombre de la actividad"&amp;" · ","")&amp;IF(AND($V165="Sub",N($U165)=0),"Subactividad sin macroactividad arriba"&amp;" · ","")&amp;IF(AND($V165="Macro",$AR165=""),"Sin fecha de inicio"&amp;" · ","")&amp;IF(AND($V165="Macro",$AS165=""),"Sin fecha límite"&amp;" · ","")&amp;IF(AND(LEFT($C165,11)="[Jefatura] ",N($AQ165)=0),"No se encuentra en la hoja de la jefatura (elíjala de nuevo en la lista)"&amp;" · ","")&amp;IF(OR(AND($E165&lt;&gt;"",NOT(ISNUMBER($E165))),AND($F165&lt;&gt;"",NOT(ISNUMBER($F165))),AND($G165&lt;&gt;"",NOT(ISNUMBER($G165)))),"Fecha no válida"&amp;" · ","")&amp;IF(AND(ISNUMBER($AR165),ISNUMBER($AS165),$AR165&gt;$AS165),"Inicio posterior a fecha límite"&amp;" · ","")&amp;IF(AND($V165="Macro",$H165&lt;&gt;"",OR(NOT(ISNUMBER($H165)),$H165&lt;0,$H165&gt;1)),"Peso fuera de rango"&amp;" · ","")&amp;IF(AND($V165="Sub",$H165&lt;&gt;"",OR(NOT(ISNUMBER($H165)),$H165&lt;0,$H165&gt;1)),"% de la subactividad fuera de rango 0-100%"&amp;" · ","")&amp;IF(AND(N($W165)&gt;0,SUMIFS($H$5:$H$1000,$U$5:$U$1000,ROW(),$V$5:$V$1000,"Sub")&gt;1.0001),"Las subactividades suman más de 100%"&amp;" · ","")&amp;IF(AND(N($W165)&gt;0,OR(IF(ISNUMBER($I165),ROUND($I165,6)&lt;&gt;ROUND(MIN(1,SUMIFS($AD$5:$AD$1000,$U$5:$U$1000,ROW(),$V$5:$V$1000,"Sub")),6),FALSE),IF(ISNUMBER($J165),ROUND($J165,6)&lt;&gt;ROUND(MIN(1,SUMIFS($AE$5:$AE$1000,$U$5:$U$1000,ROW(),$V$5:$V$1000,"Sub")),6),FALSE),IF(ISNUMBER($K165),ROUND($K165,6)&lt;&gt;ROUND(MIN(1,SUMIFS($AF$5:$AF$1000,$U$5:$U$1000,ROW(),$V$5:$V$1000,"Sub")),6),FALSE),IF(ISNUMBER($L165),ROUND($L165,6)&lt;&gt;ROUND(MIN(1,SUMIFS($AG$5:$AG$1000,$U$5:$U$1000,ROW(),$V$5:$V$1000,"Sub")),6),FALSE))),"Con subactividades: no escriba en las semanas (se llenan solas)"&amp;" · ","")&amp;IF((COUNTIF($I165:$L165,"&gt;1")+COUNTIF($I165:$L165,"&lt;0")+SUMPRODUCT((LEN($I165:$L165)&gt;0)*NOT(ISNUMBER($I165:$L165))))&gt;0,"Avance fuera de rango 0-100%"&amp;" · ","")&amp;IF(OR(AND(ISNUMBER($J165),$J165&lt;N($I165)),AND(ISNUMBER($K165),$K165&lt;MAX($I165:$J165)),AND(ISNUMBER($L165),$L165&lt;MAX($I165:$K165))),"Avance semanal decreciente"&amp;" · ","")&amp;IF(AND(ISNUMBER($AS165),$AS165&lt;FechaRef,IF($V165="Sub",1,N($M165))&lt;1),"Vencida"&amp;" · ","")&amp;IF(AND(ObsObligatoria="Sí",ISNUMBER($AS165),$AS165&lt;FechaRef,IF($V165="Sub",1,N($M165))&lt;1,$Q165=""),"Vencida sin observación"&amp;" · ",""))-3)))</f>
        <v/>
      </c>
      <c r="S165" s="64">
        <f>IF(NOT((COUNTA($B165:$D165)+COUNTA($G165:$H165)+COUNTA($Q165))&gt;0),"",IF(AND($V165="Sub",N($U165)&gt;0),IF(ISNUMBER(INDEX($AR$5:$AR$1000,$U165-4)),DATE(YEAR(INDEX($AR$5:$AR$1000,$U165-4)),MONTH(INDEX($AR$5:$AR$1000,$U165-4)),1),IF(ISNUMBER(INDEX($AS$5:$AS$1000,$U165-4)),DATE(YEAR(INDEX($AS$5:$AS$1000,$U165-4)),MONTH(INDEX($AS$5:$AS$1000,$U165-4)),1),MesCiclo)),IF(ISNUMBER($AR165),DATE(YEAR($AR165),MONTH($AR165),1),IF(ISNUMBER($AS165),DATE(YEAR($AS165),MONTH($AS165),1),MesCiclo))))</f>
        <v/>
      </c>
      <c r="T165" s="62">
        <f>IF(OR($S165="",$S165&lt;&gt;MesCiclo,$V165&lt;&gt;"Macro"),"",COUNTIFS($S$5:$S165,MesCiclo,$V$5:$V165,"Macro"))</f>
        <v/>
      </c>
      <c r="U165" s="62">
        <f>IF($V165="","",IF($V165="Macro",ROW(),IFERROR(LOOKUP(2,1/($V$5:$V165="Macro"),ROW($V$5:$V165)),0)))</f>
        <v/>
      </c>
      <c r="V165" s="62">
        <f>IF(NOT((COUNTA($B165:$D165)+COUNTA($G165:$H165)+COUNTA($Q165))&gt;0),"",IF($B165="Subactividad","Sub","Macro"))</f>
        <v/>
      </c>
      <c r="W165" s="62">
        <f>IF($V165="Macro",COUNTIFS($U$5:$U$1000,ROW(),$V$5:$V$1000,"Sub"),"")</f>
        <v/>
      </c>
      <c r="X165" s="62">
        <f>IF($V165&lt;&gt;"Sub","",IF(AND(ISNUMBER($H165),N($H165)&gt;0),$H165,IFERROR(MAX(0,1-SUMIFS($H$5:$H$1000,$U$5:$U$1000,$U165,$V$5:$V$1000,"Sub"))/(COUNTIFS($U$5:$U$1000,$U165,$V$5:$V$1000,"Sub")-COUNTIFS($U$5:$U$1000,$U165,$V$5:$V$1000,"Sub",$H$5:$H$1000,"&gt;0")),0)))</f>
        <v/>
      </c>
      <c r="Y165" s="62">
        <f>IF($V165="","",IF($V165="Sub",N($X165)*IF(ISNUMBER($G165),1,MIN(1,MAX(0,IFERROR(LOOKUP(2,1/ISNUMBER($I165:$L165),$I165:$L165),0)))),IF(ISNUMBER($G165),1,IFERROR(LOOKUP(2,1/($I165:$L165&lt;&gt;""),$I165:$L165),0))))</f>
        <v/>
      </c>
      <c r="Z165" s="62">
        <f>IF($V165="","",IF(AND(ISNUMBER($G165),$G165&lt;=IF($S165=MesCiclo,InicioCiclo,$S165+MOD(2-WEEKDAY($S165),7))+6),1,IF(ISNUMBER($I165),$I165,0)))</f>
        <v/>
      </c>
      <c r="AA165" s="62">
        <f>IF($V165="","",IF(AND(ISNUMBER($G165),$G165&lt;=IF($S165=MesCiclo,InicioCiclo,$S165+MOD(2-WEEKDAY($S165),7))+13),1,IF(ISNUMBER($J165),$J165,$Z165)))</f>
        <v/>
      </c>
      <c r="AB165" s="62">
        <f>IF($V165="","",IF(AND(ISNUMBER($G165),$G165&lt;=IF($S165=MesCiclo,InicioCiclo,$S165+MOD(2-WEEKDAY($S165),7))+20),1,IF(ISNUMBER($K165),$K165,$AA165)))</f>
        <v/>
      </c>
      <c r="AC165" s="62">
        <f>IF($V165="","",IF(AND(ISNUMBER($G165),$G165&lt;=IF($S165=MesCiclo,InicioCiclo,$S165+MOD(2-WEEKDAY($S165),7))+27),1,IF(ISNUMBER($L165),$L165,$AB165)))</f>
        <v/>
      </c>
      <c r="AD165" s="62">
        <f>IF($V165&lt;&gt;"Sub","",N($X165)*IF(AND(ISNUMBER($G165),$G165&lt;=IF($S165=MesCiclo,InicioCiclo,$S165+MOD(2-WEEKDAY($S165),7))+6),1,MIN(1,MAX(0,IF(ISNUMBER(OFFSET($A$1,ROW()-1,8)),OFFSET($A$1,ROW()-1,8),0)))))</f>
        <v/>
      </c>
      <c r="AE165" s="62">
        <f>IF($V165&lt;&gt;"Sub","",N($X165)*IF(AND(ISNUMBER($G165),$G165&lt;=IF($S165=MesCiclo,InicioCiclo,$S165+MOD(2-WEEKDAY($S165),7))+13),1,MIN(1,MAX(0,IF(ISNUMBER(OFFSET($A$1,ROW()-1,9)),OFFSET($A$1,ROW()-1,9),IF(ISNUMBER(OFFSET($A$1,ROW()-1,8)),OFFSET($A$1,ROW()-1,8),0))))))</f>
        <v/>
      </c>
      <c r="AF165" s="62">
        <f>IF($V165&lt;&gt;"Sub","",N($X165)*IF(AND(ISNUMBER($G165),$G165&lt;=IF($S165=MesCiclo,InicioCiclo,$S165+MOD(2-WEEKDAY($S165),7))+20),1,MIN(1,MAX(0,IF(ISNUMBER(OFFSET($A$1,ROW()-1,10)),OFFSET($A$1,ROW()-1,10),IF(ISNUMBER(OFFSET($A$1,ROW()-1,9)),OFFSET($A$1,ROW()-1,9),IF(ISNUMBER(OFFSET($A$1,ROW()-1,8)),OFFSET($A$1,ROW()-1,8),0)))))))</f>
        <v/>
      </c>
      <c r="AG165" s="62">
        <f>IF($V165&lt;&gt;"Sub","",N($X165)*IF(AND(ISNUMBER($G165),$G165&lt;=IF($S165=MesCiclo,InicioCiclo,$S165+MOD(2-WEEKDAY($S165),7))+27),1,MIN(1,MAX(0,IF(ISNUMBER(OFFSET($A$1,ROW()-1,11)),OFFSET($A$1,ROW()-1,11),IF(ISNUMBER(OFFSET($A$1,ROW()-1,10)),OFFSET($A$1,ROW()-1,10),IF(ISNUMBER(OFFSET($A$1,ROW()-1,9)),OFFSET($A$1,ROW()-1,9),IF(ISNUMBER(OFFSET($A$1,ROW()-1,8)),OFFSET($A$1,ROW()-1,8),0))))))))</f>
        <v/>
      </c>
      <c r="AH165" s="62">
        <f>IF($V165="","",IF(AND(ISNUMBER($G165),$G165&lt;=IF($S165=MesCiclo,InicioCiclo,$S165+MOD(2-WEEKDAY($S165),7))+6),1,IF(N($W165)&gt;0,MIN(1,SUMIFS($AD$5:$AD$1000,$U$5:$U$1000,ROW(),$V$5:$V$1000,"Sub")),$Z165)))</f>
        <v/>
      </c>
      <c r="AI165" s="62">
        <f>IF($V165="","",IF(AND(ISNUMBER($G165),$G165&lt;=IF($S165=MesCiclo,InicioCiclo,$S165+MOD(2-WEEKDAY($S165),7))+13),1,IF(N($W165)&gt;0,MIN(1,SUMIFS($AE$5:$AE$1000,$U$5:$U$1000,ROW(),$V$5:$V$1000,"Sub")),$AA165)))</f>
        <v/>
      </c>
      <c r="AJ165" s="62">
        <f>IF($V165="","",IF(AND(ISNUMBER($G165),$G165&lt;=IF($S165=MesCiclo,InicioCiclo,$S165+MOD(2-WEEKDAY($S165),7))+20),1,IF(N($W165)&gt;0,MIN(1,SUMIFS($AF$5:$AF$1000,$U$5:$U$1000,ROW(),$V$5:$V$1000,"Sub")),$AB165)))</f>
        <v/>
      </c>
      <c r="AK165" s="62">
        <f>IF($V165="","",IF(AND(ISNUMBER($G165),$G165&lt;=IF($S165=MesCiclo,InicioCiclo,$S165+MOD(2-WEEKDAY($S165),7))+27),1,IF(N($W165)&gt;0,MIN(1,SUMIFS($AG$5:$AG$1000,$U$5:$U$1000,ROW(),$V$5:$V$1000,"Sub")),$AC165)))</f>
        <v/>
      </c>
      <c r="AL165" s="62">
        <f>IF($V165&lt;&gt;"Macro","",IF(COUNTIFS($S$5:$S$1000,$S165,$V$5:$V$1000,"Macro",$H$5:$H$1000,"&gt;0")=0,1/COUNTIFS($S$5:$S$1000,$S165,$V$5:$V$1000,"Macro"),IF(AND(ISNUMBER($H165),N($H165)&gt;0),$H165,SUMIFS($H$5:$H$1000,$S$5:$S$1000,$S165,$V$5:$V$1000,"Macro")/COUNTIFS($S$5:$S$1000,$S165,$V$5:$V$1000,"Macro",$H$5:$H$1000,"&gt;0"))/(COUNTIFS($S$5:$S$1000,$S165,$V$5:$V$1000,"Macro")*SUMIFS($H$5:$H$1000,$S$5:$S$1000,$S165,$V$5:$V$1000,"Macro")/COUNTIFS($S$5:$S$1000,$S165,$V$5:$V$1000,"Macro",$H$5:$H$1000,"&gt;0"))))</f>
        <v/>
      </c>
      <c r="AM165" s="62" t="n"/>
      <c r="AN165" s="62" t="n"/>
      <c r="AO165" s="62" t="n"/>
      <c r="AP165" s="62" t="n"/>
      <c r="AQ165" s="62">
        <f>IF(LEFT($C165,11)="[Jefatura] ",IFERROR(MATCH("Asistente Técnico de Riesgo|"&amp;MID($C165,12,500),rDname_ADM,0),0),"")</f>
        <v/>
      </c>
      <c r="AR165" s="62">
        <f>IF(N($AQ165)&gt;0,INDEX(rIni_ADM,$AQ165),IF(ISNUMBER($E165),$E165,""))</f>
        <v/>
      </c>
      <c r="AS165" s="62">
        <f>IF(N($AQ165)&gt;0,INDEX(rLim_ADM,$AQ165),IF(ISNUMBER($F165),$F165,""))</f>
        <v/>
      </c>
    </row>
    <row r="166">
      <c r="A166" s="56">
        <f>IF(NOT((COUNTA($B166:$D166)+COUNTA($G166:$H166)+COUNTA($Q166))&gt;0),"",IF($V166="Macro",COUNTIFS($V$5:$V166,"Macro",$S$5:$S166,$S166),IF(N($U166)=0,"?",COUNTIFS(INDEX($V$5:$V$1000,1):INDEX($V$5:$V$1000,$U166-4),"Macro",INDEX($S$5:$S$1000,1):INDEX($S$5:$S$1000,$U166-4),INDEX($S$5:$S$1000,$U166-4))&amp;"."&amp;COUNTIFS($U$5:$U166,$U166,$V$5:$V166,"Sub"))))</f>
        <v/>
      </c>
      <c r="B166" s="57" t="n"/>
      <c r="C166" s="58" t="n"/>
      <c r="D166" s="58" t="n"/>
      <c r="E166" s="59">
        <f>IF(N($AQ166)&gt;0,INDEX(rIni_ADM,$AQ166),"")</f>
        <v/>
      </c>
      <c r="F166" s="59">
        <f>IF(N($AQ166)&gt;0,INDEX(rLim_ADM,$AQ166),"")</f>
        <v/>
      </c>
      <c r="G166" s="59" t="n"/>
      <c r="H166" s="60" t="n"/>
      <c r="I166" s="60">
        <f>IF(N($W166)=0,"",IF(AND($S166=MesCiclo,1&gt;SemanaActual),"",MIN(1,SUMIFS(OFFSET($A$1,ROW(),29,1000-ROW(),1),OFFSET($A$1,ROW(),20,1000-ROW(),1),ROW(),OFFSET($A$1,ROW(),21,1000-ROW(),1),"Sub"))))</f>
        <v/>
      </c>
      <c r="J166" s="60">
        <f>IF(N($W166)=0,"",IF(AND($S166=MesCiclo,2&gt;SemanaActual),"",MIN(1,SUMIFS(OFFSET($A$1,ROW(),30,1000-ROW(),1),OFFSET($A$1,ROW(),20,1000-ROW(),1),ROW(),OFFSET($A$1,ROW(),21,1000-ROW(),1),"Sub"))))</f>
        <v/>
      </c>
      <c r="K166" s="60">
        <f>IF(N($W166)=0,"",IF(AND($S166=MesCiclo,3&gt;SemanaActual),"",MIN(1,SUMIFS(OFFSET($A$1,ROW(),31,1000-ROW(),1),OFFSET($A$1,ROW(),20,1000-ROW(),1),ROW(),OFFSET($A$1,ROW(),21,1000-ROW(),1),"Sub"))))</f>
        <v/>
      </c>
      <c r="L166" s="60">
        <f>IF(N($W166)=0,"",IF(AND($S166=MesCiclo,4&gt;SemanaActual),"",MIN(1,SUMIFS(OFFSET($A$1,ROW(),32,1000-ROW(),1),OFFSET($A$1,ROW(),20,1000-ROW(),1),ROW(),OFFSET($A$1,ROW(),21,1000-ROW(),1),"Sub"))))</f>
        <v/>
      </c>
      <c r="M166" s="61">
        <f>IF(OR(NOT((COUNTA($B166:$D166)+COUNTA($G166:$H166)+COUNTA($Q166))&gt;0),$V166="Sub"),"",IF(ISNUMBER($G166),1,IF(N($W166)&gt;0,MIN(1,SUMIFS($Y$5:$Y$1000,$U$5:$U$1000,ROW(),$V$5:$V$1000,"Sub")),$Y166)))</f>
        <v/>
      </c>
      <c r="N166" s="56">
        <f>IF(OR($M166="",$V166="Sub"),"",IF($M166&gt;=1,"Completado",IF($M166&gt;0,"En curso","Pendiente")))</f>
        <v/>
      </c>
      <c r="O166" s="56">
        <f>IF(OR(NOT((COUNTA($B166:$D166)+COUNTA($G166:$H166)+COUNTA($Q166))&gt;0),$V166="Sub"),"",IF(ISNUMBER($G166),IF(AND(ISNUMBER($AS166),$G166&gt;$AS166),"Cumplida con "&amp;($G166-$AS166)&amp;IF($G166-$AS166=1," día"," días")&amp;" de retraso","Cumplida"),IF(N($M166)&gt;=1,"Cumplida",IF(NOT(ISNUMBER($AS166)),"Sin fecha límite",IF($AS166&lt;FechaRef,"Vencida hace "&amp;(FechaRef-$AS166)&amp;IF(FechaRef-$AS166=1," día"," días"),IF($AS166=FechaRef,"Vence hoy",IF($AS166-FechaRef&lt;=DiasAlerta,"Vence en "&amp;($AS166-FechaRef)&amp;IF($AS166-FechaRef=1," día"," días"),"En plazo")))))))</f>
        <v/>
      </c>
      <c r="P166" s="62" t="n"/>
      <c r="Q166" s="58" t="n"/>
      <c r="R166" s="63">
        <f>IF(NOT((COUNTA($B166:$D166)+COUNTA($G166:$H166)+COUNTA($Q166))&gt;0),"",IF((IF($C166="","Falta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 OK","⚠ "&amp;LEFT(IF($C166="","Falta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",""),LEN(IF($C166="","Falta el nombre de la actividad"&amp;" · ","")&amp;IF(AND($V166="Sub",N($U166)=0),"Subactividad sin macroactividad arriba"&amp;" · ","")&amp;IF(AND($V166="Macro",$AR166=""),"Sin fecha de inicio"&amp;" · ","")&amp;IF(AND($V166="Macro",$AS166=""),"Sin fecha límite"&amp;" · ","")&amp;IF(AND(LEFT($C166,11)="[Jefatura] ",N($AQ166)=0),"No se encuentra en la hoja de la jefatura (elíjala de nuevo en la lista)"&amp;" · ","")&amp;IF(OR(AND($E166&lt;&gt;"",NOT(ISNUMBER($E166))),AND($F166&lt;&gt;"",NOT(ISNUMBER($F166))),AND($G166&lt;&gt;"",NOT(ISNUMBER($G166)))),"Fecha no válida"&amp;" · ","")&amp;IF(AND(ISNUMBER($AR166),ISNUMBER($AS166),$AR166&gt;$AS166),"Inicio posterior a fecha límite"&amp;" · ","")&amp;IF(AND($V166="Macro",$H166&lt;&gt;"",OR(NOT(ISNUMBER($H166)),$H166&lt;0,$H166&gt;1)),"Peso fuera de rango"&amp;" · ","")&amp;IF(AND($V166="Sub",$H166&lt;&gt;"",OR(NOT(ISNUMBER($H166)),$H166&lt;0,$H166&gt;1)),"% de la subactividad fuera de rango 0-100%"&amp;" · ","")&amp;IF(AND(N($W166)&gt;0,SUMIFS($H$5:$H$1000,$U$5:$U$1000,ROW(),$V$5:$V$1000,"Sub")&gt;1.0001),"Las subactividades suman más de 100%"&amp;" · ","")&amp;IF(AND(N($W166)&gt;0,OR(IF(ISNUMBER($I166),ROUND($I166,6)&lt;&gt;ROUND(MIN(1,SUMIFS($AD$5:$AD$1000,$U$5:$U$1000,ROW(),$V$5:$V$1000,"Sub")),6),FALSE),IF(ISNUMBER($J166),ROUND($J166,6)&lt;&gt;ROUND(MIN(1,SUMIFS($AE$5:$AE$1000,$U$5:$U$1000,ROW(),$V$5:$V$1000,"Sub")),6),FALSE),IF(ISNUMBER($K166),ROUND($K166,6)&lt;&gt;ROUND(MIN(1,SUMIFS($AF$5:$AF$1000,$U$5:$U$1000,ROW(),$V$5:$V$1000,"Sub")),6),FALSE),IF(ISNUMBER($L166),ROUND($L166,6)&lt;&gt;ROUND(MIN(1,SUMIFS($AG$5:$AG$1000,$U$5:$U$1000,ROW(),$V$5:$V$1000,"Sub")),6),FALSE))),"Con subactividades: no escriba en las semanas (se llenan solas)"&amp;" · ","")&amp;IF((COUNTIF($I166:$L166,"&gt;1")+COUNTIF($I166:$L166,"&lt;0")+SUMPRODUCT((LEN($I166:$L166)&gt;0)*NOT(ISNUMBER($I166:$L166))))&gt;0,"Avance fuera de rango 0-100%"&amp;" · ","")&amp;IF(OR(AND(ISNUMBER($J166),$J166&lt;N($I166)),AND(ISNUMBER($K166),$K166&lt;MAX($I166:$J166)),AND(ISNUMBER($L166),$L166&lt;MAX($I166:$K166))),"Avance semanal decreciente"&amp;" · ","")&amp;IF(AND(ISNUMBER($AS166),$AS166&lt;FechaRef,IF($V166="Sub",1,N($M166))&lt;1),"Vencida"&amp;" · ","")&amp;IF(AND(ObsObligatoria="Sí",ISNUMBER($AS166),$AS166&lt;FechaRef,IF($V166="Sub",1,N($M166))&lt;1,$Q166=""),"Vencida sin observación"&amp;" · ",""))-3)))</f>
        <v/>
      </c>
      <c r="S166" s="64">
        <f>IF(NOT((COUNTA($B166:$D166)+COUNTA($G166:$H166)+COUNTA($Q166))&gt;0),"",IF(AND($V166="Sub",N($U166)&gt;0),IF(ISNUMBER(INDEX($AR$5:$AR$1000,$U166-4)),DATE(YEAR(INDEX($AR$5:$AR$1000,$U166-4)),MONTH(INDEX($AR$5:$AR$1000,$U166-4)),1),IF(ISNUMBER(INDEX($AS$5:$AS$1000,$U166-4)),DATE(YEAR(INDEX($AS$5:$AS$1000,$U166-4)),MONTH(INDEX($AS$5:$AS$1000,$U166-4)),1),MesCiclo)),IF(ISNUMBER($AR166),DATE(YEAR($AR166),MONTH($AR166),1),IF(ISNUMBER($AS166),DATE(YEAR($AS166),MONTH($AS166),1),MesCiclo))))</f>
        <v/>
      </c>
      <c r="T166" s="62">
        <f>IF(OR($S166="",$S166&lt;&gt;MesCiclo,$V166&lt;&gt;"Macro"),"",COUNTIFS($S$5:$S166,MesCiclo,$V$5:$V166,"Macro"))</f>
        <v/>
      </c>
      <c r="U166" s="62">
        <f>IF($V166="","",IF($V166="Macro",ROW(),IFERROR(LOOKUP(2,1/($V$5:$V166="Macro"),ROW($V$5:$V166)),0)))</f>
        <v/>
      </c>
      <c r="V166" s="62">
        <f>IF(NOT((COUNTA($B166:$D166)+COUNTA($G166:$H166)+COUNTA($Q166))&gt;0),"",IF($B166="Subactividad","Sub","Macro"))</f>
        <v/>
      </c>
      <c r="W166" s="62">
        <f>IF($V166="Macro",COUNTIFS($U$5:$U$1000,ROW(),$V$5:$V$1000,"Sub"),"")</f>
        <v/>
      </c>
      <c r="X166" s="62">
        <f>IF($V166&lt;&gt;"Sub","",IF(AND(ISNUMBER($H166),N($H166)&gt;0),$H166,IFERROR(MAX(0,1-SUMIFS($H$5:$H$1000,$U$5:$U$1000,$U166,$V$5:$V$1000,"Sub"))/(COUNTIFS($U$5:$U$1000,$U166,$V$5:$V$1000,"Sub")-COUNTIFS($U$5:$U$1000,$U166,$V$5:$V$1000,"Sub",$H$5:$H$1000,"&gt;0")),0)))</f>
        <v/>
      </c>
      <c r="Y166" s="62">
        <f>IF($V166="","",IF($V166="Sub",N($X166)*IF(ISNUMBER($G166),1,MIN(1,MAX(0,IFERROR(LOOKUP(2,1/ISNUMBER($I166:$L166),$I166:$L166),0)))),IF(ISNUMBER($G166),1,IFERROR(LOOKUP(2,1/($I166:$L166&lt;&gt;""),$I166:$L166),0))))</f>
        <v/>
      </c>
      <c r="Z166" s="62">
        <f>IF($V166="","",IF(AND(ISNUMBER($G166),$G166&lt;=IF($S166=MesCiclo,InicioCiclo,$S166+MOD(2-WEEKDAY($S166),7))+6),1,IF(ISNUMBER($I166),$I166,0)))</f>
        <v/>
      </c>
      <c r="AA166" s="62">
        <f>IF($V166="","",IF(AND(ISNUMBER($G166),$G166&lt;=IF($S166=MesCiclo,InicioCiclo,$S166+MOD(2-WEEKDAY($S166),7))+13),1,IF(ISNUMBER($J166),$J166,$Z166)))</f>
        <v/>
      </c>
      <c r="AB166" s="62">
        <f>IF($V166="","",IF(AND(ISNUMBER($G166),$G166&lt;=IF($S166=MesCiclo,InicioCiclo,$S166+MOD(2-WEEKDAY($S166),7))+20),1,IF(ISNUMBER($K166),$K166,$AA166)))</f>
        <v/>
      </c>
      <c r="AC166" s="62">
        <f>IF($V166="","",IF(AND(ISNUMBER($G166),$G166&lt;=IF($S166=MesCiclo,InicioCiclo,$S166+MOD(2-WEEKDAY($S166),7))+27),1,IF(ISNUMBER($L166),$L166,$AB166)))</f>
        <v/>
      </c>
      <c r="AD166" s="62">
        <f>IF($V166&lt;&gt;"Sub","",N($X166)*IF(AND(ISNUMBER($G166),$G166&lt;=IF($S166=MesCiclo,InicioCiclo,$S166+MOD(2-WEEKDAY($S166),7))+6),1,MIN(1,MAX(0,IF(ISNUMBER(OFFSET($A$1,ROW()-1,8)),OFFSET($A$1,ROW()-1,8),0)))))</f>
        <v/>
      </c>
      <c r="AE166" s="62">
        <f>IF($V166&lt;&gt;"Sub","",N($X166)*IF(AND(ISNUMBER($G166),$G166&lt;=IF($S166=MesCiclo,InicioCiclo,$S166+MOD(2-WEEKDAY($S166),7))+13),1,MIN(1,MAX(0,IF(ISNUMBER(OFFSET($A$1,ROW()-1,9)),OFFSET($A$1,ROW()-1,9),IF(ISNUMBER(OFFSET($A$1,ROW()-1,8)),OFFSET($A$1,ROW()-1,8),0))))))</f>
        <v/>
      </c>
      <c r="AF166" s="62">
        <f>IF($V166&lt;&gt;"Sub","",N($X166)*IF(AND(ISNUMBER($G166),$G166&lt;=IF($S166=MesCiclo,InicioCiclo,$S166+MOD(2-WEEKDAY($S166),7))+20),1,MIN(1,MAX(0,IF(ISNUMBER(OFFSET($A$1,ROW()-1,10)),OFFSET($A$1,ROW()-1,10),IF(ISNUMBER(OFFSET($A$1,ROW()-1,9)),OFFSET($A$1,ROW()-1,9),IF(ISNUMBER(OFFSET($A$1,ROW()-1,8)),OFFSET($A$1,ROW()-1,8),0)))))))</f>
        <v/>
      </c>
      <c r="AG166" s="62">
        <f>IF($V166&lt;&gt;"Sub","",N($X166)*IF(AND(ISNUMBER($G166),$G166&lt;=IF($S166=MesCiclo,InicioCiclo,$S166+MOD(2-WEEKDAY($S166),7))+27),1,MIN(1,MAX(0,IF(ISNUMBER(OFFSET($A$1,ROW()-1,11)),OFFSET($A$1,ROW()-1,11),IF(ISNUMBER(OFFSET($A$1,ROW()-1,10)),OFFSET($A$1,ROW()-1,10),IF(ISNUMBER(OFFSET($A$1,ROW()-1,9)),OFFSET($A$1,ROW()-1,9),IF(ISNUMBER(OFFSET($A$1,ROW()-1,8)),OFFSET($A$1,ROW()-1,8),0))))))))</f>
        <v/>
      </c>
      <c r="AH166" s="62">
        <f>IF($V166="","",IF(AND(ISNUMBER($G166),$G166&lt;=IF($S166=MesCiclo,InicioCiclo,$S166+MOD(2-WEEKDAY($S166),7))+6),1,IF(N($W166)&gt;0,MIN(1,SUMIFS($AD$5:$AD$1000,$U$5:$U$1000,ROW(),$V$5:$V$1000,"Sub")),$Z166)))</f>
        <v/>
      </c>
      <c r="AI166" s="62">
        <f>IF($V166="","",IF(AND(ISNUMBER($G166),$G166&lt;=IF($S166=MesCiclo,InicioCiclo,$S166+MOD(2-WEEKDAY($S166),7))+13),1,IF(N($W166)&gt;0,MIN(1,SUMIFS($AE$5:$AE$1000,$U$5:$U$1000,ROW(),$V$5:$V$1000,"Sub")),$AA166)))</f>
        <v/>
      </c>
      <c r="AJ166" s="62">
        <f>IF($V166="","",IF(AND(ISNUMBER($G166),$G166&lt;=IF($S166=MesCiclo,InicioCiclo,$S166+MOD(2-WEEKDAY($S166),7))+20),1,IF(N($W166)&gt;0,MIN(1,SUMIFS($AF$5:$AF$1000,$U$5:$U$1000,ROW(),$V$5:$V$1000,"Sub")),$AB166)))</f>
        <v/>
      </c>
      <c r="AK166" s="62">
        <f>IF($V166="","",IF(AND(ISNUMBER($G166),$G166&lt;=IF($S166=MesCiclo,InicioCiclo,$S166+MOD(2-WEEKDAY($S166),7))+27),1,IF(N($W166)&gt;0,MIN(1,SUMIFS($AG$5:$AG$1000,$U$5:$U$1000,ROW(),$V$5:$V$1000,"Sub")),$AC166)))</f>
        <v/>
      </c>
      <c r="AL166" s="62">
        <f>IF($V166&lt;&gt;"Macro","",IF(COUNTIFS($S$5:$S$1000,$S166,$V$5:$V$1000,"Macro",$H$5:$H$1000,"&gt;0")=0,1/COUNTIFS($S$5:$S$1000,$S166,$V$5:$V$1000,"Macro"),IF(AND(ISNUMBER($H166),N($H166)&gt;0),$H166,SUMIFS($H$5:$H$1000,$S$5:$S$1000,$S166,$V$5:$V$1000,"Macro")/COUNTIFS($S$5:$S$1000,$S166,$V$5:$V$1000,"Macro",$H$5:$H$1000,"&gt;0"))/(COUNTIFS($S$5:$S$1000,$S166,$V$5:$V$1000,"Macro")*SUMIFS($H$5:$H$1000,$S$5:$S$1000,$S166,$V$5:$V$1000,"Macro")/COUNTIFS($S$5:$S$1000,$S166,$V$5:$V$1000,"Macro",$H$5:$H$1000,"&gt;0"))))</f>
        <v/>
      </c>
      <c r="AM166" s="62" t="n"/>
      <c r="AN166" s="62" t="n"/>
      <c r="AO166" s="62" t="n"/>
      <c r="AP166" s="62" t="n"/>
      <c r="AQ166" s="62">
        <f>IF(LEFT($C166,11)="[Jefatura] ",IFERROR(MATCH("Asistente Técnico de Riesgo|"&amp;MID($C166,12,500),rDname_ADM,0),0),"")</f>
        <v/>
      </c>
      <c r="AR166" s="62">
        <f>IF(N($AQ166)&gt;0,INDEX(rIni_ADM,$AQ166),IF(ISNUMBER($E166),$E166,""))</f>
        <v/>
      </c>
      <c r="AS166" s="62">
        <f>IF(N($AQ166)&gt;0,INDEX(rLim_ADM,$AQ166),IF(ISNUMBER($F166),$F166,""))</f>
        <v/>
      </c>
    </row>
    <row r="167">
      <c r="A167" s="56">
        <f>IF(NOT((COUNTA($B167:$D167)+COUNTA($G167:$H167)+COUNTA($Q167))&gt;0),"",IF($V167="Macro",COUNTIFS($V$5:$V167,"Macro",$S$5:$S167,$S167),IF(N($U167)=0,"?",COUNTIFS(INDEX($V$5:$V$1000,1):INDEX($V$5:$V$1000,$U167-4),"Macro",INDEX($S$5:$S$1000,1):INDEX($S$5:$S$1000,$U167-4),INDEX($S$5:$S$1000,$U167-4))&amp;"."&amp;COUNTIFS($U$5:$U167,$U167,$V$5:$V167,"Sub"))))</f>
        <v/>
      </c>
      <c r="B167" s="57" t="n"/>
      <c r="C167" s="58" t="n"/>
      <c r="D167" s="58" t="n"/>
      <c r="E167" s="59">
        <f>IF(N($AQ167)&gt;0,INDEX(rIni_ADM,$AQ167),"")</f>
        <v/>
      </c>
      <c r="F167" s="59">
        <f>IF(N($AQ167)&gt;0,INDEX(rLim_ADM,$AQ167),"")</f>
        <v/>
      </c>
      <c r="G167" s="59" t="n"/>
      <c r="H167" s="60" t="n"/>
      <c r="I167" s="60">
        <f>IF(N($W167)=0,"",IF(AND($S167=MesCiclo,1&gt;SemanaActual),"",MIN(1,SUMIFS(OFFSET($A$1,ROW(),29,1000-ROW(),1),OFFSET($A$1,ROW(),20,1000-ROW(),1),ROW(),OFFSET($A$1,ROW(),21,1000-ROW(),1),"Sub"))))</f>
        <v/>
      </c>
      <c r="J167" s="60">
        <f>IF(N($W167)=0,"",IF(AND($S167=MesCiclo,2&gt;SemanaActual),"",MIN(1,SUMIFS(OFFSET($A$1,ROW(),30,1000-ROW(),1),OFFSET($A$1,ROW(),20,1000-ROW(),1),ROW(),OFFSET($A$1,ROW(),21,1000-ROW(),1),"Sub"))))</f>
        <v/>
      </c>
      <c r="K167" s="60">
        <f>IF(N($W167)=0,"",IF(AND($S167=MesCiclo,3&gt;SemanaActual),"",MIN(1,SUMIFS(OFFSET($A$1,ROW(),31,1000-ROW(),1),OFFSET($A$1,ROW(),20,1000-ROW(),1),ROW(),OFFSET($A$1,ROW(),21,1000-ROW(),1),"Sub"))))</f>
        <v/>
      </c>
      <c r="L167" s="60">
        <f>IF(N($W167)=0,"",IF(AND($S167=MesCiclo,4&gt;SemanaActual),"",MIN(1,SUMIFS(OFFSET($A$1,ROW(),32,1000-ROW(),1),OFFSET($A$1,ROW(),20,1000-ROW(),1),ROW(),OFFSET($A$1,ROW(),21,1000-ROW(),1),"Sub"))))</f>
        <v/>
      </c>
      <c r="M167" s="61">
        <f>IF(OR(NOT((COUNTA($B167:$D167)+COUNTA($G167:$H167)+COUNTA($Q167))&gt;0),$V167="Sub"),"",IF(ISNUMBER($G167),1,IF(N($W167)&gt;0,MIN(1,SUMIFS($Y$5:$Y$1000,$U$5:$U$1000,ROW(),$V$5:$V$1000,"Sub")),$Y167)))</f>
        <v/>
      </c>
      <c r="N167" s="56">
        <f>IF(OR($M167="",$V167="Sub"),"",IF($M167&gt;=1,"Completado",IF($M167&gt;0,"En curso","Pendiente")))</f>
        <v/>
      </c>
      <c r="O167" s="56">
        <f>IF(OR(NOT((COUNTA($B167:$D167)+COUNTA($G167:$H167)+COUNTA($Q167))&gt;0),$V167="Sub"),"",IF(ISNUMBER($G167),IF(AND(ISNUMBER($AS167),$G167&gt;$AS167),"Cumplida con "&amp;($G167-$AS167)&amp;IF($G167-$AS167=1," día"," días")&amp;" de retraso","Cumplida"),IF(N($M167)&gt;=1,"Cumplida",IF(NOT(ISNUMBER($AS167)),"Sin fecha límite",IF($AS167&lt;FechaRef,"Vencida hace "&amp;(FechaRef-$AS167)&amp;IF(FechaRef-$AS167=1," día"," días"),IF($AS167=FechaRef,"Vence hoy",IF($AS167-FechaRef&lt;=DiasAlerta,"Vence en "&amp;($AS167-FechaRef)&amp;IF($AS167-FechaRef=1," día"," días"),"En plazo")))))))</f>
        <v/>
      </c>
      <c r="P167" s="62" t="n"/>
      <c r="Q167" s="58" t="n"/>
      <c r="R167" s="63">
        <f>IF(NOT((COUNTA($B167:$D167)+COUNTA($G167:$H167)+COUNTA($Q167))&gt;0),"",IF((IF($C167="","Falta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 OK","⚠ "&amp;LEFT(IF($C167="","Falta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",""),LEN(IF($C167="","Falta el nombre de la actividad"&amp;" · ","")&amp;IF(AND($V167="Sub",N($U167)=0),"Subactividad sin macroactividad arriba"&amp;" · ","")&amp;IF(AND($V167="Macro",$AR167=""),"Sin fecha de inicio"&amp;" · ","")&amp;IF(AND($V167="Macro",$AS167=""),"Sin fecha límite"&amp;" · ","")&amp;IF(AND(LEFT($C167,11)="[Jefatura] ",N($AQ167)=0),"No se encuentra en la hoja de la jefatura (elíjala de nuevo en la lista)"&amp;" · ","")&amp;IF(OR(AND($E167&lt;&gt;"",NOT(ISNUMBER($E167))),AND($F167&lt;&gt;"",NOT(ISNUMBER($F167))),AND($G167&lt;&gt;"",NOT(ISNUMBER($G167)))),"Fecha no válida"&amp;" · ","")&amp;IF(AND(ISNUMBER($AR167),ISNUMBER($AS167),$AR167&gt;$AS167),"Inicio posterior a fecha límite"&amp;" · ","")&amp;IF(AND($V167="Macro",$H167&lt;&gt;"",OR(NOT(ISNUMBER($H167)),$H167&lt;0,$H167&gt;1)),"Peso fuera de rango"&amp;" · ","")&amp;IF(AND($V167="Sub",$H167&lt;&gt;"",OR(NOT(ISNUMBER($H167)),$H167&lt;0,$H167&gt;1)),"% de la subactividad fuera de rango 0-100%"&amp;" · ","")&amp;IF(AND(N($W167)&gt;0,SUMIFS($H$5:$H$1000,$U$5:$U$1000,ROW(),$V$5:$V$1000,"Sub")&gt;1.0001),"Las subactividades suman más de 100%"&amp;" · ","")&amp;IF(AND(N($W167)&gt;0,OR(IF(ISNUMBER($I167),ROUND($I167,6)&lt;&gt;ROUND(MIN(1,SUMIFS($AD$5:$AD$1000,$U$5:$U$1000,ROW(),$V$5:$V$1000,"Sub")),6),FALSE),IF(ISNUMBER($J167),ROUND($J167,6)&lt;&gt;ROUND(MIN(1,SUMIFS($AE$5:$AE$1000,$U$5:$U$1000,ROW(),$V$5:$V$1000,"Sub")),6),FALSE),IF(ISNUMBER($K167),ROUND($K167,6)&lt;&gt;ROUND(MIN(1,SUMIFS($AF$5:$AF$1000,$U$5:$U$1000,ROW(),$V$5:$V$1000,"Sub")),6),FALSE),IF(ISNUMBER($L167),ROUND($L167,6)&lt;&gt;ROUND(MIN(1,SUMIFS($AG$5:$AG$1000,$U$5:$U$1000,ROW(),$V$5:$V$1000,"Sub")),6),FALSE))),"Con subactividades: no escriba en las semanas (se llenan solas)"&amp;" · ","")&amp;IF((COUNTIF($I167:$L167,"&gt;1")+COUNTIF($I167:$L167,"&lt;0")+SUMPRODUCT((LEN($I167:$L167)&gt;0)*NOT(ISNUMBER($I167:$L167))))&gt;0,"Avance fuera de rango 0-100%"&amp;" · ","")&amp;IF(OR(AND(ISNUMBER($J167),$J167&lt;N($I167)),AND(ISNUMBER($K167),$K167&lt;MAX($I167:$J167)),AND(ISNUMBER($L167),$L167&lt;MAX($I167:$K167))),"Avance semanal decreciente"&amp;" · ","")&amp;IF(AND(ISNUMBER($AS167),$AS167&lt;FechaRef,IF($V167="Sub",1,N($M167))&lt;1),"Vencida"&amp;" · ","")&amp;IF(AND(ObsObligatoria="Sí",ISNUMBER($AS167),$AS167&lt;FechaRef,IF($V167="Sub",1,N($M167))&lt;1,$Q167=""),"Vencida sin observación"&amp;" · ",""))-3)))</f>
        <v/>
      </c>
      <c r="S167" s="64">
        <f>IF(NOT((COUNTA($B167:$D167)+COUNTA($G167:$H167)+COUNTA($Q167))&gt;0),"",IF(AND($V167="Sub",N($U167)&gt;0),IF(ISNUMBER(INDEX($AR$5:$AR$1000,$U167-4)),DATE(YEAR(INDEX($AR$5:$AR$1000,$U167-4)),MONTH(INDEX($AR$5:$AR$1000,$U167-4)),1),IF(ISNUMBER(INDEX($AS$5:$AS$1000,$U167-4)),DATE(YEAR(INDEX($AS$5:$AS$1000,$U167-4)),MONTH(INDEX($AS$5:$AS$1000,$U167-4)),1),MesCiclo)),IF(ISNUMBER($AR167),DATE(YEAR($AR167),MONTH($AR167),1),IF(ISNUMBER($AS167),DATE(YEAR($AS167),MONTH($AS167),1),MesCiclo))))</f>
        <v/>
      </c>
      <c r="T167" s="62">
        <f>IF(OR($S167="",$S167&lt;&gt;MesCiclo,$V167&lt;&gt;"Macro"),"",COUNTIFS($S$5:$S167,MesCiclo,$V$5:$V167,"Macro"))</f>
        <v/>
      </c>
      <c r="U167" s="62">
        <f>IF($V167="","",IF($V167="Macro",ROW(),IFERROR(LOOKUP(2,1/($V$5:$V167="Macro"),ROW($V$5:$V167)),0)))</f>
        <v/>
      </c>
      <c r="V167" s="62">
        <f>IF(NOT((COUNTA($B167:$D167)+COUNTA($G167:$H167)+COUNTA($Q167))&gt;0),"",IF($B167="Subactividad","Sub","Macro"))</f>
        <v/>
      </c>
      <c r="W167" s="62">
        <f>IF($V167="Macro",COUNTIFS($U$5:$U$1000,ROW(),$V$5:$V$1000,"Sub"),"")</f>
        <v/>
      </c>
      <c r="X167" s="62">
        <f>IF($V167&lt;&gt;"Sub","",IF(AND(ISNUMBER($H167),N($H167)&gt;0),$H167,IFERROR(MAX(0,1-SUMIFS($H$5:$H$1000,$U$5:$U$1000,$U167,$V$5:$V$1000,"Sub"))/(COUNTIFS($U$5:$U$1000,$U167,$V$5:$V$1000,"Sub")-COUNTIFS($U$5:$U$1000,$U167,$V$5:$V$1000,"Sub",$H$5:$H$1000,"&gt;0")),0)))</f>
        <v/>
      </c>
      <c r="Y167" s="62">
        <f>IF($V167="","",IF($V167="Sub",N($X167)*IF(ISNUMBER($G167),1,MIN(1,MAX(0,IFERROR(LOOKUP(2,1/ISNUMBER($I167:$L167),$I167:$L167),0)))),IF(ISNUMBER($G167),1,IFERROR(LOOKUP(2,1/($I167:$L167&lt;&gt;""),$I167:$L167),0))))</f>
        <v/>
      </c>
      <c r="Z167" s="62">
        <f>IF($V167="","",IF(AND(ISNUMBER($G167),$G167&lt;=IF($S167=MesCiclo,InicioCiclo,$S167+MOD(2-WEEKDAY($S167),7))+6),1,IF(ISNUMBER($I167),$I167,0)))</f>
        <v/>
      </c>
      <c r="AA167" s="62">
        <f>IF($V167="","",IF(AND(ISNUMBER($G167),$G167&lt;=IF($S167=MesCiclo,InicioCiclo,$S167+MOD(2-WEEKDAY($S167),7))+13),1,IF(ISNUMBER($J167),$J167,$Z167)))</f>
        <v/>
      </c>
      <c r="AB167" s="62">
        <f>IF($V167="","",IF(AND(ISNUMBER($G167),$G167&lt;=IF($S167=MesCiclo,InicioCiclo,$S167+MOD(2-WEEKDAY($S167),7))+20),1,IF(ISNUMBER($K167),$K167,$AA167)))</f>
        <v/>
      </c>
      <c r="AC167" s="62">
        <f>IF($V167="","",IF(AND(ISNUMBER($G167),$G167&lt;=IF($S167=MesCiclo,InicioCiclo,$S167+MOD(2-WEEKDAY($S167),7))+27),1,IF(ISNUMBER($L167),$L167,$AB167)))</f>
        <v/>
      </c>
      <c r="AD167" s="62">
        <f>IF($V167&lt;&gt;"Sub","",N($X167)*IF(AND(ISNUMBER($G167),$G167&lt;=IF($S167=MesCiclo,InicioCiclo,$S167+MOD(2-WEEKDAY($S167),7))+6),1,MIN(1,MAX(0,IF(ISNUMBER(OFFSET($A$1,ROW()-1,8)),OFFSET($A$1,ROW()-1,8),0)))))</f>
        <v/>
      </c>
      <c r="AE167" s="62">
        <f>IF($V167&lt;&gt;"Sub","",N($X167)*IF(AND(ISNUMBER($G167),$G167&lt;=IF($S167=MesCiclo,InicioCiclo,$S167+MOD(2-WEEKDAY($S167),7))+13),1,MIN(1,MAX(0,IF(ISNUMBER(OFFSET($A$1,ROW()-1,9)),OFFSET($A$1,ROW()-1,9),IF(ISNUMBER(OFFSET($A$1,ROW()-1,8)),OFFSET($A$1,ROW()-1,8),0))))))</f>
        <v/>
      </c>
      <c r="AF167" s="62">
        <f>IF($V167&lt;&gt;"Sub","",N($X167)*IF(AND(ISNUMBER($G167),$G167&lt;=IF($S167=MesCiclo,InicioCiclo,$S167+MOD(2-WEEKDAY($S167),7))+20),1,MIN(1,MAX(0,IF(ISNUMBER(OFFSET($A$1,ROW()-1,10)),OFFSET($A$1,ROW()-1,10),IF(ISNUMBER(OFFSET($A$1,ROW()-1,9)),OFFSET($A$1,ROW()-1,9),IF(ISNUMBER(OFFSET($A$1,ROW()-1,8)),OFFSET($A$1,ROW()-1,8),0)))))))</f>
        <v/>
      </c>
      <c r="AG167" s="62">
        <f>IF($V167&lt;&gt;"Sub","",N($X167)*IF(AND(ISNUMBER($G167),$G167&lt;=IF($S167=MesCiclo,InicioCiclo,$S167+MOD(2-WEEKDAY($S167),7))+27),1,MIN(1,MAX(0,IF(ISNUMBER(OFFSET($A$1,ROW()-1,11)),OFFSET($A$1,ROW()-1,11),IF(ISNUMBER(OFFSET($A$1,ROW()-1,10)),OFFSET($A$1,ROW()-1,10),IF(ISNUMBER(OFFSET($A$1,ROW()-1,9)),OFFSET($A$1,ROW()-1,9),IF(ISNUMBER(OFFSET($A$1,ROW()-1,8)),OFFSET($A$1,ROW()-1,8),0))))))))</f>
        <v/>
      </c>
      <c r="AH167" s="62">
        <f>IF($V167="","",IF(AND(ISNUMBER($G167),$G167&lt;=IF($S167=MesCiclo,InicioCiclo,$S167+MOD(2-WEEKDAY($S167),7))+6),1,IF(N($W167)&gt;0,MIN(1,SUMIFS($AD$5:$AD$1000,$U$5:$U$1000,ROW(),$V$5:$V$1000,"Sub")),$Z167)))</f>
        <v/>
      </c>
      <c r="AI167" s="62">
        <f>IF($V167="","",IF(AND(ISNUMBER($G167),$G167&lt;=IF($S167=MesCiclo,InicioCiclo,$S167+MOD(2-WEEKDAY($S167),7))+13),1,IF(N($W167)&gt;0,MIN(1,SUMIFS($AE$5:$AE$1000,$U$5:$U$1000,ROW(),$V$5:$V$1000,"Sub")),$AA167)))</f>
        <v/>
      </c>
      <c r="AJ167" s="62">
        <f>IF($V167="","",IF(AND(ISNUMBER($G167),$G167&lt;=IF($S167=MesCiclo,InicioCiclo,$S167+MOD(2-WEEKDAY($S167),7))+20),1,IF(N($W167)&gt;0,MIN(1,SUMIFS($AF$5:$AF$1000,$U$5:$U$1000,ROW(),$V$5:$V$1000,"Sub")),$AB167)))</f>
        <v/>
      </c>
      <c r="AK167" s="62">
        <f>IF($V167="","",IF(AND(ISNUMBER($G167),$G167&lt;=IF($S167=MesCiclo,InicioCiclo,$S167+MOD(2-WEEKDAY($S167),7))+27),1,IF(N($W167)&gt;0,MIN(1,SUMIFS($AG$5:$AG$1000,$U$5:$U$1000,ROW(),$V$5:$V$1000,"Sub")),$AC167)))</f>
        <v/>
      </c>
      <c r="AL167" s="62">
        <f>IF($V167&lt;&gt;"Macro","",IF(COUNTIFS($S$5:$S$1000,$S167,$V$5:$V$1000,"Macro",$H$5:$H$1000,"&gt;0")=0,1/COUNTIFS($S$5:$S$1000,$S167,$V$5:$V$1000,"Macro"),IF(AND(ISNUMBER($H167),N($H167)&gt;0),$H167,SUMIFS($H$5:$H$1000,$S$5:$S$1000,$S167,$V$5:$V$1000,"Macro")/COUNTIFS($S$5:$S$1000,$S167,$V$5:$V$1000,"Macro",$H$5:$H$1000,"&gt;0"))/(COUNTIFS($S$5:$S$1000,$S167,$V$5:$V$1000,"Macro")*SUMIFS($H$5:$H$1000,$S$5:$S$1000,$S167,$V$5:$V$1000,"Macro")/COUNTIFS($S$5:$S$1000,$S167,$V$5:$V$1000,"Macro",$H$5:$H$1000,"&gt;0"))))</f>
        <v/>
      </c>
      <c r="AM167" s="62" t="n"/>
      <c r="AN167" s="62" t="n"/>
      <c r="AO167" s="62" t="n"/>
      <c r="AP167" s="62" t="n"/>
      <c r="AQ167" s="62">
        <f>IF(LEFT($C167,11)="[Jefatura] ",IFERROR(MATCH("Asistente Técnico de Riesgo|"&amp;MID($C167,12,500),rDname_ADM,0),0),"")</f>
        <v/>
      </c>
      <c r="AR167" s="62">
        <f>IF(N($AQ167)&gt;0,INDEX(rIni_ADM,$AQ167),IF(ISNUMBER($E167),$E167,""))</f>
        <v/>
      </c>
      <c r="AS167" s="62">
        <f>IF(N($AQ167)&gt;0,INDEX(rLim_ADM,$AQ167),IF(ISNUMBER($F167),$F167,""))</f>
        <v/>
      </c>
    </row>
    <row r="168">
      <c r="A168" s="56">
        <f>IF(NOT((COUNTA($B168:$D168)+COUNTA($G168:$H168)+COUNTA($Q168))&gt;0),"",IF($V168="Macro",COUNTIFS($V$5:$V168,"Macro",$S$5:$S168,$S168),IF(N($U168)=0,"?",COUNTIFS(INDEX($V$5:$V$1000,1):INDEX($V$5:$V$1000,$U168-4),"Macro",INDEX($S$5:$S$1000,1):INDEX($S$5:$S$1000,$U168-4),INDEX($S$5:$S$1000,$U168-4))&amp;"."&amp;COUNTIFS($U$5:$U168,$U168,$V$5:$V168,"Sub"))))</f>
        <v/>
      </c>
      <c r="B168" s="57" t="n"/>
      <c r="C168" s="58" t="n"/>
      <c r="D168" s="58" t="n"/>
      <c r="E168" s="59">
        <f>IF(N($AQ168)&gt;0,INDEX(rIni_ADM,$AQ168),"")</f>
        <v/>
      </c>
      <c r="F168" s="59">
        <f>IF(N($AQ168)&gt;0,INDEX(rLim_ADM,$AQ168),"")</f>
        <v/>
      </c>
      <c r="G168" s="59" t="n"/>
      <c r="H168" s="60" t="n"/>
      <c r="I168" s="60">
        <f>IF(N($W168)=0,"",IF(AND($S168=MesCiclo,1&gt;SemanaActual),"",MIN(1,SUMIFS(OFFSET($A$1,ROW(),29,1000-ROW(),1),OFFSET($A$1,ROW(),20,1000-ROW(),1),ROW(),OFFSET($A$1,ROW(),21,1000-ROW(),1),"Sub"))))</f>
        <v/>
      </c>
      <c r="J168" s="60">
        <f>IF(N($W168)=0,"",IF(AND($S168=MesCiclo,2&gt;SemanaActual),"",MIN(1,SUMIFS(OFFSET($A$1,ROW(),30,1000-ROW(),1),OFFSET($A$1,ROW(),20,1000-ROW(),1),ROW(),OFFSET($A$1,ROW(),21,1000-ROW(),1),"Sub"))))</f>
        <v/>
      </c>
      <c r="K168" s="60">
        <f>IF(N($W168)=0,"",IF(AND($S168=MesCiclo,3&gt;SemanaActual),"",MIN(1,SUMIFS(OFFSET($A$1,ROW(),31,1000-ROW(),1),OFFSET($A$1,ROW(),20,1000-ROW(),1),ROW(),OFFSET($A$1,ROW(),21,1000-ROW(),1),"Sub"))))</f>
        <v/>
      </c>
      <c r="L168" s="60">
        <f>IF(N($W168)=0,"",IF(AND($S168=MesCiclo,4&gt;SemanaActual),"",MIN(1,SUMIFS(OFFSET($A$1,ROW(),32,1000-ROW(),1),OFFSET($A$1,ROW(),20,1000-ROW(),1),ROW(),OFFSET($A$1,ROW(),21,1000-ROW(),1),"Sub"))))</f>
        <v/>
      </c>
      <c r="M168" s="61">
        <f>IF(OR(NOT((COUNTA($B168:$D168)+COUNTA($G168:$H168)+COUNTA($Q168))&gt;0),$V168="Sub"),"",IF(ISNUMBER($G168),1,IF(N($W168)&gt;0,MIN(1,SUMIFS($Y$5:$Y$1000,$U$5:$U$1000,ROW(),$V$5:$V$1000,"Sub")),$Y168)))</f>
        <v/>
      </c>
      <c r="N168" s="56">
        <f>IF(OR($M168="",$V168="Sub"),"",IF($M168&gt;=1,"Completado",IF($M168&gt;0,"En curso","Pendiente")))</f>
        <v/>
      </c>
      <c r="O168" s="56">
        <f>IF(OR(NOT((COUNTA($B168:$D168)+COUNTA($G168:$H168)+COUNTA($Q168))&gt;0),$V168="Sub"),"",IF(ISNUMBER($G168),IF(AND(ISNUMBER($AS168),$G168&gt;$AS168),"Cumplida con "&amp;($G168-$AS168)&amp;IF($G168-$AS168=1," día"," días")&amp;" de retraso","Cumplida"),IF(N($M168)&gt;=1,"Cumplida",IF(NOT(ISNUMBER($AS168)),"Sin fecha límite",IF($AS168&lt;FechaRef,"Vencida hace "&amp;(FechaRef-$AS168)&amp;IF(FechaRef-$AS168=1," día"," días"),IF($AS168=FechaRef,"Vence hoy",IF($AS168-FechaRef&lt;=DiasAlerta,"Vence en "&amp;($AS168-FechaRef)&amp;IF($AS168-FechaRef=1," día"," días"),"En plazo")))))))</f>
        <v/>
      </c>
      <c r="P168" s="62" t="n"/>
      <c r="Q168" s="58" t="n"/>
      <c r="R168" s="63">
        <f>IF(NOT((COUNTA($B168:$D168)+COUNTA($G168:$H168)+COUNTA($Q168))&gt;0),"",IF((IF($C168="","Falta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 OK","⚠ "&amp;LEFT(IF($C168="","Falta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",""),LEN(IF($C168="","Falta el nombre de la actividad"&amp;" · ","")&amp;IF(AND($V168="Sub",N($U168)=0),"Subactividad sin macroactividad arriba"&amp;" · ","")&amp;IF(AND($V168="Macro",$AR168=""),"Sin fecha de inicio"&amp;" · ","")&amp;IF(AND($V168="Macro",$AS168=""),"Sin fecha límite"&amp;" · ","")&amp;IF(AND(LEFT($C168,11)="[Jefatura] ",N($AQ168)=0),"No se encuentra en la hoja de la jefatura (elíjala de nuevo en la lista)"&amp;" · ","")&amp;IF(OR(AND($E168&lt;&gt;"",NOT(ISNUMBER($E168))),AND($F168&lt;&gt;"",NOT(ISNUMBER($F168))),AND($G168&lt;&gt;"",NOT(ISNUMBER($G168)))),"Fecha no válida"&amp;" · ","")&amp;IF(AND(ISNUMBER($AR168),ISNUMBER($AS168),$AR168&gt;$AS168),"Inicio posterior a fecha límite"&amp;" · ","")&amp;IF(AND($V168="Macro",$H168&lt;&gt;"",OR(NOT(ISNUMBER($H168)),$H168&lt;0,$H168&gt;1)),"Peso fuera de rango"&amp;" · ","")&amp;IF(AND($V168="Sub",$H168&lt;&gt;"",OR(NOT(ISNUMBER($H168)),$H168&lt;0,$H168&gt;1)),"% de la subactividad fuera de rango 0-100%"&amp;" · ","")&amp;IF(AND(N($W168)&gt;0,SUMIFS($H$5:$H$1000,$U$5:$U$1000,ROW(),$V$5:$V$1000,"Sub")&gt;1.0001),"Las subactividades suman más de 100%"&amp;" · ","")&amp;IF(AND(N($W168)&gt;0,OR(IF(ISNUMBER($I168),ROUND($I168,6)&lt;&gt;ROUND(MIN(1,SUMIFS($AD$5:$AD$1000,$U$5:$U$1000,ROW(),$V$5:$V$1000,"Sub")),6),FALSE),IF(ISNUMBER($J168),ROUND($J168,6)&lt;&gt;ROUND(MIN(1,SUMIFS($AE$5:$AE$1000,$U$5:$U$1000,ROW(),$V$5:$V$1000,"Sub")),6),FALSE),IF(ISNUMBER($K168),ROUND($K168,6)&lt;&gt;ROUND(MIN(1,SUMIFS($AF$5:$AF$1000,$U$5:$U$1000,ROW(),$V$5:$V$1000,"Sub")),6),FALSE),IF(ISNUMBER($L168),ROUND($L168,6)&lt;&gt;ROUND(MIN(1,SUMIFS($AG$5:$AG$1000,$U$5:$U$1000,ROW(),$V$5:$V$1000,"Sub")),6),FALSE))),"Con subactividades: no escriba en las semanas (se llenan solas)"&amp;" · ","")&amp;IF((COUNTIF($I168:$L168,"&gt;1")+COUNTIF($I168:$L168,"&lt;0")+SUMPRODUCT((LEN($I168:$L168)&gt;0)*NOT(ISNUMBER($I168:$L168))))&gt;0,"Avance fuera de rango 0-100%"&amp;" · ","")&amp;IF(OR(AND(ISNUMBER($J168),$J168&lt;N($I168)),AND(ISNUMBER($K168),$K168&lt;MAX($I168:$J168)),AND(ISNUMBER($L168),$L168&lt;MAX($I168:$K168))),"Avance semanal decreciente"&amp;" · ","")&amp;IF(AND(ISNUMBER($AS168),$AS168&lt;FechaRef,IF($V168="Sub",1,N($M168))&lt;1),"Vencida"&amp;" · ","")&amp;IF(AND(ObsObligatoria="Sí",ISNUMBER($AS168),$AS168&lt;FechaRef,IF($V168="Sub",1,N($M168))&lt;1,$Q168=""),"Vencida sin observación"&amp;" · ",""))-3)))</f>
        <v/>
      </c>
      <c r="S168" s="64">
        <f>IF(NOT((COUNTA($B168:$D168)+COUNTA($G168:$H168)+COUNTA($Q168))&gt;0),"",IF(AND($V168="Sub",N($U168)&gt;0),IF(ISNUMBER(INDEX($AR$5:$AR$1000,$U168-4)),DATE(YEAR(INDEX($AR$5:$AR$1000,$U168-4)),MONTH(INDEX($AR$5:$AR$1000,$U168-4)),1),IF(ISNUMBER(INDEX($AS$5:$AS$1000,$U168-4)),DATE(YEAR(INDEX($AS$5:$AS$1000,$U168-4)),MONTH(INDEX($AS$5:$AS$1000,$U168-4)),1),MesCiclo)),IF(ISNUMBER($AR168),DATE(YEAR($AR168),MONTH($AR168),1),IF(ISNUMBER($AS168),DATE(YEAR($AS168),MONTH($AS168),1),MesCiclo))))</f>
        <v/>
      </c>
      <c r="T168" s="62">
        <f>IF(OR($S168="",$S168&lt;&gt;MesCiclo,$V168&lt;&gt;"Macro"),"",COUNTIFS($S$5:$S168,MesCiclo,$V$5:$V168,"Macro"))</f>
        <v/>
      </c>
      <c r="U168" s="62">
        <f>IF($V168="","",IF($V168="Macro",ROW(),IFERROR(LOOKUP(2,1/($V$5:$V168="Macro"),ROW($V$5:$V168)),0)))</f>
        <v/>
      </c>
      <c r="V168" s="62">
        <f>IF(NOT((COUNTA($B168:$D168)+COUNTA($G168:$H168)+COUNTA($Q168))&gt;0),"",IF($B168="Subactividad","Sub","Macro"))</f>
        <v/>
      </c>
      <c r="W168" s="62">
        <f>IF($V168="Macro",COUNTIFS($U$5:$U$1000,ROW(),$V$5:$V$1000,"Sub"),"")</f>
        <v/>
      </c>
      <c r="X168" s="62">
        <f>IF($V168&lt;&gt;"Sub","",IF(AND(ISNUMBER($H168),N($H168)&gt;0),$H168,IFERROR(MAX(0,1-SUMIFS($H$5:$H$1000,$U$5:$U$1000,$U168,$V$5:$V$1000,"Sub"))/(COUNTIFS($U$5:$U$1000,$U168,$V$5:$V$1000,"Sub")-COUNTIFS($U$5:$U$1000,$U168,$V$5:$V$1000,"Sub",$H$5:$H$1000,"&gt;0")),0)))</f>
        <v/>
      </c>
      <c r="Y168" s="62">
        <f>IF($V168="","",IF($V168="Sub",N($X168)*IF(ISNUMBER($G168),1,MIN(1,MAX(0,IFERROR(LOOKUP(2,1/ISNUMBER($I168:$L168),$I168:$L168),0)))),IF(ISNUMBER($G168),1,IFERROR(LOOKUP(2,1/($I168:$L168&lt;&gt;""),$I168:$L168),0))))</f>
        <v/>
      </c>
      <c r="Z168" s="62">
        <f>IF($V168="","",IF(AND(ISNUMBER($G168),$G168&lt;=IF($S168=MesCiclo,InicioCiclo,$S168+MOD(2-WEEKDAY($S168),7))+6),1,IF(ISNUMBER($I168),$I168,0)))</f>
        <v/>
      </c>
      <c r="AA168" s="62">
        <f>IF($V168="","",IF(AND(ISNUMBER($G168),$G168&lt;=IF($S168=MesCiclo,InicioCiclo,$S168+MOD(2-WEEKDAY($S168),7))+13),1,IF(ISNUMBER($J168),$J168,$Z168)))</f>
        <v/>
      </c>
      <c r="AB168" s="62">
        <f>IF($V168="","",IF(AND(ISNUMBER($G168),$G168&lt;=IF($S168=MesCiclo,InicioCiclo,$S168+MOD(2-WEEKDAY($S168),7))+20),1,IF(ISNUMBER($K168),$K168,$AA168)))</f>
        <v/>
      </c>
      <c r="AC168" s="62">
        <f>IF($V168="","",IF(AND(ISNUMBER($G168),$G168&lt;=IF($S168=MesCiclo,InicioCiclo,$S168+MOD(2-WEEKDAY($S168),7))+27),1,IF(ISNUMBER($L168),$L168,$AB168)))</f>
        <v/>
      </c>
      <c r="AD168" s="62">
        <f>IF($V168&lt;&gt;"Sub","",N($X168)*IF(AND(ISNUMBER($G168),$G168&lt;=IF($S168=MesCiclo,InicioCiclo,$S168+MOD(2-WEEKDAY($S168),7))+6),1,MIN(1,MAX(0,IF(ISNUMBER(OFFSET($A$1,ROW()-1,8)),OFFSET($A$1,ROW()-1,8),0)))))</f>
        <v/>
      </c>
      <c r="AE168" s="62">
        <f>IF($V168&lt;&gt;"Sub","",N($X168)*IF(AND(ISNUMBER($G168),$G168&lt;=IF($S168=MesCiclo,InicioCiclo,$S168+MOD(2-WEEKDAY($S168),7))+13),1,MIN(1,MAX(0,IF(ISNUMBER(OFFSET($A$1,ROW()-1,9)),OFFSET($A$1,ROW()-1,9),IF(ISNUMBER(OFFSET($A$1,ROW()-1,8)),OFFSET($A$1,ROW()-1,8),0))))))</f>
        <v/>
      </c>
      <c r="AF168" s="62">
        <f>IF($V168&lt;&gt;"Sub","",N($X168)*IF(AND(ISNUMBER($G168),$G168&lt;=IF($S168=MesCiclo,InicioCiclo,$S168+MOD(2-WEEKDAY($S168),7))+20),1,MIN(1,MAX(0,IF(ISNUMBER(OFFSET($A$1,ROW()-1,10)),OFFSET($A$1,ROW()-1,10),IF(ISNUMBER(OFFSET($A$1,ROW()-1,9)),OFFSET($A$1,ROW()-1,9),IF(ISNUMBER(OFFSET($A$1,ROW()-1,8)),OFFSET($A$1,ROW()-1,8),0)))))))</f>
        <v/>
      </c>
      <c r="AG168" s="62">
        <f>IF($V168&lt;&gt;"Sub","",N($X168)*IF(AND(ISNUMBER($G168),$G168&lt;=IF($S168=MesCiclo,InicioCiclo,$S168+MOD(2-WEEKDAY($S168),7))+27),1,MIN(1,MAX(0,IF(ISNUMBER(OFFSET($A$1,ROW()-1,11)),OFFSET($A$1,ROW()-1,11),IF(ISNUMBER(OFFSET($A$1,ROW()-1,10)),OFFSET($A$1,ROW()-1,10),IF(ISNUMBER(OFFSET($A$1,ROW()-1,9)),OFFSET($A$1,ROW()-1,9),IF(ISNUMBER(OFFSET($A$1,ROW()-1,8)),OFFSET($A$1,ROW()-1,8),0))))))))</f>
        <v/>
      </c>
      <c r="AH168" s="62">
        <f>IF($V168="","",IF(AND(ISNUMBER($G168),$G168&lt;=IF($S168=MesCiclo,InicioCiclo,$S168+MOD(2-WEEKDAY($S168),7))+6),1,IF(N($W168)&gt;0,MIN(1,SUMIFS($AD$5:$AD$1000,$U$5:$U$1000,ROW(),$V$5:$V$1000,"Sub")),$Z168)))</f>
        <v/>
      </c>
      <c r="AI168" s="62">
        <f>IF($V168="","",IF(AND(ISNUMBER($G168),$G168&lt;=IF($S168=MesCiclo,InicioCiclo,$S168+MOD(2-WEEKDAY($S168),7))+13),1,IF(N($W168)&gt;0,MIN(1,SUMIFS($AE$5:$AE$1000,$U$5:$U$1000,ROW(),$V$5:$V$1000,"Sub")),$AA168)))</f>
        <v/>
      </c>
      <c r="AJ168" s="62">
        <f>IF($V168="","",IF(AND(ISNUMBER($G168),$G168&lt;=IF($S168=MesCiclo,InicioCiclo,$S168+MOD(2-WEEKDAY($S168),7))+20),1,IF(N($W168)&gt;0,MIN(1,SUMIFS($AF$5:$AF$1000,$U$5:$U$1000,ROW(),$V$5:$V$1000,"Sub")),$AB168)))</f>
        <v/>
      </c>
      <c r="AK168" s="62">
        <f>IF($V168="","",IF(AND(ISNUMBER($G168),$G168&lt;=IF($S168=MesCiclo,InicioCiclo,$S168+MOD(2-WEEKDAY($S168),7))+27),1,IF(N($W168)&gt;0,MIN(1,SUMIFS($AG$5:$AG$1000,$U$5:$U$1000,ROW(),$V$5:$V$1000,"Sub")),$AC168)))</f>
        <v/>
      </c>
      <c r="AL168" s="62">
        <f>IF($V168&lt;&gt;"Macro","",IF(COUNTIFS($S$5:$S$1000,$S168,$V$5:$V$1000,"Macro",$H$5:$H$1000,"&gt;0")=0,1/COUNTIFS($S$5:$S$1000,$S168,$V$5:$V$1000,"Macro"),IF(AND(ISNUMBER($H168),N($H168)&gt;0),$H168,SUMIFS($H$5:$H$1000,$S$5:$S$1000,$S168,$V$5:$V$1000,"Macro")/COUNTIFS($S$5:$S$1000,$S168,$V$5:$V$1000,"Macro",$H$5:$H$1000,"&gt;0"))/(COUNTIFS($S$5:$S$1000,$S168,$V$5:$V$1000,"Macro")*SUMIFS($H$5:$H$1000,$S$5:$S$1000,$S168,$V$5:$V$1000,"Macro")/COUNTIFS($S$5:$S$1000,$S168,$V$5:$V$1000,"Macro",$H$5:$H$1000,"&gt;0"))))</f>
        <v/>
      </c>
      <c r="AM168" s="62" t="n"/>
      <c r="AN168" s="62" t="n"/>
      <c r="AO168" s="62" t="n"/>
      <c r="AP168" s="62" t="n"/>
      <c r="AQ168" s="62">
        <f>IF(LEFT($C168,11)="[Jefatura] ",IFERROR(MATCH("Asistente Técnico de Riesgo|"&amp;MID($C168,12,500),rDname_ADM,0),0),"")</f>
        <v/>
      </c>
      <c r="AR168" s="62">
        <f>IF(N($AQ168)&gt;0,INDEX(rIni_ADM,$AQ168),IF(ISNUMBER($E168),$E168,""))</f>
        <v/>
      </c>
      <c r="AS168" s="62">
        <f>IF(N($AQ168)&gt;0,INDEX(rLim_ADM,$AQ168),IF(ISNUMBER($F168),$F168,""))</f>
        <v/>
      </c>
    </row>
    <row r="169">
      <c r="A169" s="56">
        <f>IF(NOT((COUNTA($B169:$D169)+COUNTA($G169:$H169)+COUNTA($Q169))&gt;0),"",IF($V169="Macro",COUNTIFS($V$5:$V169,"Macro",$S$5:$S169,$S169),IF(N($U169)=0,"?",COUNTIFS(INDEX($V$5:$V$1000,1):INDEX($V$5:$V$1000,$U169-4),"Macro",INDEX($S$5:$S$1000,1):INDEX($S$5:$S$1000,$U169-4),INDEX($S$5:$S$1000,$U169-4))&amp;"."&amp;COUNTIFS($U$5:$U169,$U169,$V$5:$V169,"Sub"))))</f>
        <v/>
      </c>
      <c r="B169" s="57" t="n"/>
      <c r="C169" s="58" t="n"/>
      <c r="D169" s="58" t="n"/>
      <c r="E169" s="59">
        <f>IF(N($AQ169)&gt;0,INDEX(rIni_ADM,$AQ169),"")</f>
        <v/>
      </c>
      <c r="F169" s="59">
        <f>IF(N($AQ169)&gt;0,INDEX(rLim_ADM,$AQ169),"")</f>
        <v/>
      </c>
      <c r="G169" s="59" t="n"/>
      <c r="H169" s="60" t="n"/>
      <c r="I169" s="60">
        <f>IF(N($W169)=0,"",IF(AND($S169=MesCiclo,1&gt;SemanaActual),"",MIN(1,SUMIFS(OFFSET($A$1,ROW(),29,1000-ROW(),1),OFFSET($A$1,ROW(),20,1000-ROW(),1),ROW(),OFFSET($A$1,ROW(),21,1000-ROW(),1),"Sub"))))</f>
        <v/>
      </c>
      <c r="J169" s="60">
        <f>IF(N($W169)=0,"",IF(AND($S169=MesCiclo,2&gt;SemanaActual),"",MIN(1,SUMIFS(OFFSET($A$1,ROW(),30,1000-ROW(),1),OFFSET($A$1,ROW(),20,1000-ROW(),1),ROW(),OFFSET($A$1,ROW(),21,1000-ROW(),1),"Sub"))))</f>
        <v/>
      </c>
      <c r="K169" s="60">
        <f>IF(N($W169)=0,"",IF(AND($S169=MesCiclo,3&gt;SemanaActual),"",MIN(1,SUMIFS(OFFSET($A$1,ROW(),31,1000-ROW(),1),OFFSET($A$1,ROW(),20,1000-ROW(),1),ROW(),OFFSET($A$1,ROW(),21,1000-ROW(),1),"Sub"))))</f>
        <v/>
      </c>
      <c r="L169" s="60">
        <f>IF(N($W169)=0,"",IF(AND($S169=MesCiclo,4&gt;SemanaActual),"",MIN(1,SUMIFS(OFFSET($A$1,ROW(),32,1000-ROW(),1),OFFSET($A$1,ROW(),20,1000-ROW(),1),ROW(),OFFSET($A$1,ROW(),21,1000-ROW(),1),"Sub"))))</f>
        <v/>
      </c>
      <c r="M169" s="61">
        <f>IF(OR(NOT((COUNTA($B169:$D169)+COUNTA($G169:$H169)+COUNTA($Q169))&gt;0),$V169="Sub"),"",IF(ISNUMBER($G169),1,IF(N($W169)&gt;0,MIN(1,SUMIFS($Y$5:$Y$1000,$U$5:$U$1000,ROW(),$V$5:$V$1000,"Sub")),$Y169)))</f>
        <v/>
      </c>
      <c r="N169" s="56">
        <f>IF(OR($M169="",$V169="Sub"),"",IF($M169&gt;=1,"Completado",IF($M169&gt;0,"En curso","Pendiente")))</f>
        <v/>
      </c>
      <c r="O169" s="56">
        <f>IF(OR(NOT((COUNTA($B169:$D169)+COUNTA($G169:$H169)+COUNTA($Q169))&gt;0),$V169="Sub"),"",IF(ISNUMBER($G169),IF(AND(ISNUMBER($AS169),$G169&gt;$AS169),"Cumplida con "&amp;($G169-$AS169)&amp;IF($G169-$AS169=1," día"," días")&amp;" de retraso","Cumplida"),IF(N($M169)&gt;=1,"Cumplida",IF(NOT(ISNUMBER($AS169)),"Sin fecha límite",IF($AS169&lt;FechaRef,"Vencida hace "&amp;(FechaRef-$AS169)&amp;IF(FechaRef-$AS169=1," día"," días"),IF($AS169=FechaRef,"Vence hoy",IF($AS169-FechaRef&lt;=DiasAlerta,"Vence en "&amp;($AS169-FechaRef)&amp;IF($AS169-FechaRef=1," día"," días"),"En plazo")))))))</f>
        <v/>
      </c>
      <c r="P169" s="62" t="n"/>
      <c r="Q169" s="58" t="n"/>
      <c r="R169" s="63">
        <f>IF(NOT((COUNTA($B169:$D169)+COUNTA($G169:$H169)+COUNTA($Q169))&gt;0),"",IF((IF($C169="","Falta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 OK","⚠ "&amp;LEFT(IF($C169="","Falta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",""),LEN(IF($C169="","Falta el nombre de la actividad"&amp;" · ","")&amp;IF(AND($V169="Sub",N($U169)=0),"Subactividad sin macroactividad arriba"&amp;" · ","")&amp;IF(AND($V169="Macro",$AR169=""),"Sin fecha de inicio"&amp;" · ","")&amp;IF(AND($V169="Macro",$AS169=""),"Sin fecha límite"&amp;" · ","")&amp;IF(AND(LEFT($C169,11)="[Jefatura] ",N($AQ169)=0),"No se encuentra en la hoja de la jefatura (elíjala de nuevo en la lista)"&amp;" · ","")&amp;IF(OR(AND($E169&lt;&gt;"",NOT(ISNUMBER($E169))),AND($F169&lt;&gt;"",NOT(ISNUMBER($F169))),AND($G169&lt;&gt;"",NOT(ISNUMBER($G169)))),"Fecha no válida"&amp;" · ","")&amp;IF(AND(ISNUMBER($AR169),ISNUMBER($AS169),$AR169&gt;$AS169),"Inicio posterior a fecha límite"&amp;" · ","")&amp;IF(AND($V169="Macro",$H169&lt;&gt;"",OR(NOT(ISNUMBER($H169)),$H169&lt;0,$H169&gt;1)),"Peso fuera de rango"&amp;" · ","")&amp;IF(AND($V169="Sub",$H169&lt;&gt;"",OR(NOT(ISNUMBER($H169)),$H169&lt;0,$H169&gt;1)),"% de la subactividad fuera de rango 0-100%"&amp;" · ","")&amp;IF(AND(N($W169)&gt;0,SUMIFS($H$5:$H$1000,$U$5:$U$1000,ROW(),$V$5:$V$1000,"Sub")&gt;1.0001),"Las subactividades suman más de 100%"&amp;" · ","")&amp;IF(AND(N($W169)&gt;0,OR(IF(ISNUMBER($I169),ROUND($I169,6)&lt;&gt;ROUND(MIN(1,SUMIFS($AD$5:$AD$1000,$U$5:$U$1000,ROW(),$V$5:$V$1000,"Sub")),6),FALSE),IF(ISNUMBER($J169),ROUND($J169,6)&lt;&gt;ROUND(MIN(1,SUMIFS($AE$5:$AE$1000,$U$5:$U$1000,ROW(),$V$5:$V$1000,"Sub")),6),FALSE),IF(ISNUMBER($K169),ROUND($K169,6)&lt;&gt;ROUND(MIN(1,SUMIFS($AF$5:$AF$1000,$U$5:$U$1000,ROW(),$V$5:$V$1000,"Sub")),6),FALSE),IF(ISNUMBER($L169),ROUND($L169,6)&lt;&gt;ROUND(MIN(1,SUMIFS($AG$5:$AG$1000,$U$5:$U$1000,ROW(),$V$5:$V$1000,"Sub")),6),FALSE))),"Con subactividades: no escriba en las semanas (se llenan solas)"&amp;" · ","")&amp;IF((COUNTIF($I169:$L169,"&gt;1")+COUNTIF($I169:$L169,"&lt;0")+SUMPRODUCT((LEN($I169:$L169)&gt;0)*NOT(ISNUMBER($I169:$L169))))&gt;0,"Avance fuera de rango 0-100%"&amp;" · ","")&amp;IF(OR(AND(ISNUMBER($J169),$J169&lt;N($I169)),AND(ISNUMBER($K169),$K169&lt;MAX($I169:$J169)),AND(ISNUMBER($L169),$L169&lt;MAX($I169:$K169))),"Avance semanal decreciente"&amp;" · ","")&amp;IF(AND(ISNUMBER($AS169),$AS169&lt;FechaRef,IF($V169="Sub",1,N($M169))&lt;1),"Vencida"&amp;" · ","")&amp;IF(AND(ObsObligatoria="Sí",ISNUMBER($AS169),$AS169&lt;FechaRef,IF($V169="Sub",1,N($M169))&lt;1,$Q169=""),"Vencida sin observación"&amp;" · ",""))-3)))</f>
        <v/>
      </c>
      <c r="S169" s="64">
        <f>IF(NOT((COUNTA($B169:$D169)+COUNTA($G169:$H169)+COUNTA($Q169))&gt;0),"",IF(AND($V169="Sub",N($U169)&gt;0),IF(ISNUMBER(INDEX($AR$5:$AR$1000,$U169-4)),DATE(YEAR(INDEX($AR$5:$AR$1000,$U169-4)),MONTH(INDEX($AR$5:$AR$1000,$U169-4)),1),IF(ISNUMBER(INDEX($AS$5:$AS$1000,$U169-4)),DATE(YEAR(INDEX($AS$5:$AS$1000,$U169-4)),MONTH(INDEX($AS$5:$AS$1000,$U169-4)),1),MesCiclo)),IF(ISNUMBER($AR169),DATE(YEAR($AR169),MONTH($AR169),1),IF(ISNUMBER($AS169),DATE(YEAR($AS169),MONTH($AS169),1),MesCiclo))))</f>
        <v/>
      </c>
      <c r="T169" s="62">
        <f>IF(OR($S169="",$S169&lt;&gt;MesCiclo,$V169&lt;&gt;"Macro"),"",COUNTIFS($S$5:$S169,MesCiclo,$V$5:$V169,"Macro"))</f>
        <v/>
      </c>
      <c r="U169" s="62">
        <f>IF($V169="","",IF($V169="Macro",ROW(),IFERROR(LOOKUP(2,1/($V$5:$V169="Macro"),ROW($V$5:$V169)),0)))</f>
        <v/>
      </c>
      <c r="V169" s="62">
        <f>IF(NOT((COUNTA($B169:$D169)+COUNTA($G169:$H169)+COUNTA($Q169))&gt;0),"",IF($B169="Subactividad","Sub","Macro"))</f>
        <v/>
      </c>
      <c r="W169" s="62">
        <f>IF($V169="Macro",COUNTIFS($U$5:$U$1000,ROW(),$V$5:$V$1000,"Sub"),"")</f>
        <v/>
      </c>
      <c r="X169" s="62">
        <f>IF($V169&lt;&gt;"Sub","",IF(AND(ISNUMBER($H169),N($H169)&gt;0),$H169,IFERROR(MAX(0,1-SUMIFS($H$5:$H$1000,$U$5:$U$1000,$U169,$V$5:$V$1000,"Sub"))/(COUNTIFS($U$5:$U$1000,$U169,$V$5:$V$1000,"Sub")-COUNTIFS($U$5:$U$1000,$U169,$V$5:$V$1000,"Sub",$H$5:$H$1000,"&gt;0")),0)))</f>
        <v/>
      </c>
      <c r="Y169" s="62">
        <f>IF($V169="","",IF($V169="Sub",N($X169)*IF(ISNUMBER($G169),1,MIN(1,MAX(0,IFERROR(LOOKUP(2,1/ISNUMBER($I169:$L169),$I169:$L169),0)))),IF(ISNUMBER($G169),1,IFERROR(LOOKUP(2,1/($I169:$L169&lt;&gt;""),$I169:$L169),0))))</f>
        <v/>
      </c>
      <c r="Z169" s="62">
        <f>IF($V169="","",IF(AND(ISNUMBER($G169),$G169&lt;=IF($S169=MesCiclo,InicioCiclo,$S169+MOD(2-WEEKDAY($S169),7))+6),1,IF(ISNUMBER($I169),$I169,0)))</f>
        <v/>
      </c>
      <c r="AA169" s="62">
        <f>IF($V169="","",IF(AND(ISNUMBER($G169),$G169&lt;=IF($S169=MesCiclo,InicioCiclo,$S169+MOD(2-WEEKDAY($S169),7))+13),1,IF(ISNUMBER($J169),$J169,$Z169)))</f>
        <v/>
      </c>
      <c r="AB169" s="62">
        <f>IF($V169="","",IF(AND(ISNUMBER($G169),$G169&lt;=IF($S169=MesCiclo,InicioCiclo,$S169+MOD(2-WEEKDAY($S169),7))+20),1,IF(ISNUMBER($K169),$K169,$AA169)))</f>
        <v/>
      </c>
      <c r="AC169" s="62">
        <f>IF($V169="","",IF(AND(ISNUMBER($G169),$G169&lt;=IF($S169=MesCiclo,InicioCiclo,$S169+MOD(2-WEEKDAY($S169),7))+27),1,IF(ISNUMBER($L169),$L169,$AB169)))</f>
        <v/>
      </c>
      <c r="AD169" s="62">
        <f>IF($V169&lt;&gt;"Sub","",N($X169)*IF(AND(ISNUMBER($G169),$G169&lt;=IF($S169=MesCiclo,InicioCiclo,$S169+MOD(2-WEEKDAY($S169),7))+6),1,MIN(1,MAX(0,IF(ISNUMBER(OFFSET($A$1,ROW()-1,8)),OFFSET($A$1,ROW()-1,8),0)))))</f>
        <v/>
      </c>
      <c r="AE169" s="62">
        <f>IF($V169&lt;&gt;"Sub","",N($X169)*IF(AND(ISNUMBER($G169),$G169&lt;=IF($S169=MesCiclo,InicioCiclo,$S169+MOD(2-WEEKDAY($S169),7))+13),1,MIN(1,MAX(0,IF(ISNUMBER(OFFSET($A$1,ROW()-1,9)),OFFSET($A$1,ROW()-1,9),IF(ISNUMBER(OFFSET($A$1,ROW()-1,8)),OFFSET($A$1,ROW()-1,8),0))))))</f>
        <v/>
      </c>
      <c r="AF169" s="62">
        <f>IF($V169&lt;&gt;"Sub","",N($X169)*IF(AND(ISNUMBER($G169),$G169&lt;=IF($S169=MesCiclo,InicioCiclo,$S169+MOD(2-WEEKDAY($S169),7))+20),1,MIN(1,MAX(0,IF(ISNUMBER(OFFSET($A$1,ROW()-1,10)),OFFSET($A$1,ROW()-1,10),IF(ISNUMBER(OFFSET($A$1,ROW()-1,9)),OFFSET($A$1,ROW()-1,9),IF(ISNUMBER(OFFSET($A$1,ROW()-1,8)),OFFSET($A$1,ROW()-1,8),0)))))))</f>
        <v/>
      </c>
      <c r="AG169" s="62">
        <f>IF($V169&lt;&gt;"Sub","",N($X169)*IF(AND(ISNUMBER($G169),$G169&lt;=IF($S169=MesCiclo,InicioCiclo,$S169+MOD(2-WEEKDAY($S169),7))+27),1,MIN(1,MAX(0,IF(ISNUMBER(OFFSET($A$1,ROW()-1,11)),OFFSET($A$1,ROW()-1,11),IF(ISNUMBER(OFFSET($A$1,ROW()-1,10)),OFFSET($A$1,ROW()-1,10),IF(ISNUMBER(OFFSET($A$1,ROW()-1,9)),OFFSET($A$1,ROW()-1,9),IF(ISNUMBER(OFFSET($A$1,ROW()-1,8)),OFFSET($A$1,ROW()-1,8),0))))))))</f>
        <v/>
      </c>
      <c r="AH169" s="62">
        <f>IF($V169="","",IF(AND(ISNUMBER($G169),$G169&lt;=IF($S169=MesCiclo,InicioCiclo,$S169+MOD(2-WEEKDAY($S169),7))+6),1,IF(N($W169)&gt;0,MIN(1,SUMIFS($AD$5:$AD$1000,$U$5:$U$1000,ROW(),$V$5:$V$1000,"Sub")),$Z169)))</f>
        <v/>
      </c>
      <c r="AI169" s="62">
        <f>IF($V169="","",IF(AND(ISNUMBER($G169),$G169&lt;=IF($S169=MesCiclo,InicioCiclo,$S169+MOD(2-WEEKDAY($S169),7))+13),1,IF(N($W169)&gt;0,MIN(1,SUMIFS($AE$5:$AE$1000,$U$5:$U$1000,ROW(),$V$5:$V$1000,"Sub")),$AA169)))</f>
        <v/>
      </c>
      <c r="AJ169" s="62">
        <f>IF($V169="","",IF(AND(ISNUMBER($G169),$G169&lt;=IF($S169=MesCiclo,InicioCiclo,$S169+MOD(2-WEEKDAY($S169),7))+20),1,IF(N($W169)&gt;0,MIN(1,SUMIFS($AF$5:$AF$1000,$U$5:$U$1000,ROW(),$V$5:$V$1000,"Sub")),$AB169)))</f>
        <v/>
      </c>
      <c r="AK169" s="62">
        <f>IF($V169="","",IF(AND(ISNUMBER($G169),$G169&lt;=IF($S169=MesCiclo,InicioCiclo,$S169+MOD(2-WEEKDAY($S169),7))+27),1,IF(N($W169)&gt;0,MIN(1,SUMIFS($AG$5:$AG$1000,$U$5:$U$1000,ROW(),$V$5:$V$1000,"Sub")),$AC169)))</f>
        <v/>
      </c>
      <c r="AL169" s="62">
        <f>IF($V169&lt;&gt;"Macro","",IF(COUNTIFS($S$5:$S$1000,$S169,$V$5:$V$1000,"Macro",$H$5:$H$1000,"&gt;0")=0,1/COUNTIFS($S$5:$S$1000,$S169,$V$5:$V$1000,"Macro"),IF(AND(ISNUMBER($H169),N($H169)&gt;0),$H169,SUMIFS($H$5:$H$1000,$S$5:$S$1000,$S169,$V$5:$V$1000,"Macro")/COUNTIFS($S$5:$S$1000,$S169,$V$5:$V$1000,"Macro",$H$5:$H$1000,"&gt;0"))/(COUNTIFS($S$5:$S$1000,$S169,$V$5:$V$1000,"Macro")*SUMIFS($H$5:$H$1000,$S$5:$S$1000,$S169,$V$5:$V$1000,"Macro")/COUNTIFS($S$5:$S$1000,$S169,$V$5:$V$1000,"Macro",$H$5:$H$1000,"&gt;0"))))</f>
        <v/>
      </c>
      <c r="AM169" s="62" t="n"/>
      <c r="AN169" s="62" t="n"/>
      <c r="AO169" s="62" t="n"/>
      <c r="AP169" s="62" t="n"/>
      <c r="AQ169" s="62">
        <f>IF(LEFT($C169,11)="[Jefatura] ",IFERROR(MATCH("Asistente Técnico de Riesgo|"&amp;MID($C169,12,500),rDname_ADM,0),0),"")</f>
        <v/>
      </c>
      <c r="AR169" s="62">
        <f>IF(N($AQ169)&gt;0,INDEX(rIni_ADM,$AQ169),IF(ISNUMBER($E169),$E169,""))</f>
        <v/>
      </c>
      <c r="AS169" s="62">
        <f>IF(N($AQ169)&gt;0,INDEX(rLim_ADM,$AQ169),IF(ISNUMBER($F169),$F169,""))</f>
        <v/>
      </c>
    </row>
    <row r="170">
      <c r="A170" s="56">
        <f>IF(NOT((COUNTA($B170:$D170)+COUNTA($G170:$H170)+COUNTA($Q170))&gt;0),"",IF($V170="Macro",COUNTIFS($V$5:$V170,"Macro",$S$5:$S170,$S170),IF(N($U170)=0,"?",COUNTIFS(INDEX($V$5:$V$1000,1):INDEX($V$5:$V$1000,$U170-4),"Macro",INDEX($S$5:$S$1000,1):INDEX($S$5:$S$1000,$U170-4),INDEX($S$5:$S$1000,$U170-4))&amp;"."&amp;COUNTIFS($U$5:$U170,$U170,$V$5:$V170,"Sub"))))</f>
        <v/>
      </c>
      <c r="B170" s="57" t="n"/>
      <c r="C170" s="58" t="n"/>
      <c r="D170" s="58" t="n"/>
      <c r="E170" s="59">
        <f>IF(N($AQ170)&gt;0,INDEX(rIni_ADM,$AQ170),"")</f>
        <v/>
      </c>
      <c r="F170" s="59">
        <f>IF(N($AQ170)&gt;0,INDEX(rLim_ADM,$AQ170),"")</f>
        <v/>
      </c>
      <c r="G170" s="59" t="n"/>
      <c r="H170" s="60" t="n"/>
      <c r="I170" s="60">
        <f>IF(N($W170)=0,"",IF(AND($S170=MesCiclo,1&gt;SemanaActual),"",MIN(1,SUMIFS(OFFSET($A$1,ROW(),29,1000-ROW(),1),OFFSET($A$1,ROW(),20,1000-ROW(),1),ROW(),OFFSET($A$1,ROW(),21,1000-ROW(),1),"Sub"))))</f>
        <v/>
      </c>
      <c r="J170" s="60">
        <f>IF(N($W170)=0,"",IF(AND($S170=MesCiclo,2&gt;SemanaActual),"",MIN(1,SUMIFS(OFFSET($A$1,ROW(),30,1000-ROW(),1),OFFSET($A$1,ROW(),20,1000-ROW(),1),ROW(),OFFSET($A$1,ROW(),21,1000-ROW(),1),"Sub"))))</f>
        <v/>
      </c>
      <c r="K170" s="60">
        <f>IF(N($W170)=0,"",IF(AND($S170=MesCiclo,3&gt;SemanaActual),"",MIN(1,SUMIFS(OFFSET($A$1,ROW(),31,1000-ROW(),1),OFFSET($A$1,ROW(),20,1000-ROW(),1),ROW(),OFFSET($A$1,ROW(),21,1000-ROW(),1),"Sub"))))</f>
        <v/>
      </c>
      <c r="L170" s="60">
        <f>IF(N($W170)=0,"",IF(AND($S170=MesCiclo,4&gt;SemanaActual),"",MIN(1,SUMIFS(OFFSET($A$1,ROW(),32,1000-ROW(),1),OFFSET($A$1,ROW(),20,1000-ROW(),1),ROW(),OFFSET($A$1,ROW(),21,1000-ROW(),1),"Sub"))))</f>
        <v/>
      </c>
      <c r="M170" s="61">
        <f>IF(OR(NOT((COUNTA($B170:$D170)+COUNTA($G170:$H170)+COUNTA($Q170))&gt;0),$V170="Sub"),"",IF(ISNUMBER($G170),1,IF(N($W170)&gt;0,MIN(1,SUMIFS($Y$5:$Y$1000,$U$5:$U$1000,ROW(),$V$5:$V$1000,"Sub")),$Y170)))</f>
        <v/>
      </c>
      <c r="N170" s="56">
        <f>IF(OR($M170="",$V170="Sub"),"",IF($M170&gt;=1,"Completado",IF($M170&gt;0,"En curso","Pendiente")))</f>
        <v/>
      </c>
      <c r="O170" s="56">
        <f>IF(OR(NOT((COUNTA($B170:$D170)+COUNTA($G170:$H170)+COUNTA($Q170))&gt;0),$V170="Sub"),"",IF(ISNUMBER($G170),IF(AND(ISNUMBER($AS170),$G170&gt;$AS170),"Cumplida con "&amp;($G170-$AS170)&amp;IF($G170-$AS170=1," día"," días")&amp;" de retraso","Cumplida"),IF(N($M170)&gt;=1,"Cumplida",IF(NOT(ISNUMBER($AS170)),"Sin fecha límite",IF($AS170&lt;FechaRef,"Vencida hace "&amp;(FechaRef-$AS170)&amp;IF(FechaRef-$AS170=1," día"," días"),IF($AS170=FechaRef,"Vence hoy",IF($AS170-FechaRef&lt;=DiasAlerta,"Vence en "&amp;($AS170-FechaRef)&amp;IF($AS170-FechaRef=1," día"," días"),"En plazo")))))))</f>
        <v/>
      </c>
      <c r="P170" s="62" t="n"/>
      <c r="Q170" s="58" t="n"/>
      <c r="R170" s="63">
        <f>IF(NOT((COUNTA($B170:$D170)+COUNTA($G170:$H170)+COUNTA($Q170))&gt;0),"",IF((IF($C170="","Falta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 OK","⚠ "&amp;LEFT(IF($C170="","Falta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",""),LEN(IF($C170="","Falta el nombre de la actividad"&amp;" · ","")&amp;IF(AND($V170="Sub",N($U170)=0),"Subactividad sin macroactividad arriba"&amp;" · ","")&amp;IF(AND($V170="Macro",$AR170=""),"Sin fecha de inicio"&amp;" · ","")&amp;IF(AND($V170="Macro",$AS170=""),"Sin fecha límite"&amp;" · ","")&amp;IF(AND(LEFT($C170,11)="[Jefatura] ",N($AQ170)=0),"No se encuentra en la hoja de la jefatura (elíjala de nuevo en la lista)"&amp;" · ","")&amp;IF(OR(AND($E170&lt;&gt;"",NOT(ISNUMBER($E170))),AND($F170&lt;&gt;"",NOT(ISNUMBER($F170))),AND($G170&lt;&gt;"",NOT(ISNUMBER($G170)))),"Fecha no válida"&amp;" · ","")&amp;IF(AND(ISNUMBER($AR170),ISNUMBER($AS170),$AR170&gt;$AS170),"Inicio posterior a fecha límite"&amp;" · ","")&amp;IF(AND($V170="Macro",$H170&lt;&gt;"",OR(NOT(ISNUMBER($H170)),$H170&lt;0,$H170&gt;1)),"Peso fuera de rango"&amp;" · ","")&amp;IF(AND($V170="Sub",$H170&lt;&gt;"",OR(NOT(ISNUMBER($H170)),$H170&lt;0,$H170&gt;1)),"% de la subactividad fuera de rango 0-100%"&amp;" · ","")&amp;IF(AND(N($W170)&gt;0,SUMIFS($H$5:$H$1000,$U$5:$U$1000,ROW(),$V$5:$V$1000,"Sub")&gt;1.0001),"Las subactividades suman más de 100%"&amp;" · ","")&amp;IF(AND(N($W170)&gt;0,OR(IF(ISNUMBER($I170),ROUND($I170,6)&lt;&gt;ROUND(MIN(1,SUMIFS($AD$5:$AD$1000,$U$5:$U$1000,ROW(),$V$5:$V$1000,"Sub")),6),FALSE),IF(ISNUMBER($J170),ROUND($J170,6)&lt;&gt;ROUND(MIN(1,SUMIFS($AE$5:$AE$1000,$U$5:$U$1000,ROW(),$V$5:$V$1000,"Sub")),6),FALSE),IF(ISNUMBER($K170),ROUND($K170,6)&lt;&gt;ROUND(MIN(1,SUMIFS($AF$5:$AF$1000,$U$5:$U$1000,ROW(),$V$5:$V$1000,"Sub")),6),FALSE),IF(ISNUMBER($L170),ROUND($L170,6)&lt;&gt;ROUND(MIN(1,SUMIFS($AG$5:$AG$1000,$U$5:$U$1000,ROW(),$V$5:$V$1000,"Sub")),6),FALSE))),"Con subactividades: no escriba en las semanas (se llenan solas)"&amp;" · ","")&amp;IF((COUNTIF($I170:$L170,"&gt;1")+COUNTIF($I170:$L170,"&lt;0")+SUMPRODUCT((LEN($I170:$L170)&gt;0)*NOT(ISNUMBER($I170:$L170))))&gt;0,"Avance fuera de rango 0-100%"&amp;" · ","")&amp;IF(OR(AND(ISNUMBER($J170),$J170&lt;N($I170)),AND(ISNUMBER($K170),$K170&lt;MAX($I170:$J170)),AND(ISNUMBER($L170),$L170&lt;MAX($I170:$K170))),"Avance semanal decreciente"&amp;" · ","")&amp;IF(AND(ISNUMBER($AS170),$AS170&lt;FechaRef,IF($V170="Sub",1,N($M170))&lt;1),"Vencida"&amp;" · ","")&amp;IF(AND(ObsObligatoria="Sí",ISNUMBER($AS170),$AS170&lt;FechaRef,IF($V170="Sub",1,N($M170))&lt;1,$Q170=""),"Vencida sin observación"&amp;" · ",""))-3)))</f>
        <v/>
      </c>
      <c r="S170" s="64">
        <f>IF(NOT((COUNTA($B170:$D170)+COUNTA($G170:$H170)+COUNTA($Q170))&gt;0),"",IF(AND($V170="Sub",N($U170)&gt;0),IF(ISNUMBER(INDEX($AR$5:$AR$1000,$U170-4)),DATE(YEAR(INDEX($AR$5:$AR$1000,$U170-4)),MONTH(INDEX($AR$5:$AR$1000,$U170-4)),1),IF(ISNUMBER(INDEX($AS$5:$AS$1000,$U170-4)),DATE(YEAR(INDEX($AS$5:$AS$1000,$U170-4)),MONTH(INDEX($AS$5:$AS$1000,$U170-4)),1),MesCiclo)),IF(ISNUMBER($AR170),DATE(YEAR($AR170),MONTH($AR170),1),IF(ISNUMBER($AS170),DATE(YEAR($AS170),MONTH($AS170),1),MesCiclo))))</f>
        <v/>
      </c>
      <c r="T170" s="62">
        <f>IF(OR($S170="",$S170&lt;&gt;MesCiclo,$V170&lt;&gt;"Macro"),"",COUNTIFS($S$5:$S170,MesCiclo,$V$5:$V170,"Macro"))</f>
        <v/>
      </c>
      <c r="U170" s="62">
        <f>IF($V170="","",IF($V170="Macro",ROW(),IFERROR(LOOKUP(2,1/($V$5:$V170="Macro"),ROW($V$5:$V170)),0)))</f>
        <v/>
      </c>
      <c r="V170" s="62">
        <f>IF(NOT((COUNTA($B170:$D170)+COUNTA($G170:$H170)+COUNTA($Q170))&gt;0),"",IF($B170="Subactividad","Sub","Macro"))</f>
        <v/>
      </c>
      <c r="W170" s="62">
        <f>IF($V170="Macro",COUNTIFS($U$5:$U$1000,ROW(),$V$5:$V$1000,"Sub"),"")</f>
        <v/>
      </c>
      <c r="X170" s="62">
        <f>IF($V170&lt;&gt;"Sub","",IF(AND(ISNUMBER($H170),N($H170)&gt;0),$H170,IFERROR(MAX(0,1-SUMIFS($H$5:$H$1000,$U$5:$U$1000,$U170,$V$5:$V$1000,"Sub"))/(COUNTIFS($U$5:$U$1000,$U170,$V$5:$V$1000,"Sub")-COUNTIFS($U$5:$U$1000,$U170,$V$5:$V$1000,"Sub",$H$5:$H$1000,"&gt;0")),0)))</f>
        <v/>
      </c>
      <c r="Y170" s="62">
        <f>IF($V170="","",IF($V170="Sub",N($X170)*IF(ISNUMBER($G170),1,MIN(1,MAX(0,IFERROR(LOOKUP(2,1/ISNUMBER($I170:$L170),$I170:$L170),0)))),IF(ISNUMBER($G170),1,IFERROR(LOOKUP(2,1/($I170:$L170&lt;&gt;""),$I170:$L170),0))))</f>
        <v/>
      </c>
      <c r="Z170" s="62">
        <f>IF($V170="","",IF(AND(ISNUMBER($G170),$G170&lt;=IF($S170=MesCiclo,InicioCiclo,$S170+MOD(2-WEEKDAY($S170),7))+6),1,IF(ISNUMBER($I170),$I170,0)))</f>
        <v/>
      </c>
      <c r="AA170" s="62">
        <f>IF($V170="","",IF(AND(ISNUMBER($G170),$G170&lt;=IF($S170=MesCiclo,InicioCiclo,$S170+MOD(2-WEEKDAY($S170),7))+13),1,IF(ISNUMBER($J170),$J170,$Z170)))</f>
        <v/>
      </c>
      <c r="AB170" s="62">
        <f>IF($V170="","",IF(AND(ISNUMBER($G170),$G170&lt;=IF($S170=MesCiclo,InicioCiclo,$S170+MOD(2-WEEKDAY($S170),7))+20),1,IF(ISNUMBER($K170),$K170,$AA170)))</f>
        <v/>
      </c>
      <c r="AC170" s="62">
        <f>IF($V170="","",IF(AND(ISNUMBER($G170),$G170&lt;=IF($S170=MesCiclo,InicioCiclo,$S170+MOD(2-WEEKDAY($S170),7))+27),1,IF(ISNUMBER($L170),$L170,$AB170)))</f>
        <v/>
      </c>
      <c r="AD170" s="62">
        <f>IF($V170&lt;&gt;"Sub","",N($X170)*IF(AND(ISNUMBER($G170),$G170&lt;=IF($S170=MesCiclo,InicioCiclo,$S170+MOD(2-WEEKDAY($S170),7))+6),1,MIN(1,MAX(0,IF(ISNUMBER(OFFSET($A$1,ROW()-1,8)),OFFSET($A$1,ROW()-1,8),0)))))</f>
        <v/>
      </c>
      <c r="AE170" s="62">
        <f>IF($V170&lt;&gt;"Sub","",N($X170)*IF(AND(ISNUMBER($G170),$G170&lt;=IF($S170=MesCiclo,InicioCiclo,$S170+MOD(2-WEEKDAY($S170),7))+13),1,MIN(1,MAX(0,IF(ISNUMBER(OFFSET($A$1,ROW()-1,9)),OFFSET($A$1,ROW()-1,9),IF(ISNUMBER(OFFSET($A$1,ROW()-1,8)),OFFSET($A$1,ROW()-1,8),0))))))</f>
        <v/>
      </c>
      <c r="AF170" s="62">
        <f>IF($V170&lt;&gt;"Sub","",N($X170)*IF(AND(ISNUMBER($G170),$G170&lt;=IF($S170=MesCiclo,InicioCiclo,$S170+MOD(2-WEEKDAY($S170),7))+20),1,MIN(1,MAX(0,IF(ISNUMBER(OFFSET($A$1,ROW()-1,10)),OFFSET($A$1,ROW()-1,10),IF(ISNUMBER(OFFSET($A$1,ROW()-1,9)),OFFSET($A$1,ROW()-1,9),IF(ISNUMBER(OFFSET($A$1,ROW()-1,8)),OFFSET($A$1,ROW()-1,8),0)))))))</f>
        <v/>
      </c>
      <c r="AG170" s="62">
        <f>IF($V170&lt;&gt;"Sub","",N($X170)*IF(AND(ISNUMBER($G170),$G170&lt;=IF($S170=MesCiclo,InicioCiclo,$S170+MOD(2-WEEKDAY($S170),7))+27),1,MIN(1,MAX(0,IF(ISNUMBER(OFFSET($A$1,ROW()-1,11)),OFFSET($A$1,ROW()-1,11),IF(ISNUMBER(OFFSET($A$1,ROW()-1,10)),OFFSET($A$1,ROW()-1,10),IF(ISNUMBER(OFFSET($A$1,ROW()-1,9)),OFFSET($A$1,ROW()-1,9),IF(ISNUMBER(OFFSET($A$1,ROW()-1,8)),OFFSET($A$1,ROW()-1,8),0))))))))</f>
        <v/>
      </c>
      <c r="AH170" s="62">
        <f>IF($V170="","",IF(AND(ISNUMBER($G170),$G170&lt;=IF($S170=MesCiclo,InicioCiclo,$S170+MOD(2-WEEKDAY($S170),7))+6),1,IF(N($W170)&gt;0,MIN(1,SUMIFS($AD$5:$AD$1000,$U$5:$U$1000,ROW(),$V$5:$V$1000,"Sub")),$Z170)))</f>
        <v/>
      </c>
      <c r="AI170" s="62">
        <f>IF($V170="","",IF(AND(ISNUMBER($G170),$G170&lt;=IF($S170=MesCiclo,InicioCiclo,$S170+MOD(2-WEEKDAY($S170),7))+13),1,IF(N($W170)&gt;0,MIN(1,SUMIFS($AE$5:$AE$1000,$U$5:$U$1000,ROW(),$V$5:$V$1000,"Sub")),$AA170)))</f>
        <v/>
      </c>
      <c r="AJ170" s="62">
        <f>IF($V170="","",IF(AND(ISNUMBER($G170),$G170&lt;=IF($S170=MesCiclo,InicioCiclo,$S170+MOD(2-WEEKDAY($S170),7))+20),1,IF(N($W170)&gt;0,MIN(1,SUMIFS($AF$5:$AF$1000,$U$5:$U$1000,ROW(),$V$5:$V$1000,"Sub")),$AB170)))</f>
        <v/>
      </c>
      <c r="AK170" s="62">
        <f>IF($V170="","",IF(AND(ISNUMBER($G170),$G170&lt;=IF($S170=MesCiclo,InicioCiclo,$S170+MOD(2-WEEKDAY($S170),7))+27),1,IF(N($W170)&gt;0,MIN(1,SUMIFS($AG$5:$AG$1000,$U$5:$U$1000,ROW(),$V$5:$V$1000,"Sub")),$AC170)))</f>
        <v/>
      </c>
      <c r="AL170" s="62">
        <f>IF($V170&lt;&gt;"Macro","",IF(COUNTIFS($S$5:$S$1000,$S170,$V$5:$V$1000,"Macro",$H$5:$H$1000,"&gt;0")=0,1/COUNTIFS($S$5:$S$1000,$S170,$V$5:$V$1000,"Macro"),IF(AND(ISNUMBER($H170),N($H170)&gt;0),$H170,SUMIFS($H$5:$H$1000,$S$5:$S$1000,$S170,$V$5:$V$1000,"Macro")/COUNTIFS($S$5:$S$1000,$S170,$V$5:$V$1000,"Macro",$H$5:$H$1000,"&gt;0"))/(COUNTIFS($S$5:$S$1000,$S170,$V$5:$V$1000,"Macro")*SUMIFS($H$5:$H$1000,$S$5:$S$1000,$S170,$V$5:$V$1000,"Macro")/COUNTIFS($S$5:$S$1000,$S170,$V$5:$V$1000,"Macro",$H$5:$H$1000,"&gt;0"))))</f>
        <v/>
      </c>
      <c r="AM170" s="62" t="n"/>
      <c r="AN170" s="62" t="n"/>
      <c r="AO170" s="62" t="n"/>
      <c r="AP170" s="62" t="n"/>
      <c r="AQ170" s="62">
        <f>IF(LEFT($C170,11)="[Jefatura] ",IFERROR(MATCH("Asistente Técnico de Riesgo|"&amp;MID($C170,12,500),rDname_ADM,0),0),"")</f>
        <v/>
      </c>
      <c r="AR170" s="62">
        <f>IF(N($AQ170)&gt;0,INDEX(rIni_ADM,$AQ170),IF(ISNUMBER($E170),$E170,""))</f>
        <v/>
      </c>
      <c r="AS170" s="62">
        <f>IF(N($AQ170)&gt;0,INDEX(rLim_ADM,$AQ170),IF(ISNUMBER($F170),$F170,""))</f>
        <v/>
      </c>
    </row>
    <row r="171">
      <c r="A171" s="56">
        <f>IF(NOT((COUNTA($B171:$D171)+COUNTA($G171:$H171)+COUNTA($Q171))&gt;0),"",IF($V171="Macro",COUNTIFS($V$5:$V171,"Macro",$S$5:$S171,$S171),IF(N($U171)=0,"?",COUNTIFS(INDEX($V$5:$V$1000,1):INDEX($V$5:$V$1000,$U171-4),"Macro",INDEX($S$5:$S$1000,1):INDEX($S$5:$S$1000,$U171-4),INDEX($S$5:$S$1000,$U171-4))&amp;"."&amp;COUNTIFS($U$5:$U171,$U171,$V$5:$V171,"Sub"))))</f>
        <v/>
      </c>
      <c r="B171" s="57" t="n"/>
      <c r="C171" s="58" t="n"/>
      <c r="D171" s="58" t="n"/>
      <c r="E171" s="59">
        <f>IF(N($AQ171)&gt;0,INDEX(rIni_ADM,$AQ171),"")</f>
        <v/>
      </c>
      <c r="F171" s="59">
        <f>IF(N($AQ171)&gt;0,INDEX(rLim_ADM,$AQ171),"")</f>
        <v/>
      </c>
      <c r="G171" s="59" t="n"/>
      <c r="H171" s="60" t="n"/>
      <c r="I171" s="60">
        <f>IF(N($W171)=0,"",IF(AND($S171=MesCiclo,1&gt;SemanaActual),"",MIN(1,SUMIFS(OFFSET($A$1,ROW(),29,1000-ROW(),1),OFFSET($A$1,ROW(),20,1000-ROW(),1),ROW(),OFFSET($A$1,ROW(),21,1000-ROW(),1),"Sub"))))</f>
        <v/>
      </c>
      <c r="J171" s="60">
        <f>IF(N($W171)=0,"",IF(AND($S171=MesCiclo,2&gt;SemanaActual),"",MIN(1,SUMIFS(OFFSET($A$1,ROW(),30,1000-ROW(),1),OFFSET($A$1,ROW(),20,1000-ROW(),1),ROW(),OFFSET($A$1,ROW(),21,1000-ROW(),1),"Sub"))))</f>
        <v/>
      </c>
      <c r="K171" s="60">
        <f>IF(N($W171)=0,"",IF(AND($S171=MesCiclo,3&gt;SemanaActual),"",MIN(1,SUMIFS(OFFSET($A$1,ROW(),31,1000-ROW(),1),OFFSET($A$1,ROW(),20,1000-ROW(),1),ROW(),OFFSET($A$1,ROW(),21,1000-ROW(),1),"Sub"))))</f>
        <v/>
      </c>
      <c r="L171" s="60">
        <f>IF(N($W171)=0,"",IF(AND($S171=MesCiclo,4&gt;SemanaActual),"",MIN(1,SUMIFS(OFFSET($A$1,ROW(),32,1000-ROW(),1),OFFSET($A$1,ROW(),20,1000-ROW(),1),ROW(),OFFSET($A$1,ROW(),21,1000-ROW(),1),"Sub"))))</f>
        <v/>
      </c>
      <c r="M171" s="61">
        <f>IF(OR(NOT((COUNTA($B171:$D171)+COUNTA($G171:$H171)+COUNTA($Q171))&gt;0),$V171="Sub"),"",IF(ISNUMBER($G171),1,IF(N($W171)&gt;0,MIN(1,SUMIFS($Y$5:$Y$1000,$U$5:$U$1000,ROW(),$V$5:$V$1000,"Sub")),$Y171)))</f>
        <v/>
      </c>
      <c r="N171" s="56">
        <f>IF(OR($M171="",$V171="Sub"),"",IF($M171&gt;=1,"Completado",IF($M171&gt;0,"En curso","Pendiente")))</f>
        <v/>
      </c>
      <c r="O171" s="56">
        <f>IF(OR(NOT((COUNTA($B171:$D171)+COUNTA($G171:$H171)+COUNTA($Q171))&gt;0),$V171="Sub"),"",IF(ISNUMBER($G171),IF(AND(ISNUMBER($AS171),$G171&gt;$AS171),"Cumplida con "&amp;($G171-$AS171)&amp;IF($G171-$AS171=1," día"," días")&amp;" de retraso","Cumplida"),IF(N($M171)&gt;=1,"Cumplida",IF(NOT(ISNUMBER($AS171)),"Sin fecha límite",IF($AS171&lt;FechaRef,"Vencida hace "&amp;(FechaRef-$AS171)&amp;IF(FechaRef-$AS171=1," día"," días"),IF($AS171=FechaRef,"Vence hoy",IF($AS171-FechaRef&lt;=DiasAlerta,"Vence en "&amp;($AS171-FechaRef)&amp;IF($AS171-FechaRef=1," día"," días"),"En plazo")))))))</f>
        <v/>
      </c>
      <c r="P171" s="62" t="n"/>
      <c r="Q171" s="58" t="n"/>
      <c r="R171" s="63">
        <f>IF(NOT((COUNTA($B171:$D171)+COUNTA($G171:$H171)+COUNTA($Q171))&gt;0),"",IF((IF($C171="","Falta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 OK","⚠ "&amp;LEFT(IF($C171="","Falta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",""),LEN(IF($C171="","Falta el nombre de la actividad"&amp;" · ","")&amp;IF(AND($V171="Sub",N($U171)=0),"Subactividad sin macroactividad arriba"&amp;" · ","")&amp;IF(AND($V171="Macro",$AR171=""),"Sin fecha de inicio"&amp;" · ","")&amp;IF(AND($V171="Macro",$AS171=""),"Sin fecha límite"&amp;" · ","")&amp;IF(AND(LEFT($C171,11)="[Jefatura] ",N($AQ171)=0),"No se encuentra en la hoja de la jefatura (elíjala de nuevo en la lista)"&amp;" · ","")&amp;IF(OR(AND($E171&lt;&gt;"",NOT(ISNUMBER($E171))),AND($F171&lt;&gt;"",NOT(ISNUMBER($F171))),AND($G171&lt;&gt;"",NOT(ISNUMBER($G171)))),"Fecha no válida"&amp;" · ","")&amp;IF(AND(ISNUMBER($AR171),ISNUMBER($AS171),$AR171&gt;$AS171),"Inicio posterior a fecha límite"&amp;" · ","")&amp;IF(AND($V171="Macro",$H171&lt;&gt;"",OR(NOT(ISNUMBER($H171)),$H171&lt;0,$H171&gt;1)),"Peso fuera de rango"&amp;" · ","")&amp;IF(AND($V171="Sub",$H171&lt;&gt;"",OR(NOT(ISNUMBER($H171)),$H171&lt;0,$H171&gt;1)),"% de la subactividad fuera de rango 0-100%"&amp;" · ","")&amp;IF(AND(N($W171)&gt;0,SUMIFS($H$5:$H$1000,$U$5:$U$1000,ROW(),$V$5:$V$1000,"Sub")&gt;1.0001),"Las subactividades suman más de 100%"&amp;" · ","")&amp;IF(AND(N($W171)&gt;0,OR(IF(ISNUMBER($I171),ROUND($I171,6)&lt;&gt;ROUND(MIN(1,SUMIFS($AD$5:$AD$1000,$U$5:$U$1000,ROW(),$V$5:$V$1000,"Sub")),6),FALSE),IF(ISNUMBER($J171),ROUND($J171,6)&lt;&gt;ROUND(MIN(1,SUMIFS($AE$5:$AE$1000,$U$5:$U$1000,ROW(),$V$5:$V$1000,"Sub")),6),FALSE),IF(ISNUMBER($K171),ROUND($K171,6)&lt;&gt;ROUND(MIN(1,SUMIFS($AF$5:$AF$1000,$U$5:$U$1000,ROW(),$V$5:$V$1000,"Sub")),6),FALSE),IF(ISNUMBER($L171),ROUND($L171,6)&lt;&gt;ROUND(MIN(1,SUMIFS($AG$5:$AG$1000,$U$5:$U$1000,ROW(),$V$5:$V$1000,"Sub")),6),FALSE))),"Con subactividades: no escriba en las semanas (se llenan solas)"&amp;" · ","")&amp;IF((COUNTIF($I171:$L171,"&gt;1")+COUNTIF($I171:$L171,"&lt;0")+SUMPRODUCT((LEN($I171:$L171)&gt;0)*NOT(ISNUMBER($I171:$L171))))&gt;0,"Avance fuera de rango 0-100%"&amp;" · ","")&amp;IF(OR(AND(ISNUMBER($J171),$J171&lt;N($I171)),AND(ISNUMBER($K171),$K171&lt;MAX($I171:$J171)),AND(ISNUMBER($L171),$L171&lt;MAX($I171:$K171))),"Avance semanal decreciente"&amp;" · ","")&amp;IF(AND(ISNUMBER($AS171),$AS171&lt;FechaRef,IF($V171="Sub",1,N($M171))&lt;1),"Vencida"&amp;" · ","")&amp;IF(AND(ObsObligatoria="Sí",ISNUMBER($AS171),$AS171&lt;FechaRef,IF($V171="Sub",1,N($M171))&lt;1,$Q171=""),"Vencida sin observación"&amp;" · ",""))-3)))</f>
        <v/>
      </c>
      <c r="S171" s="64">
        <f>IF(NOT((COUNTA($B171:$D171)+COUNTA($G171:$H171)+COUNTA($Q171))&gt;0),"",IF(AND($V171="Sub",N($U171)&gt;0),IF(ISNUMBER(INDEX($AR$5:$AR$1000,$U171-4)),DATE(YEAR(INDEX($AR$5:$AR$1000,$U171-4)),MONTH(INDEX($AR$5:$AR$1000,$U171-4)),1),IF(ISNUMBER(INDEX($AS$5:$AS$1000,$U171-4)),DATE(YEAR(INDEX($AS$5:$AS$1000,$U171-4)),MONTH(INDEX($AS$5:$AS$1000,$U171-4)),1),MesCiclo)),IF(ISNUMBER($AR171),DATE(YEAR($AR171),MONTH($AR171),1),IF(ISNUMBER($AS171),DATE(YEAR($AS171),MONTH($AS171),1),MesCiclo))))</f>
        <v/>
      </c>
      <c r="T171" s="62">
        <f>IF(OR($S171="",$S171&lt;&gt;MesCiclo,$V171&lt;&gt;"Macro"),"",COUNTIFS($S$5:$S171,MesCiclo,$V$5:$V171,"Macro"))</f>
        <v/>
      </c>
      <c r="U171" s="62">
        <f>IF($V171="","",IF($V171="Macro",ROW(),IFERROR(LOOKUP(2,1/($V$5:$V171="Macro"),ROW($V$5:$V171)),0)))</f>
        <v/>
      </c>
      <c r="V171" s="62">
        <f>IF(NOT((COUNTA($B171:$D171)+COUNTA($G171:$H171)+COUNTA($Q171))&gt;0),"",IF($B171="Subactividad","Sub","Macro"))</f>
        <v/>
      </c>
      <c r="W171" s="62">
        <f>IF($V171="Macro",COUNTIFS($U$5:$U$1000,ROW(),$V$5:$V$1000,"Sub"),"")</f>
        <v/>
      </c>
      <c r="X171" s="62">
        <f>IF($V171&lt;&gt;"Sub","",IF(AND(ISNUMBER($H171),N($H171)&gt;0),$H171,IFERROR(MAX(0,1-SUMIFS($H$5:$H$1000,$U$5:$U$1000,$U171,$V$5:$V$1000,"Sub"))/(COUNTIFS($U$5:$U$1000,$U171,$V$5:$V$1000,"Sub")-COUNTIFS($U$5:$U$1000,$U171,$V$5:$V$1000,"Sub",$H$5:$H$1000,"&gt;0")),0)))</f>
        <v/>
      </c>
      <c r="Y171" s="62">
        <f>IF($V171="","",IF($V171="Sub",N($X171)*IF(ISNUMBER($G171),1,MIN(1,MAX(0,IFERROR(LOOKUP(2,1/ISNUMBER($I171:$L171),$I171:$L171),0)))),IF(ISNUMBER($G171),1,IFERROR(LOOKUP(2,1/($I171:$L171&lt;&gt;""),$I171:$L171),0))))</f>
        <v/>
      </c>
      <c r="Z171" s="62">
        <f>IF($V171="","",IF(AND(ISNUMBER($G171),$G171&lt;=IF($S171=MesCiclo,InicioCiclo,$S171+MOD(2-WEEKDAY($S171),7))+6),1,IF(ISNUMBER($I171),$I171,0)))</f>
        <v/>
      </c>
      <c r="AA171" s="62">
        <f>IF($V171="","",IF(AND(ISNUMBER($G171),$G171&lt;=IF($S171=MesCiclo,InicioCiclo,$S171+MOD(2-WEEKDAY($S171),7))+13),1,IF(ISNUMBER($J171),$J171,$Z171)))</f>
        <v/>
      </c>
      <c r="AB171" s="62">
        <f>IF($V171="","",IF(AND(ISNUMBER($G171),$G171&lt;=IF($S171=MesCiclo,InicioCiclo,$S171+MOD(2-WEEKDAY($S171),7))+20),1,IF(ISNUMBER($K171),$K171,$AA171)))</f>
        <v/>
      </c>
      <c r="AC171" s="62">
        <f>IF($V171="","",IF(AND(ISNUMBER($G171),$G171&lt;=IF($S171=MesCiclo,InicioCiclo,$S171+MOD(2-WEEKDAY($S171),7))+27),1,IF(ISNUMBER($L171),$L171,$AB171)))</f>
        <v/>
      </c>
      <c r="AD171" s="62">
        <f>IF($V171&lt;&gt;"Sub","",N($X171)*IF(AND(ISNUMBER($G171),$G171&lt;=IF($S171=MesCiclo,InicioCiclo,$S171+MOD(2-WEEKDAY($S171),7))+6),1,MIN(1,MAX(0,IF(ISNUMBER(OFFSET($A$1,ROW()-1,8)),OFFSET($A$1,ROW()-1,8),0)))))</f>
        <v/>
      </c>
      <c r="AE171" s="62">
        <f>IF($V171&lt;&gt;"Sub","",N($X171)*IF(AND(ISNUMBER($G171),$G171&lt;=IF($S171=MesCiclo,InicioCiclo,$S171+MOD(2-WEEKDAY($S171),7))+13),1,MIN(1,MAX(0,IF(ISNUMBER(OFFSET($A$1,ROW()-1,9)),OFFSET($A$1,ROW()-1,9),IF(ISNUMBER(OFFSET($A$1,ROW()-1,8)),OFFSET($A$1,ROW()-1,8),0))))))</f>
        <v/>
      </c>
      <c r="AF171" s="62">
        <f>IF($V171&lt;&gt;"Sub","",N($X171)*IF(AND(ISNUMBER($G171),$G171&lt;=IF($S171=MesCiclo,InicioCiclo,$S171+MOD(2-WEEKDAY($S171),7))+20),1,MIN(1,MAX(0,IF(ISNUMBER(OFFSET($A$1,ROW()-1,10)),OFFSET($A$1,ROW()-1,10),IF(ISNUMBER(OFFSET($A$1,ROW()-1,9)),OFFSET($A$1,ROW()-1,9),IF(ISNUMBER(OFFSET($A$1,ROW()-1,8)),OFFSET($A$1,ROW()-1,8),0)))))))</f>
        <v/>
      </c>
      <c r="AG171" s="62">
        <f>IF($V171&lt;&gt;"Sub","",N($X171)*IF(AND(ISNUMBER($G171),$G171&lt;=IF($S171=MesCiclo,InicioCiclo,$S171+MOD(2-WEEKDAY($S171),7))+27),1,MIN(1,MAX(0,IF(ISNUMBER(OFFSET($A$1,ROW()-1,11)),OFFSET($A$1,ROW()-1,11),IF(ISNUMBER(OFFSET($A$1,ROW()-1,10)),OFFSET($A$1,ROW()-1,10),IF(ISNUMBER(OFFSET($A$1,ROW()-1,9)),OFFSET($A$1,ROW()-1,9),IF(ISNUMBER(OFFSET($A$1,ROW()-1,8)),OFFSET($A$1,ROW()-1,8),0))))))))</f>
        <v/>
      </c>
      <c r="AH171" s="62">
        <f>IF($V171="","",IF(AND(ISNUMBER($G171),$G171&lt;=IF($S171=MesCiclo,InicioCiclo,$S171+MOD(2-WEEKDAY($S171),7))+6),1,IF(N($W171)&gt;0,MIN(1,SUMIFS($AD$5:$AD$1000,$U$5:$U$1000,ROW(),$V$5:$V$1000,"Sub")),$Z171)))</f>
        <v/>
      </c>
      <c r="AI171" s="62">
        <f>IF($V171="","",IF(AND(ISNUMBER($G171),$G171&lt;=IF($S171=MesCiclo,InicioCiclo,$S171+MOD(2-WEEKDAY($S171),7))+13),1,IF(N($W171)&gt;0,MIN(1,SUMIFS($AE$5:$AE$1000,$U$5:$U$1000,ROW(),$V$5:$V$1000,"Sub")),$AA171)))</f>
        <v/>
      </c>
      <c r="AJ171" s="62">
        <f>IF($V171="","",IF(AND(ISNUMBER($G171),$G171&lt;=IF($S171=MesCiclo,InicioCiclo,$S171+MOD(2-WEEKDAY($S171),7))+20),1,IF(N($W171)&gt;0,MIN(1,SUMIFS($AF$5:$AF$1000,$U$5:$U$1000,ROW(),$V$5:$V$1000,"Sub")),$AB171)))</f>
        <v/>
      </c>
      <c r="AK171" s="62">
        <f>IF($V171="","",IF(AND(ISNUMBER($G171),$G171&lt;=IF($S171=MesCiclo,InicioCiclo,$S171+MOD(2-WEEKDAY($S171),7))+27),1,IF(N($W171)&gt;0,MIN(1,SUMIFS($AG$5:$AG$1000,$U$5:$U$1000,ROW(),$V$5:$V$1000,"Sub")),$AC171)))</f>
        <v/>
      </c>
      <c r="AL171" s="62">
        <f>IF($V171&lt;&gt;"Macro","",IF(COUNTIFS($S$5:$S$1000,$S171,$V$5:$V$1000,"Macro",$H$5:$H$1000,"&gt;0")=0,1/COUNTIFS($S$5:$S$1000,$S171,$V$5:$V$1000,"Macro"),IF(AND(ISNUMBER($H171),N($H171)&gt;0),$H171,SUMIFS($H$5:$H$1000,$S$5:$S$1000,$S171,$V$5:$V$1000,"Macro")/COUNTIFS($S$5:$S$1000,$S171,$V$5:$V$1000,"Macro",$H$5:$H$1000,"&gt;0"))/(COUNTIFS($S$5:$S$1000,$S171,$V$5:$V$1000,"Macro")*SUMIFS($H$5:$H$1000,$S$5:$S$1000,$S171,$V$5:$V$1000,"Macro")/COUNTIFS($S$5:$S$1000,$S171,$V$5:$V$1000,"Macro",$H$5:$H$1000,"&gt;0"))))</f>
        <v/>
      </c>
      <c r="AM171" s="62" t="n"/>
      <c r="AN171" s="62" t="n"/>
      <c r="AO171" s="62" t="n"/>
      <c r="AP171" s="62" t="n"/>
      <c r="AQ171" s="62">
        <f>IF(LEFT($C171,11)="[Jefatura] ",IFERROR(MATCH("Asistente Técnico de Riesgo|"&amp;MID($C171,12,500),rDname_ADM,0),0),"")</f>
        <v/>
      </c>
      <c r="AR171" s="62">
        <f>IF(N($AQ171)&gt;0,INDEX(rIni_ADM,$AQ171),IF(ISNUMBER($E171),$E171,""))</f>
        <v/>
      </c>
      <c r="AS171" s="62">
        <f>IF(N($AQ171)&gt;0,INDEX(rLim_ADM,$AQ171),IF(ISNUMBER($F171),$F171,""))</f>
        <v/>
      </c>
    </row>
    <row r="172">
      <c r="A172" s="56">
        <f>IF(NOT((COUNTA($B172:$D172)+COUNTA($G172:$H172)+COUNTA($Q172))&gt;0),"",IF($V172="Macro",COUNTIFS($V$5:$V172,"Macro",$S$5:$S172,$S172),IF(N($U172)=0,"?",COUNTIFS(INDEX($V$5:$V$1000,1):INDEX($V$5:$V$1000,$U172-4),"Macro",INDEX($S$5:$S$1000,1):INDEX($S$5:$S$1000,$U172-4),INDEX($S$5:$S$1000,$U172-4))&amp;"."&amp;COUNTIFS($U$5:$U172,$U172,$V$5:$V172,"Sub"))))</f>
        <v/>
      </c>
      <c r="B172" s="57" t="n"/>
      <c r="C172" s="58" t="n"/>
      <c r="D172" s="58" t="n"/>
      <c r="E172" s="59">
        <f>IF(N($AQ172)&gt;0,INDEX(rIni_ADM,$AQ172),"")</f>
        <v/>
      </c>
      <c r="F172" s="59">
        <f>IF(N($AQ172)&gt;0,INDEX(rLim_ADM,$AQ172),"")</f>
        <v/>
      </c>
      <c r="G172" s="59" t="n"/>
      <c r="H172" s="60" t="n"/>
      <c r="I172" s="60">
        <f>IF(N($W172)=0,"",IF(AND($S172=MesCiclo,1&gt;SemanaActual),"",MIN(1,SUMIFS(OFFSET($A$1,ROW(),29,1000-ROW(),1),OFFSET($A$1,ROW(),20,1000-ROW(),1),ROW(),OFFSET($A$1,ROW(),21,1000-ROW(),1),"Sub"))))</f>
        <v/>
      </c>
      <c r="J172" s="60">
        <f>IF(N($W172)=0,"",IF(AND($S172=MesCiclo,2&gt;SemanaActual),"",MIN(1,SUMIFS(OFFSET($A$1,ROW(),30,1000-ROW(),1),OFFSET($A$1,ROW(),20,1000-ROW(),1),ROW(),OFFSET($A$1,ROW(),21,1000-ROW(),1),"Sub"))))</f>
        <v/>
      </c>
      <c r="K172" s="60">
        <f>IF(N($W172)=0,"",IF(AND($S172=MesCiclo,3&gt;SemanaActual),"",MIN(1,SUMIFS(OFFSET($A$1,ROW(),31,1000-ROW(),1),OFFSET($A$1,ROW(),20,1000-ROW(),1),ROW(),OFFSET($A$1,ROW(),21,1000-ROW(),1),"Sub"))))</f>
        <v/>
      </c>
      <c r="L172" s="60">
        <f>IF(N($W172)=0,"",IF(AND($S172=MesCiclo,4&gt;SemanaActual),"",MIN(1,SUMIFS(OFFSET($A$1,ROW(),32,1000-ROW(),1),OFFSET($A$1,ROW(),20,1000-ROW(),1),ROW(),OFFSET($A$1,ROW(),21,1000-ROW(),1),"Sub"))))</f>
        <v/>
      </c>
      <c r="M172" s="61">
        <f>IF(OR(NOT((COUNTA($B172:$D172)+COUNTA($G172:$H172)+COUNTA($Q172))&gt;0),$V172="Sub"),"",IF(ISNUMBER($G172),1,IF(N($W172)&gt;0,MIN(1,SUMIFS($Y$5:$Y$1000,$U$5:$U$1000,ROW(),$V$5:$V$1000,"Sub")),$Y172)))</f>
        <v/>
      </c>
      <c r="N172" s="56">
        <f>IF(OR($M172="",$V172="Sub"),"",IF($M172&gt;=1,"Completado",IF($M172&gt;0,"En curso","Pendiente")))</f>
        <v/>
      </c>
      <c r="O172" s="56">
        <f>IF(OR(NOT((COUNTA($B172:$D172)+COUNTA($G172:$H172)+COUNTA($Q172))&gt;0),$V172="Sub"),"",IF(ISNUMBER($G172),IF(AND(ISNUMBER($AS172),$G172&gt;$AS172),"Cumplida con "&amp;($G172-$AS172)&amp;IF($G172-$AS172=1," día"," días")&amp;" de retraso","Cumplida"),IF(N($M172)&gt;=1,"Cumplida",IF(NOT(ISNUMBER($AS172)),"Sin fecha límite",IF($AS172&lt;FechaRef,"Vencida hace "&amp;(FechaRef-$AS172)&amp;IF(FechaRef-$AS172=1," día"," días"),IF($AS172=FechaRef,"Vence hoy",IF($AS172-FechaRef&lt;=DiasAlerta,"Vence en "&amp;($AS172-FechaRef)&amp;IF($AS172-FechaRef=1," día"," días"),"En plazo")))))))</f>
        <v/>
      </c>
      <c r="P172" s="62" t="n"/>
      <c r="Q172" s="58" t="n"/>
      <c r="R172" s="63">
        <f>IF(NOT((COUNTA($B172:$D172)+COUNTA($G172:$H172)+COUNTA($Q172))&gt;0),"",IF((IF($C172="","Falta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 OK","⚠ "&amp;LEFT(IF($C172="","Falta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",""),LEN(IF($C172="","Falta el nombre de la actividad"&amp;" · ","")&amp;IF(AND($V172="Sub",N($U172)=0),"Subactividad sin macroactividad arriba"&amp;" · ","")&amp;IF(AND($V172="Macro",$AR172=""),"Sin fecha de inicio"&amp;" · ","")&amp;IF(AND($V172="Macro",$AS172=""),"Sin fecha límite"&amp;" · ","")&amp;IF(AND(LEFT($C172,11)="[Jefatura] ",N($AQ172)=0),"No se encuentra en la hoja de la jefatura (elíjala de nuevo en la lista)"&amp;" · ","")&amp;IF(OR(AND($E172&lt;&gt;"",NOT(ISNUMBER($E172))),AND($F172&lt;&gt;"",NOT(ISNUMBER($F172))),AND($G172&lt;&gt;"",NOT(ISNUMBER($G172)))),"Fecha no válida"&amp;" · ","")&amp;IF(AND(ISNUMBER($AR172),ISNUMBER($AS172),$AR172&gt;$AS172),"Inicio posterior a fecha límite"&amp;" · ","")&amp;IF(AND($V172="Macro",$H172&lt;&gt;"",OR(NOT(ISNUMBER($H172)),$H172&lt;0,$H172&gt;1)),"Peso fuera de rango"&amp;" · ","")&amp;IF(AND($V172="Sub",$H172&lt;&gt;"",OR(NOT(ISNUMBER($H172)),$H172&lt;0,$H172&gt;1)),"% de la subactividad fuera de rango 0-100%"&amp;" · ","")&amp;IF(AND(N($W172)&gt;0,SUMIFS($H$5:$H$1000,$U$5:$U$1000,ROW(),$V$5:$V$1000,"Sub")&gt;1.0001),"Las subactividades suman más de 100%"&amp;" · ","")&amp;IF(AND(N($W172)&gt;0,OR(IF(ISNUMBER($I172),ROUND($I172,6)&lt;&gt;ROUND(MIN(1,SUMIFS($AD$5:$AD$1000,$U$5:$U$1000,ROW(),$V$5:$V$1000,"Sub")),6),FALSE),IF(ISNUMBER($J172),ROUND($J172,6)&lt;&gt;ROUND(MIN(1,SUMIFS($AE$5:$AE$1000,$U$5:$U$1000,ROW(),$V$5:$V$1000,"Sub")),6),FALSE),IF(ISNUMBER($K172),ROUND($K172,6)&lt;&gt;ROUND(MIN(1,SUMIFS($AF$5:$AF$1000,$U$5:$U$1000,ROW(),$V$5:$V$1000,"Sub")),6),FALSE),IF(ISNUMBER($L172),ROUND($L172,6)&lt;&gt;ROUND(MIN(1,SUMIFS($AG$5:$AG$1000,$U$5:$U$1000,ROW(),$V$5:$V$1000,"Sub")),6),FALSE))),"Con subactividades: no escriba en las semanas (se llenan solas)"&amp;" · ","")&amp;IF((COUNTIF($I172:$L172,"&gt;1")+COUNTIF($I172:$L172,"&lt;0")+SUMPRODUCT((LEN($I172:$L172)&gt;0)*NOT(ISNUMBER($I172:$L172))))&gt;0,"Avance fuera de rango 0-100%"&amp;" · ","")&amp;IF(OR(AND(ISNUMBER($J172),$J172&lt;N($I172)),AND(ISNUMBER($K172),$K172&lt;MAX($I172:$J172)),AND(ISNUMBER($L172),$L172&lt;MAX($I172:$K172))),"Avance semanal decreciente"&amp;" · ","")&amp;IF(AND(ISNUMBER($AS172),$AS172&lt;FechaRef,IF($V172="Sub",1,N($M172))&lt;1),"Vencida"&amp;" · ","")&amp;IF(AND(ObsObligatoria="Sí",ISNUMBER($AS172),$AS172&lt;FechaRef,IF($V172="Sub",1,N($M172))&lt;1,$Q172=""),"Vencida sin observación"&amp;" · ",""))-3)))</f>
        <v/>
      </c>
      <c r="S172" s="64">
        <f>IF(NOT((COUNTA($B172:$D172)+COUNTA($G172:$H172)+COUNTA($Q172))&gt;0),"",IF(AND($V172="Sub",N($U172)&gt;0),IF(ISNUMBER(INDEX($AR$5:$AR$1000,$U172-4)),DATE(YEAR(INDEX($AR$5:$AR$1000,$U172-4)),MONTH(INDEX($AR$5:$AR$1000,$U172-4)),1),IF(ISNUMBER(INDEX($AS$5:$AS$1000,$U172-4)),DATE(YEAR(INDEX($AS$5:$AS$1000,$U172-4)),MONTH(INDEX($AS$5:$AS$1000,$U172-4)),1),MesCiclo)),IF(ISNUMBER($AR172),DATE(YEAR($AR172),MONTH($AR172),1),IF(ISNUMBER($AS172),DATE(YEAR($AS172),MONTH($AS172),1),MesCiclo))))</f>
        <v/>
      </c>
      <c r="T172" s="62">
        <f>IF(OR($S172="",$S172&lt;&gt;MesCiclo,$V172&lt;&gt;"Macro"),"",COUNTIFS($S$5:$S172,MesCiclo,$V$5:$V172,"Macro"))</f>
        <v/>
      </c>
      <c r="U172" s="62">
        <f>IF($V172="","",IF($V172="Macro",ROW(),IFERROR(LOOKUP(2,1/($V$5:$V172="Macro"),ROW($V$5:$V172)),0)))</f>
        <v/>
      </c>
      <c r="V172" s="62">
        <f>IF(NOT((COUNTA($B172:$D172)+COUNTA($G172:$H172)+COUNTA($Q172))&gt;0),"",IF($B172="Subactividad","Sub","Macro"))</f>
        <v/>
      </c>
      <c r="W172" s="62">
        <f>IF($V172="Macro",COUNTIFS($U$5:$U$1000,ROW(),$V$5:$V$1000,"Sub"),"")</f>
        <v/>
      </c>
      <c r="X172" s="62">
        <f>IF($V172&lt;&gt;"Sub","",IF(AND(ISNUMBER($H172),N($H172)&gt;0),$H172,IFERROR(MAX(0,1-SUMIFS($H$5:$H$1000,$U$5:$U$1000,$U172,$V$5:$V$1000,"Sub"))/(COUNTIFS($U$5:$U$1000,$U172,$V$5:$V$1000,"Sub")-COUNTIFS($U$5:$U$1000,$U172,$V$5:$V$1000,"Sub",$H$5:$H$1000,"&gt;0")),0)))</f>
        <v/>
      </c>
      <c r="Y172" s="62">
        <f>IF($V172="","",IF($V172="Sub",N($X172)*IF(ISNUMBER($G172),1,MIN(1,MAX(0,IFERROR(LOOKUP(2,1/ISNUMBER($I172:$L172),$I172:$L172),0)))),IF(ISNUMBER($G172),1,IFERROR(LOOKUP(2,1/($I172:$L172&lt;&gt;""),$I172:$L172),0))))</f>
        <v/>
      </c>
      <c r="Z172" s="62">
        <f>IF($V172="","",IF(AND(ISNUMBER($G172),$G172&lt;=IF($S172=MesCiclo,InicioCiclo,$S172+MOD(2-WEEKDAY($S172),7))+6),1,IF(ISNUMBER($I172),$I172,0)))</f>
        <v/>
      </c>
      <c r="AA172" s="62">
        <f>IF($V172="","",IF(AND(ISNUMBER($G172),$G172&lt;=IF($S172=MesCiclo,InicioCiclo,$S172+MOD(2-WEEKDAY($S172),7))+13),1,IF(ISNUMBER($J172),$J172,$Z172)))</f>
        <v/>
      </c>
      <c r="AB172" s="62">
        <f>IF($V172="","",IF(AND(ISNUMBER($G172),$G172&lt;=IF($S172=MesCiclo,InicioCiclo,$S172+MOD(2-WEEKDAY($S172),7))+20),1,IF(ISNUMBER($K172),$K172,$AA172)))</f>
        <v/>
      </c>
      <c r="AC172" s="62">
        <f>IF($V172="","",IF(AND(ISNUMBER($G172),$G172&lt;=IF($S172=MesCiclo,InicioCiclo,$S172+MOD(2-WEEKDAY($S172),7))+27),1,IF(ISNUMBER($L172),$L172,$AB172)))</f>
        <v/>
      </c>
      <c r="AD172" s="62">
        <f>IF($V172&lt;&gt;"Sub","",N($X172)*IF(AND(ISNUMBER($G172),$G172&lt;=IF($S172=MesCiclo,InicioCiclo,$S172+MOD(2-WEEKDAY($S172),7))+6),1,MIN(1,MAX(0,IF(ISNUMBER(OFFSET($A$1,ROW()-1,8)),OFFSET($A$1,ROW()-1,8),0)))))</f>
        <v/>
      </c>
      <c r="AE172" s="62">
        <f>IF($V172&lt;&gt;"Sub","",N($X172)*IF(AND(ISNUMBER($G172),$G172&lt;=IF($S172=MesCiclo,InicioCiclo,$S172+MOD(2-WEEKDAY($S172),7))+13),1,MIN(1,MAX(0,IF(ISNUMBER(OFFSET($A$1,ROW()-1,9)),OFFSET($A$1,ROW()-1,9),IF(ISNUMBER(OFFSET($A$1,ROW()-1,8)),OFFSET($A$1,ROW()-1,8),0))))))</f>
        <v/>
      </c>
      <c r="AF172" s="62">
        <f>IF($V172&lt;&gt;"Sub","",N($X172)*IF(AND(ISNUMBER($G172),$G172&lt;=IF($S172=MesCiclo,InicioCiclo,$S172+MOD(2-WEEKDAY($S172),7))+20),1,MIN(1,MAX(0,IF(ISNUMBER(OFFSET($A$1,ROW()-1,10)),OFFSET($A$1,ROW()-1,10),IF(ISNUMBER(OFFSET($A$1,ROW()-1,9)),OFFSET($A$1,ROW()-1,9),IF(ISNUMBER(OFFSET($A$1,ROW()-1,8)),OFFSET($A$1,ROW()-1,8),0)))))))</f>
        <v/>
      </c>
      <c r="AG172" s="62">
        <f>IF($V172&lt;&gt;"Sub","",N($X172)*IF(AND(ISNUMBER($G172),$G172&lt;=IF($S172=MesCiclo,InicioCiclo,$S172+MOD(2-WEEKDAY($S172),7))+27),1,MIN(1,MAX(0,IF(ISNUMBER(OFFSET($A$1,ROW()-1,11)),OFFSET($A$1,ROW()-1,11),IF(ISNUMBER(OFFSET($A$1,ROW()-1,10)),OFFSET($A$1,ROW()-1,10),IF(ISNUMBER(OFFSET($A$1,ROW()-1,9)),OFFSET($A$1,ROW()-1,9),IF(ISNUMBER(OFFSET($A$1,ROW()-1,8)),OFFSET($A$1,ROW()-1,8),0))))))))</f>
        <v/>
      </c>
      <c r="AH172" s="62">
        <f>IF($V172="","",IF(AND(ISNUMBER($G172),$G172&lt;=IF($S172=MesCiclo,InicioCiclo,$S172+MOD(2-WEEKDAY($S172),7))+6),1,IF(N($W172)&gt;0,MIN(1,SUMIFS($AD$5:$AD$1000,$U$5:$U$1000,ROW(),$V$5:$V$1000,"Sub")),$Z172)))</f>
        <v/>
      </c>
      <c r="AI172" s="62">
        <f>IF($V172="","",IF(AND(ISNUMBER($G172),$G172&lt;=IF($S172=MesCiclo,InicioCiclo,$S172+MOD(2-WEEKDAY($S172),7))+13),1,IF(N($W172)&gt;0,MIN(1,SUMIFS($AE$5:$AE$1000,$U$5:$U$1000,ROW(),$V$5:$V$1000,"Sub")),$AA172)))</f>
        <v/>
      </c>
      <c r="AJ172" s="62">
        <f>IF($V172="","",IF(AND(ISNUMBER($G172),$G172&lt;=IF($S172=MesCiclo,InicioCiclo,$S172+MOD(2-WEEKDAY($S172),7))+20),1,IF(N($W172)&gt;0,MIN(1,SUMIFS($AF$5:$AF$1000,$U$5:$U$1000,ROW(),$V$5:$V$1000,"Sub")),$AB172)))</f>
        <v/>
      </c>
      <c r="AK172" s="62">
        <f>IF($V172="","",IF(AND(ISNUMBER($G172),$G172&lt;=IF($S172=MesCiclo,InicioCiclo,$S172+MOD(2-WEEKDAY($S172),7))+27),1,IF(N($W172)&gt;0,MIN(1,SUMIFS($AG$5:$AG$1000,$U$5:$U$1000,ROW(),$V$5:$V$1000,"Sub")),$AC172)))</f>
        <v/>
      </c>
      <c r="AL172" s="62">
        <f>IF($V172&lt;&gt;"Macro","",IF(COUNTIFS($S$5:$S$1000,$S172,$V$5:$V$1000,"Macro",$H$5:$H$1000,"&gt;0")=0,1/COUNTIFS($S$5:$S$1000,$S172,$V$5:$V$1000,"Macro"),IF(AND(ISNUMBER($H172),N($H172)&gt;0),$H172,SUMIFS($H$5:$H$1000,$S$5:$S$1000,$S172,$V$5:$V$1000,"Macro")/COUNTIFS($S$5:$S$1000,$S172,$V$5:$V$1000,"Macro",$H$5:$H$1000,"&gt;0"))/(COUNTIFS($S$5:$S$1000,$S172,$V$5:$V$1000,"Macro")*SUMIFS($H$5:$H$1000,$S$5:$S$1000,$S172,$V$5:$V$1000,"Macro")/COUNTIFS($S$5:$S$1000,$S172,$V$5:$V$1000,"Macro",$H$5:$H$1000,"&gt;0"))))</f>
        <v/>
      </c>
      <c r="AM172" s="62" t="n"/>
      <c r="AN172" s="62" t="n"/>
      <c r="AO172" s="62" t="n"/>
      <c r="AP172" s="62" t="n"/>
      <c r="AQ172" s="62">
        <f>IF(LEFT($C172,11)="[Jefatura] ",IFERROR(MATCH("Asistente Técnico de Riesgo|"&amp;MID($C172,12,500),rDname_ADM,0),0),"")</f>
        <v/>
      </c>
      <c r="AR172" s="62">
        <f>IF(N($AQ172)&gt;0,INDEX(rIni_ADM,$AQ172),IF(ISNUMBER($E172),$E172,""))</f>
        <v/>
      </c>
      <c r="AS172" s="62">
        <f>IF(N($AQ172)&gt;0,INDEX(rLim_ADM,$AQ172),IF(ISNUMBER($F172),$F172,""))</f>
        <v/>
      </c>
    </row>
    <row r="173">
      <c r="A173" s="56">
        <f>IF(NOT((COUNTA($B173:$D173)+COUNTA($G173:$H173)+COUNTA($Q173))&gt;0),"",IF($V173="Macro",COUNTIFS($V$5:$V173,"Macro",$S$5:$S173,$S173),IF(N($U173)=0,"?",COUNTIFS(INDEX($V$5:$V$1000,1):INDEX($V$5:$V$1000,$U173-4),"Macro",INDEX($S$5:$S$1000,1):INDEX($S$5:$S$1000,$U173-4),INDEX($S$5:$S$1000,$U173-4))&amp;"."&amp;COUNTIFS($U$5:$U173,$U173,$V$5:$V173,"Sub"))))</f>
        <v/>
      </c>
      <c r="B173" s="57" t="n"/>
      <c r="C173" s="58" t="n"/>
      <c r="D173" s="58" t="n"/>
      <c r="E173" s="59">
        <f>IF(N($AQ173)&gt;0,INDEX(rIni_ADM,$AQ173),"")</f>
        <v/>
      </c>
      <c r="F173" s="59">
        <f>IF(N($AQ173)&gt;0,INDEX(rLim_ADM,$AQ173),"")</f>
        <v/>
      </c>
      <c r="G173" s="59" t="n"/>
      <c r="H173" s="60" t="n"/>
      <c r="I173" s="60">
        <f>IF(N($W173)=0,"",IF(AND($S173=MesCiclo,1&gt;SemanaActual),"",MIN(1,SUMIFS(OFFSET($A$1,ROW(),29,1000-ROW(),1),OFFSET($A$1,ROW(),20,1000-ROW(),1),ROW(),OFFSET($A$1,ROW(),21,1000-ROW(),1),"Sub"))))</f>
        <v/>
      </c>
      <c r="J173" s="60">
        <f>IF(N($W173)=0,"",IF(AND($S173=MesCiclo,2&gt;SemanaActual),"",MIN(1,SUMIFS(OFFSET($A$1,ROW(),30,1000-ROW(),1),OFFSET($A$1,ROW(),20,1000-ROW(),1),ROW(),OFFSET($A$1,ROW(),21,1000-ROW(),1),"Sub"))))</f>
        <v/>
      </c>
      <c r="K173" s="60">
        <f>IF(N($W173)=0,"",IF(AND($S173=MesCiclo,3&gt;SemanaActual),"",MIN(1,SUMIFS(OFFSET($A$1,ROW(),31,1000-ROW(),1),OFFSET($A$1,ROW(),20,1000-ROW(),1),ROW(),OFFSET($A$1,ROW(),21,1000-ROW(),1),"Sub"))))</f>
        <v/>
      </c>
      <c r="L173" s="60">
        <f>IF(N($W173)=0,"",IF(AND($S173=MesCiclo,4&gt;SemanaActual),"",MIN(1,SUMIFS(OFFSET($A$1,ROW(),32,1000-ROW(),1),OFFSET($A$1,ROW(),20,1000-ROW(),1),ROW(),OFFSET($A$1,ROW(),21,1000-ROW(),1),"Sub"))))</f>
        <v/>
      </c>
      <c r="M173" s="61">
        <f>IF(OR(NOT((COUNTA($B173:$D173)+COUNTA($G173:$H173)+COUNTA($Q173))&gt;0),$V173="Sub"),"",IF(ISNUMBER($G173),1,IF(N($W173)&gt;0,MIN(1,SUMIFS($Y$5:$Y$1000,$U$5:$U$1000,ROW(),$V$5:$V$1000,"Sub")),$Y173)))</f>
        <v/>
      </c>
      <c r="N173" s="56">
        <f>IF(OR($M173="",$V173="Sub"),"",IF($M173&gt;=1,"Completado",IF($M173&gt;0,"En curso","Pendiente")))</f>
        <v/>
      </c>
      <c r="O173" s="56">
        <f>IF(OR(NOT((COUNTA($B173:$D173)+COUNTA($G173:$H173)+COUNTA($Q173))&gt;0),$V173="Sub"),"",IF(ISNUMBER($G173),IF(AND(ISNUMBER($AS173),$G173&gt;$AS173),"Cumplida con "&amp;($G173-$AS173)&amp;IF($G173-$AS173=1," día"," días")&amp;" de retraso","Cumplida"),IF(N($M173)&gt;=1,"Cumplida",IF(NOT(ISNUMBER($AS173)),"Sin fecha límite",IF($AS173&lt;FechaRef,"Vencida hace "&amp;(FechaRef-$AS173)&amp;IF(FechaRef-$AS173=1," día"," días"),IF($AS173=FechaRef,"Vence hoy",IF($AS173-FechaRef&lt;=DiasAlerta,"Vence en "&amp;($AS173-FechaRef)&amp;IF($AS173-FechaRef=1," día"," días"),"En plazo")))))))</f>
        <v/>
      </c>
      <c r="P173" s="62" t="n"/>
      <c r="Q173" s="58" t="n"/>
      <c r="R173" s="63">
        <f>IF(NOT((COUNTA($B173:$D173)+COUNTA($G173:$H173)+COUNTA($Q173))&gt;0),"",IF((IF($C173="","Falta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 OK","⚠ "&amp;LEFT(IF($C173="","Falta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",""),LEN(IF($C173="","Falta el nombre de la actividad"&amp;" · ","")&amp;IF(AND($V173="Sub",N($U173)=0),"Subactividad sin macroactividad arriba"&amp;" · ","")&amp;IF(AND($V173="Macro",$AR173=""),"Sin fecha de inicio"&amp;" · ","")&amp;IF(AND($V173="Macro",$AS173=""),"Sin fecha límite"&amp;" · ","")&amp;IF(AND(LEFT($C173,11)="[Jefatura] ",N($AQ173)=0),"No se encuentra en la hoja de la jefatura (elíjala de nuevo en la lista)"&amp;" · ","")&amp;IF(OR(AND($E173&lt;&gt;"",NOT(ISNUMBER($E173))),AND($F173&lt;&gt;"",NOT(ISNUMBER($F173))),AND($G173&lt;&gt;"",NOT(ISNUMBER($G173)))),"Fecha no válida"&amp;" · ","")&amp;IF(AND(ISNUMBER($AR173),ISNUMBER($AS173),$AR173&gt;$AS173),"Inicio posterior a fecha límite"&amp;" · ","")&amp;IF(AND($V173="Macro",$H173&lt;&gt;"",OR(NOT(ISNUMBER($H173)),$H173&lt;0,$H173&gt;1)),"Peso fuera de rango"&amp;" · ","")&amp;IF(AND($V173="Sub",$H173&lt;&gt;"",OR(NOT(ISNUMBER($H173)),$H173&lt;0,$H173&gt;1)),"% de la subactividad fuera de rango 0-100%"&amp;" · ","")&amp;IF(AND(N($W173)&gt;0,SUMIFS($H$5:$H$1000,$U$5:$U$1000,ROW(),$V$5:$V$1000,"Sub")&gt;1.0001),"Las subactividades suman más de 100%"&amp;" · ","")&amp;IF(AND(N($W173)&gt;0,OR(IF(ISNUMBER($I173),ROUND($I173,6)&lt;&gt;ROUND(MIN(1,SUMIFS($AD$5:$AD$1000,$U$5:$U$1000,ROW(),$V$5:$V$1000,"Sub")),6),FALSE),IF(ISNUMBER($J173),ROUND($J173,6)&lt;&gt;ROUND(MIN(1,SUMIFS($AE$5:$AE$1000,$U$5:$U$1000,ROW(),$V$5:$V$1000,"Sub")),6),FALSE),IF(ISNUMBER($K173),ROUND($K173,6)&lt;&gt;ROUND(MIN(1,SUMIFS($AF$5:$AF$1000,$U$5:$U$1000,ROW(),$V$5:$V$1000,"Sub")),6),FALSE),IF(ISNUMBER($L173),ROUND($L173,6)&lt;&gt;ROUND(MIN(1,SUMIFS($AG$5:$AG$1000,$U$5:$U$1000,ROW(),$V$5:$V$1000,"Sub")),6),FALSE))),"Con subactividades: no escriba en las semanas (se llenan solas)"&amp;" · ","")&amp;IF((COUNTIF($I173:$L173,"&gt;1")+COUNTIF($I173:$L173,"&lt;0")+SUMPRODUCT((LEN($I173:$L173)&gt;0)*NOT(ISNUMBER($I173:$L173))))&gt;0,"Avance fuera de rango 0-100%"&amp;" · ","")&amp;IF(OR(AND(ISNUMBER($J173),$J173&lt;N($I173)),AND(ISNUMBER($K173),$K173&lt;MAX($I173:$J173)),AND(ISNUMBER($L173),$L173&lt;MAX($I173:$K173))),"Avance semanal decreciente"&amp;" · ","")&amp;IF(AND(ISNUMBER($AS173),$AS173&lt;FechaRef,IF($V173="Sub",1,N($M173))&lt;1),"Vencida"&amp;" · ","")&amp;IF(AND(ObsObligatoria="Sí",ISNUMBER($AS173),$AS173&lt;FechaRef,IF($V173="Sub",1,N($M173))&lt;1,$Q173=""),"Vencida sin observación"&amp;" · ",""))-3)))</f>
        <v/>
      </c>
      <c r="S173" s="64">
        <f>IF(NOT((COUNTA($B173:$D173)+COUNTA($G173:$H173)+COUNTA($Q173))&gt;0),"",IF(AND($V173="Sub",N($U173)&gt;0),IF(ISNUMBER(INDEX($AR$5:$AR$1000,$U173-4)),DATE(YEAR(INDEX($AR$5:$AR$1000,$U173-4)),MONTH(INDEX($AR$5:$AR$1000,$U173-4)),1),IF(ISNUMBER(INDEX($AS$5:$AS$1000,$U173-4)),DATE(YEAR(INDEX($AS$5:$AS$1000,$U173-4)),MONTH(INDEX($AS$5:$AS$1000,$U173-4)),1),MesCiclo)),IF(ISNUMBER($AR173),DATE(YEAR($AR173),MONTH($AR173),1),IF(ISNUMBER($AS173),DATE(YEAR($AS173),MONTH($AS173),1),MesCiclo))))</f>
        <v/>
      </c>
      <c r="T173" s="62">
        <f>IF(OR($S173="",$S173&lt;&gt;MesCiclo,$V173&lt;&gt;"Macro"),"",COUNTIFS($S$5:$S173,MesCiclo,$V$5:$V173,"Macro"))</f>
        <v/>
      </c>
      <c r="U173" s="62">
        <f>IF($V173="","",IF($V173="Macro",ROW(),IFERROR(LOOKUP(2,1/($V$5:$V173="Macro"),ROW($V$5:$V173)),0)))</f>
        <v/>
      </c>
      <c r="V173" s="62">
        <f>IF(NOT((COUNTA($B173:$D173)+COUNTA($G173:$H173)+COUNTA($Q173))&gt;0),"",IF($B173="Subactividad","Sub","Macro"))</f>
        <v/>
      </c>
      <c r="W173" s="62">
        <f>IF($V173="Macro",COUNTIFS($U$5:$U$1000,ROW(),$V$5:$V$1000,"Sub"),"")</f>
        <v/>
      </c>
      <c r="X173" s="62">
        <f>IF($V173&lt;&gt;"Sub","",IF(AND(ISNUMBER($H173),N($H173)&gt;0),$H173,IFERROR(MAX(0,1-SUMIFS($H$5:$H$1000,$U$5:$U$1000,$U173,$V$5:$V$1000,"Sub"))/(COUNTIFS($U$5:$U$1000,$U173,$V$5:$V$1000,"Sub")-COUNTIFS($U$5:$U$1000,$U173,$V$5:$V$1000,"Sub",$H$5:$H$1000,"&gt;0")),0)))</f>
        <v/>
      </c>
      <c r="Y173" s="62">
        <f>IF($V173="","",IF($V173="Sub",N($X173)*IF(ISNUMBER($G173),1,MIN(1,MAX(0,IFERROR(LOOKUP(2,1/ISNUMBER($I173:$L173),$I173:$L173),0)))),IF(ISNUMBER($G173),1,IFERROR(LOOKUP(2,1/($I173:$L173&lt;&gt;""),$I173:$L173),0))))</f>
        <v/>
      </c>
      <c r="Z173" s="62">
        <f>IF($V173="","",IF(AND(ISNUMBER($G173),$G173&lt;=IF($S173=MesCiclo,InicioCiclo,$S173+MOD(2-WEEKDAY($S173),7))+6),1,IF(ISNUMBER($I173),$I173,0)))</f>
        <v/>
      </c>
      <c r="AA173" s="62">
        <f>IF($V173="","",IF(AND(ISNUMBER($G173),$G173&lt;=IF($S173=MesCiclo,InicioCiclo,$S173+MOD(2-WEEKDAY($S173),7))+13),1,IF(ISNUMBER($J173),$J173,$Z173)))</f>
        <v/>
      </c>
      <c r="AB173" s="62">
        <f>IF($V173="","",IF(AND(ISNUMBER($G173),$G173&lt;=IF($S173=MesCiclo,InicioCiclo,$S173+MOD(2-WEEKDAY($S173),7))+20),1,IF(ISNUMBER($K173),$K173,$AA173)))</f>
        <v/>
      </c>
      <c r="AC173" s="62">
        <f>IF($V173="","",IF(AND(ISNUMBER($G173),$G173&lt;=IF($S173=MesCiclo,InicioCiclo,$S173+MOD(2-WEEKDAY($S173),7))+27),1,IF(ISNUMBER($L173),$L173,$AB173)))</f>
        <v/>
      </c>
      <c r="AD173" s="62">
        <f>IF($V173&lt;&gt;"Sub","",N($X173)*IF(AND(ISNUMBER($G173),$G173&lt;=IF($S173=MesCiclo,InicioCiclo,$S173+MOD(2-WEEKDAY($S173),7))+6),1,MIN(1,MAX(0,IF(ISNUMBER(OFFSET($A$1,ROW()-1,8)),OFFSET($A$1,ROW()-1,8),0)))))</f>
        <v/>
      </c>
      <c r="AE173" s="62">
        <f>IF($V173&lt;&gt;"Sub","",N($X173)*IF(AND(ISNUMBER($G173),$G173&lt;=IF($S173=MesCiclo,InicioCiclo,$S173+MOD(2-WEEKDAY($S173),7))+13),1,MIN(1,MAX(0,IF(ISNUMBER(OFFSET($A$1,ROW()-1,9)),OFFSET($A$1,ROW()-1,9),IF(ISNUMBER(OFFSET($A$1,ROW()-1,8)),OFFSET($A$1,ROW()-1,8),0))))))</f>
        <v/>
      </c>
      <c r="AF173" s="62">
        <f>IF($V173&lt;&gt;"Sub","",N($X173)*IF(AND(ISNUMBER($G173),$G173&lt;=IF($S173=MesCiclo,InicioCiclo,$S173+MOD(2-WEEKDAY($S173),7))+20),1,MIN(1,MAX(0,IF(ISNUMBER(OFFSET($A$1,ROW()-1,10)),OFFSET($A$1,ROW()-1,10),IF(ISNUMBER(OFFSET($A$1,ROW()-1,9)),OFFSET($A$1,ROW()-1,9),IF(ISNUMBER(OFFSET($A$1,ROW()-1,8)),OFFSET($A$1,ROW()-1,8),0)))))))</f>
        <v/>
      </c>
      <c r="AG173" s="62">
        <f>IF($V173&lt;&gt;"Sub","",N($X173)*IF(AND(ISNUMBER($G173),$G173&lt;=IF($S173=MesCiclo,InicioCiclo,$S173+MOD(2-WEEKDAY($S173),7))+27),1,MIN(1,MAX(0,IF(ISNUMBER(OFFSET($A$1,ROW()-1,11)),OFFSET($A$1,ROW()-1,11),IF(ISNUMBER(OFFSET($A$1,ROW()-1,10)),OFFSET($A$1,ROW()-1,10),IF(ISNUMBER(OFFSET($A$1,ROW()-1,9)),OFFSET($A$1,ROW()-1,9),IF(ISNUMBER(OFFSET($A$1,ROW()-1,8)),OFFSET($A$1,ROW()-1,8),0))))))))</f>
        <v/>
      </c>
      <c r="AH173" s="62">
        <f>IF($V173="","",IF(AND(ISNUMBER($G173),$G173&lt;=IF($S173=MesCiclo,InicioCiclo,$S173+MOD(2-WEEKDAY($S173),7))+6),1,IF(N($W173)&gt;0,MIN(1,SUMIFS($AD$5:$AD$1000,$U$5:$U$1000,ROW(),$V$5:$V$1000,"Sub")),$Z173)))</f>
        <v/>
      </c>
      <c r="AI173" s="62">
        <f>IF($V173="","",IF(AND(ISNUMBER($G173),$G173&lt;=IF($S173=MesCiclo,InicioCiclo,$S173+MOD(2-WEEKDAY($S173),7))+13),1,IF(N($W173)&gt;0,MIN(1,SUMIFS($AE$5:$AE$1000,$U$5:$U$1000,ROW(),$V$5:$V$1000,"Sub")),$AA173)))</f>
        <v/>
      </c>
      <c r="AJ173" s="62">
        <f>IF($V173="","",IF(AND(ISNUMBER($G173),$G173&lt;=IF($S173=MesCiclo,InicioCiclo,$S173+MOD(2-WEEKDAY($S173),7))+20),1,IF(N($W173)&gt;0,MIN(1,SUMIFS($AF$5:$AF$1000,$U$5:$U$1000,ROW(),$V$5:$V$1000,"Sub")),$AB173)))</f>
        <v/>
      </c>
      <c r="AK173" s="62">
        <f>IF($V173="","",IF(AND(ISNUMBER($G173),$G173&lt;=IF($S173=MesCiclo,InicioCiclo,$S173+MOD(2-WEEKDAY($S173),7))+27),1,IF(N($W173)&gt;0,MIN(1,SUMIFS($AG$5:$AG$1000,$U$5:$U$1000,ROW(),$V$5:$V$1000,"Sub")),$AC173)))</f>
        <v/>
      </c>
      <c r="AL173" s="62">
        <f>IF($V173&lt;&gt;"Macro","",IF(COUNTIFS($S$5:$S$1000,$S173,$V$5:$V$1000,"Macro",$H$5:$H$1000,"&gt;0")=0,1/COUNTIFS($S$5:$S$1000,$S173,$V$5:$V$1000,"Macro"),IF(AND(ISNUMBER($H173),N($H173)&gt;0),$H173,SUMIFS($H$5:$H$1000,$S$5:$S$1000,$S173,$V$5:$V$1000,"Macro")/COUNTIFS($S$5:$S$1000,$S173,$V$5:$V$1000,"Macro",$H$5:$H$1000,"&gt;0"))/(COUNTIFS($S$5:$S$1000,$S173,$V$5:$V$1000,"Macro")*SUMIFS($H$5:$H$1000,$S$5:$S$1000,$S173,$V$5:$V$1000,"Macro")/COUNTIFS($S$5:$S$1000,$S173,$V$5:$V$1000,"Macro",$H$5:$H$1000,"&gt;0"))))</f>
        <v/>
      </c>
      <c r="AM173" s="62" t="n"/>
      <c r="AN173" s="62" t="n"/>
      <c r="AO173" s="62" t="n"/>
      <c r="AP173" s="62" t="n"/>
      <c r="AQ173" s="62">
        <f>IF(LEFT($C173,11)="[Jefatura] ",IFERROR(MATCH("Asistente Técnico de Riesgo|"&amp;MID($C173,12,500),rDname_ADM,0),0),"")</f>
        <v/>
      </c>
      <c r="AR173" s="62">
        <f>IF(N($AQ173)&gt;0,INDEX(rIni_ADM,$AQ173),IF(ISNUMBER($E173),$E173,""))</f>
        <v/>
      </c>
      <c r="AS173" s="62">
        <f>IF(N($AQ173)&gt;0,INDEX(rLim_ADM,$AQ173),IF(ISNUMBER($F173),$F173,""))</f>
        <v/>
      </c>
    </row>
    <row r="174">
      <c r="A174" s="56">
        <f>IF(NOT((COUNTA($B174:$D174)+COUNTA($G174:$H174)+COUNTA($Q174))&gt;0),"",IF($V174="Macro",COUNTIFS($V$5:$V174,"Macro",$S$5:$S174,$S174),IF(N($U174)=0,"?",COUNTIFS(INDEX($V$5:$V$1000,1):INDEX($V$5:$V$1000,$U174-4),"Macro",INDEX($S$5:$S$1000,1):INDEX($S$5:$S$1000,$U174-4),INDEX($S$5:$S$1000,$U174-4))&amp;"."&amp;COUNTIFS($U$5:$U174,$U174,$V$5:$V174,"Sub"))))</f>
        <v/>
      </c>
      <c r="B174" s="57" t="n"/>
      <c r="C174" s="58" t="n"/>
      <c r="D174" s="58" t="n"/>
      <c r="E174" s="59">
        <f>IF(N($AQ174)&gt;0,INDEX(rIni_ADM,$AQ174),"")</f>
        <v/>
      </c>
      <c r="F174" s="59">
        <f>IF(N($AQ174)&gt;0,INDEX(rLim_ADM,$AQ174),"")</f>
        <v/>
      </c>
      <c r="G174" s="59" t="n"/>
      <c r="H174" s="60" t="n"/>
      <c r="I174" s="60">
        <f>IF(N($W174)=0,"",IF(AND($S174=MesCiclo,1&gt;SemanaActual),"",MIN(1,SUMIFS(OFFSET($A$1,ROW(),29,1000-ROW(),1),OFFSET($A$1,ROW(),20,1000-ROW(),1),ROW(),OFFSET($A$1,ROW(),21,1000-ROW(),1),"Sub"))))</f>
        <v/>
      </c>
      <c r="J174" s="60">
        <f>IF(N($W174)=0,"",IF(AND($S174=MesCiclo,2&gt;SemanaActual),"",MIN(1,SUMIFS(OFFSET($A$1,ROW(),30,1000-ROW(),1),OFFSET($A$1,ROW(),20,1000-ROW(),1),ROW(),OFFSET($A$1,ROW(),21,1000-ROW(),1),"Sub"))))</f>
        <v/>
      </c>
      <c r="K174" s="60">
        <f>IF(N($W174)=0,"",IF(AND($S174=MesCiclo,3&gt;SemanaActual),"",MIN(1,SUMIFS(OFFSET($A$1,ROW(),31,1000-ROW(),1),OFFSET($A$1,ROW(),20,1000-ROW(),1),ROW(),OFFSET($A$1,ROW(),21,1000-ROW(),1),"Sub"))))</f>
        <v/>
      </c>
      <c r="L174" s="60">
        <f>IF(N($W174)=0,"",IF(AND($S174=MesCiclo,4&gt;SemanaActual),"",MIN(1,SUMIFS(OFFSET($A$1,ROW(),32,1000-ROW(),1),OFFSET($A$1,ROW(),20,1000-ROW(),1),ROW(),OFFSET($A$1,ROW(),21,1000-ROW(),1),"Sub"))))</f>
        <v/>
      </c>
      <c r="M174" s="61">
        <f>IF(OR(NOT((COUNTA($B174:$D174)+COUNTA($G174:$H174)+COUNTA($Q174))&gt;0),$V174="Sub"),"",IF(ISNUMBER($G174),1,IF(N($W174)&gt;0,MIN(1,SUMIFS($Y$5:$Y$1000,$U$5:$U$1000,ROW(),$V$5:$V$1000,"Sub")),$Y174)))</f>
        <v/>
      </c>
      <c r="N174" s="56">
        <f>IF(OR($M174="",$V174="Sub"),"",IF($M174&gt;=1,"Completado",IF($M174&gt;0,"En curso","Pendiente")))</f>
        <v/>
      </c>
      <c r="O174" s="56">
        <f>IF(OR(NOT((COUNTA($B174:$D174)+COUNTA($G174:$H174)+COUNTA($Q174))&gt;0),$V174="Sub"),"",IF(ISNUMBER($G174),IF(AND(ISNUMBER($AS174),$G174&gt;$AS174),"Cumplida con "&amp;($G174-$AS174)&amp;IF($G174-$AS174=1," día"," días")&amp;" de retraso","Cumplida"),IF(N($M174)&gt;=1,"Cumplida",IF(NOT(ISNUMBER($AS174)),"Sin fecha límite",IF($AS174&lt;FechaRef,"Vencida hace "&amp;(FechaRef-$AS174)&amp;IF(FechaRef-$AS174=1," día"," días"),IF($AS174=FechaRef,"Vence hoy",IF($AS174-FechaRef&lt;=DiasAlerta,"Vence en "&amp;($AS174-FechaRef)&amp;IF($AS174-FechaRef=1," día"," días"),"En plazo")))))))</f>
        <v/>
      </c>
      <c r="P174" s="62" t="n"/>
      <c r="Q174" s="58" t="n"/>
      <c r="R174" s="63">
        <f>IF(NOT((COUNTA($B174:$D174)+COUNTA($G174:$H174)+COUNTA($Q174))&gt;0),"",IF((IF($C174="","Falta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 OK","⚠ "&amp;LEFT(IF($C174="","Falta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",""),LEN(IF($C174="","Falta el nombre de la actividad"&amp;" · ","")&amp;IF(AND($V174="Sub",N($U174)=0),"Subactividad sin macroactividad arriba"&amp;" · ","")&amp;IF(AND($V174="Macro",$AR174=""),"Sin fecha de inicio"&amp;" · ","")&amp;IF(AND($V174="Macro",$AS174=""),"Sin fecha límite"&amp;" · ","")&amp;IF(AND(LEFT($C174,11)="[Jefatura] ",N($AQ174)=0),"No se encuentra en la hoja de la jefatura (elíjala de nuevo en la lista)"&amp;" · ","")&amp;IF(OR(AND($E174&lt;&gt;"",NOT(ISNUMBER($E174))),AND($F174&lt;&gt;"",NOT(ISNUMBER($F174))),AND($G174&lt;&gt;"",NOT(ISNUMBER($G174)))),"Fecha no válida"&amp;" · ","")&amp;IF(AND(ISNUMBER($AR174),ISNUMBER($AS174),$AR174&gt;$AS174),"Inicio posterior a fecha límite"&amp;" · ","")&amp;IF(AND($V174="Macro",$H174&lt;&gt;"",OR(NOT(ISNUMBER($H174)),$H174&lt;0,$H174&gt;1)),"Peso fuera de rango"&amp;" · ","")&amp;IF(AND($V174="Sub",$H174&lt;&gt;"",OR(NOT(ISNUMBER($H174)),$H174&lt;0,$H174&gt;1)),"% de la subactividad fuera de rango 0-100%"&amp;" · ","")&amp;IF(AND(N($W174)&gt;0,SUMIFS($H$5:$H$1000,$U$5:$U$1000,ROW(),$V$5:$V$1000,"Sub")&gt;1.0001),"Las subactividades suman más de 100%"&amp;" · ","")&amp;IF(AND(N($W174)&gt;0,OR(IF(ISNUMBER($I174),ROUND($I174,6)&lt;&gt;ROUND(MIN(1,SUMIFS($AD$5:$AD$1000,$U$5:$U$1000,ROW(),$V$5:$V$1000,"Sub")),6),FALSE),IF(ISNUMBER($J174),ROUND($J174,6)&lt;&gt;ROUND(MIN(1,SUMIFS($AE$5:$AE$1000,$U$5:$U$1000,ROW(),$V$5:$V$1000,"Sub")),6),FALSE),IF(ISNUMBER($K174),ROUND($K174,6)&lt;&gt;ROUND(MIN(1,SUMIFS($AF$5:$AF$1000,$U$5:$U$1000,ROW(),$V$5:$V$1000,"Sub")),6),FALSE),IF(ISNUMBER($L174),ROUND($L174,6)&lt;&gt;ROUND(MIN(1,SUMIFS($AG$5:$AG$1000,$U$5:$U$1000,ROW(),$V$5:$V$1000,"Sub")),6),FALSE))),"Con subactividades: no escriba en las semanas (se llenan solas)"&amp;" · ","")&amp;IF((COUNTIF($I174:$L174,"&gt;1")+COUNTIF($I174:$L174,"&lt;0")+SUMPRODUCT((LEN($I174:$L174)&gt;0)*NOT(ISNUMBER($I174:$L174))))&gt;0,"Avance fuera de rango 0-100%"&amp;" · ","")&amp;IF(OR(AND(ISNUMBER($J174),$J174&lt;N($I174)),AND(ISNUMBER($K174),$K174&lt;MAX($I174:$J174)),AND(ISNUMBER($L174),$L174&lt;MAX($I174:$K174))),"Avance semanal decreciente"&amp;" · ","")&amp;IF(AND(ISNUMBER($AS174),$AS174&lt;FechaRef,IF($V174="Sub",1,N($M174))&lt;1),"Vencida"&amp;" · ","")&amp;IF(AND(ObsObligatoria="Sí",ISNUMBER($AS174),$AS174&lt;FechaRef,IF($V174="Sub",1,N($M174))&lt;1,$Q174=""),"Vencida sin observación"&amp;" · ",""))-3)))</f>
        <v/>
      </c>
      <c r="S174" s="64">
        <f>IF(NOT((COUNTA($B174:$D174)+COUNTA($G174:$H174)+COUNTA($Q174))&gt;0),"",IF(AND($V174="Sub",N($U174)&gt;0),IF(ISNUMBER(INDEX($AR$5:$AR$1000,$U174-4)),DATE(YEAR(INDEX($AR$5:$AR$1000,$U174-4)),MONTH(INDEX($AR$5:$AR$1000,$U174-4)),1),IF(ISNUMBER(INDEX($AS$5:$AS$1000,$U174-4)),DATE(YEAR(INDEX($AS$5:$AS$1000,$U174-4)),MONTH(INDEX($AS$5:$AS$1000,$U174-4)),1),MesCiclo)),IF(ISNUMBER($AR174),DATE(YEAR($AR174),MONTH($AR174),1),IF(ISNUMBER($AS174),DATE(YEAR($AS174),MONTH($AS174),1),MesCiclo))))</f>
        <v/>
      </c>
      <c r="T174" s="62">
        <f>IF(OR($S174="",$S174&lt;&gt;MesCiclo,$V174&lt;&gt;"Macro"),"",COUNTIFS($S$5:$S174,MesCiclo,$V$5:$V174,"Macro"))</f>
        <v/>
      </c>
      <c r="U174" s="62">
        <f>IF($V174="","",IF($V174="Macro",ROW(),IFERROR(LOOKUP(2,1/($V$5:$V174="Macro"),ROW($V$5:$V174)),0)))</f>
        <v/>
      </c>
      <c r="V174" s="62">
        <f>IF(NOT((COUNTA($B174:$D174)+COUNTA($G174:$H174)+COUNTA($Q174))&gt;0),"",IF($B174="Subactividad","Sub","Macro"))</f>
        <v/>
      </c>
      <c r="W174" s="62">
        <f>IF($V174="Macro",COUNTIFS($U$5:$U$1000,ROW(),$V$5:$V$1000,"Sub"),"")</f>
        <v/>
      </c>
      <c r="X174" s="62">
        <f>IF($V174&lt;&gt;"Sub","",IF(AND(ISNUMBER($H174),N($H174)&gt;0),$H174,IFERROR(MAX(0,1-SUMIFS($H$5:$H$1000,$U$5:$U$1000,$U174,$V$5:$V$1000,"Sub"))/(COUNTIFS($U$5:$U$1000,$U174,$V$5:$V$1000,"Sub")-COUNTIFS($U$5:$U$1000,$U174,$V$5:$V$1000,"Sub",$H$5:$H$1000,"&gt;0")),0)))</f>
        <v/>
      </c>
      <c r="Y174" s="62">
        <f>IF($V174="","",IF($V174="Sub",N($X174)*IF(ISNUMBER($G174),1,MIN(1,MAX(0,IFERROR(LOOKUP(2,1/ISNUMBER($I174:$L174),$I174:$L174),0)))),IF(ISNUMBER($G174),1,IFERROR(LOOKUP(2,1/($I174:$L174&lt;&gt;""),$I174:$L174),0))))</f>
        <v/>
      </c>
      <c r="Z174" s="62">
        <f>IF($V174="","",IF(AND(ISNUMBER($G174),$G174&lt;=IF($S174=MesCiclo,InicioCiclo,$S174+MOD(2-WEEKDAY($S174),7))+6),1,IF(ISNUMBER($I174),$I174,0)))</f>
        <v/>
      </c>
      <c r="AA174" s="62">
        <f>IF($V174="","",IF(AND(ISNUMBER($G174),$G174&lt;=IF($S174=MesCiclo,InicioCiclo,$S174+MOD(2-WEEKDAY($S174),7))+13),1,IF(ISNUMBER($J174),$J174,$Z174)))</f>
        <v/>
      </c>
      <c r="AB174" s="62">
        <f>IF($V174="","",IF(AND(ISNUMBER($G174),$G174&lt;=IF($S174=MesCiclo,InicioCiclo,$S174+MOD(2-WEEKDAY($S174),7))+20),1,IF(ISNUMBER($K174),$K174,$AA174)))</f>
        <v/>
      </c>
      <c r="AC174" s="62">
        <f>IF($V174="","",IF(AND(ISNUMBER($G174),$G174&lt;=IF($S174=MesCiclo,InicioCiclo,$S174+MOD(2-WEEKDAY($S174),7))+27),1,IF(ISNUMBER($L174),$L174,$AB174)))</f>
        <v/>
      </c>
      <c r="AD174" s="62">
        <f>IF($V174&lt;&gt;"Sub","",N($X174)*IF(AND(ISNUMBER($G174),$G174&lt;=IF($S174=MesCiclo,InicioCiclo,$S174+MOD(2-WEEKDAY($S174),7))+6),1,MIN(1,MAX(0,IF(ISNUMBER(OFFSET($A$1,ROW()-1,8)),OFFSET($A$1,ROW()-1,8),0)))))</f>
        <v/>
      </c>
      <c r="AE174" s="62">
        <f>IF($V174&lt;&gt;"Sub","",N($X174)*IF(AND(ISNUMBER($G174),$G174&lt;=IF($S174=MesCiclo,InicioCiclo,$S174+MOD(2-WEEKDAY($S174),7))+13),1,MIN(1,MAX(0,IF(ISNUMBER(OFFSET($A$1,ROW()-1,9)),OFFSET($A$1,ROW()-1,9),IF(ISNUMBER(OFFSET($A$1,ROW()-1,8)),OFFSET($A$1,ROW()-1,8),0))))))</f>
        <v/>
      </c>
      <c r="AF174" s="62">
        <f>IF($V174&lt;&gt;"Sub","",N($X174)*IF(AND(ISNUMBER($G174),$G174&lt;=IF($S174=MesCiclo,InicioCiclo,$S174+MOD(2-WEEKDAY($S174),7))+20),1,MIN(1,MAX(0,IF(ISNUMBER(OFFSET($A$1,ROW()-1,10)),OFFSET($A$1,ROW()-1,10),IF(ISNUMBER(OFFSET($A$1,ROW()-1,9)),OFFSET($A$1,ROW()-1,9),IF(ISNUMBER(OFFSET($A$1,ROW()-1,8)),OFFSET($A$1,ROW()-1,8),0)))))))</f>
        <v/>
      </c>
      <c r="AG174" s="62">
        <f>IF($V174&lt;&gt;"Sub","",N($X174)*IF(AND(ISNUMBER($G174),$G174&lt;=IF($S174=MesCiclo,InicioCiclo,$S174+MOD(2-WEEKDAY($S174),7))+27),1,MIN(1,MAX(0,IF(ISNUMBER(OFFSET($A$1,ROW()-1,11)),OFFSET($A$1,ROW()-1,11),IF(ISNUMBER(OFFSET($A$1,ROW()-1,10)),OFFSET($A$1,ROW()-1,10),IF(ISNUMBER(OFFSET($A$1,ROW()-1,9)),OFFSET($A$1,ROW()-1,9),IF(ISNUMBER(OFFSET($A$1,ROW()-1,8)),OFFSET($A$1,ROW()-1,8),0))))))))</f>
        <v/>
      </c>
      <c r="AH174" s="62">
        <f>IF($V174="","",IF(AND(ISNUMBER($G174),$G174&lt;=IF($S174=MesCiclo,InicioCiclo,$S174+MOD(2-WEEKDAY($S174),7))+6),1,IF(N($W174)&gt;0,MIN(1,SUMIFS($AD$5:$AD$1000,$U$5:$U$1000,ROW(),$V$5:$V$1000,"Sub")),$Z174)))</f>
        <v/>
      </c>
      <c r="AI174" s="62">
        <f>IF($V174="","",IF(AND(ISNUMBER($G174),$G174&lt;=IF($S174=MesCiclo,InicioCiclo,$S174+MOD(2-WEEKDAY($S174),7))+13),1,IF(N($W174)&gt;0,MIN(1,SUMIFS($AE$5:$AE$1000,$U$5:$U$1000,ROW(),$V$5:$V$1000,"Sub")),$AA174)))</f>
        <v/>
      </c>
      <c r="AJ174" s="62">
        <f>IF($V174="","",IF(AND(ISNUMBER($G174),$G174&lt;=IF($S174=MesCiclo,InicioCiclo,$S174+MOD(2-WEEKDAY($S174),7))+20),1,IF(N($W174)&gt;0,MIN(1,SUMIFS($AF$5:$AF$1000,$U$5:$U$1000,ROW(),$V$5:$V$1000,"Sub")),$AB174)))</f>
        <v/>
      </c>
      <c r="AK174" s="62">
        <f>IF($V174="","",IF(AND(ISNUMBER($G174),$G174&lt;=IF($S174=MesCiclo,InicioCiclo,$S174+MOD(2-WEEKDAY($S174),7))+27),1,IF(N($W174)&gt;0,MIN(1,SUMIFS($AG$5:$AG$1000,$U$5:$U$1000,ROW(),$V$5:$V$1000,"Sub")),$AC174)))</f>
        <v/>
      </c>
      <c r="AL174" s="62">
        <f>IF($V174&lt;&gt;"Macro","",IF(COUNTIFS($S$5:$S$1000,$S174,$V$5:$V$1000,"Macro",$H$5:$H$1000,"&gt;0")=0,1/COUNTIFS($S$5:$S$1000,$S174,$V$5:$V$1000,"Macro"),IF(AND(ISNUMBER($H174),N($H174)&gt;0),$H174,SUMIFS($H$5:$H$1000,$S$5:$S$1000,$S174,$V$5:$V$1000,"Macro")/COUNTIFS($S$5:$S$1000,$S174,$V$5:$V$1000,"Macro",$H$5:$H$1000,"&gt;0"))/(COUNTIFS($S$5:$S$1000,$S174,$V$5:$V$1000,"Macro")*SUMIFS($H$5:$H$1000,$S$5:$S$1000,$S174,$V$5:$V$1000,"Macro")/COUNTIFS($S$5:$S$1000,$S174,$V$5:$V$1000,"Macro",$H$5:$H$1000,"&gt;0"))))</f>
        <v/>
      </c>
      <c r="AM174" s="62" t="n"/>
      <c r="AN174" s="62" t="n"/>
      <c r="AO174" s="62" t="n"/>
      <c r="AP174" s="62" t="n"/>
      <c r="AQ174" s="62">
        <f>IF(LEFT($C174,11)="[Jefatura] ",IFERROR(MATCH("Asistente Técnico de Riesgo|"&amp;MID($C174,12,500),rDname_ADM,0),0),"")</f>
        <v/>
      </c>
      <c r="AR174" s="62">
        <f>IF(N($AQ174)&gt;0,INDEX(rIni_ADM,$AQ174),IF(ISNUMBER($E174),$E174,""))</f>
        <v/>
      </c>
      <c r="AS174" s="62">
        <f>IF(N($AQ174)&gt;0,INDEX(rLim_ADM,$AQ174),IF(ISNUMBER($F174),$F174,""))</f>
        <v/>
      </c>
    </row>
    <row r="175">
      <c r="A175" s="56">
        <f>IF(NOT((COUNTA($B175:$D175)+COUNTA($G175:$H175)+COUNTA($Q175))&gt;0),"",IF($V175="Macro",COUNTIFS($V$5:$V175,"Macro",$S$5:$S175,$S175),IF(N($U175)=0,"?",COUNTIFS(INDEX($V$5:$V$1000,1):INDEX($V$5:$V$1000,$U175-4),"Macro",INDEX($S$5:$S$1000,1):INDEX($S$5:$S$1000,$U175-4),INDEX($S$5:$S$1000,$U175-4))&amp;"."&amp;COUNTIFS($U$5:$U175,$U175,$V$5:$V175,"Sub"))))</f>
        <v/>
      </c>
      <c r="B175" s="57" t="n"/>
      <c r="C175" s="58" t="n"/>
      <c r="D175" s="58" t="n"/>
      <c r="E175" s="59">
        <f>IF(N($AQ175)&gt;0,INDEX(rIni_ADM,$AQ175),"")</f>
        <v/>
      </c>
      <c r="F175" s="59">
        <f>IF(N($AQ175)&gt;0,INDEX(rLim_ADM,$AQ175),"")</f>
        <v/>
      </c>
      <c r="G175" s="59" t="n"/>
      <c r="H175" s="60" t="n"/>
      <c r="I175" s="60">
        <f>IF(N($W175)=0,"",IF(AND($S175=MesCiclo,1&gt;SemanaActual),"",MIN(1,SUMIFS(OFFSET($A$1,ROW(),29,1000-ROW(),1),OFFSET($A$1,ROW(),20,1000-ROW(),1),ROW(),OFFSET($A$1,ROW(),21,1000-ROW(),1),"Sub"))))</f>
        <v/>
      </c>
      <c r="J175" s="60">
        <f>IF(N($W175)=0,"",IF(AND($S175=MesCiclo,2&gt;SemanaActual),"",MIN(1,SUMIFS(OFFSET($A$1,ROW(),30,1000-ROW(),1),OFFSET($A$1,ROW(),20,1000-ROW(),1),ROW(),OFFSET($A$1,ROW(),21,1000-ROW(),1),"Sub"))))</f>
        <v/>
      </c>
      <c r="K175" s="60">
        <f>IF(N($W175)=0,"",IF(AND($S175=MesCiclo,3&gt;SemanaActual),"",MIN(1,SUMIFS(OFFSET($A$1,ROW(),31,1000-ROW(),1),OFFSET($A$1,ROW(),20,1000-ROW(),1),ROW(),OFFSET($A$1,ROW(),21,1000-ROW(),1),"Sub"))))</f>
        <v/>
      </c>
      <c r="L175" s="60">
        <f>IF(N($W175)=0,"",IF(AND($S175=MesCiclo,4&gt;SemanaActual),"",MIN(1,SUMIFS(OFFSET($A$1,ROW(),32,1000-ROW(),1),OFFSET($A$1,ROW(),20,1000-ROW(),1),ROW(),OFFSET($A$1,ROW(),21,1000-ROW(),1),"Sub"))))</f>
        <v/>
      </c>
      <c r="M175" s="61">
        <f>IF(OR(NOT((COUNTA($B175:$D175)+COUNTA($G175:$H175)+COUNTA($Q175))&gt;0),$V175="Sub"),"",IF(ISNUMBER($G175),1,IF(N($W175)&gt;0,MIN(1,SUMIFS($Y$5:$Y$1000,$U$5:$U$1000,ROW(),$V$5:$V$1000,"Sub")),$Y175)))</f>
        <v/>
      </c>
      <c r="N175" s="56">
        <f>IF(OR($M175="",$V175="Sub"),"",IF($M175&gt;=1,"Completado",IF($M175&gt;0,"En curso","Pendiente")))</f>
        <v/>
      </c>
      <c r="O175" s="56">
        <f>IF(OR(NOT((COUNTA($B175:$D175)+COUNTA($G175:$H175)+COUNTA($Q175))&gt;0),$V175="Sub"),"",IF(ISNUMBER($G175),IF(AND(ISNUMBER($AS175),$G175&gt;$AS175),"Cumplida con "&amp;($G175-$AS175)&amp;IF($G175-$AS175=1," día"," días")&amp;" de retraso","Cumplida"),IF(N($M175)&gt;=1,"Cumplida",IF(NOT(ISNUMBER($AS175)),"Sin fecha límite",IF($AS175&lt;FechaRef,"Vencida hace "&amp;(FechaRef-$AS175)&amp;IF(FechaRef-$AS175=1," día"," días"),IF($AS175=FechaRef,"Vence hoy",IF($AS175-FechaRef&lt;=DiasAlerta,"Vence en "&amp;($AS175-FechaRef)&amp;IF($AS175-FechaRef=1," día"," días"),"En plazo")))))))</f>
        <v/>
      </c>
      <c r="P175" s="62" t="n"/>
      <c r="Q175" s="58" t="n"/>
      <c r="R175" s="63">
        <f>IF(NOT((COUNTA($B175:$D175)+COUNTA($G175:$H175)+COUNTA($Q175))&gt;0),"",IF((IF($C175="","Falta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 OK","⚠ "&amp;LEFT(IF($C175="","Falta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",""),LEN(IF($C175="","Falta el nombre de la actividad"&amp;" · ","")&amp;IF(AND($V175="Sub",N($U175)=0),"Subactividad sin macroactividad arriba"&amp;" · ","")&amp;IF(AND($V175="Macro",$AR175=""),"Sin fecha de inicio"&amp;" · ","")&amp;IF(AND($V175="Macro",$AS175=""),"Sin fecha límite"&amp;" · ","")&amp;IF(AND(LEFT($C175,11)="[Jefatura] ",N($AQ175)=0),"No se encuentra en la hoja de la jefatura (elíjala de nuevo en la lista)"&amp;" · ","")&amp;IF(OR(AND($E175&lt;&gt;"",NOT(ISNUMBER($E175))),AND($F175&lt;&gt;"",NOT(ISNUMBER($F175))),AND($G175&lt;&gt;"",NOT(ISNUMBER($G175)))),"Fecha no válida"&amp;" · ","")&amp;IF(AND(ISNUMBER($AR175),ISNUMBER($AS175),$AR175&gt;$AS175),"Inicio posterior a fecha límite"&amp;" · ","")&amp;IF(AND($V175="Macro",$H175&lt;&gt;"",OR(NOT(ISNUMBER($H175)),$H175&lt;0,$H175&gt;1)),"Peso fuera de rango"&amp;" · ","")&amp;IF(AND($V175="Sub",$H175&lt;&gt;"",OR(NOT(ISNUMBER($H175)),$H175&lt;0,$H175&gt;1)),"% de la subactividad fuera de rango 0-100%"&amp;" · ","")&amp;IF(AND(N($W175)&gt;0,SUMIFS($H$5:$H$1000,$U$5:$U$1000,ROW(),$V$5:$V$1000,"Sub")&gt;1.0001),"Las subactividades suman más de 100%"&amp;" · ","")&amp;IF(AND(N($W175)&gt;0,OR(IF(ISNUMBER($I175),ROUND($I175,6)&lt;&gt;ROUND(MIN(1,SUMIFS($AD$5:$AD$1000,$U$5:$U$1000,ROW(),$V$5:$V$1000,"Sub")),6),FALSE),IF(ISNUMBER($J175),ROUND($J175,6)&lt;&gt;ROUND(MIN(1,SUMIFS($AE$5:$AE$1000,$U$5:$U$1000,ROW(),$V$5:$V$1000,"Sub")),6),FALSE),IF(ISNUMBER($K175),ROUND($K175,6)&lt;&gt;ROUND(MIN(1,SUMIFS($AF$5:$AF$1000,$U$5:$U$1000,ROW(),$V$5:$V$1000,"Sub")),6),FALSE),IF(ISNUMBER($L175),ROUND($L175,6)&lt;&gt;ROUND(MIN(1,SUMIFS($AG$5:$AG$1000,$U$5:$U$1000,ROW(),$V$5:$V$1000,"Sub")),6),FALSE))),"Con subactividades: no escriba en las semanas (se llenan solas)"&amp;" · ","")&amp;IF((COUNTIF($I175:$L175,"&gt;1")+COUNTIF($I175:$L175,"&lt;0")+SUMPRODUCT((LEN($I175:$L175)&gt;0)*NOT(ISNUMBER($I175:$L175))))&gt;0,"Avance fuera de rango 0-100%"&amp;" · ","")&amp;IF(OR(AND(ISNUMBER($J175),$J175&lt;N($I175)),AND(ISNUMBER($K175),$K175&lt;MAX($I175:$J175)),AND(ISNUMBER($L175),$L175&lt;MAX($I175:$K175))),"Avance semanal decreciente"&amp;" · ","")&amp;IF(AND(ISNUMBER($AS175),$AS175&lt;FechaRef,IF($V175="Sub",1,N($M175))&lt;1),"Vencida"&amp;" · ","")&amp;IF(AND(ObsObligatoria="Sí",ISNUMBER($AS175),$AS175&lt;FechaRef,IF($V175="Sub",1,N($M175))&lt;1,$Q175=""),"Vencida sin observación"&amp;" · ",""))-3)))</f>
        <v/>
      </c>
      <c r="S175" s="64">
        <f>IF(NOT((COUNTA($B175:$D175)+COUNTA($G175:$H175)+COUNTA($Q175))&gt;0),"",IF(AND($V175="Sub",N($U175)&gt;0),IF(ISNUMBER(INDEX($AR$5:$AR$1000,$U175-4)),DATE(YEAR(INDEX($AR$5:$AR$1000,$U175-4)),MONTH(INDEX($AR$5:$AR$1000,$U175-4)),1),IF(ISNUMBER(INDEX($AS$5:$AS$1000,$U175-4)),DATE(YEAR(INDEX($AS$5:$AS$1000,$U175-4)),MONTH(INDEX($AS$5:$AS$1000,$U175-4)),1),MesCiclo)),IF(ISNUMBER($AR175),DATE(YEAR($AR175),MONTH($AR175),1),IF(ISNUMBER($AS175),DATE(YEAR($AS175),MONTH($AS175),1),MesCiclo))))</f>
        <v/>
      </c>
      <c r="T175" s="62">
        <f>IF(OR($S175="",$S175&lt;&gt;MesCiclo,$V175&lt;&gt;"Macro"),"",COUNTIFS($S$5:$S175,MesCiclo,$V$5:$V175,"Macro"))</f>
        <v/>
      </c>
      <c r="U175" s="62">
        <f>IF($V175="","",IF($V175="Macro",ROW(),IFERROR(LOOKUP(2,1/($V$5:$V175="Macro"),ROW($V$5:$V175)),0)))</f>
        <v/>
      </c>
      <c r="V175" s="62">
        <f>IF(NOT((COUNTA($B175:$D175)+COUNTA($G175:$H175)+COUNTA($Q175))&gt;0),"",IF($B175="Subactividad","Sub","Macro"))</f>
        <v/>
      </c>
      <c r="W175" s="62">
        <f>IF($V175="Macro",COUNTIFS($U$5:$U$1000,ROW(),$V$5:$V$1000,"Sub"),"")</f>
        <v/>
      </c>
      <c r="X175" s="62">
        <f>IF($V175&lt;&gt;"Sub","",IF(AND(ISNUMBER($H175),N($H175)&gt;0),$H175,IFERROR(MAX(0,1-SUMIFS($H$5:$H$1000,$U$5:$U$1000,$U175,$V$5:$V$1000,"Sub"))/(COUNTIFS($U$5:$U$1000,$U175,$V$5:$V$1000,"Sub")-COUNTIFS($U$5:$U$1000,$U175,$V$5:$V$1000,"Sub",$H$5:$H$1000,"&gt;0")),0)))</f>
        <v/>
      </c>
      <c r="Y175" s="62">
        <f>IF($V175="","",IF($V175="Sub",N($X175)*IF(ISNUMBER($G175),1,MIN(1,MAX(0,IFERROR(LOOKUP(2,1/ISNUMBER($I175:$L175),$I175:$L175),0)))),IF(ISNUMBER($G175),1,IFERROR(LOOKUP(2,1/($I175:$L175&lt;&gt;""),$I175:$L175),0))))</f>
        <v/>
      </c>
      <c r="Z175" s="62">
        <f>IF($V175="","",IF(AND(ISNUMBER($G175),$G175&lt;=IF($S175=MesCiclo,InicioCiclo,$S175+MOD(2-WEEKDAY($S175),7))+6),1,IF(ISNUMBER($I175),$I175,0)))</f>
        <v/>
      </c>
      <c r="AA175" s="62">
        <f>IF($V175="","",IF(AND(ISNUMBER($G175),$G175&lt;=IF($S175=MesCiclo,InicioCiclo,$S175+MOD(2-WEEKDAY($S175),7))+13),1,IF(ISNUMBER($J175),$J175,$Z175)))</f>
        <v/>
      </c>
      <c r="AB175" s="62">
        <f>IF($V175="","",IF(AND(ISNUMBER($G175),$G175&lt;=IF($S175=MesCiclo,InicioCiclo,$S175+MOD(2-WEEKDAY($S175),7))+20),1,IF(ISNUMBER($K175),$K175,$AA175)))</f>
        <v/>
      </c>
      <c r="AC175" s="62">
        <f>IF($V175="","",IF(AND(ISNUMBER($G175),$G175&lt;=IF($S175=MesCiclo,InicioCiclo,$S175+MOD(2-WEEKDAY($S175),7))+27),1,IF(ISNUMBER($L175),$L175,$AB175)))</f>
        <v/>
      </c>
      <c r="AD175" s="62">
        <f>IF($V175&lt;&gt;"Sub","",N($X175)*IF(AND(ISNUMBER($G175),$G175&lt;=IF($S175=MesCiclo,InicioCiclo,$S175+MOD(2-WEEKDAY($S175),7))+6),1,MIN(1,MAX(0,IF(ISNUMBER(OFFSET($A$1,ROW()-1,8)),OFFSET($A$1,ROW()-1,8),0)))))</f>
        <v/>
      </c>
      <c r="AE175" s="62">
        <f>IF($V175&lt;&gt;"Sub","",N($X175)*IF(AND(ISNUMBER($G175),$G175&lt;=IF($S175=MesCiclo,InicioCiclo,$S175+MOD(2-WEEKDAY($S175),7))+13),1,MIN(1,MAX(0,IF(ISNUMBER(OFFSET($A$1,ROW()-1,9)),OFFSET($A$1,ROW()-1,9),IF(ISNUMBER(OFFSET($A$1,ROW()-1,8)),OFFSET($A$1,ROW()-1,8),0))))))</f>
        <v/>
      </c>
      <c r="AF175" s="62">
        <f>IF($V175&lt;&gt;"Sub","",N($X175)*IF(AND(ISNUMBER($G175),$G175&lt;=IF($S175=MesCiclo,InicioCiclo,$S175+MOD(2-WEEKDAY($S175),7))+20),1,MIN(1,MAX(0,IF(ISNUMBER(OFFSET($A$1,ROW()-1,10)),OFFSET($A$1,ROW()-1,10),IF(ISNUMBER(OFFSET($A$1,ROW()-1,9)),OFFSET($A$1,ROW()-1,9),IF(ISNUMBER(OFFSET($A$1,ROW()-1,8)),OFFSET($A$1,ROW()-1,8),0)))))))</f>
        <v/>
      </c>
      <c r="AG175" s="62">
        <f>IF($V175&lt;&gt;"Sub","",N($X175)*IF(AND(ISNUMBER($G175),$G175&lt;=IF($S175=MesCiclo,InicioCiclo,$S175+MOD(2-WEEKDAY($S175),7))+27),1,MIN(1,MAX(0,IF(ISNUMBER(OFFSET($A$1,ROW()-1,11)),OFFSET($A$1,ROW()-1,11),IF(ISNUMBER(OFFSET($A$1,ROW()-1,10)),OFFSET($A$1,ROW()-1,10),IF(ISNUMBER(OFFSET($A$1,ROW()-1,9)),OFFSET($A$1,ROW()-1,9),IF(ISNUMBER(OFFSET($A$1,ROW()-1,8)),OFFSET($A$1,ROW()-1,8),0))))))))</f>
        <v/>
      </c>
      <c r="AH175" s="62">
        <f>IF($V175="","",IF(AND(ISNUMBER($G175),$G175&lt;=IF($S175=MesCiclo,InicioCiclo,$S175+MOD(2-WEEKDAY($S175),7))+6),1,IF(N($W175)&gt;0,MIN(1,SUMIFS($AD$5:$AD$1000,$U$5:$U$1000,ROW(),$V$5:$V$1000,"Sub")),$Z175)))</f>
        <v/>
      </c>
      <c r="AI175" s="62">
        <f>IF($V175="","",IF(AND(ISNUMBER($G175),$G175&lt;=IF($S175=MesCiclo,InicioCiclo,$S175+MOD(2-WEEKDAY($S175),7))+13),1,IF(N($W175)&gt;0,MIN(1,SUMIFS($AE$5:$AE$1000,$U$5:$U$1000,ROW(),$V$5:$V$1000,"Sub")),$AA175)))</f>
        <v/>
      </c>
      <c r="AJ175" s="62">
        <f>IF($V175="","",IF(AND(ISNUMBER($G175),$G175&lt;=IF($S175=MesCiclo,InicioCiclo,$S175+MOD(2-WEEKDAY($S175),7))+20),1,IF(N($W175)&gt;0,MIN(1,SUMIFS($AF$5:$AF$1000,$U$5:$U$1000,ROW(),$V$5:$V$1000,"Sub")),$AB175)))</f>
        <v/>
      </c>
      <c r="AK175" s="62">
        <f>IF($V175="","",IF(AND(ISNUMBER($G175),$G175&lt;=IF($S175=MesCiclo,InicioCiclo,$S175+MOD(2-WEEKDAY($S175),7))+27),1,IF(N($W175)&gt;0,MIN(1,SUMIFS($AG$5:$AG$1000,$U$5:$U$1000,ROW(),$V$5:$V$1000,"Sub")),$AC175)))</f>
        <v/>
      </c>
      <c r="AL175" s="62">
        <f>IF($V175&lt;&gt;"Macro","",IF(COUNTIFS($S$5:$S$1000,$S175,$V$5:$V$1000,"Macro",$H$5:$H$1000,"&gt;0")=0,1/COUNTIFS($S$5:$S$1000,$S175,$V$5:$V$1000,"Macro"),IF(AND(ISNUMBER($H175),N($H175)&gt;0),$H175,SUMIFS($H$5:$H$1000,$S$5:$S$1000,$S175,$V$5:$V$1000,"Macro")/COUNTIFS($S$5:$S$1000,$S175,$V$5:$V$1000,"Macro",$H$5:$H$1000,"&gt;0"))/(COUNTIFS($S$5:$S$1000,$S175,$V$5:$V$1000,"Macro")*SUMIFS($H$5:$H$1000,$S$5:$S$1000,$S175,$V$5:$V$1000,"Macro")/COUNTIFS($S$5:$S$1000,$S175,$V$5:$V$1000,"Macro",$H$5:$H$1000,"&gt;0"))))</f>
        <v/>
      </c>
      <c r="AM175" s="62" t="n"/>
      <c r="AN175" s="62" t="n"/>
      <c r="AO175" s="62" t="n"/>
      <c r="AP175" s="62" t="n"/>
      <c r="AQ175" s="62">
        <f>IF(LEFT($C175,11)="[Jefatura] ",IFERROR(MATCH("Asistente Técnico de Riesgo|"&amp;MID($C175,12,500),rDname_ADM,0),0),"")</f>
        <v/>
      </c>
      <c r="AR175" s="62">
        <f>IF(N($AQ175)&gt;0,INDEX(rIni_ADM,$AQ175),IF(ISNUMBER($E175),$E175,""))</f>
        <v/>
      </c>
      <c r="AS175" s="62">
        <f>IF(N($AQ175)&gt;0,INDEX(rLim_ADM,$AQ175),IF(ISNUMBER($F175),$F175,""))</f>
        <v/>
      </c>
    </row>
    <row r="176">
      <c r="A176" s="56">
        <f>IF(NOT((COUNTA($B176:$D176)+COUNTA($G176:$H176)+COUNTA($Q176))&gt;0),"",IF($V176="Macro",COUNTIFS($V$5:$V176,"Macro",$S$5:$S176,$S176),IF(N($U176)=0,"?",COUNTIFS(INDEX($V$5:$V$1000,1):INDEX($V$5:$V$1000,$U176-4),"Macro",INDEX($S$5:$S$1000,1):INDEX($S$5:$S$1000,$U176-4),INDEX($S$5:$S$1000,$U176-4))&amp;"."&amp;COUNTIFS($U$5:$U176,$U176,$V$5:$V176,"Sub"))))</f>
        <v/>
      </c>
      <c r="B176" s="57" t="n"/>
      <c r="C176" s="58" t="n"/>
      <c r="D176" s="58" t="n"/>
      <c r="E176" s="59">
        <f>IF(N($AQ176)&gt;0,INDEX(rIni_ADM,$AQ176),"")</f>
        <v/>
      </c>
      <c r="F176" s="59">
        <f>IF(N($AQ176)&gt;0,INDEX(rLim_ADM,$AQ176),"")</f>
        <v/>
      </c>
      <c r="G176" s="59" t="n"/>
      <c r="H176" s="60" t="n"/>
      <c r="I176" s="60">
        <f>IF(N($W176)=0,"",IF(AND($S176=MesCiclo,1&gt;SemanaActual),"",MIN(1,SUMIFS(OFFSET($A$1,ROW(),29,1000-ROW(),1),OFFSET($A$1,ROW(),20,1000-ROW(),1),ROW(),OFFSET($A$1,ROW(),21,1000-ROW(),1),"Sub"))))</f>
        <v/>
      </c>
      <c r="J176" s="60">
        <f>IF(N($W176)=0,"",IF(AND($S176=MesCiclo,2&gt;SemanaActual),"",MIN(1,SUMIFS(OFFSET($A$1,ROW(),30,1000-ROW(),1),OFFSET($A$1,ROW(),20,1000-ROW(),1),ROW(),OFFSET($A$1,ROW(),21,1000-ROW(),1),"Sub"))))</f>
        <v/>
      </c>
      <c r="K176" s="60">
        <f>IF(N($W176)=0,"",IF(AND($S176=MesCiclo,3&gt;SemanaActual),"",MIN(1,SUMIFS(OFFSET($A$1,ROW(),31,1000-ROW(),1),OFFSET($A$1,ROW(),20,1000-ROW(),1),ROW(),OFFSET($A$1,ROW(),21,1000-ROW(),1),"Sub"))))</f>
        <v/>
      </c>
      <c r="L176" s="60">
        <f>IF(N($W176)=0,"",IF(AND($S176=MesCiclo,4&gt;SemanaActual),"",MIN(1,SUMIFS(OFFSET($A$1,ROW(),32,1000-ROW(),1),OFFSET($A$1,ROW(),20,1000-ROW(),1),ROW(),OFFSET($A$1,ROW(),21,1000-ROW(),1),"Sub"))))</f>
        <v/>
      </c>
      <c r="M176" s="61">
        <f>IF(OR(NOT((COUNTA($B176:$D176)+COUNTA($G176:$H176)+COUNTA($Q176))&gt;0),$V176="Sub"),"",IF(ISNUMBER($G176),1,IF(N($W176)&gt;0,MIN(1,SUMIFS($Y$5:$Y$1000,$U$5:$U$1000,ROW(),$V$5:$V$1000,"Sub")),$Y176)))</f>
        <v/>
      </c>
      <c r="N176" s="56">
        <f>IF(OR($M176="",$V176="Sub"),"",IF($M176&gt;=1,"Completado",IF($M176&gt;0,"En curso","Pendiente")))</f>
        <v/>
      </c>
      <c r="O176" s="56">
        <f>IF(OR(NOT((COUNTA($B176:$D176)+COUNTA($G176:$H176)+COUNTA($Q176))&gt;0),$V176="Sub"),"",IF(ISNUMBER($G176),IF(AND(ISNUMBER($AS176),$G176&gt;$AS176),"Cumplida con "&amp;($G176-$AS176)&amp;IF($G176-$AS176=1," día"," días")&amp;" de retraso","Cumplida"),IF(N($M176)&gt;=1,"Cumplida",IF(NOT(ISNUMBER($AS176)),"Sin fecha límite",IF($AS176&lt;FechaRef,"Vencida hace "&amp;(FechaRef-$AS176)&amp;IF(FechaRef-$AS176=1," día"," días"),IF($AS176=FechaRef,"Vence hoy",IF($AS176-FechaRef&lt;=DiasAlerta,"Vence en "&amp;($AS176-FechaRef)&amp;IF($AS176-FechaRef=1," día"," días"),"En plazo")))))))</f>
        <v/>
      </c>
      <c r="P176" s="62" t="n"/>
      <c r="Q176" s="58" t="n"/>
      <c r="R176" s="63">
        <f>IF(NOT((COUNTA($B176:$D176)+COUNTA($G176:$H176)+COUNTA($Q176))&gt;0),"",IF((IF($C176="","Falta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 OK","⚠ "&amp;LEFT(IF($C176="","Falta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",""),LEN(IF($C176="","Falta el nombre de la actividad"&amp;" · ","")&amp;IF(AND($V176="Sub",N($U176)=0),"Subactividad sin macroactividad arriba"&amp;" · ","")&amp;IF(AND($V176="Macro",$AR176=""),"Sin fecha de inicio"&amp;" · ","")&amp;IF(AND($V176="Macro",$AS176=""),"Sin fecha límite"&amp;" · ","")&amp;IF(AND(LEFT($C176,11)="[Jefatura] ",N($AQ176)=0),"No se encuentra en la hoja de la jefatura (elíjala de nuevo en la lista)"&amp;" · ","")&amp;IF(OR(AND($E176&lt;&gt;"",NOT(ISNUMBER($E176))),AND($F176&lt;&gt;"",NOT(ISNUMBER($F176))),AND($G176&lt;&gt;"",NOT(ISNUMBER($G176)))),"Fecha no válida"&amp;" · ","")&amp;IF(AND(ISNUMBER($AR176),ISNUMBER($AS176),$AR176&gt;$AS176),"Inicio posterior a fecha límite"&amp;" · ","")&amp;IF(AND($V176="Macro",$H176&lt;&gt;"",OR(NOT(ISNUMBER($H176)),$H176&lt;0,$H176&gt;1)),"Peso fuera de rango"&amp;" · ","")&amp;IF(AND($V176="Sub",$H176&lt;&gt;"",OR(NOT(ISNUMBER($H176)),$H176&lt;0,$H176&gt;1)),"% de la subactividad fuera de rango 0-100%"&amp;" · ","")&amp;IF(AND(N($W176)&gt;0,SUMIFS($H$5:$H$1000,$U$5:$U$1000,ROW(),$V$5:$V$1000,"Sub")&gt;1.0001),"Las subactividades suman más de 100%"&amp;" · ","")&amp;IF(AND(N($W176)&gt;0,OR(IF(ISNUMBER($I176),ROUND($I176,6)&lt;&gt;ROUND(MIN(1,SUMIFS($AD$5:$AD$1000,$U$5:$U$1000,ROW(),$V$5:$V$1000,"Sub")),6),FALSE),IF(ISNUMBER($J176),ROUND($J176,6)&lt;&gt;ROUND(MIN(1,SUMIFS($AE$5:$AE$1000,$U$5:$U$1000,ROW(),$V$5:$V$1000,"Sub")),6),FALSE),IF(ISNUMBER($K176),ROUND($K176,6)&lt;&gt;ROUND(MIN(1,SUMIFS($AF$5:$AF$1000,$U$5:$U$1000,ROW(),$V$5:$V$1000,"Sub")),6),FALSE),IF(ISNUMBER($L176),ROUND($L176,6)&lt;&gt;ROUND(MIN(1,SUMIFS($AG$5:$AG$1000,$U$5:$U$1000,ROW(),$V$5:$V$1000,"Sub")),6),FALSE))),"Con subactividades: no escriba en las semanas (se llenan solas)"&amp;" · ","")&amp;IF((COUNTIF($I176:$L176,"&gt;1")+COUNTIF($I176:$L176,"&lt;0")+SUMPRODUCT((LEN($I176:$L176)&gt;0)*NOT(ISNUMBER($I176:$L176))))&gt;0,"Avance fuera de rango 0-100%"&amp;" · ","")&amp;IF(OR(AND(ISNUMBER($J176),$J176&lt;N($I176)),AND(ISNUMBER($K176),$K176&lt;MAX($I176:$J176)),AND(ISNUMBER($L176),$L176&lt;MAX($I176:$K176))),"Avance semanal decreciente"&amp;" · ","")&amp;IF(AND(ISNUMBER($AS176),$AS176&lt;FechaRef,IF($V176="Sub",1,N($M176))&lt;1),"Vencida"&amp;" · ","")&amp;IF(AND(ObsObligatoria="Sí",ISNUMBER($AS176),$AS176&lt;FechaRef,IF($V176="Sub",1,N($M176))&lt;1,$Q176=""),"Vencida sin observación"&amp;" · ",""))-3)))</f>
        <v/>
      </c>
      <c r="S176" s="64">
        <f>IF(NOT((COUNTA($B176:$D176)+COUNTA($G176:$H176)+COUNTA($Q176))&gt;0),"",IF(AND($V176="Sub",N($U176)&gt;0),IF(ISNUMBER(INDEX($AR$5:$AR$1000,$U176-4)),DATE(YEAR(INDEX($AR$5:$AR$1000,$U176-4)),MONTH(INDEX($AR$5:$AR$1000,$U176-4)),1),IF(ISNUMBER(INDEX($AS$5:$AS$1000,$U176-4)),DATE(YEAR(INDEX($AS$5:$AS$1000,$U176-4)),MONTH(INDEX($AS$5:$AS$1000,$U176-4)),1),MesCiclo)),IF(ISNUMBER($AR176),DATE(YEAR($AR176),MONTH($AR176),1),IF(ISNUMBER($AS176),DATE(YEAR($AS176),MONTH($AS176),1),MesCiclo))))</f>
        <v/>
      </c>
      <c r="T176" s="62">
        <f>IF(OR($S176="",$S176&lt;&gt;MesCiclo,$V176&lt;&gt;"Macro"),"",COUNTIFS($S$5:$S176,MesCiclo,$V$5:$V176,"Macro"))</f>
        <v/>
      </c>
      <c r="U176" s="62">
        <f>IF($V176="","",IF($V176="Macro",ROW(),IFERROR(LOOKUP(2,1/($V$5:$V176="Macro"),ROW($V$5:$V176)),0)))</f>
        <v/>
      </c>
      <c r="V176" s="62">
        <f>IF(NOT((COUNTA($B176:$D176)+COUNTA($G176:$H176)+COUNTA($Q176))&gt;0),"",IF($B176="Subactividad","Sub","Macro"))</f>
        <v/>
      </c>
      <c r="W176" s="62">
        <f>IF($V176="Macro",COUNTIFS($U$5:$U$1000,ROW(),$V$5:$V$1000,"Sub"),"")</f>
        <v/>
      </c>
      <c r="X176" s="62">
        <f>IF($V176&lt;&gt;"Sub","",IF(AND(ISNUMBER($H176),N($H176)&gt;0),$H176,IFERROR(MAX(0,1-SUMIFS($H$5:$H$1000,$U$5:$U$1000,$U176,$V$5:$V$1000,"Sub"))/(COUNTIFS($U$5:$U$1000,$U176,$V$5:$V$1000,"Sub")-COUNTIFS($U$5:$U$1000,$U176,$V$5:$V$1000,"Sub",$H$5:$H$1000,"&gt;0")),0)))</f>
        <v/>
      </c>
      <c r="Y176" s="62">
        <f>IF($V176="","",IF($V176="Sub",N($X176)*IF(ISNUMBER($G176),1,MIN(1,MAX(0,IFERROR(LOOKUP(2,1/ISNUMBER($I176:$L176),$I176:$L176),0)))),IF(ISNUMBER($G176),1,IFERROR(LOOKUP(2,1/($I176:$L176&lt;&gt;""),$I176:$L176),0))))</f>
        <v/>
      </c>
      <c r="Z176" s="62">
        <f>IF($V176="","",IF(AND(ISNUMBER($G176),$G176&lt;=IF($S176=MesCiclo,InicioCiclo,$S176+MOD(2-WEEKDAY($S176),7))+6),1,IF(ISNUMBER($I176),$I176,0)))</f>
        <v/>
      </c>
      <c r="AA176" s="62">
        <f>IF($V176="","",IF(AND(ISNUMBER($G176),$G176&lt;=IF($S176=MesCiclo,InicioCiclo,$S176+MOD(2-WEEKDAY($S176),7))+13),1,IF(ISNUMBER($J176),$J176,$Z176)))</f>
        <v/>
      </c>
      <c r="AB176" s="62">
        <f>IF($V176="","",IF(AND(ISNUMBER($G176),$G176&lt;=IF($S176=MesCiclo,InicioCiclo,$S176+MOD(2-WEEKDAY($S176),7))+20),1,IF(ISNUMBER($K176),$K176,$AA176)))</f>
        <v/>
      </c>
      <c r="AC176" s="62">
        <f>IF($V176="","",IF(AND(ISNUMBER($G176),$G176&lt;=IF($S176=MesCiclo,InicioCiclo,$S176+MOD(2-WEEKDAY($S176),7))+27),1,IF(ISNUMBER($L176),$L176,$AB176)))</f>
        <v/>
      </c>
      <c r="AD176" s="62">
        <f>IF($V176&lt;&gt;"Sub","",N($X176)*IF(AND(ISNUMBER($G176),$G176&lt;=IF($S176=MesCiclo,InicioCiclo,$S176+MOD(2-WEEKDAY($S176),7))+6),1,MIN(1,MAX(0,IF(ISNUMBER(OFFSET($A$1,ROW()-1,8)),OFFSET($A$1,ROW()-1,8),0)))))</f>
        <v/>
      </c>
      <c r="AE176" s="62">
        <f>IF($V176&lt;&gt;"Sub","",N($X176)*IF(AND(ISNUMBER($G176),$G176&lt;=IF($S176=MesCiclo,InicioCiclo,$S176+MOD(2-WEEKDAY($S176),7))+13),1,MIN(1,MAX(0,IF(ISNUMBER(OFFSET($A$1,ROW()-1,9)),OFFSET($A$1,ROW()-1,9),IF(ISNUMBER(OFFSET($A$1,ROW()-1,8)),OFFSET($A$1,ROW()-1,8),0))))))</f>
        <v/>
      </c>
      <c r="AF176" s="62">
        <f>IF($V176&lt;&gt;"Sub","",N($X176)*IF(AND(ISNUMBER($G176),$G176&lt;=IF($S176=MesCiclo,InicioCiclo,$S176+MOD(2-WEEKDAY($S176),7))+20),1,MIN(1,MAX(0,IF(ISNUMBER(OFFSET($A$1,ROW()-1,10)),OFFSET($A$1,ROW()-1,10),IF(ISNUMBER(OFFSET($A$1,ROW()-1,9)),OFFSET($A$1,ROW()-1,9),IF(ISNUMBER(OFFSET($A$1,ROW()-1,8)),OFFSET($A$1,ROW()-1,8),0)))))))</f>
        <v/>
      </c>
      <c r="AG176" s="62">
        <f>IF($V176&lt;&gt;"Sub","",N($X176)*IF(AND(ISNUMBER($G176),$G176&lt;=IF($S176=MesCiclo,InicioCiclo,$S176+MOD(2-WEEKDAY($S176),7))+27),1,MIN(1,MAX(0,IF(ISNUMBER(OFFSET($A$1,ROW()-1,11)),OFFSET($A$1,ROW()-1,11),IF(ISNUMBER(OFFSET($A$1,ROW()-1,10)),OFFSET($A$1,ROW()-1,10),IF(ISNUMBER(OFFSET($A$1,ROW()-1,9)),OFFSET($A$1,ROW()-1,9),IF(ISNUMBER(OFFSET($A$1,ROW()-1,8)),OFFSET($A$1,ROW()-1,8),0))))))))</f>
        <v/>
      </c>
      <c r="AH176" s="62">
        <f>IF($V176="","",IF(AND(ISNUMBER($G176),$G176&lt;=IF($S176=MesCiclo,InicioCiclo,$S176+MOD(2-WEEKDAY($S176),7))+6),1,IF(N($W176)&gt;0,MIN(1,SUMIFS($AD$5:$AD$1000,$U$5:$U$1000,ROW(),$V$5:$V$1000,"Sub")),$Z176)))</f>
        <v/>
      </c>
      <c r="AI176" s="62">
        <f>IF($V176="","",IF(AND(ISNUMBER($G176),$G176&lt;=IF($S176=MesCiclo,InicioCiclo,$S176+MOD(2-WEEKDAY($S176),7))+13),1,IF(N($W176)&gt;0,MIN(1,SUMIFS($AE$5:$AE$1000,$U$5:$U$1000,ROW(),$V$5:$V$1000,"Sub")),$AA176)))</f>
        <v/>
      </c>
      <c r="AJ176" s="62">
        <f>IF($V176="","",IF(AND(ISNUMBER($G176),$G176&lt;=IF($S176=MesCiclo,InicioCiclo,$S176+MOD(2-WEEKDAY($S176),7))+20),1,IF(N($W176)&gt;0,MIN(1,SUMIFS($AF$5:$AF$1000,$U$5:$U$1000,ROW(),$V$5:$V$1000,"Sub")),$AB176)))</f>
        <v/>
      </c>
      <c r="AK176" s="62">
        <f>IF($V176="","",IF(AND(ISNUMBER($G176),$G176&lt;=IF($S176=MesCiclo,InicioCiclo,$S176+MOD(2-WEEKDAY($S176),7))+27),1,IF(N($W176)&gt;0,MIN(1,SUMIFS($AG$5:$AG$1000,$U$5:$U$1000,ROW(),$V$5:$V$1000,"Sub")),$AC176)))</f>
        <v/>
      </c>
      <c r="AL176" s="62">
        <f>IF($V176&lt;&gt;"Macro","",IF(COUNTIFS($S$5:$S$1000,$S176,$V$5:$V$1000,"Macro",$H$5:$H$1000,"&gt;0")=0,1/COUNTIFS($S$5:$S$1000,$S176,$V$5:$V$1000,"Macro"),IF(AND(ISNUMBER($H176),N($H176)&gt;0),$H176,SUMIFS($H$5:$H$1000,$S$5:$S$1000,$S176,$V$5:$V$1000,"Macro")/COUNTIFS($S$5:$S$1000,$S176,$V$5:$V$1000,"Macro",$H$5:$H$1000,"&gt;0"))/(COUNTIFS($S$5:$S$1000,$S176,$V$5:$V$1000,"Macro")*SUMIFS($H$5:$H$1000,$S$5:$S$1000,$S176,$V$5:$V$1000,"Macro")/COUNTIFS($S$5:$S$1000,$S176,$V$5:$V$1000,"Macro",$H$5:$H$1000,"&gt;0"))))</f>
        <v/>
      </c>
      <c r="AM176" s="62" t="n"/>
      <c r="AN176" s="62" t="n"/>
      <c r="AO176" s="62" t="n"/>
      <c r="AP176" s="62" t="n"/>
      <c r="AQ176" s="62">
        <f>IF(LEFT($C176,11)="[Jefatura] ",IFERROR(MATCH("Asistente Técnico de Riesgo|"&amp;MID($C176,12,500),rDname_ADM,0),0),"")</f>
        <v/>
      </c>
      <c r="AR176" s="62">
        <f>IF(N($AQ176)&gt;0,INDEX(rIni_ADM,$AQ176),IF(ISNUMBER($E176),$E176,""))</f>
        <v/>
      </c>
      <c r="AS176" s="62">
        <f>IF(N($AQ176)&gt;0,INDEX(rLim_ADM,$AQ176),IF(ISNUMBER($F176),$F176,""))</f>
        <v/>
      </c>
    </row>
    <row r="177">
      <c r="A177" s="56">
        <f>IF(NOT((COUNTA($B177:$D177)+COUNTA($G177:$H177)+COUNTA($Q177))&gt;0),"",IF($V177="Macro",COUNTIFS($V$5:$V177,"Macro",$S$5:$S177,$S177),IF(N($U177)=0,"?",COUNTIFS(INDEX($V$5:$V$1000,1):INDEX($V$5:$V$1000,$U177-4),"Macro",INDEX($S$5:$S$1000,1):INDEX($S$5:$S$1000,$U177-4),INDEX($S$5:$S$1000,$U177-4))&amp;"."&amp;COUNTIFS($U$5:$U177,$U177,$V$5:$V177,"Sub"))))</f>
        <v/>
      </c>
      <c r="B177" s="57" t="n"/>
      <c r="C177" s="58" t="n"/>
      <c r="D177" s="58" t="n"/>
      <c r="E177" s="59">
        <f>IF(N($AQ177)&gt;0,INDEX(rIni_ADM,$AQ177),"")</f>
        <v/>
      </c>
      <c r="F177" s="59">
        <f>IF(N($AQ177)&gt;0,INDEX(rLim_ADM,$AQ177),"")</f>
        <v/>
      </c>
      <c r="G177" s="59" t="n"/>
      <c r="H177" s="60" t="n"/>
      <c r="I177" s="60">
        <f>IF(N($W177)=0,"",IF(AND($S177=MesCiclo,1&gt;SemanaActual),"",MIN(1,SUMIFS(OFFSET($A$1,ROW(),29,1000-ROW(),1),OFFSET($A$1,ROW(),20,1000-ROW(),1),ROW(),OFFSET($A$1,ROW(),21,1000-ROW(),1),"Sub"))))</f>
        <v/>
      </c>
      <c r="J177" s="60">
        <f>IF(N($W177)=0,"",IF(AND($S177=MesCiclo,2&gt;SemanaActual),"",MIN(1,SUMIFS(OFFSET($A$1,ROW(),30,1000-ROW(),1),OFFSET($A$1,ROW(),20,1000-ROW(),1),ROW(),OFFSET($A$1,ROW(),21,1000-ROW(),1),"Sub"))))</f>
        <v/>
      </c>
      <c r="K177" s="60">
        <f>IF(N($W177)=0,"",IF(AND($S177=MesCiclo,3&gt;SemanaActual),"",MIN(1,SUMIFS(OFFSET($A$1,ROW(),31,1000-ROW(),1),OFFSET($A$1,ROW(),20,1000-ROW(),1),ROW(),OFFSET($A$1,ROW(),21,1000-ROW(),1),"Sub"))))</f>
        <v/>
      </c>
      <c r="L177" s="60">
        <f>IF(N($W177)=0,"",IF(AND($S177=MesCiclo,4&gt;SemanaActual),"",MIN(1,SUMIFS(OFFSET($A$1,ROW(),32,1000-ROW(),1),OFFSET($A$1,ROW(),20,1000-ROW(),1),ROW(),OFFSET($A$1,ROW(),21,1000-ROW(),1),"Sub"))))</f>
        <v/>
      </c>
      <c r="M177" s="61">
        <f>IF(OR(NOT((COUNTA($B177:$D177)+COUNTA($G177:$H177)+COUNTA($Q177))&gt;0),$V177="Sub"),"",IF(ISNUMBER($G177),1,IF(N($W177)&gt;0,MIN(1,SUMIFS($Y$5:$Y$1000,$U$5:$U$1000,ROW(),$V$5:$V$1000,"Sub")),$Y177)))</f>
        <v/>
      </c>
      <c r="N177" s="56">
        <f>IF(OR($M177="",$V177="Sub"),"",IF($M177&gt;=1,"Completado",IF($M177&gt;0,"En curso","Pendiente")))</f>
        <v/>
      </c>
      <c r="O177" s="56">
        <f>IF(OR(NOT((COUNTA($B177:$D177)+COUNTA($G177:$H177)+COUNTA($Q177))&gt;0),$V177="Sub"),"",IF(ISNUMBER($G177),IF(AND(ISNUMBER($AS177),$G177&gt;$AS177),"Cumplida con "&amp;($G177-$AS177)&amp;IF($G177-$AS177=1," día"," días")&amp;" de retraso","Cumplida"),IF(N($M177)&gt;=1,"Cumplida",IF(NOT(ISNUMBER($AS177)),"Sin fecha límite",IF($AS177&lt;FechaRef,"Vencida hace "&amp;(FechaRef-$AS177)&amp;IF(FechaRef-$AS177=1," día"," días"),IF($AS177=FechaRef,"Vence hoy",IF($AS177-FechaRef&lt;=DiasAlerta,"Vence en "&amp;($AS177-FechaRef)&amp;IF($AS177-FechaRef=1," día"," días"),"En plazo")))))))</f>
        <v/>
      </c>
      <c r="P177" s="62" t="n"/>
      <c r="Q177" s="58" t="n"/>
      <c r="R177" s="63">
        <f>IF(NOT((COUNTA($B177:$D177)+COUNTA($G177:$H177)+COUNTA($Q177))&gt;0),"",IF((IF($C177="","Falta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 OK","⚠ "&amp;LEFT(IF($C177="","Falta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",""),LEN(IF($C177="","Falta el nombre de la actividad"&amp;" · ","")&amp;IF(AND($V177="Sub",N($U177)=0),"Subactividad sin macroactividad arriba"&amp;" · ","")&amp;IF(AND($V177="Macro",$AR177=""),"Sin fecha de inicio"&amp;" · ","")&amp;IF(AND($V177="Macro",$AS177=""),"Sin fecha límite"&amp;" · ","")&amp;IF(AND(LEFT($C177,11)="[Jefatura] ",N($AQ177)=0),"No se encuentra en la hoja de la jefatura (elíjala de nuevo en la lista)"&amp;" · ","")&amp;IF(OR(AND($E177&lt;&gt;"",NOT(ISNUMBER($E177))),AND($F177&lt;&gt;"",NOT(ISNUMBER($F177))),AND($G177&lt;&gt;"",NOT(ISNUMBER($G177)))),"Fecha no válida"&amp;" · ","")&amp;IF(AND(ISNUMBER($AR177),ISNUMBER($AS177),$AR177&gt;$AS177),"Inicio posterior a fecha límite"&amp;" · ","")&amp;IF(AND($V177="Macro",$H177&lt;&gt;"",OR(NOT(ISNUMBER($H177)),$H177&lt;0,$H177&gt;1)),"Peso fuera de rango"&amp;" · ","")&amp;IF(AND($V177="Sub",$H177&lt;&gt;"",OR(NOT(ISNUMBER($H177)),$H177&lt;0,$H177&gt;1)),"% de la subactividad fuera de rango 0-100%"&amp;" · ","")&amp;IF(AND(N($W177)&gt;0,SUMIFS($H$5:$H$1000,$U$5:$U$1000,ROW(),$V$5:$V$1000,"Sub")&gt;1.0001),"Las subactividades suman más de 100%"&amp;" · ","")&amp;IF(AND(N($W177)&gt;0,OR(IF(ISNUMBER($I177),ROUND($I177,6)&lt;&gt;ROUND(MIN(1,SUMIFS($AD$5:$AD$1000,$U$5:$U$1000,ROW(),$V$5:$V$1000,"Sub")),6),FALSE),IF(ISNUMBER($J177),ROUND($J177,6)&lt;&gt;ROUND(MIN(1,SUMIFS($AE$5:$AE$1000,$U$5:$U$1000,ROW(),$V$5:$V$1000,"Sub")),6),FALSE),IF(ISNUMBER($K177),ROUND($K177,6)&lt;&gt;ROUND(MIN(1,SUMIFS($AF$5:$AF$1000,$U$5:$U$1000,ROW(),$V$5:$V$1000,"Sub")),6),FALSE),IF(ISNUMBER($L177),ROUND($L177,6)&lt;&gt;ROUND(MIN(1,SUMIFS($AG$5:$AG$1000,$U$5:$U$1000,ROW(),$V$5:$V$1000,"Sub")),6),FALSE))),"Con subactividades: no escriba en las semanas (se llenan solas)"&amp;" · ","")&amp;IF((COUNTIF($I177:$L177,"&gt;1")+COUNTIF($I177:$L177,"&lt;0")+SUMPRODUCT((LEN($I177:$L177)&gt;0)*NOT(ISNUMBER($I177:$L177))))&gt;0,"Avance fuera de rango 0-100%"&amp;" · ","")&amp;IF(OR(AND(ISNUMBER($J177),$J177&lt;N($I177)),AND(ISNUMBER($K177),$K177&lt;MAX($I177:$J177)),AND(ISNUMBER($L177),$L177&lt;MAX($I177:$K177))),"Avance semanal decreciente"&amp;" · ","")&amp;IF(AND(ISNUMBER($AS177),$AS177&lt;FechaRef,IF($V177="Sub",1,N($M177))&lt;1),"Vencida"&amp;" · ","")&amp;IF(AND(ObsObligatoria="Sí",ISNUMBER($AS177),$AS177&lt;FechaRef,IF($V177="Sub",1,N($M177))&lt;1,$Q177=""),"Vencida sin observación"&amp;" · ",""))-3)))</f>
        <v/>
      </c>
      <c r="S177" s="64">
        <f>IF(NOT((COUNTA($B177:$D177)+COUNTA($G177:$H177)+COUNTA($Q177))&gt;0),"",IF(AND($V177="Sub",N($U177)&gt;0),IF(ISNUMBER(INDEX($AR$5:$AR$1000,$U177-4)),DATE(YEAR(INDEX($AR$5:$AR$1000,$U177-4)),MONTH(INDEX($AR$5:$AR$1000,$U177-4)),1),IF(ISNUMBER(INDEX($AS$5:$AS$1000,$U177-4)),DATE(YEAR(INDEX($AS$5:$AS$1000,$U177-4)),MONTH(INDEX($AS$5:$AS$1000,$U177-4)),1),MesCiclo)),IF(ISNUMBER($AR177),DATE(YEAR($AR177),MONTH($AR177),1),IF(ISNUMBER($AS177),DATE(YEAR($AS177),MONTH($AS177),1),MesCiclo))))</f>
        <v/>
      </c>
      <c r="T177" s="62">
        <f>IF(OR($S177="",$S177&lt;&gt;MesCiclo,$V177&lt;&gt;"Macro"),"",COUNTIFS($S$5:$S177,MesCiclo,$V$5:$V177,"Macro"))</f>
        <v/>
      </c>
      <c r="U177" s="62">
        <f>IF($V177="","",IF($V177="Macro",ROW(),IFERROR(LOOKUP(2,1/($V$5:$V177="Macro"),ROW($V$5:$V177)),0)))</f>
        <v/>
      </c>
      <c r="V177" s="62">
        <f>IF(NOT((COUNTA($B177:$D177)+COUNTA($G177:$H177)+COUNTA($Q177))&gt;0),"",IF($B177="Subactividad","Sub","Macro"))</f>
        <v/>
      </c>
      <c r="W177" s="62">
        <f>IF($V177="Macro",COUNTIFS($U$5:$U$1000,ROW(),$V$5:$V$1000,"Sub"),"")</f>
        <v/>
      </c>
      <c r="X177" s="62">
        <f>IF($V177&lt;&gt;"Sub","",IF(AND(ISNUMBER($H177),N($H177)&gt;0),$H177,IFERROR(MAX(0,1-SUMIFS($H$5:$H$1000,$U$5:$U$1000,$U177,$V$5:$V$1000,"Sub"))/(COUNTIFS($U$5:$U$1000,$U177,$V$5:$V$1000,"Sub")-COUNTIFS($U$5:$U$1000,$U177,$V$5:$V$1000,"Sub",$H$5:$H$1000,"&gt;0")),0)))</f>
        <v/>
      </c>
      <c r="Y177" s="62">
        <f>IF($V177="","",IF($V177="Sub",N($X177)*IF(ISNUMBER($G177),1,MIN(1,MAX(0,IFERROR(LOOKUP(2,1/ISNUMBER($I177:$L177),$I177:$L177),0)))),IF(ISNUMBER($G177),1,IFERROR(LOOKUP(2,1/($I177:$L177&lt;&gt;""),$I177:$L177),0))))</f>
        <v/>
      </c>
      <c r="Z177" s="62">
        <f>IF($V177="","",IF(AND(ISNUMBER($G177),$G177&lt;=IF($S177=MesCiclo,InicioCiclo,$S177+MOD(2-WEEKDAY($S177),7))+6),1,IF(ISNUMBER($I177),$I177,0)))</f>
        <v/>
      </c>
      <c r="AA177" s="62">
        <f>IF($V177="","",IF(AND(ISNUMBER($G177),$G177&lt;=IF($S177=MesCiclo,InicioCiclo,$S177+MOD(2-WEEKDAY($S177),7))+13),1,IF(ISNUMBER($J177),$J177,$Z177)))</f>
        <v/>
      </c>
      <c r="AB177" s="62">
        <f>IF($V177="","",IF(AND(ISNUMBER($G177),$G177&lt;=IF($S177=MesCiclo,InicioCiclo,$S177+MOD(2-WEEKDAY($S177),7))+20),1,IF(ISNUMBER($K177),$K177,$AA177)))</f>
        <v/>
      </c>
      <c r="AC177" s="62">
        <f>IF($V177="","",IF(AND(ISNUMBER($G177),$G177&lt;=IF($S177=MesCiclo,InicioCiclo,$S177+MOD(2-WEEKDAY($S177),7))+27),1,IF(ISNUMBER($L177),$L177,$AB177)))</f>
        <v/>
      </c>
      <c r="AD177" s="62">
        <f>IF($V177&lt;&gt;"Sub","",N($X177)*IF(AND(ISNUMBER($G177),$G177&lt;=IF($S177=MesCiclo,InicioCiclo,$S177+MOD(2-WEEKDAY($S177),7))+6),1,MIN(1,MAX(0,IF(ISNUMBER(OFFSET($A$1,ROW()-1,8)),OFFSET($A$1,ROW()-1,8),0)))))</f>
        <v/>
      </c>
      <c r="AE177" s="62">
        <f>IF($V177&lt;&gt;"Sub","",N($X177)*IF(AND(ISNUMBER($G177),$G177&lt;=IF($S177=MesCiclo,InicioCiclo,$S177+MOD(2-WEEKDAY($S177),7))+13),1,MIN(1,MAX(0,IF(ISNUMBER(OFFSET($A$1,ROW()-1,9)),OFFSET($A$1,ROW()-1,9),IF(ISNUMBER(OFFSET($A$1,ROW()-1,8)),OFFSET($A$1,ROW()-1,8),0))))))</f>
        <v/>
      </c>
      <c r="AF177" s="62">
        <f>IF($V177&lt;&gt;"Sub","",N($X177)*IF(AND(ISNUMBER($G177),$G177&lt;=IF($S177=MesCiclo,InicioCiclo,$S177+MOD(2-WEEKDAY($S177),7))+20),1,MIN(1,MAX(0,IF(ISNUMBER(OFFSET($A$1,ROW()-1,10)),OFFSET($A$1,ROW()-1,10),IF(ISNUMBER(OFFSET($A$1,ROW()-1,9)),OFFSET($A$1,ROW()-1,9),IF(ISNUMBER(OFFSET($A$1,ROW()-1,8)),OFFSET($A$1,ROW()-1,8),0)))))))</f>
        <v/>
      </c>
      <c r="AG177" s="62">
        <f>IF($V177&lt;&gt;"Sub","",N($X177)*IF(AND(ISNUMBER($G177),$G177&lt;=IF($S177=MesCiclo,InicioCiclo,$S177+MOD(2-WEEKDAY($S177),7))+27),1,MIN(1,MAX(0,IF(ISNUMBER(OFFSET($A$1,ROW()-1,11)),OFFSET($A$1,ROW()-1,11),IF(ISNUMBER(OFFSET($A$1,ROW()-1,10)),OFFSET($A$1,ROW()-1,10),IF(ISNUMBER(OFFSET($A$1,ROW()-1,9)),OFFSET($A$1,ROW()-1,9),IF(ISNUMBER(OFFSET($A$1,ROW()-1,8)),OFFSET($A$1,ROW()-1,8),0))))))))</f>
        <v/>
      </c>
      <c r="AH177" s="62">
        <f>IF($V177="","",IF(AND(ISNUMBER($G177),$G177&lt;=IF($S177=MesCiclo,InicioCiclo,$S177+MOD(2-WEEKDAY($S177),7))+6),1,IF(N($W177)&gt;0,MIN(1,SUMIFS($AD$5:$AD$1000,$U$5:$U$1000,ROW(),$V$5:$V$1000,"Sub")),$Z177)))</f>
        <v/>
      </c>
      <c r="AI177" s="62">
        <f>IF($V177="","",IF(AND(ISNUMBER($G177),$G177&lt;=IF($S177=MesCiclo,InicioCiclo,$S177+MOD(2-WEEKDAY($S177),7))+13),1,IF(N($W177)&gt;0,MIN(1,SUMIFS($AE$5:$AE$1000,$U$5:$U$1000,ROW(),$V$5:$V$1000,"Sub")),$AA177)))</f>
        <v/>
      </c>
      <c r="AJ177" s="62">
        <f>IF($V177="","",IF(AND(ISNUMBER($G177),$G177&lt;=IF($S177=MesCiclo,InicioCiclo,$S177+MOD(2-WEEKDAY($S177),7))+20),1,IF(N($W177)&gt;0,MIN(1,SUMIFS($AF$5:$AF$1000,$U$5:$U$1000,ROW(),$V$5:$V$1000,"Sub")),$AB177)))</f>
        <v/>
      </c>
      <c r="AK177" s="62">
        <f>IF($V177="","",IF(AND(ISNUMBER($G177),$G177&lt;=IF($S177=MesCiclo,InicioCiclo,$S177+MOD(2-WEEKDAY($S177),7))+27),1,IF(N($W177)&gt;0,MIN(1,SUMIFS($AG$5:$AG$1000,$U$5:$U$1000,ROW(),$V$5:$V$1000,"Sub")),$AC177)))</f>
        <v/>
      </c>
      <c r="AL177" s="62">
        <f>IF($V177&lt;&gt;"Macro","",IF(COUNTIFS($S$5:$S$1000,$S177,$V$5:$V$1000,"Macro",$H$5:$H$1000,"&gt;0")=0,1/COUNTIFS($S$5:$S$1000,$S177,$V$5:$V$1000,"Macro"),IF(AND(ISNUMBER($H177),N($H177)&gt;0),$H177,SUMIFS($H$5:$H$1000,$S$5:$S$1000,$S177,$V$5:$V$1000,"Macro")/COUNTIFS($S$5:$S$1000,$S177,$V$5:$V$1000,"Macro",$H$5:$H$1000,"&gt;0"))/(COUNTIFS($S$5:$S$1000,$S177,$V$5:$V$1000,"Macro")*SUMIFS($H$5:$H$1000,$S$5:$S$1000,$S177,$V$5:$V$1000,"Macro")/COUNTIFS($S$5:$S$1000,$S177,$V$5:$V$1000,"Macro",$H$5:$H$1000,"&gt;0"))))</f>
        <v/>
      </c>
      <c r="AM177" s="62" t="n"/>
      <c r="AN177" s="62" t="n"/>
      <c r="AO177" s="62" t="n"/>
      <c r="AP177" s="62" t="n"/>
      <c r="AQ177" s="62">
        <f>IF(LEFT($C177,11)="[Jefatura] ",IFERROR(MATCH("Asistente Técnico de Riesgo|"&amp;MID($C177,12,500),rDname_ADM,0),0),"")</f>
        <v/>
      </c>
      <c r="AR177" s="62">
        <f>IF(N($AQ177)&gt;0,INDEX(rIni_ADM,$AQ177),IF(ISNUMBER($E177),$E177,""))</f>
        <v/>
      </c>
      <c r="AS177" s="62">
        <f>IF(N($AQ177)&gt;0,INDEX(rLim_ADM,$AQ177),IF(ISNUMBER($F177),$F177,""))</f>
        <v/>
      </c>
    </row>
    <row r="178">
      <c r="A178" s="56">
        <f>IF(NOT((COUNTA($B178:$D178)+COUNTA($G178:$H178)+COUNTA($Q178))&gt;0),"",IF($V178="Macro",COUNTIFS($V$5:$V178,"Macro",$S$5:$S178,$S178),IF(N($U178)=0,"?",COUNTIFS(INDEX($V$5:$V$1000,1):INDEX($V$5:$V$1000,$U178-4),"Macro",INDEX($S$5:$S$1000,1):INDEX($S$5:$S$1000,$U178-4),INDEX($S$5:$S$1000,$U178-4))&amp;"."&amp;COUNTIFS($U$5:$U178,$U178,$V$5:$V178,"Sub"))))</f>
        <v/>
      </c>
      <c r="B178" s="57" t="n"/>
      <c r="C178" s="58" t="n"/>
      <c r="D178" s="58" t="n"/>
      <c r="E178" s="59">
        <f>IF(N($AQ178)&gt;0,INDEX(rIni_ADM,$AQ178),"")</f>
        <v/>
      </c>
      <c r="F178" s="59">
        <f>IF(N($AQ178)&gt;0,INDEX(rLim_ADM,$AQ178),"")</f>
        <v/>
      </c>
      <c r="G178" s="59" t="n"/>
      <c r="H178" s="60" t="n"/>
      <c r="I178" s="60">
        <f>IF(N($W178)=0,"",IF(AND($S178=MesCiclo,1&gt;SemanaActual),"",MIN(1,SUMIFS(OFFSET($A$1,ROW(),29,1000-ROW(),1),OFFSET($A$1,ROW(),20,1000-ROW(),1),ROW(),OFFSET($A$1,ROW(),21,1000-ROW(),1),"Sub"))))</f>
        <v/>
      </c>
      <c r="J178" s="60">
        <f>IF(N($W178)=0,"",IF(AND($S178=MesCiclo,2&gt;SemanaActual),"",MIN(1,SUMIFS(OFFSET($A$1,ROW(),30,1000-ROW(),1),OFFSET($A$1,ROW(),20,1000-ROW(),1),ROW(),OFFSET($A$1,ROW(),21,1000-ROW(),1),"Sub"))))</f>
        <v/>
      </c>
      <c r="K178" s="60">
        <f>IF(N($W178)=0,"",IF(AND($S178=MesCiclo,3&gt;SemanaActual),"",MIN(1,SUMIFS(OFFSET($A$1,ROW(),31,1000-ROW(),1),OFFSET($A$1,ROW(),20,1000-ROW(),1),ROW(),OFFSET($A$1,ROW(),21,1000-ROW(),1),"Sub"))))</f>
        <v/>
      </c>
      <c r="L178" s="60">
        <f>IF(N($W178)=0,"",IF(AND($S178=MesCiclo,4&gt;SemanaActual),"",MIN(1,SUMIFS(OFFSET($A$1,ROW(),32,1000-ROW(),1),OFFSET($A$1,ROW(),20,1000-ROW(),1),ROW(),OFFSET($A$1,ROW(),21,1000-ROW(),1),"Sub"))))</f>
        <v/>
      </c>
      <c r="M178" s="61">
        <f>IF(OR(NOT((COUNTA($B178:$D178)+COUNTA($G178:$H178)+COUNTA($Q178))&gt;0),$V178="Sub"),"",IF(ISNUMBER($G178),1,IF(N($W178)&gt;0,MIN(1,SUMIFS($Y$5:$Y$1000,$U$5:$U$1000,ROW(),$V$5:$V$1000,"Sub")),$Y178)))</f>
        <v/>
      </c>
      <c r="N178" s="56">
        <f>IF(OR($M178="",$V178="Sub"),"",IF($M178&gt;=1,"Completado",IF($M178&gt;0,"En curso","Pendiente")))</f>
        <v/>
      </c>
      <c r="O178" s="56">
        <f>IF(OR(NOT((COUNTA($B178:$D178)+COUNTA($G178:$H178)+COUNTA($Q178))&gt;0),$V178="Sub"),"",IF(ISNUMBER($G178),IF(AND(ISNUMBER($AS178),$G178&gt;$AS178),"Cumplida con "&amp;($G178-$AS178)&amp;IF($G178-$AS178=1," día"," días")&amp;" de retraso","Cumplida"),IF(N($M178)&gt;=1,"Cumplida",IF(NOT(ISNUMBER($AS178)),"Sin fecha límite",IF($AS178&lt;FechaRef,"Vencida hace "&amp;(FechaRef-$AS178)&amp;IF(FechaRef-$AS178=1," día"," días"),IF($AS178=FechaRef,"Vence hoy",IF($AS178-FechaRef&lt;=DiasAlerta,"Vence en "&amp;($AS178-FechaRef)&amp;IF($AS178-FechaRef=1," día"," días"),"En plazo")))))))</f>
        <v/>
      </c>
      <c r="P178" s="62" t="n"/>
      <c r="Q178" s="58" t="n"/>
      <c r="R178" s="63">
        <f>IF(NOT((COUNTA($B178:$D178)+COUNTA($G178:$H178)+COUNTA($Q178))&gt;0),"",IF((IF($C178="","Falta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 OK","⚠ "&amp;LEFT(IF($C178="","Falta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",""),LEN(IF($C178="","Falta el nombre de la actividad"&amp;" · ","")&amp;IF(AND($V178="Sub",N($U178)=0),"Subactividad sin macroactividad arriba"&amp;" · ","")&amp;IF(AND($V178="Macro",$AR178=""),"Sin fecha de inicio"&amp;" · ","")&amp;IF(AND($V178="Macro",$AS178=""),"Sin fecha límite"&amp;" · ","")&amp;IF(AND(LEFT($C178,11)="[Jefatura] ",N($AQ178)=0),"No se encuentra en la hoja de la jefatura (elíjala de nuevo en la lista)"&amp;" · ","")&amp;IF(OR(AND($E178&lt;&gt;"",NOT(ISNUMBER($E178))),AND($F178&lt;&gt;"",NOT(ISNUMBER($F178))),AND($G178&lt;&gt;"",NOT(ISNUMBER($G178)))),"Fecha no válida"&amp;" · ","")&amp;IF(AND(ISNUMBER($AR178),ISNUMBER($AS178),$AR178&gt;$AS178),"Inicio posterior a fecha límite"&amp;" · ","")&amp;IF(AND($V178="Macro",$H178&lt;&gt;"",OR(NOT(ISNUMBER($H178)),$H178&lt;0,$H178&gt;1)),"Peso fuera de rango"&amp;" · ","")&amp;IF(AND($V178="Sub",$H178&lt;&gt;"",OR(NOT(ISNUMBER($H178)),$H178&lt;0,$H178&gt;1)),"% de la subactividad fuera de rango 0-100%"&amp;" · ","")&amp;IF(AND(N($W178)&gt;0,SUMIFS($H$5:$H$1000,$U$5:$U$1000,ROW(),$V$5:$V$1000,"Sub")&gt;1.0001),"Las subactividades suman más de 100%"&amp;" · ","")&amp;IF(AND(N($W178)&gt;0,OR(IF(ISNUMBER($I178),ROUND($I178,6)&lt;&gt;ROUND(MIN(1,SUMIFS($AD$5:$AD$1000,$U$5:$U$1000,ROW(),$V$5:$V$1000,"Sub")),6),FALSE),IF(ISNUMBER($J178),ROUND($J178,6)&lt;&gt;ROUND(MIN(1,SUMIFS($AE$5:$AE$1000,$U$5:$U$1000,ROW(),$V$5:$V$1000,"Sub")),6),FALSE),IF(ISNUMBER($K178),ROUND($K178,6)&lt;&gt;ROUND(MIN(1,SUMIFS($AF$5:$AF$1000,$U$5:$U$1000,ROW(),$V$5:$V$1000,"Sub")),6),FALSE),IF(ISNUMBER($L178),ROUND($L178,6)&lt;&gt;ROUND(MIN(1,SUMIFS($AG$5:$AG$1000,$U$5:$U$1000,ROW(),$V$5:$V$1000,"Sub")),6),FALSE))),"Con subactividades: no escriba en las semanas (se llenan solas)"&amp;" · ","")&amp;IF((COUNTIF($I178:$L178,"&gt;1")+COUNTIF($I178:$L178,"&lt;0")+SUMPRODUCT((LEN($I178:$L178)&gt;0)*NOT(ISNUMBER($I178:$L178))))&gt;0,"Avance fuera de rango 0-100%"&amp;" · ","")&amp;IF(OR(AND(ISNUMBER($J178),$J178&lt;N($I178)),AND(ISNUMBER($K178),$K178&lt;MAX($I178:$J178)),AND(ISNUMBER($L178),$L178&lt;MAX($I178:$K178))),"Avance semanal decreciente"&amp;" · ","")&amp;IF(AND(ISNUMBER($AS178),$AS178&lt;FechaRef,IF($V178="Sub",1,N($M178))&lt;1),"Vencida"&amp;" · ","")&amp;IF(AND(ObsObligatoria="Sí",ISNUMBER($AS178),$AS178&lt;FechaRef,IF($V178="Sub",1,N($M178))&lt;1,$Q178=""),"Vencida sin observación"&amp;" · ",""))-3)))</f>
        <v/>
      </c>
      <c r="S178" s="64">
        <f>IF(NOT((COUNTA($B178:$D178)+COUNTA($G178:$H178)+COUNTA($Q178))&gt;0),"",IF(AND($V178="Sub",N($U178)&gt;0),IF(ISNUMBER(INDEX($AR$5:$AR$1000,$U178-4)),DATE(YEAR(INDEX($AR$5:$AR$1000,$U178-4)),MONTH(INDEX($AR$5:$AR$1000,$U178-4)),1),IF(ISNUMBER(INDEX($AS$5:$AS$1000,$U178-4)),DATE(YEAR(INDEX($AS$5:$AS$1000,$U178-4)),MONTH(INDEX($AS$5:$AS$1000,$U178-4)),1),MesCiclo)),IF(ISNUMBER($AR178),DATE(YEAR($AR178),MONTH($AR178),1),IF(ISNUMBER($AS178),DATE(YEAR($AS178),MONTH($AS178),1),MesCiclo))))</f>
        <v/>
      </c>
      <c r="T178" s="62">
        <f>IF(OR($S178="",$S178&lt;&gt;MesCiclo,$V178&lt;&gt;"Macro"),"",COUNTIFS($S$5:$S178,MesCiclo,$V$5:$V178,"Macro"))</f>
        <v/>
      </c>
      <c r="U178" s="62">
        <f>IF($V178="","",IF($V178="Macro",ROW(),IFERROR(LOOKUP(2,1/($V$5:$V178="Macro"),ROW($V$5:$V178)),0)))</f>
        <v/>
      </c>
      <c r="V178" s="62">
        <f>IF(NOT((COUNTA($B178:$D178)+COUNTA($G178:$H178)+COUNTA($Q178))&gt;0),"",IF($B178="Subactividad","Sub","Macro"))</f>
        <v/>
      </c>
      <c r="W178" s="62">
        <f>IF($V178="Macro",COUNTIFS($U$5:$U$1000,ROW(),$V$5:$V$1000,"Sub"),"")</f>
        <v/>
      </c>
      <c r="X178" s="62">
        <f>IF($V178&lt;&gt;"Sub","",IF(AND(ISNUMBER($H178),N($H178)&gt;0),$H178,IFERROR(MAX(0,1-SUMIFS($H$5:$H$1000,$U$5:$U$1000,$U178,$V$5:$V$1000,"Sub"))/(COUNTIFS($U$5:$U$1000,$U178,$V$5:$V$1000,"Sub")-COUNTIFS($U$5:$U$1000,$U178,$V$5:$V$1000,"Sub",$H$5:$H$1000,"&gt;0")),0)))</f>
        <v/>
      </c>
      <c r="Y178" s="62">
        <f>IF($V178="","",IF($V178="Sub",N($X178)*IF(ISNUMBER($G178),1,MIN(1,MAX(0,IFERROR(LOOKUP(2,1/ISNUMBER($I178:$L178),$I178:$L178),0)))),IF(ISNUMBER($G178),1,IFERROR(LOOKUP(2,1/($I178:$L178&lt;&gt;""),$I178:$L178),0))))</f>
        <v/>
      </c>
      <c r="Z178" s="62">
        <f>IF($V178="","",IF(AND(ISNUMBER($G178),$G178&lt;=IF($S178=MesCiclo,InicioCiclo,$S178+MOD(2-WEEKDAY($S178),7))+6),1,IF(ISNUMBER($I178),$I178,0)))</f>
        <v/>
      </c>
      <c r="AA178" s="62">
        <f>IF($V178="","",IF(AND(ISNUMBER($G178),$G178&lt;=IF($S178=MesCiclo,InicioCiclo,$S178+MOD(2-WEEKDAY($S178),7))+13),1,IF(ISNUMBER($J178),$J178,$Z178)))</f>
        <v/>
      </c>
      <c r="AB178" s="62">
        <f>IF($V178="","",IF(AND(ISNUMBER($G178),$G178&lt;=IF($S178=MesCiclo,InicioCiclo,$S178+MOD(2-WEEKDAY($S178),7))+20),1,IF(ISNUMBER($K178),$K178,$AA178)))</f>
        <v/>
      </c>
      <c r="AC178" s="62">
        <f>IF($V178="","",IF(AND(ISNUMBER($G178),$G178&lt;=IF($S178=MesCiclo,InicioCiclo,$S178+MOD(2-WEEKDAY($S178),7))+27),1,IF(ISNUMBER($L178),$L178,$AB178)))</f>
        <v/>
      </c>
      <c r="AD178" s="62">
        <f>IF($V178&lt;&gt;"Sub","",N($X178)*IF(AND(ISNUMBER($G178),$G178&lt;=IF($S178=MesCiclo,InicioCiclo,$S178+MOD(2-WEEKDAY($S178),7))+6),1,MIN(1,MAX(0,IF(ISNUMBER(OFFSET($A$1,ROW()-1,8)),OFFSET($A$1,ROW()-1,8),0)))))</f>
        <v/>
      </c>
      <c r="AE178" s="62">
        <f>IF($V178&lt;&gt;"Sub","",N($X178)*IF(AND(ISNUMBER($G178),$G178&lt;=IF($S178=MesCiclo,InicioCiclo,$S178+MOD(2-WEEKDAY($S178),7))+13),1,MIN(1,MAX(0,IF(ISNUMBER(OFFSET($A$1,ROW()-1,9)),OFFSET($A$1,ROW()-1,9),IF(ISNUMBER(OFFSET($A$1,ROW()-1,8)),OFFSET($A$1,ROW()-1,8),0))))))</f>
        <v/>
      </c>
      <c r="AF178" s="62">
        <f>IF($V178&lt;&gt;"Sub","",N($X178)*IF(AND(ISNUMBER($G178),$G178&lt;=IF($S178=MesCiclo,InicioCiclo,$S178+MOD(2-WEEKDAY($S178),7))+20),1,MIN(1,MAX(0,IF(ISNUMBER(OFFSET($A$1,ROW()-1,10)),OFFSET($A$1,ROW()-1,10),IF(ISNUMBER(OFFSET($A$1,ROW()-1,9)),OFFSET($A$1,ROW()-1,9),IF(ISNUMBER(OFFSET($A$1,ROW()-1,8)),OFFSET($A$1,ROW()-1,8),0)))))))</f>
        <v/>
      </c>
      <c r="AG178" s="62">
        <f>IF($V178&lt;&gt;"Sub","",N($X178)*IF(AND(ISNUMBER($G178),$G178&lt;=IF($S178=MesCiclo,InicioCiclo,$S178+MOD(2-WEEKDAY($S178),7))+27),1,MIN(1,MAX(0,IF(ISNUMBER(OFFSET($A$1,ROW()-1,11)),OFFSET($A$1,ROW()-1,11),IF(ISNUMBER(OFFSET($A$1,ROW()-1,10)),OFFSET($A$1,ROW()-1,10),IF(ISNUMBER(OFFSET($A$1,ROW()-1,9)),OFFSET($A$1,ROW()-1,9),IF(ISNUMBER(OFFSET($A$1,ROW()-1,8)),OFFSET($A$1,ROW()-1,8),0))))))))</f>
        <v/>
      </c>
      <c r="AH178" s="62">
        <f>IF($V178="","",IF(AND(ISNUMBER($G178),$G178&lt;=IF($S178=MesCiclo,InicioCiclo,$S178+MOD(2-WEEKDAY($S178),7))+6),1,IF(N($W178)&gt;0,MIN(1,SUMIFS($AD$5:$AD$1000,$U$5:$U$1000,ROW(),$V$5:$V$1000,"Sub")),$Z178)))</f>
        <v/>
      </c>
      <c r="AI178" s="62">
        <f>IF($V178="","",IF(AND(ISNUMBER($G178),$G178&lt;=IF($S178=MesCiclo,InicioCiclo,$S178+MOD(2-WEEKDAY($S178),7))+13),1,IF(N($W178)&gt;0,MIN(1,SUMIFS($AE$5:$AE$1000,$U$5:$U$1000,ROW(),$V$5:$V$1000,"Sub")),$AA178)))</f>
        <v/>
      </c>
      <c r="AJ178" s="62">
        <f>IF($V178="","",IF(AND(ISNUMBER($G178),$G178&lt;=IF($S178=MesCiclo,InicioCiclo,$S178+MOD(2-WEEKDAY($S178),7))+20),1,IF(N($W178)&gt;0,MIN(1,SUMIFS($AF$5:$AF$1000,$U$5:$U$1000,ROW(),$V$5:$V$1000,"Sub")),$AB178)))</f>
        <v/>
      </c>
      <c r="AK178" s="62">
        <f>IF($V178="","",IF(AND(ISNUMBER($G178),$G178&lt;=IF($S178=MesCiclo,InicioCiclo,$S178+MOD(2-WEEKDAY($S178),7))+27),1,IF(N($W178)&gt;0,MIN(1,SUMIFS($AG$5:$AG$1000,$U$5:$U$1000,ROW(),$V$5:$V$1000,"Sub")),$AC178)))</f>
        <v/>
      </c>
      <c r="AL178" s="62">
        <f>IF($V178&lt;&gt;"Macro","",IF(COUNTIFS($S$5:$S$1000,$S178,$V$5:$V$1000,"Macro",$H$5:$H$1000,"&gt;0")=0,1/COUNTIFS($S$5:$S$1000,$S178,$V$5:$V$1000,"Macro"),IF(AND(ISNUMBER($H178),N($H178)&gt;0),$H178,SUMIFS($H$5:$H$1000,$S$5:$S$1000,$S178,$V$5:$V$1000,"Macro")/COUNTIFS($S$5:$S$1000,$S178,$V$5:$V$1000,"Macro",$H$5:$H$1000,"&gt;0"))/(COUNTIFS($S$5:$S$1000,$S178,$V$5:$V$1000,"Macro")*SUMIFS($H$5:$H$1000,$S$5:$S$1000,$S178,$V$5:$V$1000,"Macro")/COUNTIFS($S$5:$S$1000,$S178,$V$5:$V$1000,"Macro",$H$5:$H$1000,"&gt;0"))))</f>
        <v/>
      </c>
      <c r="AM178" s="62" t="n"/>
      <c r="AN178" s="62" t="n"/>
      <c r="AO178" s="62" t="n"/>
      <c r="AP178" s="62" t="n"/>
      <c r="AQ178" s="62">
        <f>IF(LEFT($C178,11)="[Jefatura] ",IFERROR(MATCH("Asistente Técnico de Riesgo|"&amp;MID($C178,12,500),rDname_ADM,0),0),"")</f>
        <v/>
      </c>
      <c r="AR178" s="62">
        <f>IF(N($AQ178)&gt;0,INDEX(rIni_ADM,$AQ178),IF(ISNUMBER($E178),$E178,""))</f>
        <v/>
      </c>
      <c r="AS178" s="62">
        <f>IF(N($AQ178)&gt;0,INDEX(rLim_ADM,$AQ178),IF(ISNUMBER($F178),$F178,""))</f>
        <v/>
      </c>
    </row>
    <row r="179">
      <c r="A179" s="56">
        <f>IF(NOT((COUNTA($B179:$D179)+COUNTA($G179:$H179)+COUNTA($Q179))&gt;0),"",IF($V179="Macro",COUNTIFS($V$5:$V179,"Macro",$S$5:$S179,$S179),IF(N($U179)=0,"?",COUNTIFS(INDEX($V$5:$V$1000,1):INDEX($V$5:$V$1000,$U179-4),"Macro",INDEX($S$5:$S$1000,1):INDEX($S$5:$S$1000,$U179-4),INDEX($S$5:$S$1000,$U179-4))&amp;"."&amp;COUNTIFS($U$5:$U179,$U179,$V$5:$V179,"Sub"))))</f>
        <v/>
      </c>
      <c r="B179" s="57" t="n"/>
      <c r="C179" s="58" t="n"/>
      <c r="D179" s="58" t="n"/>
      <c r="E179" s="59">
        <f>IF(N($AQ179)&gt;0,INDEX(rIni_ADM,$AQ179),"")</f>
        <v/>
      </c>
      <c r="F179" s="59">
        <f>IF(N($AQ179)&gt;0,INDEX(rLim_ADM,$AQ179),"")</f>
        <v/>
      </c>
      <c r="G179" s="59" t="n"/>
      <c r="H179" s="60" t="n"/>
      <c r="I179" s="60">
        <f>IF(N($W179)=0,"",IF(AND($S179=MesCiclo,1&gt;SemanaActual),"",MIN(1,SUMIFS(OFFSET($A$1,ROW(),29,1000-ROW(),1),OFFSET($A$1,ROW(),20,1000-ROW(),1),ROW(),OFFSET($A$1,ROW(),21,1000-ROW(),1),"Sub"))))</f>
        <v/>
      </c>
      <c r="J179" s="60">
        <f>IF(N($W179)=0,"",IF(AND($S179=MesCiclo,2&gt;SemanaActual),"",MIN(1,SUMIFS(OFFSET($A$1,ROW(),30,1000-ROW(),1),OFFSET($A$1,ROW(),20,1000-ROW(),1),ROW(),OFFSET($A$1,ROW(),21,1000-ROW(),1),"Sub"))))</f>
        <v/>
      </c>
      <c r="K179" s="60">
        <f>IF(N($W179)=0,"",IF(AND($S179=MesCiclo,3&gt;SemanaActual),"",MIN(1,SUMIFS(OFFSET($A$1,ROW(),31,1000-ROW(),1),OFFSET($A$1,ROW(),20,1000-ROW(),1),ROW(),OFFSET($A$1,ROW(),21,1000-ROW(),1),"Sub"))))</f>
        <v/>
      </c>
      <c r="L179" s="60">
        <f>IF(N($W179)=0,"",IF(AND($S179=MesCiclo,4&gt;SemanaActual),"",MIN(1,SUMIFS(OFFSET($A$1,ROW(),32,1000-ROW(),1),OFFSET($A$1,ROW(),20,1000-ROW(),1),ROW(),OFFSET($A$1,ROW(),21,1000-ROW(),1),"Sub"))))</f>
        <v/>
      </c>
      <c r="M179" s="61">
        <f>IF(OR(NOT((COUNTA($B179:$D179)+COUNTA($G179:$H179)+COUNTA($Q179))&gt;0),$V179="Sub"),"",IF(ISNUMBER($G179),1,IF(N($W179)&gt;0,MIN(1,SUMIFS($Y$5:$Y$1000,$U$5:$U$1000,ROW(),$V$5:$V$1000,"Sub")),$Y179)))</f>
        <v/>
      </c>
      <c r="N179" s="56">
        <f>IF(OR($M179="",$V179="Sub"),"",IF($M179&gt;=1,"Completado",IF($M179&gt;0,"En curso","Pendiente")))</f>
        <v/>
      </c>
      <c r="O179" s="56">
        <f>IF(OR(NOT((COUNTA($B179:$D179)+COUNTA($G179:$H179)+COUNTA($Q179))&gt;0),$V179="Sub"),"",IF(ISNUMBER($G179),IF(AND(ISNUMBER($AS179),$G179&gt;$AS179),"Cumplida con "&amp;($G179-$AS179)&amp;IF($G179-$AS179=1," día"," días")&amp;" de retraso","Cumplida"),IF(N($M179)&gt;=1,"Cumplida",IF(NOT(ISNUMBER($AS179)),"Sin fecha límite",IF($AS179&lt;FechaRef,"Vencida hace "&amp;(FechaRef-$AS179)&amp;IF(FechaRef-$AS179=1," día"," días"),IF($AS179=FechaRef,"Vence hoy",IF($AS179-FechaRef&lt;=DiasAlerta,"Vence en "&amp;($AS179-FechaRef)&amp;IF($AS179-FechaRef=1," día"," días"),"En plazo")))))))</f>
        <v/>
      </c>
      <c r="P179" s="62" t="n"/>
      <c r="Q179" s="58" t="n"/>
      <c r="R179" s="63">
        <f>IF(NOT((COUNTA($B179:$D179)+COUNTA($G179:$H179)+COUNTA($Q179))&gt;0),"",IF((IF($C179="","Falta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 OK","⚠ "&amp;LEFT(IF($C179="","Falta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",""),LEN(IF($C179="","Falta el nombre de la actividad"&amp;" · ","")&amp;IF(AND($V179="Sub",N($U179)=0),"Subactividad sin macroactividad arriba"&amp;" · ","")&amp;IF(AND($V179="Macro",$AR179=""),"Sin fecha de inicio"&amp;" · ","")&amp;IF(AND($V179="Macro",$AS179=""),"Sin fecha límite"&amp;" · ","")&amp;IF(AND(LEFT($C179,11)="[Jefatura] ",N($AQ179)=0),"No se encuentra en la hoja de la jefatura (elíjala de nuevo en la lista)"&amp;" · ","")&amp;IF(OR(AND($E179&lt;&gt;"",NOT(ISNUMBER($E179))),AND($F179&lt;&gt;"",NOT(ISNUMBER($F179))),AND($G179&lt;&gt;"",NOT(ISNUMBER($G179)))),"Fecha no válida"&amp;" · ","")&amp;IF(AND(ISNUMBER($AR179),ISNUMBER($AS179),$AR179&gt;$AS179),"Inicio posterior a fecha límite"&amp;" · ","")&amp;IF(AND($V179="Macro",$H179&lt;&gt;"",OR(NOT(ISNUMBER($H179)),$H179&lt;0,$H179&gt;1)),"Peso fuera de rango"&amp;" · ","")&amp;IF(AND($V179="Sub",$H179&lt;&gt;"",OR(NOT(ISNUMBER($H179)),$H179&lt;0,$H179&gt;1)),"% de la subactividad fuera de rango 0-100%"&amp;" · ","")&amp;IF(AND(N($W179)&gt;0,SUMIFS($H$5:$H$1000,$U$5:$U$1000,ROW(),$V$5:$V$1000,"Sub")&gt;1.0001),"Las subactividades suman más de 100%"&amp;" · ","")&amp;IF(AND(N($W179)&gt;0,OR(IF(ISNUMBER($I179),ROUND($I179,6)&lt;&gt;ROUND(MIN(1,SUMIFS($AD$5:$AD$1000,$U$5:$U$1000,ROW(),$V$5:$V$1000,"Sub")),6),FALSE),IF(ISNUMBER($J179),ROUND($J179,6)&lt;&gt;ROUND(MIN(1,SUMIFS($AE$5:$AE$1000,$U$5:$U$1000,ROW(),$V$5:$V$1000,"Sub")),6),FALSE),IF(ISNUMBER($K179),ROUND($K179,6)&lt;&gt;ROUND(MIN(1,SUMIFS($AF$5:$AF$1000,$U$5:$U$1000,ROW(),$V$5:$V$1000,"Sub")),6),FALSE),IF(ISNUMBER($L179),ROUND($L179,6)&lt;&gt;ROUND(MIN(1,SUMIFS($AG$5:$AG$1000,$U$5:$U$1000,ROW(),$V$5:$V$1000,"Sub")),6),FALSE))),"Con subactividades: no escriba en las semanas (se llenan solas)"&amp;" · ","")&amp;IF((COUNTIF($I179:$L179,"&gt;1")+COUNTIF($I179:$L179,"&lt;0")+SUMPRODUCT((LEN($I179:$L179)&gt;0)*NOT(ISNUMBER($I179:$L179))))&gt;0,"Avance fuera de rango 0-100%"&amp;" · ","")&amp;IF(OR(AND(ISNUMBER($J179),$J179&lt;N($I179)),AND(ISNUMBER($K179),$K179&lt;MAX($I179:$J179)),AND(ISNUMBER($L179),$L179&lt;MAX($I179:$K179))),"Avance semanal decreciente"&amp;" · ","")&amp;IF(AND(ISNUMBER($AS179),$AS179&lt;FechaRef,IF($V179="Sub",1,N($M179))&lt;1),"Vencida"&amp;" · ","")&amp;IF(AND(ObsObligatoria="Sí",ISNUMBER($AS179),$AS179&lt;FechaRef,IF($V179="Sub",1,N($M179))&lt;1,$Q179=""),"Vencida sin observación"&amp;" · ",""))-3)))</f>
        <v/>
      </c>
      <c r="S179" s="64">
        <f>IF(NOT((COUNTA($B179:$D179)+COUNTA($G179:$H179)+COUNTA($Q179))&gt;0),"",IF(AND($V179="Sub",N($U179)&gt;0),IF(ISNUMBER(INDEX($AR$5:$AR$1000,$U179-4)),DATE(YEAR(INDEX($AR$5:$AR$1000,$U179-4)),MONTH(INDEX($AR$5:$AR$1000,$U179-4)),1),IF(ISNUMBER(INDEX($AS$5:$AS$1000,$U179-4)),DATE(YEAR(INDEX($AS$5:$AS$1000,$U179-4)),MONTH(INDEX($AS$5:$AS$1000,$U179-4)),1),MesCiclo)),IF(ISNUMBER($AR179),DATE(YEAR($AR179),MONTH($AR179),1),IF(ISNUMBER($AS179),DATE(YEAR($AS179),MONTH($AS179),1),MesCiclo))))</f>
        <v/>
      </c>
      <c r="T179" s="62">
        <f>IF(OR($S179="",$S179&lt;&gt;MesCiclo,$V179&lt;&gt;"Macro"),"",COUNTIFS($S$5:$S179,MesCiclo,$V$5:$V179,"Macro"))</f>
        <v/>
      </c>
      <c r="U179" s="62">
        <f>IF($V179="","",IF($V179="Macro",ROW(),IFERROR(LOOKUP(2,1/($V$5:$V179="Macro"),ROW($V$5:$V179)),0)))</f>
        <v/>
      </c>
      <c r="V179" s="62">
        <f>IF(NOT((COUNTA($B179:$D179)+COUNTA($G179:$H179)+COUNTA($Q179))&gt;0),"",IF($B179="Subactividad","Sub","Macro"))</f>
        <v/>
      </c>
      <c r="W179" s="62">
        <f>IF($V179="Macro",COUNTIFS($U$5:$U$1000,ROW(),$V$5:$V$1000,"Sub"),"")</f>
        <v/>
      </c>
      <c r="X179" s="62">
        <f>IF($V179&lt;&gt;"Sub","",IF(AND(ISNUMBER($H179),N($H179)&gt;0),$H179,IFERROR(MAX(0,1-SUMIFS($H$5:$H$1000,$U$5:$U$1000,$U179,$V$5:$V$1000,"Sub"))/(COUNTIFS($U$5:$U$1000,$U179,$V$5:$V$1000,"Sub")-COUNTIFS($U$5:$U$1000,$U179,$V$5:$V$1000,"Sub",$H$5:$H$1000,"&gt;0")),0)))</f>
        <v/>
      </c>
      <c r="Y179" s="62">
        <f>IF($V179="","",IF($V179="Sub",N($X179)*IF(ISNUMBER($G179),1,MIN(1,MAX(0,IFERROR(LOOKUP(2,1/ISNUMBER($I179:$L179),$I179:$L179),0)))),IF(ISNUMBER($G179),1,IFERROR(LOOKUP(2,1/($I179:$L179&lt;&gt;""),$I179:$L179),0))))</f>
        <v/>
      </c>
      <c r="Z179" s="62">
        <f>IF($V179="","",IF(AND(ISNUMBER($G179),$G179&lt;=IF($S179=MesCiclo,InicioCiclo,$S179+MOD(2-WEEKDAY($S179),7))+6),1,IF(ISNUMBER($I179),$I179,0)))</f>
        <v/>
      </c>
      <c r="AA179" s="62">
        <f>IF($V179="","",IF(AND(ISNUMBER($G179),$G179&lt;=IF($S179=MesCiclo,InicioCiclo,$S179+MOD(2-WEEKDAY($S179),7))+13),1,IF(ISNUMBER($J179),$J179,$Z179)))</f>
        <v/>
      </c>
      <c r="AB179" s="62">
        <f>IF($V179="","",IF(AND(ISNUMBER($G179),$G179&lt;=IF($S179=MesCiclo,InicioCiclo,$S179+MOD(2-WEEKDAY($S179),7))+20),1,IF(ISNUMBER($K179),$K179,$AA179)))</f>
        <v/>
      </c>
      <c r="AC179" s="62">
        <f>IF($V179="","",IF(AND(ISNUMBER($G179),$G179&lt;=IF($S179=MesCiclo,InicioCiclo,$S179+MOD(2-WEEKDAY($S179),7))+27),1,IF(ISNUMBER($L179),$L179,$AB179)))</f>
        <v/>
      </c>
      <c r="AD179" s="62">
        <f>IF($V179&lt;&gt;"Sub","",N($X179)*IF(AND(ISNUMBER($G179),$G179&lt;=IF($S179=MesCiclo,InicioCiclo,$S179+MOD(2-WEEKDAY($S179),7))+6),1,MIN(1,MAX(0,IF(ISNUMBER(OFFSET($A$1,ROW()-1,8)),OFFSET($A$1,ROW()-1,8),0)))))</f>
        <v/>
      </c>
      <c r="AE179" s="62">
        <f>IF($V179&lt;&gt;"Sub","",N($X179)*IF(AND(ISNUMBER($G179),$G179&lt;=IF($S179=MesCiclo,InicioCiclo,$S179+MOD(2-WEEKDAY($S179),7))+13),1,MIN(1,MAX(0,IF(ISNUMBER(OFFSET($A$1,ROW()-1,9)),OFFSET($A$1,ROW()-1,9),IF(ISNUMBER(OFFSET($A$1,ROW()-1,8)),OFFSET($A$1,ROW()-1,8),0))))))</f>
        <v/>
      </c>
      <c r="AF179" s="62">
        <f>IF($V179&lt;&gt;"Sub","",N($X179)*IF(AND(ISNUMBER($G179),$G179&lt;=IF($S179=MesCiclo,InicioCiclo,$S179+MOD(2-WEEKDAY($S179),7))+20),1,MIN(1,MAX(0,IF(ISNUMBER(OFFSET($A$1,ROW()-1,10)),OFFSET($A$1,ROW()-1,10),IF(ISNUMBER(OFFSET($A$1,ROW()-1,9)),OFFSET($A$1,ROW()-1,9),IF(ISNUMBER(OFFSET($A$1,ROW()-1,8)),OFFSET($A$1,ROW()-1,8),0)))))))</f>
        <v/>
      </c>
      <c r="AG179" s="62">
        <f>IF($V179&lt;&gt;"Sub","",N($X179)*IF(AND(ISNUMBER($G179),$G179&lt;=IF($S179=MesCiclo,InicioCiclo,$S179+MOD(2-WEEKDAY($S179),7))+27),1,MIN(1,MAX(0,IF(ISNUMBER(OFFSET($A$1,ROW()-1,11)),OFFSET($A$1,ROW()-1,11),IF(ISNUMBER(OFFSET($A$1,ROW()-1,10)),OFFSET($A$1,ROW()-1,10),IF(ISNUMBER(OFFSET($A$1,ROW()-1,9)),OFFSET($A$1,ROW()-1,9),IF(ISNUMBER(OFFSET($A$1,ROW()-1,8)),OFFSET($A$1,ROW()-1,8),0))))))))</f>
        <v/>
      </c>
      <c r="AH179" s="62">
        <f>IF($V179="","",IF(AND(ISNUMBER($G179),$G179&lt;=IF($S179=MesCiclo,InicioCiclo,$S179+MOD(2-WEEKDAY($S179),7))+6),1,IF(N($W179)&gt;0,MIN(1,SUMIFS($AD$5:$AD$1000,$U$5:$U$1000,ROW(),$V$5:$V$1000,"Sub")),$Z179)))</f>
        <v/>
      </c>
      <c r="AI179" s="62">
        <f>IF($V179="","",IF(AND(ISNUMBER($G179),$G179&lt;=IF($S179=MesCiclo,InicioCiclo,$S179+MOD(2-WEEKDAY($S179),7))+13),1,IF(N($W179)&gt;0,MIN(1,SUMIFS($AE$5:$AE$1000,$U$5:$U$1000,ROW(),$V$5:$V$1000,"Sub")),$AA179)))</f>
        <v/>
      </c>
      <c r="AJ179" s="62">
        <f>IF($V179="","",IF(AND(ISNUMBER($G179),$G179&lt;=IF($S179=MesCiclo,InicioCiclo,$S179+MOD(2-WEEKDAY($S179),7))+20),1,IF(N($W179)&gt;0,MIN(1,SUMIFS($AF$5:$AF$1000,$U$5:$U$1000,ROW(),$V$5:$V$1000,"Sub")),$AB179)))</f>
        <v/>
      </c>
      <c r="AK179" s="62">
        <f>IF($V179="","",IF(AND(ISNUMBER($G179),$G179&lt;=IF($S179=MesCiclo,InicioCiclo,$S179+MOD(2-WEEKDAY($S179),7))+27),1,IF(N($W179)&gt;0,MIN(1,SUMIFS($AG$5:$AG$1000,$U$5:$U$1000,ROW(),$V$5:$V$1000,"Sub")),$AC179)))</f>
        <v/>
      </c>
      <c r="AL179" s="62">
        <f>IF($V179&lt;&gt;"Macro","",IF(COUNTIFS($S$5:$S$1000,$S179,$V$5:$V$1000,"Macro",$H$5:$H$1000,"&gt;0")=0,1/COUNTIFS($S$5:$S$1000,$S179,$V$5:$V$1000,"Macro"),IF(AND(ISNUMBER($H179),N($H179)&gt;0),$H179,SUMIFS($H$5:$H$1000,$S$5:$S$1000,$S179,$V$5:$V$1000,"Macro")/COUNTIFS($S$5:$S$1000,$S179,$V$5:$V$1000,"Macro",$H$5:$H$1000,"&gt;0"))/(COUNTIFS($S$5:$S$1000,$S179,$V$5:$V$1000,"Macro")*SUMIFS($H$5:$H$1000,$S$5:$S$1000,$S179,$V$5:$V$1000,"Macro")/COUNTIFS($S$5:$S$1000,$S179,$V$5:$V$1000,"Macro",$H$5:$H$1000,"&gt;0"))))</f>
        <v/>
      </c>
      <c r="AM179" s="62" t="n"/>
      <c r="AN179" s="62" t="n"/>
      <c r="AO179" s="62" t="n"/>
      <c r="AP179" s="62" t="n"/>
      <c r="AQ179" s="62">
        <f>IF(LEFT($C179,11)="[Jefatura] ",IFERROR(MATCH("Asistente Técnico de Riesgo|"&amp;MID($C179,12,500),rDname_ADM,0),0),"")</f>
        <v/>
      </c>
      <c r="AR179" s="62">
        <f>IF(N($AQ179)&gt;0,INDEX(rIni_ADM,$AQ179),IF(ISNUMBER($E179),$E179,""))</f>
        <v/>
      </c>
      <c r="AS179" s="62">
        <f>IF(N($AQ179)&gt;0,INDEX(rLim_ADM,$AQ179),IF(ISNUMBER($F179),$F179,""))</f>
        <v/>
      </c>
    </row>
    <row r="180">
      <c r="A180" s="56">
        <f>IF(NOT((COUNTA($B180:$D180)+COUNTA($G180:$H180)+COUNTA($Q180))&gt;0),"",IF($V180="Macro",COUNTIFS($V$5:$V180,"Macro",$S$5:$S180,$S180),IF(N($U180)=0,"?",COUNTIFS(INDEX($V$5:$V$1000,1):INDEX($V$5:$V$1000,$U180-4),"Macro",INDEX($S$5:$S$1000,1):INDEX($S$5:$S$1000,$U180-4),INDEX($S$5:$S$1000,$U180-4))&amp;"."&amp;COUNTIFS($U$5:$U180,$U180,$V$5:$V180,"Sub"))))</f>
        <v/>
      </c>
      <c r="B180" s="57" t="n"/>
      <c r="C180" s="58" t="n"/>
      <c r="D180" s="58" t="n"/>
      <c r="E180" s="59">
        <f>IF(N($AQ180)&gt;0,INDEX(rIni_ADM,$AQ180),"")</f>
        <v/>
      </c>
      <c r="F180" s="59">
        <f>IF(N($AQ180)&gt;0,INDEX(rLim_ADM,$AQ180),"")</f>
        <v/>
      </c>
      <c r="G180" s="59" t="n"/>
      <c r="H180" s="60" t="n"/>
      <c r="I180" s="60">
        <f>IF(N($W180)=0,"",IF(AND($S180=MesCiclo,1&gt;SemanaActual),"",MIN(1,SUMIFS(OFFSET($A$1,ROW(),29,1000-ROW(),1),OFFSET($A$1,ROW(),20,1000-ROW(),1),ROW(),OFFSET($A$1,ROW(),21,1000-ROW(),1),"Sub"))))</f>
        <v/>
      </c>
      <c r="J180" s="60">
        <f>IF(N($W180)=0,"",IF(AND($S180=MesCiclo,2&gt;SemanaActual),"",MIN(1,SUMIFS(OFFSET($A$1,ROW(),30,1000-ROW(),1),OFFSET($A$1,ROW(),20,1000-ROW(),1),ROW(),OFFSET($A$1,ROW(),21,1000-ROW(),1),"Sub"))))</f>
        <v/>
      </c>
      <c r="K180" s="60">
        <f>IF(N($W180)=0,"",IF(AND($S180=MesCiclo,3&gt;SemanaActual),"",MIN(1,SUMIFS(OFFSET($A$1,ROW(),31,1000-ROW(),1),OFFSET($A$1,ROW(),20,1000-ROW(),1),ROW(),OFFSET($A$1,ROW(),21,1000-ROW(),1),"Sub"))))</f>
        <v/>
      </c>
      <c r="L180" s="60">
        <f>IF(N($W180)=0,"",IF(AND($S180=MesCiclo,4&gt;SemanaActual),"",MIN(1,SUMIFS(OFFSET($A$1,ROW(),32,1000-ROW(),1),OFFSET($A$1,ROW(),20,1000-ROW(),1),ROW(),OFFSET($A$1,ROW(),21,1000-ROW(),1),"Sub"))))</f>
        <v/>
      </c>
      <c r="M180" s="61">
        <f>IF(OR(NOT((COUNTA($B180:$D180)+COUNTA($G180:$H180)+COUNTA($Q180))&gt;0),$V180="Sub"),"",IF(ISNUMBER($G180),1,IF(N($W180)&gt;0,MIN(1,SUMIFS($Y$5:$Y$1000,$U$5:$U$1000,ROW(),$V$5:$V$1000,"Sub")),$Y180)))</f>
        <v/>
      </c>
      <c r="N180" s="56">
        <f>IF(OR($M180="",$V180="Sub"),"",IF($M180&gt;=1,"Completado",IF($M180&gt;0,"En curso","Pendiente")))</f>
        <v/>
      </c>
      <c r="O180" s="56">
        <f>IF(OR(NOT((COUNTA($B180:$D180)+COUNTA($G180:$H180)+COUNTA($Q180))&gt;0),$V180="Sub"),"",IF(ISNUMBER($G180),IF(AND(ISNUMBER($AS180),$G180&gt;$AS180),"Cumplida con "&amp;($G180-$AS180)&amp;IF($G180-$AS180=1," día"," días")&amp;" de retraso","Cumplida"),IF(N($M180)&gt;=1,"Cumplida",IF(NOT(ISNUMBER($AS180)),"Sin fecha límite",IF($AS180&lt;FechaRef,"Vencida hace "&amp;(FechaRef-$AS180)&amp;IF(FechaRef-$AS180=1," día"," días"),IF($AS180=FechaRef,"Vence hoy",IF($AS180-FechaRef&lt;=DiasAlerta,"Vence en "&amp;($AS180-FechaRef)&amp;IF($AS180-FechaRef=1," día"," días"),"En plazo")))))))</f>
        <v/>
      </c>
      <c r="P180" s="62" t="n"/>
      <c r="Q180" s="58" t="n"/>
      <c r="R180" s="63">
        <f>IF(NOT((COUNTA($B180:$D180)+COUNTA($G180:$H180)+COUNTA($Q180))&gt;0),"",IF((IF($C180="","Falta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 OK","⚠ "&amp;LEFT(IF($C180="","Falta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",""),LEN(IF($C180="","Falta el nombre de la actividad"&amp;" · ","")&amp;IF(AND($V180="Sub",N($U180)=0),"Subactividad sin macroactividad arriba"&amp;" · ","")&amp;IF(AND($V180="Macro",$AR180=""),"Sin fecha de inicio"&amp;" · ","")&amp;IF(AND($V180="Macro",$AS180=""),"Sin fecha límite"&amp;" · ","")&amp;IF(AND(LEFT($C180,11)="[Jefatura] ",N($AQ180)=0),"No se encuentra en la hoja de la jefatura (elíjala de nuevo en la lista)"&amp;" · ","")&amp;IF(OR(AND($E180&lt;&gt;"",NOT(ISNUMBER($E180))),AND($F180&lt;&gt;"",NOT(ISNUMBER($F180))),AND($G180&lt;&gt;"",NOT(ISNUMBER($G180)))),"Fecha no válida"&amp;" · ","")&amp;IF(AND(ISNUMBER($AR180),ISNUMBER($AS180),$AR180&gt;$AS180),"Inicio posterior a fecha límite"&amp;" · ","")&amp;IF(AND($V180="Macro",$H180&lt;&gt;"",OR(NOT(ISNUMBER($H180)),$H180&lt;0,$H180&gt;1)),"Peso fuera de rango"&amp;" · ","")&amp;IF(AND($V180="Sub",$H180&lt;&gt;"",OR(NOT(ISNUMBER($H180)),$H180&lt;0,$H180&gt;1)),"% de la subactividad fuera de rango 0-100%"&amp;" · ","")&amp;IF(AND(N($W180)&gt;0,SUMIFS($H$5:$H$1000,$U$5:$U$1000,ROW(),$V$5:$V$1000,"Sub")&gt;1.0001),"Las subactividades suman más de 100%"&amp;" · ","")&amp;IF(AND(N($W180)&gt;0,OR(IF(ISNUMBER($I180),ROUND($I180,6)&lt;&gt;ROUND(MIN(1,SUMIFS($AD$5:$AD$1000,$U$5:$U$1000,ROW(),$V$5:$V$1000,"Sub")),6),FALSE),IF(ISNUMBER($J180),ROUND($J180,6)&lt;&gt;ROUND(MIN(1,SUMIFS($AE$5:$AE$1000,$U$5:$U$1000,ROW(),$V$5:$V$1000,"Sub")),6),FALSE),IF(ISNUMBER($K180),ROUND($K180,6)&lt;&gt;ROUND(MIN(1,SUMIFS($AF$5:$AF$1000,$U$5:$U$1000,ROW(),$V$5:$V$1000,"Sub")),6),FALSE),IF(ISNUMBER($L180),ROUND($L180,6)&lt;&gt;ROUND(MIN(1,SUMIFS($AG$5:$AG$1000,$U$5:$U$1000,ROW(),$V$5:$V$1000,"Sub")),6),FALSE))),"Con subactividades: no escriba en las semanas (se llenan solas)"&amp;" · ","")&amp;IF((COUNTIF($I180:$L180,"&gt;1")+COUNTIF($I180:$L180,"&lt;0")+SUMPRODUCT((LEN($I180:$L180)&gt;0)*NOT(ISNUMBER($I180:$L180))))&gt;0,"Avance fuera de rango 0-100%"&amp;" · ","")&amp;IF(OR(AND(ISNUMBER($J180),$J180&lt;N($I180)),AND(ISNUMBER($K180),$K180&lt;MAX($I180:$J180)),AND(ISNUMBER($L180),$L180&lt;MAX($I180:$K180))),"Avance semanal decreciente"&amp;" · ","")&amp;IF(AND(ISNUMBER($AS180),$AS180&lt;FechaRef,IF($V180="Sub",1,N($M180))&lt;1),"Vencida"&amp;" · ","")&amp;IF(AND(ObsObligatoria="Sí",ISNUMBER($AS180),$AS180&lt;FechaRef,IF($V180="Sub",1,N($M180))&lt;1,$Q180=""),"Vencida sin observación"&amp;" · ",""))-3)))</f>
        <v/>
      </c>
      <c r="S180" s="64">
        <f>IF(NOT((COUNTA($B180:$D180)+COUNTA($G180:$H180)+COUNTA($Q180))&gt;0),"",IF(AND($V180="Sub",N($U180)&gt;0),IF(ISNUMBER(INDEX($AR$5:$AR$1000,$U180-4)),DATE(YEAR(INDEX($AR$5:$AR$1000,$U180-4)),MONTH(INDEX($AR$5:$AR$1000,$U180-4)),1),IF(ISNUMBER(INDEX($AS$5:$AS$1000,$U180-4)),DATE(YEAR(INDEX($AS$5:$AS$1000,$U180-4)),MONTH(INDEX($AS$5:$AS$1000,$U180-4)),1),MesCiclo)),IF(ISNUMBER($AR180),DATE(YEAR($AR180),MONTH($AR180),1),IF(ISNUMBER($AS180),DATE(YEAR($AS180),MONTH($AS180),1),MesCiclo))))</f>
        <v/>
      </c>
      <c r="T180" s="62">
        <f>IF(OR($S180="",$S180&lt;&gt;MesCiclo,$V180&lt;&gt;"Macro"),"",COUNTIFS($S$5:$S180,MesCiclo,$V$5:$V180,"Macro"))</f>
        <v/>
      </c>
      <c r="U180" s="62">
        <f>IF($V180="","",IF($V180="Macro",ROW(),IFERROR(LOOKUP(2,1/($V$5:$V180="Macro"),ROW($V$5:$V180)),0)))</f>
        <v/>
      </c>
      <c r="V180" s="62">
        <f>IF(NOT((COUNTA($B180:$D180)+COUNTA($G180:$H180)+COUNTA($Q180))&gt;0),"",IF($B180="Subactividad","Sub","Macro"))</f>
        <v/>
      </c>
      <c r="W180" s="62">
        <f>IF($V180="Macro",COUNTIFS($U$5:$U$1000,ROW(),$V$5:$V$1000,"Sub"),"")</f>
        <v/>
      </c>
      <c r="X180" s="62">
        <f>IF($V180&lt;&gt;"Sub","",IF(AND(ISNUMBER($H180),N($H180)&gt;0),$H180,IFERROR(MAX(0,1-SUMIFS($H$5:$H$1000,$U$5:$U$1000,$U180,$V$5:$V$1000,"Sub"))/(COUNTIFS($U$5:$U$1000,$U180,$V$5:$V$1000,"Sub")-COUNTIFS($U$5:$U$1000,$U180,$V$5:$V$1000,"Sub",$H$5:$H$1000,"&gt;0")),0)))</f>
        <v/>
      </c>
      <c r="Y180" s="62">
        <f>IF($V180="","",IF($V180="Sub",N($X180)*IF(ISNUMBER($G180),1,MIN(1,MAX(0,IFERROR(LOOKUP(2,1/ISNUMBER($I180:$L180),$I180:$L180),0)))),IF(ISNUMBER($G180),1,IFERROR(LOOKUP(2,1/($I180:$L180&lt;&gt;""),$I180:$L180),0))))</f>
        <v/>
      </c>
      <c r="Z180" s="62">
        <f>IF($V180="","",IF(AND(ISNUMBER($G180),$G180&lt;=IF($S180=MesCiclo,InicioCiclo,$S180+MOD(2-WEEKDAY($S180),7))+6),1,IF(ISNUMBER($I180),$I180,0)))</f>
        <v/>
      </c>
      <c r="AA180" s="62">
        <f>IF($V180="","",IF(AND(ISNUMBER($G180),$G180&lt;=IF($S180=MesCiclo,InicioCiclo,$S180+MOD(2-WEEKDAY($S180),7))+13),1,IF(ISNUMBER($J180),$J180,$Z180)))</f>
        <v/>
      </c>
      <c r="AB180" s="62">
        <f>IF($V180="","",IF(AND(ISNUMBER($G180),$G180&lt;=IF($S180=MesCiclo,InicioCiclo,$S180+MOD(2-WEEKDAY($S180),7))+20),1,IF(ISNUMBER($K180),$K180,$AA180)))</f>
        <v/>
      </c>
      <c r="AC180" s="62">
        <f>IF($V180="","",IF(AND(ISNUMBER($G180),$G180&lt;=IF($S180=MesCiclo,InicioCiclo,$S180+MOD(2-WEEKDAY($S180),7))+27),1,IF(ISNUMBER($L180),$L180,$AB180)))</f>
        <v/>
      </c>
      <c r="AD180" s="62">
        <f>IF($V180&lt;&gt;"Sub","",N($X180)*IF(AND(ISNUMBER($G180),$G180&lt;=IF($S180=MesCiclo,InicioCiclo,$S180+MOD(2-WEEKDAY($S180),7))+6),1,MIN(1,MAX(0,IF(ISNUMBER(OFFSET($A$1,ROW()-1,8)),OFFSET($A$1,ROW()-1,8),0)))))</f>
        <v/>
      </c>
      <c r="AE180" s="62">
        <f>IF($V180&lt;&gt;"Sub","",N($X180)*IF(AND(ISNUMBER($G180),$G180&lt;=IF($S180=MesCiclo,InicioCiclo,$S180+MOD(2-WEEKDAY($S180),7))+13),1,MIN(1,MAX(0,IF(ISNUMBER(OFFSET($A$1,ROW()-1,9)),OFFSET($A$1,ROW()-1,9),IF(ISNUMBER(OFFSET($A$1,ROW()-1,8)),OFFSET($A$1,ROW()-1,8),0))))))</f>
        <v/>
      </c>
      <c r="AF180" s="62">
        <f>IF($V180&lt;&gt;"Sub","",N($X180)*IF(AND(ISNUMBER($G180),$G180&lt;=IF($S180=MesCiclo,InicioCiclo,$S180+MOD(2-WEEKDAY($S180),7))+20),1,MIN(1,MAX(0,IF(ISNUMBER(OFFSET($A$1,ROW()-1,10)),OFFSET($A$1,ROW()-1,10),IF(ISNUMBER(OFFSET($A$1,ROW()-1,9)),OFFSET($A$1,ROW()-1,9),IF(ISNUMBER(OFFSET($A$1,ROW()-1,8)),OFFSET($A$1,ROW()-1,8),0)))))))</f>
        <v/>
      </c>
      <c r="AG180" s="62">
        <f>IF($V180&lt;&gt;"Sub","",N($X180)*IF(AND(ISNUMBER($G180),$G180&lt;=IF($S180=MesCiclo,InicioCiclo,$S180+MOD(2-WEEKDAY($S180),7))+27),1,MIN(1,MAX(0,IF(ISNUMBER(OFFSET($A$1,ROW()-1,11)),OFFSET($A$1,ROW()-1,11),IF(ISNUMBER(OFFSET($A$1,ROW()-1,10)),OFFSET($A$1,ROW()-1,10),IF(ISNUMBER(OFFSET($A$1,ROW()-1,9)),OFFSET($A$1,ROW()-1,9),IF(ISNUMBER(OFFSET($A$1,ROW()-1,8)),OFFSET($A$1,ROW()-1,8),0))))))))</f>
        <v/>
      </c>
      <c r="AH180" s="62">
        <f>IF($V180="","",IF(AND(ISNUMBER($G180),$G180&lt;=IF($S180=MesCiclo,InicioCiclo,$S180+MOD(2-WEEKDAY($S180),7))+6),1,IF(N($W180)&gt;0,MIN(1,SUMIFS($AD$5:$AD$1000,$U$5:$U$1000,ROW(),$V$5:$V$1000,"Sub")),$Z180)))</f>
        <v/>
      </c>
      <c r="AI180" s="62">
        <f>IF($V180="","",IF(AND(ISNUMBER($G180),$G180&lt;=IF($S180=MesCiclo,InicioCiclo,$S180+MOD(2-WEEKDAY($S180),7))+13),1,IF(N($W180)&gt;0,MIN(1,SUMIFS($AE$5:$AE$1000,$U$5:$U$1000,ROW(),$V$5:$V$1000,"Sub")),$AA180)))</f>
        <v/>
      </c>
      <c r="AJ180" s="62">
        <f>IF($V180="","",IF(AND(ISNUMBER($G180),$G180&lt;=IF($S180=MesCiclo,InicioCiclo,$S180+MOD(2-WEEKDAY($S180),7))+20),1,IF(N($W180)&gt;0,MIN(1,SUMIFS($AF$5:$AF$1000,$U$5:$U$1000,ROW(),$V$5:$V$1000,"Sub")),$AB180)))</f>
        <v/>
      </c>
      <c r="AK180" s="62">
        <f>IF($V180="","",IF(AND(ISNUMBER($G180),$G180&lt;=IF($S180=MesCiclo,InicioCiclo,$S180+MOD(2-WEEKDAY($S180),7))+27),1,IF(N($W180)&gt;0,MIN(1,SUMIFS($AG$5:$AG$1000,$U$5:$U$1000,ROW(),$V$5:$V$1000,"Sub")),$AC180)))</f>
        <v/>
      </c>
      <c r="AL180" s="62">
        <f>IF($V180&lt;&gt;"Macro","",IF(COUNTIFS($S$5:$S$1000,$S180,$V$5:$V$1000,"Macro",$H$5:$H$1000,"&gt;0")=0,1/COUNTIFS($S$5:$S$1000,$S180,$V$5:$V$1000,"Macro"),IF(AND(ISNUMBER($H180),N($H180)&gt;0),$H180,SUMIFS($H$5:$H$1000,$S$5:$S$1000,$S180,$V$5:$V$1000,"Macro")/COUNTIFS($S$5:$S$1000,$S180,$V$5:$V$1000,"Macro",$H$5:$H$1000,"&gt;0"))/(COUNTIFS($S$5:$S$1000,$S180,$V$5:$V$1000,"Macro")*SUMIFS($H$5:$H$1000,$S$5:$S$1000,$S180,$V$5:$V$1000,"Macro")/COUNTIFS($S$5:$S$1000,$S180,$V$5:$V$1000,"Macro",$H$5:$H$1000,"&gt;0"))))</f>
        <v/>
      </c>
      <c r="AM180" s="62" t="n"/>
      <c r="AN180" s="62" t="n"/>
      <c r="AO180" s="62" t="n"/>
      <c r="AP180" s="62" t="n"/>
      <c r="AQ180" s="62">
        <f>IF(LEFT($C180,11)="[Jefatura] ",IFERROR(MATCH("Asistente Técnico de Riesgo|"&amp;MID($C180,12,500),rDname_ADM,0),0),"")</f>
        <v/>
      </c>
      <c r="AR180" s="62">
        <f>IF(N($AQ180)&gt;0,INDEX(rIni_ADM,$AQ180),IF(ISNUMBER($E180),$E180,""))</f>
        <v/>
      </c>
      <c r="AS180" s="62">
        <f>IF(N($AQ180)&gt;0,INDEX(rLim_ADM,$AQ180),IF(ISNUMBER($F180),$F180,""))</f>
        <v/>
      </c>
    </row>
    <row r="181">
      <c r="A181" s="56">
        <f>IF(NOT((COUNTA($B181:$D181)+COUNTA($G181:$H181)+COUNTA($Q181))&gt;0),"",IF($V181="Macro",COUNTIFS($V$5:$V181,"Macro",$S$5:$S181,$S181),IF(N($U181)=0,"?",COUNTIFS(INDEX($V$5:$V$1000,1):INDEX($V$5:$V$1000,$U181-4),"Macro",INDEX($S$5:$S$1000,1):INDEX($S$5:$S$1000,$U181-4),INDEX($S$5:$S$1000,$U181-4))&amp;"."&amp;COUNTIFS($U$5:$U181,$U181,$V$5:$V181,"Sub"))))</f>
        <v/>
      </c>
      <c r="B181" s="57" t="n"/>
      <c r="C181" s="58" t="n"/>
      <c r="D181" s="58" t="n"/>
      <c r="E181" s="59">
        <f>IF(N($AQ181)&gt;0,INDEX(rIni_ADM,$AQ181),"")</f>
        <v/>
      </c>
      <c r="F181" s="59">
        <f>IF(N($AQ181)&gt;0,INDEX(rLim_ADM,$AQ181),"")</f>
        <v/>
      </c>
      <c r="G181" s="59" t="n"/>
      <c r="H181" s="60" t="n"/>
      <c r="I181" s="60">
        <f>IF(N($W181)=0,"",IF(AND($S181=MesCiclo,1&gt;SemanaActual),"",MIN(1,SUMIFS(OFFSET($A$1,ROW(),29,1000-ROW(),1),OFFSET($A$1,ROW(),20,1000-ROW(),1),ROW(),OFFSET($A$1,ROW(),21,1000-ROW(),1),"Sub"))))</f>
        <v/>
      </c>
      <c r="J181" s="60">
        <f>IF(N($W181)=0,"",IF(AND($S181=MesCiclo,2&gt;SemanaActual),"",MIN(1,SUMIFS(OFFSET($A$1,ROW(),30,1000-ROW(),1),OFFSET($A$1,ROW(),20,1000-ROW(),1),ROW(),OFFSET($A$1,ROW(),21,1000-ROW(),1),"Sub"))))</f>
        <v/>
      </c>
      <c r="K181" s="60">
        <f>IF(N($W181)=0,"",IF(AND($S181=MesCiclo,3&gt;SemanaActual),"",MIN(1,SUMIFS(OFFSET($A$1,ROW(),31,1000-ROW(),1),OFFSET($A$1,ROW(),20,1000-ROW(),1),ROW(),OFFSET($A$1,ROW(),21,1000-ROW(),1),"Sub"))))</f>
        <v/>
      </c>
      <c r="L181" s="60">
        <f>IF(N($W181)=0,"",IF(AND($S181=MesCiclo,4&gt;SemanaActual),"",MIN(1,SUMIFS(OFFSET($A$1,ROW(),32,1000-ROW(),1),OFFSET($A$1,ROW(),20,1000-ROW(),1),ROW(),OFFSET($A$1,ROW(),21,1000-ROW(),1),"Sub"))))</f>
        <v/>
      </c>
      <c r="M181" s="61">
        <f>IF(OR(NOT((COUNTA($B181:$D181)+COUNTA($G181:$H181)+COUNTA($Q181))&gt;0),$V181="Sub"),"",IF(ISNUMBER($G181),1,IF(N($W181)&gt;0,MIN(1,SUMIFS($Y$5:$Y$1000,$U$5:$U$1000,ROW(),$V$5:$V$1000,"Sub")),$Y181)))</f>
        <v/>
      </c>
      <c r="N181" s="56">
        <f>IF(OR($M181="",$V181="Sub"),"",IF($M181&gt;=1,"Completado",IF($M181&gt;0,"En curso","Pendiente")))</f>
        <v/>
      </c>
      <c r="O181" s="56">
        <f>IF(OR(NOT((COUNTA($B181:$D181)+COUNTA($G181:$H181)+COUNTA($Q181))&gt;0),$V181="Sub"),"",IF(ISNUMBER($G181),IF(AND(ISNUMBER($AS181),$G181&gt;$AS181),"Cumplida con "&amp;($G181-$AS181)&amp;IF($G181-$AS181=1," día"," días")&amp;" de retraso","Cumplida"),IF(N($M181)&gt;=1,"Cumplida",IF(NOT(ISNUMBER($AS181)),"Sin fecha límite",IF($AS181&lt;FechaRef,"Vencida hace "&amp;(FechaRef-$AS181)&amp;IF(FechaRef-$AS181=1," día"," días"),IF($AS181=FechaRef,"Vence hoy",IF($AS181-FechaRef&lt;=DiasAlerta,"Vence en "&amp;($AS181-FechaRef)&amp;IF($AS181-FechaRef=1," día"," días"),"En plazo")))))))</f>
        <v/>
      </c>
      <c r="P181" s="62" t="n"/>
      <c r="Q181" s="58" t="n"/>
      <c r="R181" s="63">
        <f>IF(NOT((COUNTA($B181:$D181)+COUNTA($G181:$H181)+COUNTA($Q181))&gt;0),"",IF((IF($C181="","Falta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 OK","⚠ "&amp;LEFT(IF($C181="","Falta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",""),LEN(IF($C181="","Falta el nombre de la actividad"&amp;" · ","")&amp;IF(AND($V181="Sub",N($U181)=0),"Subactividad sin macroactividad arriba"&amp;" · ","")&amp;IF(AND($V181="Macro",$AR181=""),"Sin fecha de inicio"&amp;" · ","")&amp;IF(AND($V181="Macro",$AS181=""),"Sin fecha límite"&amp;" · ","")&amp;IF(AND(LEFT($C181,11)="[Jefatura] ",N($AQ181)=0),"No se encuentra en la hoja de la jefatura (elíjala de nuevo en la lista)"&amp;" · ","")&amp;IF(OR(AND($E181&lt;&gt;"",NOT(ISNUMBER($E181))),AND($F181&lt;&gt;"",NOT(ISNUMBER($F181))),AND($G181&lt;&gt;"",NOT(ISNUMBER($G181)))),"Fecha no válida"&amp;" · ","")&amp;IF(AND(ISNUMBER($AR181),ISNUMBER($AS181),$AR181&gt;$AS181),"Inicio posterior a fecha límite"&amp;" · ","")&amp;IF(AND($V181="Macro",$H181&lt;&gt;"",OR(NOT(ISNUMBER($H181)),$H181&lt;0,$H181&gt;1)),"Peso fuera de rango"&amp;" · ","")&amp;IF(AND($V181="Sub",$H181&lt;&gt;"",OR(NOT(ISNUMBER($H181)),$H181&lt;0,$H181&gt;1)),"% de la subactividad fuera de rango 0-100%"&amp;" · ","")&amp;IF(AND(N($W181)&gt;0,SUMIFS($H$5:$H$1000,$U$5:$U$1000,ROW(),$V$5:$V$1000,"Sub")&gt;1.0001),"Las subactividades suman más de 100%"&amp;" · ","")&amp;IF(AND(N($W181)&gt;0,OR(IF(ISNUMBER($I181),ROUND($I181,6)&lt;&gt;ROUND(MIN(1,SUMIFS($AD$5:$AD$1000,$U$5:$U$1000,ROW(),$V$5:$V$1000,"Sub")),6),FALSE),IF(ISNUMBER($J181),ROUND($J181,6)&lt;&gt;ROUND(MIN(1,SUMIFS($AE$5:$AE$1000,$U$5:$U$1000,ROW(),$V$5:$V$1000,"Sub")),6),FALSE),IF(ISNUMBER($K181),ROUND($K181,6)&lt;&gt;ROUND(MIN(1,SUMIFS($AF$5:$AF$1000,$U$5:$U$1000,ROW(),$V$5:$V$1000,"Sub")),6),FALSE),IF(ISNUMBER($L181),ROUND($L181,6)&lt;&gt;ROUND(MIN(1,SUMIFS($AG$5:$AG$1000,$U$5:$U$1000,ROW(),$V$5:$V$1000,"Sub")),6),FALSE))),"Con subactividades: no escriba en las semanas (se llenan solas)"&amp;" · ","")&amp;IF((COUNTIF($I181:$L181,"&gt;1")+COUNTIF($I181:$L181,"&lt;0")+SUMPRODUCT((LEN($I181:$L181)&gt;0)*NOT(ISNUMBER($I181:$L181))))&gt;0,"Avance fuera de rango 0-100%"&amp;" · ","")&amp;IF(OR(AND(ISNUMBER($J181),$J181&lt;N($I181)),AND(ISNUMBER($K181),$K181&lt;MAX($I181:$J181)),AND(ISNUMBER($L181),$L181&lt;MAX($I181:$K181))),"Avance semanal decreciente"&amp;" · ","")&amp;IF(AND(ISNUMBER($AS181),$AS181&lt;FechaRef,IF($V181="Sub",1,N($M181))&lt;1),"Vencida"&amp;" · ","")&amp;IF(AND(ObsObligatoria="Sí",ISNUMBER($AS181),$AS181&lt;FechaRef,IF($V181="Sub",1,N($M181))&lt;1,$Q181=""),"Vencida sin observación"&amp;" · ",""))-3)))</f>
        <v/>
      </c>
      <c r="S181" s="64">
        <f>IF(NOT((COUNTA($B181:$D181)+COUNTA($G181:$H181)+COUNTA($Q181))&gt;0),"",IF(AND($V181="Sub",N($U181)&gt;0),IF(ISNUMBER(INDEX($AR$5:$AR$1000,$U181-4)),DATE(YEAR(INDEX($AR$5:$AR$1000,$U181-4)),MONTH(INDEX($AR$5:$AR$1000,$U181-4)),1),IF(ISNUMBER(INDEX($AS$5:$AS$1000,$U181-4)),DATE(YEAR(INDEX($AS$5:$AS$1000,$U181-4)),MONTH(INDEX($AS$5:$AS$1000,$U181-4)),1),MesCiclo)),IF(ISNUMBER($AR181),DATE(YEAR($AR181),MONTH($AR181),1),IF(ISNUMBER($AS181),DATE(YEAR($AS181),MONTH($AS181),1),MesCiclo))))</f>
        <v/>
      </c>
      <c r="T181" s="62">
        <f>IF(OR($S181="",$S181&lt;&gt;MesCiclo,$V181&lt;&gt;"Macro"),"",COUNTIFS($S$5:$S181,MesCiclo,$V$5:$V181,"Macro"))</f>
        <v/>
      </c>
      <c r="U181" s="62">
        <f>IF($V181="","",IF($V181="Macro",ROW(),IFERROR(LOOKUP(2,1/($V$5:$V181="Macro"),ROW($V$5:$V181)),0)))</f>
        <v/>
      </c>
      <c r="V181" s="62">
        <f>IF(NOT((COUNTA($B181:$D181)+COUNTA($G181:$H181)+COUNTA($Q181))&gt;0),"",IF($B181="Subactividad","Sub","Macro"))</f>
        <v/>
      </c>
      <c r="W181" s="62">
        <f>IF($V181="Macro",COUNTIFS($U$5:$U$1000,ROW(),$V$5:$V$1000,"Sub"),"")</f>
        <v/>
      </c>
      <c r="X181" s="62">
        <f>IF($V181&lt;&gt;"Sub","",IF(AND(ISNUMBER($H181),N($H181)&gt;0),$H181,IFERROR(MAX(0,1-SUMIFS($H$5:$H$1000,$U$5:$U$1000,$U181,$V$5:$V$1000,"Sub"))/(COUNTIFS($U$5:$U$1000,$U181,$V$5:$V$1000,"Sub")-COUNTIFS($U$5:$U$1000,$U181,$V$5:$V$1000,"Sub",$H$5:$H$1000,"&gt;0")),0)))</f>
        <v/>
      </c>
      <c r="Y181" s="62">
        <f>IF($V181="","",IF($V181="Sub",N($X181)*IF(ISNUMBER($G181),1,MIN(1,MAX(0,IFERROR(LOOKUP(2,1/ISNUMBER($I181:$L181),$I181:$L181),0)))),IF(ISNUMBER($G181),1,IFERROR(LOOKUP(2,1/($I181:$L181&lt;&gt;""),$I181:$L181),0))))</f>
        <v/>
      </c>
      <c r="Z181" s="62">
        <f>IF($V181="","",IF(AND(ISNUMBER($G181),$G181&lt;=IF($S181=MesCiclo,InicioCiclo,$S181+MOD(2-WEEKDAY($S181),7))+6),1,IF(ISNUMBER($I181),$I181,0)))</f>
        <v/>
      </c>
      <c r="AA181" s="62">
        <f>IF($V181="","",IF(AND(ISNUMBER($G181),$G181&lt;=IF($S181=MesCiclo,InicioCiclo,$S181+MOD(2-WEEKDAY($S181),7))+13),1,IF(ISNUMBER($J181),$J181,$Z181)))</f>
        <v/>
      </c>
      <c r="AB181" s="62">
        <f>IF($V181="","",IF(AND(ISNUMBER($G181),$G181&lt;=IF($S181=MesCiclo,InicioCiclo,$S181+MOD(2-WEEKDAY($S181),7))+20),1,IF(ISNUMBER($K181),$K181,$AA181)))</f>
        <v/>
      </c>
      <c r="AC181" s="62">
        <f>IF($V181="","",IF(AND(ISNUMBER($G181),$G181&lt;=IF($S181=MesCiclo,InicioCiclo,$S181+MOD(2-WEEKDAY($S181),7))+27),1,IF(ISNUMBER($L181),$L181,$AB181)))</f>
        <v/>
      </c>
      <c r="AD181" s="62">
        <f>IF($V181&lt;&gt;"Sub","",N($X181)*IF(AND(ISNUMBER($G181),$G181&lt;=IF($S181=MesCiclo,InicioCiclo,$S181+MOD(2-WEEKDAY($S181),7))+6),1,MIN(1,MAX(0,IF(ISNUMBER(OFFSET($A$1,ROW()-1,8)),OFFSET($A$1,ROW()-1,8),0)))))</f>
        <v/>
      </c>
      <c r="AE181" s="62">
        <f>IF($V181&lt;&gt;"Sub","",N($X181)*IF(AND(ISNUMBER($G181),$G181&lt;=IF($S181=MesCiclo,InicioCiclo,$S181+MOD(2-WEEKDAY($S181),7))+13),1,MIN(1,MAX(0,IF(ISNUMBER(OFFSET($A$1,ROW()-1,9)),OFFSET($A$1,ROW()-1,9),IF(ISNUMBER(OFFSET($A$1,ROW()-1,8)),OFFSET($A$1,ROW()-1,8),0))))))</f>
        <v/>
      </c>
      <c r="AF181" s="62">
        <f>IF($V181&lt;&gt;"Sub","",N($X181)*IF(AND(ISNUMBER($G181),$G181&lt;=IF($S181=MesCiclo,InicioCiclo,$S181+MOD(2-WEEKDAY($S181),7))+20),1,MIN(1,MAX(0,IF(ISNUMBER(OFFSET($A$1,ROW()-1,10)),OFFSET($A$1,ROW()-1,10),IF(ISNUMBER(OFFSET($A$1,ROW()-1,9)),OFFSET($A$1,ROW()-1,9),IF(ISNUMBER(OFFSET($A$1,ROW()-1,8)),OFFSET($A$1,ROW()-1,8),0)))))))</f>
        <v/>
      </c>
      <c r="AG181" s="62">
        <f>IF($V181&lt;&gt;"Sub","",N($X181)*IF(AND(ISNUMBER($G181),$G181&lt;=IF($S181=MesCiclo,InicioCiclo,$S181+MOD(2-WEEKDAY($S181),7))+27),1,MIN(1,MAX(0,IF(ISNUMBER(OFFSET($A$1,ROW()-1,11)),OFFSET($A$1,ROW()-1,11),IF(ISNUMBER(OFFSET($A$1,ROW()-1,10)),OFFSET($A$1,ROW()-1,10),IF(ISNUMBER(OFFSET($A$1,ROW()-1,9)),OFFSET($A$1,ROW()-1,9),IF(ISNUMBER(OFFSET($A$1,ROW()-1,8)),OFFSET($A$1,ROW()-1,8),0))))))))</f>
        <v/>
      </c>
      <c r="AH181" s="62">
        <f>IF($V181="","",IF(AND(ISNUMBER($G181),$G181&lt;=IF($S181=MesCiclo,InicioCiclo,$S181+MOD(2-WEEKDAY($S181),7))+6),1,IF(N($W181)&gt;0,MIN(1,SUMIFS($AD$5:$AD$1000,$U$5:$U$1000,ROW(),$V$5:$V$1000,"Sub")),$Z181)))</f>
        <v/>
      </c>
      <c r="AI181" s="62">
        <f>IF($V181="","",IF(AND(ISNUMBER($G181),$G181&lt;=IF($S181=MesCiclo,InicioCiclo,$S181+MOD(2-WEEKDAY($S181),7))+13),1,IF(N($W181)&gt;0,MIN(1,SUMIFS($AE$5:$AE$1000,$U$5:$U$1000,ROW(),$V$5:$V$1000,"Sub")),$AA181)))</f>
        <v/>
      </c>
      <c r="AJ181" s="62">
        <f>IF($V181="","",IF(AND(ISNUMBER($G181),$G181&lt;=IF($S181=MesCiclo,InicioCiclo,$S181+MOD(2-WEEKDAY($S181),7))+20),1,IF(N($W181)&gt;0,MIN(1,SUMIFS($AF$5:$AF$1000,$U$5:$U$1000,ROW(),$V$5:$V$1000,"Sub")),$AB181)))</f>
        <v/>
      </c>
      <c r="AK181" s="62">
        <f>IF($V181="","",IF(AND(ISNUMBER($G181),$G181&lt;=IF($S181=MesCiclo,InicioCiclo,$S181+MOD(2-WEEKDAY($S181),7))+27),1,IF(N($W181)&gt;0,MIN(1,SUMIFS($AG$5:$AG$1000,$U$5:$U$1000,ROW(),$V$5:$V$1000,"Sub")),$AC181)))</f>
        <v/>
      </c>
      <c r="AL181" s="62">
        <f>IF($V181&lt;&gt;"Macro","",IF(COUNTIFS($S$5:$S$1000,$S181,$V$5:$V$1000,"Macro",$H$5:$H$1000,"&gt;0")=0,1/COUNTIFS($S$5:$S$1000,$S181,$V$5:$V$1000,"Macro"),IF(AND(ISNUMBER($H181),N($H181)&gt;0),$H181,SUMIFS($H$5:$H$1000,$S$5:$S$1000,$S181,$V$5:$V$1000,"Macro")/COUNTIFS($S$5:$S$1000,$S181,$V$5:$V$1000,"Macro",$H$5:$H$1000,"&gt;0"))/(COUNTIFS($S$5:$S$1000,$S181,$V$5:$V$1000,"Macro")*SUMIFS($H$5:$H$1000,$S$5:$S$1000,$S181,$V$5:$V$1000,"Macro")/COUNTIFS($S$5:$S$1000,$S181,$V$5:$V$1000,"Macro",$H$5:$H$1000,"&gt;0"))))</f>
        <v/>
      </c>
      <c r="AM181" s="62" t="n"/>
      <c r="AN181" s="62" t="n"/>
      <c r="AO181" s="62" t="n"/>
      <c r="AP181" s="62" t="n"/>
      <c r="AQ181" s="62">
        <f>IF(LEFT($C181,11)="[Jefatura] ",IFERROR(MATCH("Asistente Técnico de Riesgo|"&amp;MID($C181,12,500),rDname_ADM,0),0),"")</f>
        <v/>
      </c>
      <c r="AR181" s="62">
        <f>IF(N($AQ181)&gt;0,INDEX(rIni_ADM,$AQ181),IF(ISNUMBER($E181),$E181,""))</f>
        <v/>
      </c>
      <c r="AS181" s="62">
        <f>IF(N($AQ181)&gt;0,INDEX(rLim_ADM,$AQ181),IF(ISNUMBER($F181),$F181,""))</f>
        <v/>
      </c>
    </row>
    <row r="182">
      <c r="A182" s="56">
        <f>IF(NOT((COUNTA($B182:$D182)+COUNTA($G182:$H182)+COUNTA($Q182))&gt;0),"",IF($V182="Macro",COUNTIFS($V$5:$V182,"Macro",$S$5:$S182,$S182),IF(N($U182)=0,"?",COUNTIFS(INDEX($V$5:$V$1000,1):INDEX($V$5:$V$1000,$U182-4),"Macro",INDEX($S$5:$S$1000,1):INDEX($S$5:$S$1000,$U182-4),INDEX($S$5:$S$1000,$U182-4))&amp;"."&amp;COUNTIFS($U$5:$U182,$U182,$V$5:$V182,"Sub"))))</f>
        <v/>
      </c>
      <c r="B182" s="57" t="n"/>
      <c r="C182" s="58" t="n"/>
      <c r="D182" s="58" t="n"/>
      <c r="E182" s="59">
        <f>IF(N($AQ182)&gt;0,INDEX(rIni_ADM,$AQ182),"")</f>
        <v/>
      </c>
      <c r="F182" s="59">
        <f>IF(N($AQ182)&gt;0,INDEX(rLim_ADM,$AQ182),"")</f>
        <v/>
      </c>
      <c r="G182" s="59" t="n"/>
      <c r="H182" s="60" t="n"/>
      <c r="I182" s="60">
        <f>IF(N($W182)=0,"",IF(AND($S182=MesCiclo,1&gt;SemanaActual),"",MIN(1,SUMIFS(OFFSET($A$1,ROW(),29,1000-ROW(),1),OFFSET($A$1,ROW(),20,1000-ROW(),1),ROW(),OFFSET($A$1,ROW(),21,1000-ROW(),1),"Sub"))))</f>
        <v/>
      </c>
      <c r="J182" s="60">
        <f>IF(N($W182)=0,"",IF(AND($S182=MesCiclo,2&gt;SemanaActual),"",MIN(1,SUMIFS(OFFSET($A$1,ROW(),30,1000-ROW(),1),OFFSET($A$1,ROW(),20,1000-ROW(),1),ROW(),OFFSET($A$1,ROW(),21,1000-ROW(),1),"Sub"))))</f>
        <v/>
      </c>
      <c r="K182" s="60">
        <f>IF(N($W182)=0,"",IF(AND($S182=MesCiclo,3&gt;SemanaActual),"",MIN(1,SUMIFS(OFFSET($A$1,ROW(),31,1000-ROW(),1),OFFSET($A$1,ROW(),20,1000-ROW(),1),ROW(),OFFSET($A$1,ROW(),21,1000-ROW(),1),"Sub"))))</f>
        <v/>
      </c>
      <c r="L182" s="60">
        <f>IF(N($W182)=0,"",IF(AND($S182=MesCiclo,4&gt;SemanaActual),"",MIN(1,SUMIFS(OFFSET($A$1,ROW(),32,1000-ROW(),1),OFFSET($A$1,ROW(),20,1000-ROW(),1),ROW(),OFFSET($A$1,ROW(),21,1000-ROW(),1),"Sub"))))</f>
        <v/>
      </c>
      <c r="M182" s="61">
        <f>IF(OR(NOT((COUNTA($B182:$D182)+COUNTA($G182:$H182)+COUNTA($Q182))&gt;0),$V182="Sub"),"",IF(ISNUMBER($G182),1,IF(N($W182)&gt;0,MIN(1,SUMIFS($Y$5:$Y$1000,$U$5:$U$1000,ROW(),$V$5:$V$1000,"Sub")),$Y182)))</f>
        <v/>
      </c>
      <c r="N182" s="56">
        <f>IF(OR($M182="",$V182="Sub"),"",IF($M182&gt;=1,"Completado",IF($M182&gt;0,"En curso","Pendiente")))</f>
        <v/>
      </c>
      <c r="O182" s="56">
        <f>IF(OR(NOT((COUNTA($B182:$D182)+COUNTA($G182:$H182)+COUNTA($Q182))&gt;0),$V182="Sub"),"",IF(ISNUMBER($G182),IF(AND(ISNUMBER($AS182),$G182&gt;$AS182),"Cumplida con "&amp;($G182-$AS182)&amp;IF($G182-$AS182=1," día"," días")&amp;" de retraso","Cumplida"),IF(N($M182)&gt;=1,"Cumplida",IF(NOT(ISNUMBER($AS182)),"Sin fecha límite",IF($AS182&lt;FechaRef,"Vencida hace "&amp;(FechaRef-$AS182)&amp;IF(FechaRef-$AS182=1," día"," días"),IF($AS182=FechaRef,"Vence hoy",IF($AS182-FechaRef&lt;=DiasAlerta,"Vence en "&amp;($AS182-FechaRef)&amp;IF($AS182-FechaRef=1," día"," días"),"En plazo")))))))</f>
        <v/>
      </c>
      <c r="P182" s="62" t="n"/>
      <c r="Q182" s="58" t="n"/>
      <c r="R182" s="63">
        <f>IF(NOT((COUNTA($B182:$D182)+COUNTA($G182:$H182)+COUNTA($Q182))&gt;0),"",IF((IF($C182="","Falta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 OK","⚠ "&amp;LEFT(IF($C182="","Falta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",""),LEN(IF($C182="","Falta el nombre de la actividad"&amp;" · ","")&amp;IF(AND($V182="Sub",N($U182)=0),"Subactividad sin macroactividad arriba"&amp;" · ","")&amp;IF(AND($V182="Macro",$AR182=""),"Sin fecha de inicio"&amp;" · ","")&amp;IF(AND($V182="Macro",$AS182=""),"Sin fecha límite"&amp;" · ","")&amp;IF(AND(LEFT($C182,11)="[Jefatura] ",N($AQ182)=0),"No se encuentra en la hoja de la jefatura (elíjala de nuevo en la lista)"&amp;" · ","")&amp;IF(OR(AND($E182&lt;&gt;"",NOT(ISNUMBER($E182))),AND($F182&lt;&gt;"",NOT(ISNUMBER($F182))),AND($G182&lt;&gt;"",NOT(ISNUMBER($G182)))),"Fecha no válida"&amp;" · ","")&amp;IF(AND(ISNUMBER($AR182),ISNUMBER($AS182),$AR182&gt;$AS182),"Inicio posterior a fecha límite"&amp;" · ","")&amp;IF(AND($V182="Macro",$H182&lt;&gt;"",OR(NOT(ISNUMBER($H182)),$H182&lt;0,$H182&gt;1)),"Peso fuera de rango"&amp;" · ","")&amp;IF(AND($V182="Sub",$H182&lt;&gt;"",OR(NOT(ISNUMBER($H182)),$H182&lt;0,$H182&gt;1)),"% de la subactividad fuera de rango 0-100%"&amp;" · ","")&amp;IF(AND(N($W182)&gt;0,SUMIFS($H$5:$H$1000,$U$5:$U$1000,ROW(),$V$5:$V$1000,"Sub")&gt;1.0001),"Las subactividades suman más de 100%"&amp;" · ","")&amp;IF(AND(N($W182)&gt;0,OR(IF(ISNUMBER($I182),ROUND($I182,6)&lt;&gt;ROUND(MIN(1,SUMIFS($AD$5:$AD$1000,$U$5:$U$1000,ROW(),$V$5:$V$1000,"Sub")),6),FALSE),IF(ISNUMBER($J182),ROUND($J182,6)&lt;&gt;ROUND(MIN(1,SUMIFS($AE$5:$AE$1000,$U$5:$U$1000,ROW(),$V$5:$V$1000,"Sub")),6),FALSE),IF(ISNUMBER($K182),ROUND($K182,6)&lt;&gt;ROUND(MIN(1,SUMIFS($AF$5:$AF$1000,$U$5:$U$1000,ROW(),$V$5:$V$1000,"Sub")),6),FALSE),IF(ISNUMBER($L182),ROUND($L182,6)&lt;&gt;ROUND(MIN(1,SUMIFS($AG$5:$AG$1000,$U$5:$U$1000,ROW(),$V$5:$V$1000,"Sub")),6),FALSE))),"Con subactividades: no escriba en las semanas (se llenan solas)"&amp;" · ","")&amp;IF((COUNTIF($I182:$L182,"&gt;1")+COUNTIF($I182:$L182,"&lt;0")+SUMPRODUCT((LEN($I182:$L182)&gt;0)*NOT(ISNUMBER($I182:$L182))))&gt;0,"Avance fuera de rango 0-100%"&amp;" · ","")&amp;IF(OR(AND(ISNUMBER($J182),$J182&lt;N($I182)),AND(ISNUMBER($K182),$K182&lt;MAX($I182:$J182)),AND(ISNUMBER($L182),$L182&lt;MAX($I182:$K182))),"Avance semanal decreciente"&amp;" · ","")&amp;IF(AND(ISNUMBER($AS182),$AS182&lt;FechaRef,IF($V182="Sub",1,N($M182))&lt;1),"Vencida"&amp;" · ","")&amp;IF(AND(ObsObligatoria="Sí",ISNUMBER($AS182),$AS182&lt;FechaRef,IF($V182="Sub",1,N($M182))&lt;1,$Q182=""),"Vencida sin observación"&amp;" · ",""))-3)))</f>
        <v/>
      </c>
      <c r="S182" s="64">
        <f>IF(NOT((COUNTA($B182:$D182)+COUNTA($G182:$H182)+COUNTA($Q182))&gt;0),"",IF(AND($V182="Sub",N($U182)&gt;0),IF(ISNUMBER(INDEX($AR$5:$AR$1000,$U182-4)),DATE(YEAR(INDEX($AR$5:$AR$1000,$U182-4)),MONTH(INDEX($AR$5:$AR$1000,$U182-4)),1),IF(ISNUMBER(INDEX($AS$5:$AS$1000,$U182-4)),DATE(YEAR(INDEX($AS$5:$AS$1000,$U182-4)),MONTH(INDEX($AS$5:$AS$1000,$U182-4)),1),MesCiclo)),IF(ISNUMBER($AR182),DATE(YEAR($AR182),MONTH($AR182),1),IF(ISNUMBER($AS182),DATE(YEAR($AS182),MONTH($AS182),1),MesCiclo))))</f>
        <v/>
      </c>
      <c r="T182" s="62">
        <f>IF(OR($S182="",$S182&lt;&gt;MesCiclo,$V182&lt;&gt;"Macro"),"",COUNTIFS($S$5:$S182,MesCiclo,$V$5:$V182,"Macro"))</f>
        <v/>
      </c>
      <c r="U182" s="62">
        <f>IF($V182="","",IF($V182="Macro",ROW(),IFERROR(LOOKUP(2,1/($V$5:$V182="Macro"),ROW($V$5:$V182)),0)))</f>
        <v/>
      </c>
      <c r="V182" s="62">
        <f>IF(NOT((COUNTA($B182:$D182)+COUNTA($G182:$H182)+COUNTA($Q182))&gt;0),"",IF($B182="Subactividad","Sub","Macro"))</f>
        <v/>
      </c>
      <c r="W182" s="62">
        <f>IF($V182="Macro",COUNTIFS($U$5:$U$1000,ROW(),$V$5:$V$1000,"Sub"),"")</f>
        <v/>
      </c>
      <c r="X182" s="62">
        <f>IF($V182&lt;&gt;"Sub","",IF(AND(ISNUMBER($H182),N($H182)&gt;0),$H182,IFERROR(MAX(0,1-SUMIFS($H$5:$H$1000,$U$5:$U$1000,$U182,$V$5:$V$1000,"Sub"))/(COUNTIFS($U$5:$U$1000,$U182,$V$5:$V$1000,"Sub")-COUNTIFS($U$5:$U$1000,$U182,$V$5:$V$1000,"Sub",$H$5:$H$1000,"&gt;0")),0)))</f>
        <v/>
      </c>
      <c r="Y182" s="62">
        <f>IF($V182="","",IF($V182="Sub",N($X182)*IF(ISNUMBER($G182),1,MIN(1,MAX(0,IFERROR(LOOKUP(2,1/ISNUMBER($I182:$L182),$I182:$L182),0)))),IF(ISNUMBER($G182),1,IFERROR(LOOKUP(2,1/($I182:$L182&lt;&gt;""),$I182:$L182),0))))</f>
        <v/>
      </c>
      <c r="Z182" s="62">
        <f>IF($V182="","",IF(AND(ISNUMBER($G182),$G182&lt;=IF($S182=MesCiclo,InicioCiclo,$S182+MOD(2-WEEKDAY($S182),7))+6),1,IF(ISNUMBER($I182),$I182,0)))</f>
        <v/>
      </c>
      <c r="AA182" s="62">
        <f>IF($V182="","",IF(AND(ISNUMBER($G182),$G182&lt;=IF($S182=MesCiclo,InicioCiclo,$S182+MOD(2-WEEKDAY($S182),7))+13),1,IF(ISNUMBER($J182),$J182,$Z182)))</f>
        <v/>
      </c>
      <c r="AB182" s="62">
        <f>IF($V182="","",IF(AND(ISNUMBER($G182),$G182&lt;=IF($S182=MesCiclo,InicioCiclo,$S182+MOD(2-WEEKDAY($S182),7))+20),1,IF(ISNUMBER($K182),$K182,$AA182)))</f>
        <v/>
      </c>
      <c r="AC182" s="62">
        <f>IF($V182="","",IF(AND(ISNUMBER($G182),$G182&lt;=IF($S182=MesCiclo,InicioCiclo,$S182+MOD(2-WEEKDAY($S182),7))+27),1,IF(ISNUMBER($L182),$L182,$AB182)))</f>
        <v/>
      </c>
      <c r="AD182" s="62">
        <f>IF($V182&lt;&gt;"Sub","",N($X182)*IF(AND(ISNUMBER($G182),$G182&lt;=IF($S182=MesCiclo,InicioCiclo,$S182+MOD(2-WEEKDAY($S182),7))+6),1,MIN(1,MAX(0,IF(ISNUMBER(OFFSET($A$1,ROW()-1,8)),OFFSET($A$1,ROW()-1,8),0)))))</f>
        <v/>
      </c>
      <c r="AE182" s="62">
        <f>IF($V182&lt;&gt;"Sub","",N($X182)*IF(AND(ISNUMBER($G182),$G182&lt;=IF($S182=MesCiclo,InicioCiclo,$S182+MOD(2-WEEKDAY($S182),7))+13),1,MIN(1,MAX(0,IF(ISNUMBER(OFFSET($A$1,ROW()-1,9)),OFFSET($A$1,ROW()-1,9),IF(ISNUMBER(OFFSET($A$1,ROW()-1,8)),OFFSET($A$1,ROW()-1,8),0))))))</f>
        <v/>
      </c>
      <c r="AF182" s="62">
        <f>IF($V182&lt;&gt;"Sub","",N($X182)*IF(AND(ISNUMBER($G182),$G182&lt;=IF($S182=MesCiclo,InicioCiclo,$S182+MOD(2-WEEKDAY($S182),7))+20),1,MIN(1,MAX(0,IF(ISNUMBER(OFFSET($A$1,ROW()-1,10)),OFFSET($A$1,ROW()-1,10),IF(ISNUMBER(OFFSET($A$1,ROW()-1,9)),OFFSET($A$1,ROW()-1,9),IF(ISNUMBER(OFFSET($A$1,ROW()-1,8)),OFFSET($A$1,ROW()-1,8),0)))))))</f>
        <v/>
      </c>
      <c r="AG182" s="62">
        <f>IF($V182&lt;&gt;"Sub","",N($X182)*IF(AND(ISNUMBER($G182),$G182&lt;=IF($S182=MesCiclo,InicioCiclo,$S182+MOD(2-WEEKDAY($S182),7))+27),1,MIN(1,MAX(0,IF(ISNUMBER(OFFSET($A$1,ROW()-1,11)),OFFSET($A$1,ROW()-1,11),IF(ISNUMBER(OFFSET($A$1,ROW()-1,10)),OFFSET($A$1,ROW()-1,10),IF(ISNUMBER(OFFSET($A$1,ROW()-1,9)),OFFSET($A$1,ROW()-1,9),IF(ISNUMBER(OFFSET($A$1,ROW()-1,8)),OFFSET($A$1,ROW()-1,8),0))))))))</f>
        <v/>
      </c>
      <c r="AH182" s="62">
        <f>IF($V182="","",IF(AND(ISNUMBER($G182),$G182&lt;=IF($S182=MesCiclo,InicioCiclo,$S182+MOD(2-WEEKDAY($S182),7))+6),1,IF(N($W182)&gt;0,MIN(1,SUMIFS($AD$5:$AD$1000,$U$5:$U$1000,ROW(),$V$5:$V$1000,"Sub")),$Z182)))</f>
        <v/>
      </c>
      <c r="AI182" s="62">
        <f>IF($V182="","",IF(AND(ISNUMBER($G182),$G182&lt;=IF($S182=MesCiclo,InicioCiclo,$S182+MOD(2-WEEKDAY($S182),7))+13),1,IF(N($W182)&gt;0,MIN(1,SUMIFS($AE$5:$AE$1000,$U$5:$U$1000,ROW(),$V$5:$V$1000,"Sub")),$AA182)))</f>
        <v/>
      </c>
      <c r="AJ182" s="62">
        <f>IF($V182="","",IF(AND(ISNUMBER($G182),$G182&lt;=IF($S182=MesCiclo,InicioCiclo,$S182+MOD(2-WEEKDAY($S182),7))+20),1,IF(N($W182)&gt;0,MIN(1,SUMIFS($AF$5:$AF$1000,$U$5:$U$1000,ROW(),$V$5:$V$1000,"Sub")),$AB182)))</f>
        <v/>
      </c>
      <c r="AK182" s="62">
        <f>IF($V182="","",IF(AND(ISNUMBER($G182),$G182&lt;=IF($S182=MesCiclo,InicioCiclo,$S182+MOD(2-WEEKDAY($S182),7))+27),1,IF(N($W182)&gt;0,MIN(1,SUMIFS($AG$5:$AG$1000,$U$5:$U$1000,ROW(),$V$5:$V$1000,"Sub")),$AC182)))</f>
        <v/>
      </c>
      <c r="AL182" s="62">
        <f>IF($V182&lt;&gt;"Macro","",IF(COUNTIFS($S$5:$S$1000,$S182,$V$5:$V$1000,"Macro",$H$5:$H$1000,"&gt;0")=0,1/COUNTIFS($S$5:$S$1000,$S182,$V$5:$V$1000,"Macro"),IF(AND(ISNUMBER($H182),N($H182)&gt;0),$H182,SUMIFS($H$5:$H$1000,$S$5:$S$1000,$S182,$V$5:$V$1000,"Macro")/COUNTIFS($S$5:$S$1000,$S182,$V$5:$V$1000,"Macro",$H$5:$H$1000,"&gt;0"))/(COUNTIFS($S$5:$S$1000,$S182,$V$5:$V$1000,"Macro")*SUMIFS($H$5:$H$1000,$S$5:$S$1000,$S182,$V$5:$V$1000,"Macro")/COUNTIFS($S$5:$S$1000,$S182,$V$5:$V$1000,"Macro",$H$5:$H$1000,"&gt;0"))))</f>
        <v/>
      </c>
      <c r="AM182" s="62" t="n"/>
      <c r="AN182" s="62" t="n"/>
      <c r="AO182" s="62" t="n"/>
      <c r="AP182" s="62" t="n"/>
      <c r="AQ182" s="62">
        <f>IF(LEFT($C182,11)="[Jefatura] ",IFERROR(MATCH("Asistente Técnico de Riesgo|"&amp;MID($C182,12,500),rDname_ADM,0),0),"")</f>
        <v/>
      </c>
      <c r="AR182" s="62">
        <f>IF(N($AQ182)&gt;0,INDEX(rIni_ADM,$AQ182),IF(ISNUMBER($E182),$E182,""))</f>
        <v/>
      </c>
      <c r="AS182" s="62">
        <f>IF(N($AQ182)&gt;0,INDEX(rLim_ADM,$AQ182),IF(ISNUMBER($F182),$F182,""))</f>
        <v/>
      </c>
    </row>
    <row r="183">
      <c r="A183" s="56">
        <f>IF(NOT((COUNTA($B183:$D183)+COUNTA($G183:$H183)+COUNTA($Q183))&gt;0),"",IF($V183="Macro",COUNTIFS($V$5:$V183,"Macro",$S$5:$S183,$S183),IF(N($U183)=0,"?",COUNTIFS(INDEX($V$5:$V$1000,1):INDEX($V$5:$V$1000,$U183-4),"Macro",INDEX($S$5:$S$1000,1):INDEX($S$5:$S$1000,$U183-4),INDEX($S$5:$S$1000,$U183-4))&amp;"."&amp;COUNTIFS($U$5:$U183,$U183,$V$5:$V183,"Sub"))))</f>
        <v/>
      </c>
      <c r="B183" s="57" t="n"/>
      <c r="C183" s="58" t="n"/>
      <c r="D183" s="58" t="n"/>
      <c r="E183" s="59">
        <f>IF(N($AQ183)&gt;0,INDEX(rIni_ADM,$AQ183),"")</f>
        <v/>
      </c>
      <c r="F183" s="59">
        <f>IF(N($AQ183)&gt;0,INDEX(rLim_ADM,$AQ183),"")</f>
        <v/>
      </c>
      <c r="G183" s="59" t="n"/>
      <c r="H183" s="60" t="n"/>
      <c r="I183" s="60">
        <f>IF(N($W183)=0,"",IF(AND($S183=MesCiclo,1&gt;SemanaActual),"",MIN(1,SUMIFS(OFFSET($A$1,ROW(),29,1000-ROW(),1),OFFSET($A$1,ROW(),20,1000-ROW(),1),ROW(),OFFSET($A$1,ROW(),21,1000-ROW(),1),"Sub"))))</f>
        <v/>
      </c>
      <c r="J183" s="60">
        <f>IF(N($W183)=0,"",IF(AND($S183=MesCiclo,2&gt;SemanaActual),"",MIN(1,SUMIFS(OFFSET($A$1,ROW(),30,1000-ROW(),1),OFFSET($A$1,ROW(),20,1000-ROW(),1),ROW(),OFFSET($A$1,ROW(),21,1000-ROW(),1),"Sub"))))</f>
        <v/>
      </c>
      <c r="K183" s="60">
        <f>IF(N($W183)=0,"",IF(AND($S183=MesCiclo,3&gt;SemanaActual),"",MIN(1,SUMIFS(OFFSET($A$1,ROW(),31,1000-ROW(),1),OFFSET($A$1,ROW(),20,1000-ROW(),1),ROW(),OFFSET($A$1,ROW(),21,1000-ROW(),1),"Sub"))))</f>
        <v/>
      </c>
      <c r="L183" s="60">
        <f>IF(N($W183)=0,"",IF(AND($S183=MesCiclo,4&gt;SemanaActual),"",MIN(1,SUMIFS(OFFSET($A$1,ROW(),32,1000-ROW(),1),OFFSET($A$1,ROW(),20,1000-ROW(),1),ROW(),OFFSET($A$1,ROW(),21,1000-ROW(),1),"Sub"))))</f>
        <v/>
      </c>
      <c r="M183" s="61">
        <f>IF(OR(NOT((COUNTA($B183:$D183)+COUNTA($G183:$H183)+COUNTA($Q183))&gt;0),$V183="Sub"),"",IF(ISNUMBER($G183),1,IF(N($W183)&gt;0,MIN(1,SUMIFS($Y$5:$Y$1000,$U$5:$U$1000,ROW(),$V$5:$V$1000,"Sub")),$Y183)))</f>
        <v/>
      </c>
      <c r="N183" s="56">
        <f>IF(OR($M183="",$V183="Sub"),"",IF($M183&gt;=1,"Completado",IF($M183&gt;0,"En curso","Pendiente")))</f>
        <v/>
      </c>
      <c r="O183" s="56">
        <f>IF(OR(NOT((COUNTA($B183:$D183)+COUNTA($G183:$H183)+COUNTA($Q183))&gt;0),$V183="Sub"),"",IF(ISNUMBER($G183),IF(AND(ISNUMBER($AS183),$G183&gt;$AS183),"Cumplida con "&amp;($G183-$AS183)&amp;IF($G183-$AS183=1," día"," días")&amp;" de retraso","Cumplida"),IF(N($M183)&gt;=1,"Cumplida",IF(NOT(ISNUMBER($AS183)),"Sin fecha límite",IF($AS183&lt;FechaRef,"Vencida hace "&amp;(FechaRef-$AS183)&amp;IF(FechaRef-$AS183=1," día"," días"),IF($AS183=FechaRef,"Vence hoy",IF($AS183-FechaRef&lt;=DiasAlerta,"Vence en "&amp;($AS183-FechaRef)&amp;IF($AS183-FechaRef=1," día"," días"),"En plazo")))))))</f>
        <v/>
      </c>
      <c r="P183" s="62" t="n"/>
      <c r="Q183" s="58" t="n"/>
      <c r="R183" s="63">
        <f>IF(NOT((COUNTA($B183:$D183)+COUNTA($G183:$H183)+COUNTA($Q183))&gt;0),"",IF((IF($C183="","Falta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 OK","⚠ "&amp;LEFT(IF($C183="","Falta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",""),LEN(IF($C183="","Falta el nombre de la actividad"&amp;" · ","")&amp;IF(AND($V183="Sub",N($U183)=0),"Subactividad sin macroactividad arriba"&amp;" · ","")&amp;IF(AND($V183="Macro",$AR183=""),"Sin fecha de inicio"&amp;" · ","")&amp;IF(AND($V183="Macro",$AS183=""),"Sin fecha límite"&amp;" · ","")&amp;IF(AND(LEFT($C183,11)="[Jefatura] ",N($AQ183)=0),"No se encuentra en la hoja de la jefatura (elíjala de nuevo en la lista)"&amp;" · ","")&amp;IF(OR(AND($E183&lt;&gt;"",NOT(ISNUMBER($E183))),AND($F183&lt;&gt;"",NOT(ISNUMBER($F183))),AND($G183&lt;&gt;"",NOT(ISNUMBER($G183)))),"Fecha no válida"&amp;" · ","")&amp;IF(AND(ISNUMBER($AR183),ISNUMBER($AS183),$AR183&gt;$AS183),"Inicio posterior a fecha límite"&amp;" · ","")&amp;IF(AND($V183="Macro",$H183&lt;&gt;"",OR(NOT(ISNUMBER($H183)),$H183&lt;0,$H183&gt;1)),"Peso fuera de rango"&amp;" · ","")&amp;IF(AND($V183="Sub",$H183&lt;&gt;"",OR(NOT(ISNUMBER($H183)),$H183&lt;0,$H183&gt;1)),"% de la subactividad fuera de rango 0-100%"&amp;" · ","")&amp;IF(AND(N($W183)&gt;0,SUMIFS($H$5:$H$1000,$U$5:$U$1000,ROW(),$V$5:$V$1000,"Sub")&gt;1.0001),"Las subactividades suman más de 100%"&amp;" · ","")&amp;IF(AND(N($W183)&gt;0,OR(IF(ISNUMBER($I183),ROUND($I183,6)&lt;&gt;ROUND(MIN(1,SUMIFS($AD$5:$AD$1000,$U$5:$U$1000,ROW(),$V$5:$V$1000,"Sub")),6),FALSE),IF(ISNUMBER($J183),ROUND($J183,6)&lt;&gt;ROUND(MIN(1,SUMIFS($AE$5:$AE$1000,$U$5:$U$1000,ROW(),$V$5:$V$1000,"Sub")),6),FALSE),IF(ISNUMBER($K183),ROUND($K183,6)&lt;&gt;ROUND(MIN(1,SUMIFS($AF$5:$AF$1000,$U$5:$U$1000,ROW(),$V$5:$V$1000,"Sub")),6),FALSE),IF(ISNUMBER($L183),ROUND($L183,6)&lt;&gt;ROUND(MIN(1,SUMIFS($AG$5:$AG$1000,$U$5:$U$1000,ROW(),$V$5:$V$1000,"Sub")),6),FALSE))),"Con subactividades: no escriba en las semanas (se llenan solas)"&amp;" · ","")&amp;IF((COUNTIF($I183:$L183,"&gt;1")+COUNTIF($I183:$L183,"&lt;0")+SUMPRODUCT((LEN($I183:$L183)&gt;0)*NOT(ISNUMBER($I183:$L183))))&gt;0,"Avance fuera de rango 0-100%"&amp;" · ","")&amp;IF(OR(AND(ISNUMBER($J183),$J183&lt;N($I183)),AND(ISNUMBER($K183),$K183&lt;MAX($I183:$J183)),AND(ISNUMBER($L183),$L183&lt;MAX($I183:$K183))),"Avance semanal decreciente"&amp;" · ","")&amp;IF(AND(ISNUMBER($AS183),$AS183&lt;FechaRef,IF($V183="Sub",1,N($M183))&lt;1),"Vencida"&amp;" · ","")&amp;IF(AND(ObsObligatoria="Sí",ISNUMBER($AS183),$AS183&lt;FechaRef,IF($V183="Sub",1,N($M183))&lt;1,$Q183=""),"Vencida sin observación"&amp;" · ",""))-3)))</f>
        <v/>
      </c>
      <c r="S183" s="64">
        <f>IF(NOT((COUNTA($B183:$D183)+COUNTA($G183:$H183)+COUNTA($Q183))&gt;0),"",IF(AND($V183="Sub",N($U183)&gt;0),IF(ISNUMBER(INDEX($AR$5:$AR$1000,$U183-4)),DATE(YEAR(INDEX($AR$5:$AR$1000,$U183-4)),MONTH(INDEX($AR$5:$AR$1000,$U183-4)),1),IF(ISNUMBER(INDEX($AS$5:$AS$1000,$U183-4)),DATE(YEAR(INDEX($AS$5:$AS$1000,$U183-4)),MONTH(INDEX($AS$5:$AS$1000,$U183-4)),1),MesCiclo)),IF(ISNUMBER($AR183),DATE(YEAR($AR183),MONTH($AR183),1),IF(ISNUMBER($AS183),DATE(YEAR($AS183),MONTH($AS183),1),MesCiclo))))</f>
        <v/>
      </c>
      <c r="T183" s="62">
        <f>IF(OR($S183="",$S183&lt;&gt;MesCiclo,$V183&lt;&gt;"Macro"),"",COUNTIFS($S$5:$S183,MesCiclo,$V$5:$V183,"Macro"))</f>
        <v/>
      </c>
      <c r="U183" s="62">
        <f>IF($V183="","",IF($V183="Macro",ROW(),IFERROR(LOOKUP(2,1/($V$5:$V183="Macro"),ROW($V$5:$V183)),0)))</f>
        <v/>
      </c>
      <c r="V183" s="62">
        <f>IF(NOT((COUNTA($B183:$D183)+COUNTA($G183:$H183)+COUNTA($Q183))&gt;0),"",IF($B183="Subactividad","Sub","Macro"))</f>
        <v/>
      </c>
      <c r="W183" s="62">
        <f>IF($V183="Macro",COUNTIFS($U$5:$U$1000,ROW(),$V$5:$V$1000,"Sub"),"")</f>
        <v/>
      </c>
      <c r="X183" s="62">
        <f>IF($V183&lt;&gt;"Sub","",IF(AND(ISNUMBER($H183),N($H183)&gt;0),$H183,IFERROR(MAX(0,1-SUMIFS($H$5:$H$1000,$U$5:$U$1000,$U183,$V$5:$V$1000,"Sub"))/(COUNTIFS($U$5:$U$1000,$U183,$V$5:$V$1000,"Sub")-COUNTIFS($U$5:$U$1000,$U183,$V$5:$V$1000,"Sub",$H$5:$H$1000,"&gt;0")),0)))</f>
        <v/>
      </c>
      <c r="Y183" s="62">
        <f>IF($V183="","",IF($V183="Sub",N($X183)*IF(ISNUMBER($G183),1,MIN(1,MAX(0,IFERROR(LOOKUP(2,1/ISNUMBER($I183:$L183),$I183:$L183),0)))),IF(ISNUMBER($G183),1,IFERROR(LOOKUP(2,1/($I183:$L183&lt;&gt;""),$I183:$L183),0))))</f>
        <v/>
      </c>
      <c r="Z183" s="62">
        <f>IF($V183="","",IF(AND(ISNUMBER($G183),$G183&lt;=IF($S183=MesCiclo,InicioCiclo,$S183+MOD(2-WEEKDAY($S183),7))+6),1,IF(ISNUMBER($I183),$I183,0)))</f>
        <v/>
      </c>
      <c r="AA183" s="62">
        <f>IF($V183="","",IF(AND(ISNUMBER($G183),$G183&lt;=IF($S183=MesCiclo,InicioCiclo,$S183+MOD(2-WEEKDAY($S183),7))+13),1,IF(ISNUMBER($J183),$J183,$Z183)))</f>
        <v/>
      </c>
      <c r="AB183" s="62">
        <f>IF($V183="","",IF(AND(ISNUMBER($G183),$G183&lt;=IF($S183=MesCiclo,InicioCiclo,$S183+MOD(2-WEEKDAY($S183),7))+20),1,IF(ISNUMBER($K183),$K183,$AA183)))</f>
        <v/>
      </c>
      <c r="AC183" s="62">
        <f>IF($V183="","",IF(AND(ISNUMBER($G183),$G183&lt;=IF($S183=MesCiclo,InicioCiclo,$S183+MOD(2-WEEKDAY($S183),7))+27),1,IF(ISNUMBER($L183),$L183,$AB183)))</f>
        <v/>
      </c>
      <c r="AD183" s="62">
        <f>IF($V183&lt;&gt;"Sub","",N($X183)*IF(AND(ISNUMBER($G183),$G183&lt;=IF($S183=MesCiclo,InicioCiclo,$S183+MOD(2-WEEKDAY($S183),7))+6),1,MIN(1,MAX(0,IF(ISNUMBER(OFFSET($A$1,ROW()-1,8)),OFFSET($A$1,ROW()-1,8),0)))))</f>
        <v/>
      </c>
      <c r="AE183" s="62">
        <f>IF($V183&lt;&gt;"Sub","",N($X183)*IF(AND(ISNUMBER($G183),$G183&lt;=IF($S183=MesCiclo,InicioCiclo,$S183+MOD(2-WEEKDAY($S183),7))+13),1,MIN(1,MAX(0,IF(ISNUMBER(OFFSET($A$1,ROW()-1,9)),OFFSET($A$1,ROW()-1,9),IF(ISNUMBER(OFFSET($A$1,ROW()-1,8)),OFFSET($A$1,ROW()-1,8),0))))))</f>
        <v/>
      </c>
      <c r="AF183" s="62">
        <f>IF($V183&lt;&gt;"Sub","",N($X183)*IF(AND(ISNUMBER($G183),$G183&lt;=IF($S183=MesCiclo,InicioCiclo,$S183+MOD(2-WEEKDAY($S183),7))+20),1,MIN(1,MAX(0,IF(ISNUMBER(OFFSET($A$1,ROW()-1,10)),OFFSET($A$1,ROW()-1,10),IF(ISNUMBER(OFFSET($A$1,ROW()-1,9)),OFFSET($A$1,ROW()-1,9),IF(ISNUMBER(OFFSET($A$1,ROW()-1,8)),OFFSET($A$1,ROW()-1,8),0)))))))</f>
        <v/>
      </c>
      <c r="AG183" s="62">
        <f>IF($V183&lt;&gt;"Sub","",N($X183)*IF(AND(ISNUMBER($G183),$G183&lt;=IF($S183=MesCiclo,InicioCiclo,$S183+MOD(2-WEEKDAY($S183),7))+27),1,MIN(1,MAX(0,IF(ISNUMBER(OFFSET($A$1,ROW()-1,11)),OFFSET($A$1,ROW()-1,11),IF(ISNUMBER(OFFSET($A$1,ROW()-1,10)),OFFSET($A$1,ROW()-1,10),IF(ISNUMBER(OFFSET($A$1,ROW()-1,9)),OFFSET($A$1,ROW()-1,9),IF(ISNUMBER(OFFSET($A$1,ROW()-1,8)),OFFSET($A$1,ROW()-1,8),0))))))))</f>
        <v/>
      </c>
      <c r="AH183" s="62">
        <f>IF($V183="","",IF(AND(ISNUMBER($G183),$G183&lt;=IF($S183=MesCiclo,InicioCiclo,$S183+MOD(2-WEEKDAY($S183),7))+6),1,IF(N($W183)&gt;0,MIN(1,SUMIFS($AD$5:$AD$1000,$U$5:$U$1000,ROW(),$V$5:$V$1000,"Sub")),$Z183)))</f>
        <v/>
      </c>
      <c r="AI183" s="62">
        <f>IF($V183="","",IF(AND(ISNUMBER($G183),$G183&lt;=IF($S183=MesCiclo,InicioCiclo,$S183+MOD(2-WEEKDAY($S183),7))+13),1,IF(N($W183)&gt;0,MIN(1,SUMIFS($AE$5:$AE$1000,$U$5:$U$1000,ROW(),$V$5:$V$1000,"Sub")),$AA183)))</f>
        <v/>
      </c>
      <c r="AJ183" s="62">
        <f>IF($V183="","",IF(AND(ISNUMBER($G183),$G183&lt;=IF($S183=MesCiclo,InicioCiclo,$S183+MOD(2-WEEKDAY($S183),7))+20),1,IF(N($W183)&gt;0,MIN(1,SUMIFS($AF$5:$AF$1000,$U$5:$U$1000,ROW(),$V$5:$V$1000,"Sub")),$AB183)))</f>
        <v/>
      </c>
      <c r="AK183" s="62">
        <f>IF($V183="","",IF(AND(ISNUMBER($G183),$G183&lt;=IF($S183=MesCiclo,InicioCiclo,$S183+MOD(2-WEEKDAY($S183),7))+27),1,IF(N($W183)&gt;0,MIN(1,SUMIFS($AG$5:$AG$1000,$U$5:$U$1000,ROW(),$V$5:$V$1000,"Sub")),$AC183)))</f>
        <v/>
      </c>
      <c r="AL183" s="62">
        <f>IF($V183&lt;&gt;"Macro","",IF(COUNTIFS($S$5:$S$1000,$S183,$V$5:$V$1000,"Macro",$H$5:$H$1000,"&gt;0")=0,1/COUNTIFS($S$5:$S$1000,$S183,$V$5:$V$1000,"Macro"),IF(AND(ISNUMBER($H183),N($H183)&gt;0),$H183,SUMIFS($H$5:$H$1000,$S$5:$S$1000,$S183,$V$5:$V$1000,"Macro")/COUNTIFS($S$5:$S$1000,$S183,$V$5:$V$1000,"Macro",$H$5:$H$1000,"&gt;0"))/(COUNTIFS($S$5:$S$1000,$S183,$V$5:$V$1000,"Macro")*SUMIFS($H$5:$H$1000,$S$5:$S$1000,$S183,$V$5:$V$1000,"Macro")/COUNTIFS($S$5:$S$1000,$S183,$V$5:$V$1000,"Macro",$H$5:$H$1000,"&gt;0"))))</f>
        <v/>
      </c>
      <c r="AM183" s="62" t="n"/>
      <c r="AN183" s="62" t="n"/>
      <c r="AO183" s="62" t="n"/>
      <c r="AP183" s="62" t="n"/>
      <c r="AQ183" s="62">
        <f>IF(LEFT($C183,11)="[Jefatura] ",IFERROR(MATCH("Asistente Técnico de Riesgo|"&amp;MID($C183,12,500),rDname_ADM,0),0),"")</f>
        <v/>
      </c>
      <c r="AR183" s="62">
        <f>IF(N($AQ183)&gt;0,INDEX(rIni_ADM,$AQ183),IF(ISNUMBER($E183),$E183,""))</f>
        <v/>
      </c>
      <c r="AS183" s="62">
        <f>IF(N($AQ183)&gt;0,INDEX(rLim_ADM,$AQ183),IF(ISNUMBER($F183),$F183,""))</f>
        <v/>
      </c>
    </row>
    <row r="184">
      <c r="A184" s="56">
        <f>IF(NOT((COUNTA($B184:$D184)+COUNTA($G184:$H184)+COUNTA($Q184))&gt;0),"",IF($V184="Macro",COUNTIFS($V$5:$V184,"Macro",$S$5:$S184,$S184),IF(N($U184)=0,"?",COUNTIFS(INDEX($V$5:$V$1000,1):INDEX($V$5:$V$1000,$U184-4),"Macro",INDEX($S$5:$S$1000,1):INDEX($S$5:$S$1000,$U184-4),INDEX($S$5:$S$1000,$U184-4))&amp;"."&amp;COUNTIFS($U$5:$U184,$U184,$V$5:$V184,"Sub"))))</f>
        <v/>
      </c>
      <c r="B184" s="57" t="n"/>
      <c r="C184" s="58" t="n"/>
      <c r="D184" s="58" t="n"/>
      <c r="E184" s="59">
        <f>IF(N($AQ184)&gt;0,INDEX(rIni_ADM,$AQ184),"")</f>
        <v/>
      </c>
      <c r="F184" s="59">
        <f>IF(N($AQ184)&gt;0,INDEX(rLim_ADM,$AQ184),"")</f>
        <v/>
      </c>
      <c r="G184" s="59" t="n"/>
      <c r="H184" s="60" t="n"/>
      <c r="I184" s="60">
        <f>IF(N($W184)=0,"",IF(AND($S184=MesCiclo,1&gt;SemanaActual),"",MIN(1,SUMIFS(OFFSET($A$1,ROW(),29,1000-ROW(),1),OFFSET($A$1,ROW(),20,1000-ROW(),1),ROW(),OFFSET($A$1,ROW(),21,1000-ROW(),1),"Sub"))))</f>
        <v/>
      </c>
      <c r="J184" s="60">
        <f>IF(N($W184)=0,"",IF(AND($S184=MesCiclo,2&gt;SemanaActual),"",MIN(1,SUMIFS(OFFSET($A$1,ROW(),30,1000-ROW(),1),OFFSET($A$1,ROW(),20,1000-ROW(),1),ROW(),OFFSET($A$1,ROW(),21,1000-ROW(),1),"Sub"))))</f>
        <v/>
      </c>
      <c r="K184" s="60">
        <f>IF(N($W184)=0,"",IF(AND($S184=MesCiclo,3&gt;SemanaActual),"",MIN(1,SUMIFS(OFFSET($A$1,ROW(),31,1000-ROW(),1),OFFSET($A$1,ROW(),20,1000-ROW(),1),ROW(),OFFSET($A$1,ROW(),21,1000-ROW(),1),"Sub"))))</f>
        <v/>
      </c>
      <c r="L184" s="60">
        <f>IF(N($W184)=0,"",IF(AND($S184=MesCiclo,4&gt;SemanaActual),"",MIN(1,SUMIFS(OFFSET($A$1,ROW(),32,1000-ROW(),1),OFFSET($A$1,ROW(),20,1000-ROW(),1),ROW(),OFFSET($A$1,ROW(),21,1000-ROW(),1),"Sub"))))</f>
        <v/>
      </c>
      <c r="M184" s="61">
        <f>IF(OR(NOT((COUNTA($B184:$D184)+COUNTA($G184:$H184)+COUNTA($Q184))&gt;0),$V184="Sub"),"",IF(ISNUMBER($G184),1,IF(N($W184)&gt;0,MIN(1,SUMIFS($Y$5:$Y$1000,$U$5:$U$1000,ROW(),$V$5:$V$1000,"Sub")),$Y184)))</f>
        <v/>
      </c>
      <c r="N184" s="56">
        <f>IF(OR($M184="",$V184="Sub"),"",IF($M184&gt;=1,"Completado",IF($M184&gt;0,"En curso","Pendiente")))</f>
        <v/>
      </c>
      <c r="O184" s="56">
        <f>IF(OR(NOT((COUNTA($B184:$D184)+COUNTA($G184:$H184)+COUNTA($Q184))&gt;0),$V184="Sub"),"",IF(ISNUMBER($G184),IF(AND(ISNUMBER($AS184),$G184&gt;$AS184),"Cumplida con "&amp;($G184-$AS184)&amp;IF($G184-$AS184=1," día"," días")&amp;" de retraso","Cumplida"),IF(N($M184)&gt;=1,"Cumplida",IF(NOT(ISNUMBER($AS184)),"Sin fecha límite",IF($AS184&lt;FechaRef,"Vencida hace "&amp;(FechaRef-$AS184)&amp;IF(FechaRef-$AS184=1," día"," días"),IF($AS184=FechaRef,"Vence hoy",IF($AS184-FechaRef&lt;=DiasAlerta,"Vence en "&amp;($AS184-FechaRef)&amp;IF($AS184-FechaRef=1," día"," días"),"En plazo")))))))</f>
        <v/>
      </c>
      <c r="P184" s="62" t="n"/>
      <c r="Q184" s="58" t="n"/>
      <c r="R184" s="63">
        <f>IF(NOT((COUNTA($B184:$D184)+COUNTA($G184:$H184)+COUNTA($Q184))&gt;0),"",IF((IF($C184="","Falta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 OK","⚠ "&amp;LEFT(IF($C184="","Falta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",""),LEN(IF($C184="","Falta el nombre de la actividad"&amp;" · ","")&amp;IF(AND($V184="Sub",N($U184)=0),"Subactividad sin macroactividad arriba"&amp;" · ","")&amp;IF(AND($V184="Macro",$AR184=""),"Sin fecha de inicio"&amp;" · ","")&amp;IF(AND($V184="Macro",$AS184=""),"Sin fecha límite"&amp;" · ","")&amp;IF(AND(LEFT($C184,11)="[Jefatura] ",N($AQ184)=0),"No se encuentra en la hoja de la jefatura (elíjala de nuevo en la lista)"&amp;" · ","")&amp;IF(OR(AND($E184&lt;&gt;"",NOT(ISNUMBER($E184))),AND($F184&lt;&gt;"",NOT(ISNUMBER($F184))),AND($G184&lt;&gt;"",NOT(ISNUMBER($G184)))),"Fecha no válida"&amp;" · ","")&amp;IF(AND(ISNUMBER($AR184),ISNUMBER($AS184),$AR184&gt;$AS184),"Inicio posterior a fecha límite"&amp;" · ","")&amp;IF(AND($V184="Macro",$H184&lt;&gt;"",OR(NOT(ISNUMBER($H184)),$H184&lt;0,$H184&gt;1)),"Peso fuera de rango"&amp;" · ","")&amp;IF(AND($V184="Sub",$H184&lt;&gt;"",OR(NOT(ISNUMBER($H184)),$H184&lt;0,$H184&gt;1)),"% de la subactividad fuera de rango 0-100%"&amp;" · ","")&amp;IF(AND(N($W184)&gt;0,SUMIFS($H$5:$H$1000,$U$5:$U$1000,ROW(),$V$5:$V$1000,"Sub")&gt;1.0001),"Las subactividades suman más de 100%"&amp;" · ","")&amp;IF(AND(N($W184)&gt;0,OR(IF(ISNUMBER($I184),ROUND($I184,6)&lt;&gt;ROUND(MIN(1,SUMIFS($AD$5:$AD$1000,$U$5:$U$1000,ROW(),$V$5:$V$1000,"Sub")),6),FALSE),IF(ISNUMBER($J184),ROUND($J184,6)&lt;&gt;ROUND(MIN(1,SUMIFS($AE$5:$AE$1000,$U$5:$U$1000,ROW(),$V$5:$V$1000,"Sub")),6),FALSE),IF(ISNUMBER($K184),ROUND($K184,6)&lt;&gt;ROUND(MIN(1,SUMIFS($AF$5:$AF$1000,$U$5:$U$1000,ROW(),$V$5:$V$1000,"Sub")),6),FALSE),IF(ISNUMBER($L184),ROUND($L184,6)&lt;&gt;ROUND(MIN(1,SUMIFS($AG$5:$AG$1000,$U$5:$U$1000,ROW(),$V$5:$V$1000,"Sub")),6),FALSE))),"Con subactividades: no escriba en las semanas (se llenan solas)"&amp;" · ","")&amp;IF((COUNTIF($I184:$L184,"&gt;1")+COUNTIF($I184:$L184,"&lt;0")+SUMPRODUCT((LEN($I184:$L184)&gt;0)*NOT(ISNUMBER($I184:$L184))))&gt;0,"Avance fuera de rango 0-100%"&amp;" · ","")&amp;IF(OR(AND(ISNUMBER($J184),$J184&lt;N($I184)),AND(ISNUMBER($K184),$K184&lt;MAX($I184:$J184)),AND(ISNUMBER($L184),$L184&lt;MAX($I184:$K184))),"Avance semanal decreciente"&amp;" · ","")&amp;IF(AND(ISNUMBER($AS184),$AS184&lt;FechaRef,IF($V184="Sub",1,N($M184))&lt;1),"Vencida"&amp;" · ","")&amp;IF(AND(ObsObligatoria="Sí",ISNUMBER($AS184),$AS184&lt;FechaRef,IF($V184="Sub",1,N($M184))&lt;1,$Q184=""),"Vencida sin observación"&amp;" · ",""))-3)))</f>
        <v/>
      </c>
      <c r="S184" s="64">
        <f>IF(NOT((COUNTA($B184:$D184)+COUNTA($G184:$H184)+COUNTA($Q184))&gt;0),"",IF(AND($V184="Sub",N($U184)&gt;0),IF(ISNUMBER(INDEX($AR$5:$AR$1000,$U184-4)),DATE(YEAR(INDEX($AR$5:$AR$1000,$U184-4)),MONTH(INDEX($AR$5:$AR$1000,$U184-4)),1),IF(ISNUMBER(INDEX($AS$5:$AS$1000,$U184-4)),DATE(YEAR(INDEX($AS$5:$AS$1000,$U184-4)),MONTH(INDEX($AS$5:$AS$1000,$U184-4)),1),MesCiclo)),IF(ISNUMBER($AR184),DATE(YEAR($AR184),MONTH($AR184),1),IF(ISNUMBER($AS184),DATE(YEAR($AS184),MONTH($AS184),1),MesCiclo))))</f>
        <v/>
      </c>
      <c r="T184" s="62">
        <f>IF(OR($S184="",$S184&lt;&gt;MesCiclo,$V184&lt;&gt;"Macro"),"",COUNTIFS($S$5:$S184,MesCiclo,$V$5:$V184,"Macro"))</f>
        <v/>
      </c>
      <c r="U184" s="62">
        <f>IF($V184="","",IF($V184="Macro",ROW(),IFERROR(LOOKUP(2,1/($V$5:$V184="Macro"),ROW($V$5:$V184)),0)))</f>
        <v/>
      </c>
      <c r="V184" s="62">
        <f>IF(NOT((COUNTA($B184:$D184)+COUNTA($G184:$H184)+COUNTA($Q184))&gt;0),"",IF($B184="Subactividad","Sub","Macro"))</f>
        <v/>
      </c>
      <c r="W184" s="62">
        <f>IF($V184="Macro",COUNTIFS($U$5:$U$1000,ROW(),$V$5:$V$1000,"Sub"),"")</f>
        <v/>
      </c>
      <c r="X184" s="62">
        <f>IF($V184&lt;&gt;"Sub","",IF(AND(ISNUMBER($H184),N($H184)&gt;0),$H184,IFERROR(MAX(0,1-SUMIFS($H$5:$H$1000,$U$5:$U$1000,$U184,$V$5:$V$1000,"Sub"))/(COUNTIFS($U$5:$U$1000,$U184,$V$5:$V$1000,"Sub")-COUNTIFS($U$5:$U$1000,$U184,$V$5:$V$1000,"Sub",$H$5:$H$1000,"&gt;0")),0)))</f>
        <v/>
      </c>
      <c r="Y184" s="62">
        <f>IF($V184="","",IF($V184="Sub",N($X184)*IF(ISNUMBER($G184),1,MIN(1,MAX(0,IFERROR(LOOKUP(2,1/ISNUMBER($I184:$L184),$I184:$L184),0)))),IF(ISNUMBER($G184),1,IFERROR(LOOKUP(2,1/($I184:$L184&lt;&gt;""),$I184:$L184),0))))</f>
        <v/>
      </c>
      <c r="Z184" s="62">
        <f>IF($V184="","",IF(AND(ISNUMBER($G184),$G184&lt;=IF($S184=MesCiclo,InicioCiclo,$S184+MOD(2-WEEKDAY($S184),7))+6),1,IF(ISNUMBER($I184),$I184,0)))</f>
        <v/>
      </c>
      <c r="AA184" s="62">
        <f>IF($V184="","",IF(AND(ISNUMBER($G184),$G184&lt;=IF($S184=MesCiclo,InicioCiclo,$S184+MOD(2-WEEKDAY($S184),7))+13),1,IF(ISNUMBER($J184),$J184,$Z184)))</f>
        <v/>
      </c>
      <c r="AB184" s="62">
        <f>IF($V184="","",IF(AND(ISNUMBER($G184),$G184&lt;=IF($S184=MesCiclo,InicioCiclo,$S184+MOD(2-WEEKDAY($S184),7))+20),1,IF(ISNUMBER($K184),$K184,$AA184)))</f>
        <v/>
      </c>
      <c r="AC184" s="62">
        <f>IF($V184="","",IF(AND(ISNUMBER($G184),$G184&lt;=IF($S184=MesCiclo,InicioCiclo,$S184+MOD(2-WEEKDAY($S184),7))+27),1,IF(ISNUMBER($L184),$L184,$AB184)))</f>
        <v/>
      </c>
      <c r="AD184" s="62">
        <f>IF($V184&lt;&gt;"Sub","",N($X184)*IF(AND(ISNUMBER($G184),$G184&lt;=IF($S184=MesCiclo,InicioCiclo,$S184+MOD(2-WEEKDAY($S184),7))+6),1,MIN(1,MAX(0,IF(ISNUMBER(OFFSET($A$1,ROW()-1,8)),OFFSET($A$1,ROW()-1,8),0)))))</f>
        <v/>
      </c>
      <c r="AE184" s="62">
        <f>IF($V184&lt;&gt;"Sub","",N($X184)*IF(AND(ISNUMBER($G184),$G184&lt;=IF($S184=MesCiclo,InicioCiclo,$S184+MOD(2-WEEKDAY($S184),7))+13),1,MIN(1,MAX(0,IF(ISNUMBER(OFFSET($A$1,ROW()-1,9)),OFFSET($A$1,ROW()-1,9),IF(ISNUMBER(OFFSET($A$1,ROW()-1,8)),OFFSET($A$1,ROW()-1,8),0))))))</f>
        <v/>
      </c>
      <c r="AF184" s="62">
        <f>IF($V184&lt;&gt;"Sub","",N($X184)*IF(AND(ISNUMBER($G184),$G184&lt;=IF($S184=MesCiclo,InicioCiclo,$S184+MOD(2-WEEKDAY($S184),7))+20),1,MIN(1,MAX(0,IF(ISNUMBER(OFFSET($A$1,ROW()-1,10)),OFFSET($A$1,ROW()-1,10),IF(ISNUMBER(OFFSET($A$1,ROW()-1,9)),OFFSET($A$1,ROW()-1,9),IF(ISNUMBER(OFFSET($A$1,ROW()-1,8)),OFFSET($A$1,ROW()-1,8),0)))))))</f>
        <v/>
      </c>
      <c r="AG184" s="62">
        <f>IF($V184&lt;&gt;"Sub","",N($X184)*IF(AND(ISNUMBER($G184),$G184&lt;=IF($S184=MesCiclo,InicioCiclo,$S184+MOD(2-WEEKDAY($S184),7))+27),1,MIN(1,MAX(0,IF(ISNUMBER(OFFSET($A$1,ROW()-1,11)),OFFSET($A$1,ROW()-1,11),IF(ISNUMBER(OFFSET($A$1,ROW()-1,10)),OFFSET($A$1,ROW()-1,10),IF(ISNUMBER(OFFSET($A$1,ROW()-1,9)),OFFSET($A$1,ROW()-1,9),IF(ISNUMBER(OFFSET($A$1,ROW()-1,8)),OFFSET($A$1,ROW()-1,8),0))))))))</f>
        <v/>
      </c>
      <c r="AH184" s="62">
        <f>IF($V184="","",IF(AND(ISNUMBER($G184),$G184&lt;=IF($S184=MesCiclo,InicioCiclo,$S184+MOD(2-WEEKDAY($S184),7))+6),1,IF(N($W184)&gt;0,MIN(1,SUMIFS($AD$5:$AD$1000,$U$5:$U$1000,ROW(),$V$5:$V$1000,"Sub")),$Z184)))</f>
        <v/>
      </c>
      <c r="AI184" s="62">
        <f>IF($V184="","",IF(AND(ISNUMBER($G184),$G184&lt;=IF($S184=MesCiclo,InicioCiclo,$S184+MOD(2-WEEKDAY($S184),7))+13),1,IF(N($W184)&gt;0,MIN(1,SUMIFS($AE$5:$AE$1000,$U$5:$U$1000,ROW(),$V$5:$V$1000,"Sub")),$AA184)))</f>
        <v/>
      </c>
      <c r="AJ184" s="62">
        <f>IF($V184="","",IF(AND(ISNUMBER($G184),$G184&lt;=IF($S184=MesCiclo,InicioCiclo,$S184+MOD(2-WEEKDAY($S184),7))+20),1,IF(N($W184)&gt;0,MIN(1,SUMIFS($AF$5:$AF$1000,$U$5:$U$1000,ROW(),$V$5:$V$1000,"Sub")),$AB184)))</f>
        <v/>
      </c>
      <c r="AK184" s="62">
        <f>IF($V184="","",IF(AND(ISNUMBER($G184),$G184&lt;=IF($S184=MesCiclo,InicioCiclo,$S184+MOD(2-WEEKDAY($S184),7))+27),1,IF(N($W184)&gt;0,MIN(1,SUMIFS($AG$5:$AG$1000,$U$5:$U$1000,ROW(),$V$5:$V$1000,"Sub")),$AC184)))</f>
        <v/>
      </c>
      <c r="AL184" s="62">
        <f>IF($V184&lt;&gt;"Macro","",IF(COUNTIFS($S$5:$S$1000,$S184,$V$5:$V$1000,"Macro",$H$5:$H$1000,"&gt;0")=0,1/COUNTIFS($S$5:$S$1000,$S184,$V$5:$V$1000,"Macro"),IF(AND(ISNUMBER($H184),N($H184)&gt;0),$H184,SUMIFS($H$5:$H$1000,$S$5:$S$1000,$S184,$V$5:$V$1000,"Macro")/COUNTIFS($S$5:$S$1000,$S184,$V$5:$V$1000,"Macro",$H$5:$H$1000,"&gt;0"))/(COUNTIFS($S$5:$S$1000,$S184,$V$5:$V$1000,"Macro")*SUMIFS($H$5:$H$1000,$S$5:$S$1000,$S184,$V$5:$V$1000,"Macro")/COUNTIFS($S$5:$S$1000,$S184,$V$5:$V$1000,"Macro",$H$5:$H$1000,"&gt;0"))))</f>
        <v/>
      </c>
      <c r="AM184" s="62" t="n"/>
      <c r="AN184" s="62" t="n"/>
      <c r="AO184" s="62" t="n"/>
      <c r="AP184" s="62" t="n"/>
      <c r="AQ184" s="62">
        <f>IF(LEFT($C184,11)="[Jefatura] ",IFERROR(MATCH("Asistente Técnico de Riesgo|"&amp;MID($C184,12,500),rDname_ADM,0),0),"")</f>
        <v/>
      </c>
      <c r="AR184" s="62">
        <f>IF(N($AQ184)&gt;0,INDEX(rIni_ADM,$AQ184),IF(ISNUMBER($E184),$E184,""))</f>
        <v/>
      </c>
      <c r="AS184" s="62">
        <f>IF(N($AQ184)&gt;0,INDEX(rLim_ADM,$AQ184),IF(ISNUMBER($F184),$F184,""))</f>
        <v/>
      </c>
    </row>
    <row r="185">
      <c r="A185" s="56">
        <f>IF(NOT((COUNTA($B185:$D185)+COUNTA($G185:$H185)+COUNTA($Q185))&gt;0),"",IF($V185="Macro",COUNTIFS($V$5:$V185,"Macro",$S$5:$S185,$S185),IF(N($U185)=0,"?",COUNTIFS(INDEX($V$5:$V$1000,1):INDEX($V$5:$V$1000,$U185-4),"Macro",INDEX($S$5:$S$1000,1):INDEX($S$5:$S$1000,$U185-4),INDEX($S$5:$S$1000,$U185-4))&amp;"."&amp;COUNTIFS($U$5:$U185,$U185,$V$5:$V185,"Sub"))))</f>
        <v/>
      </c>
      <c r="B185" s="57" t="n"/>
      <c r="C185" s="58" t="n"/>
      <c r="D185" s="58" t="n"/>
      <c r="E185" s="59">
        <f>IF(N($AQ185)&gt;0,INDEX(rIni_ADM,$AQ185),"")</f>
        <v/>
      </c>
      <c r="F185" s="59">
        <f>IF(N($AQ185)&gt;0,INDEX(rLim_ADM,$AQ185),"")</f>
        <v/>
      </c>
      <c r="G185" s="59" t="n"/>
      <c r="H185" s="60" t="n"/>
      <c r="I185" s="60">
        <f>IF(N($W185)=0,"",IF(AND($S185=MesCiclo,1&gt;SemanaActual),"",MIN(1,SUMIFS(OFFSET($A$1,ROW(),29,1000-ROW(),1),OFFSET($A$1,ROW(),20,1000-ROW(),1),ROW(),OFFSET($A$1,ROW(),21,1000-ROW(),1),"Sub"))))</f>
        <v/>
      </c>
      <c r="J185" s="60">
        <f>IF(N($W185)=0,"",IF(AND($S185=MesCiclo,2&gt;SemanaActual),"",MIN(1,SUMIFS(OFFSET($A$1,ROW(),30,1000-ROW(),1),OFFSET($A$1,ROW(),20,1000-ROW(),1),ROW(),OFFSET($A$1,ROW(),21,1000-ROW(),1),"Sub"))))</f>
        <v/>
      </c>
      <c r="K185" s="60">
        <f>IF(N($W185)=0,"",IF(AND($S185=MesCiclo,3&gt;SemanaActual),"",MIN(1,SUMIFS(OFFSET($A$1,ROW(),31,1000-ROW(),1),OFFSET($A$1,ROW(),20,1000-ROW(),1),ROW(),OFFSET($A$1,ROW(),21,1000-ROW(),1),"Sub"))))</f>
        <v/>
      </c>
      <c r="L185" s="60">
        <f>IF(N($W185)=0,"",IF(AND($S185=MesCiclo,4&gt;SemanaActual),"",MIN(1,SUMIFS(OFFSET($A$1,ROW(),32,1000-ROW(),1),OFFSET($A$1,ROW(),20,1000-ROW(),1),ROW(),OFFSET($A$1,ROW(),21,1000-ROW(),1),"Sub"))))</f>
        <v/>
      </c>
      <c r="M185" s="61">
        <f>IF(OR(NOT((COUNTA($B185:$D185)+COUNTA($G185:$H185)+COUNTA($Q185))&gt;0),$V185="Sub"),"",IF(ISNUMBER($G185),1,IF(N($W185)&gt;0,MIN(1,SUMIFS($Y$5:$Y$1000,$U$5:$U$1000,ROW(),$V$5:$V$1000,"Sub")),$Y185)))</f>
        <v/>
      </c>
      <c r="N185" s="56">
        <f>IF(OR($M185="",$V185="Sub"),"",IF($M185&gt;=1,"Completado",IF($M185&gt;0,"En curso","Pendiente")))</f>
        <v/>
      </c>
      <c r="O185" s="56">
        <f>IF(OR(NOT((COUNTA($B185:$D185)+COUNTA($G185:$H185)+COUNTA($Q185))&gt;0),$V185="Sub"),"",IF(ISNUMBER($G185),IF(AND(ISNUMBER($AS185),$G185&gt;$AS185),"Cumplida con "&amp;($G185-$AS185)&amp;IF($G185-$AS185=1," día"," días")&amp;" de retraso","Cumplida"),IF(N($M185)&gt;=1,"Cumplida",IF(NOT(ISNUMBER($AS185)),"Sin fecha límite",IF($AS185&lt;FechaRef,"Vencida hace "&amp;(FechaRef-$AS185)&amp;IF(FechaRef-$AS185=1," día"," días"),IF($AS185=FechaRef,"Vence hoy",IF($AS185-FechaRef&lt;=DiasAlerta,"Vence en "&amp;($AS185-FechaRef)&amp;IF($AS185-FechaRef=1," día"," días"),"En plazo")))))))</f>
        <v/>
      </c>
      <c r="P185" s="62" t="n"/>
      <c r="Q185" s="58" t="n"/>
      <c r="R185" s="63">
        <f>IF(NOT((COUNTA($B185:$D185)+COUNTA($G185:$H185)+COUNTA($Q185))&gt;0),"",IF((IF($C185="","Falta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 OK","⚠ "&amp;LEFT(IF($C185="","Falta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",""),LEN(IF($C185="","Falta el nombre de la actividad"&amp;" · ","")&amp;IF(AND($V185="Sub",N($U185)=0),"Subactividad sin macroactividad arriba"&amp;" · ","")&amp;IF(AND($V185="Macro",$AR185=""),"Sin fecha de inicio"&amp;" · ","")&amp;IF(AND($V185="Macro",$AS185=""),"Sin fecha límite"&amp;" · ","")&amp;IF(AND(LEFT($C185,11)="[Jefatura] ",N($AQ185)=0),"No se encuentra en la hoja de la jefatura (elíjala de nuevo en la lista)"&amp;" · ","")&amp;IF(OR(AND($E185&lt;&gt;"",NOT(ISNUMBER($E185))),AND($F185&lt;&gt;"",NOT(ISNUMBER($F185))),AND($G185&lt;&gt;"",NOT(ISNUMBER($G185)))),"Fecha no válida"&amp;" · ","")&amp;IF(AND(ISNUMBER($AR185),ISNUMBER($AS185),$AR185&gt;$AS185),"Inicio posterior a fecha límite"&amp;" · ","")&amp;IF(AND($V185="Macro",$H185&lt;&gt;"",OR(NOT(ISNUMBER($H185)),$H185&lt;0,$H185&gt;1)),"Peso fuera de rango"&amp;" · ","")&amp;IF(AND($V185="Sub",$H185&lt;&gt;"",OR(NOT(ISNUMBER($H185)),$H185&lt;0,$H185&gt;1)),"% de la subactividad fuera de rango 0-100%"&amp;" · ","")&amp;IF(AND(N($W185)&gt;0,SUMIFS($H$5:$H$1000,$U$5:$U$1000,ROW(),$V$5:$V$1000,"Sub")&gt;1.0001),"Las subactividades suman más de 100%"&amp;" · ","")&amp;IF(AND(N($W185)&gt;0,OR(IF(ISNUMBER($I185),ROUND($I185,6)&lt;&gt;ROUND(MIN(1,SUMIFS($AD$5:$AD$1000,$U$5:$U$1000,ROW(),$V$5:$V$1000,"Sub")),6),FALSE),IF(ISNUMBER($J185),ROUND($J185,6)&lt;&gt;ROUND(MIN(1,SUMIFS($AE$5:$AE$1000,$U$5:$U$1000,ROW(),$V$5:$V$1000,"Sub")),6),FALSE),IF(ISNUMBER($K185),ROUND($K185,6)&lt;&gt;ROUND(MIN(1,SUMIFS($AF$5:$AF$1000,$U$5:$U$1000,ROW(),$V$5:$V$1000,"Sub")),6),FALSE),IF(ISNUMBER($L185),ROUND($L185,6)&lt;&gt;ROUND(MIN(1,SUMIFS($AG$5:$AG$1000,$U$5:$U$1000,ROW(),$V$5:$V$1000,"Sub")),6),FALSE))),"Con subactividades: no escriba en las semanas (se llenan solas)"&amp;" · ","")&amp;IF((COUNTIF($I185:$L185,"&gt;1")+COUNTIF($I185:$L185,"&lt;0")+SUMPRODUCT((LEN($I185:$L185)&gt;0)*NOT(ISNUMBER($I185:$L185))))&gt;0,"Avance fuera de rango 0-100%"&amp;" · ","")&amp;IF(OR(AND(ISNUMBER($J185),$J185&lt;N($I185)),AND(ISNUMBER($K185),$K185&lt;MAX($I185:$J185)),AND(ISNUMBER($L185),$L185&lt;MAX($I185:$K185))),"Avance semanal decreciente"&amp;" · ","")&amp;IF(AND(ISNUMBER($AS185),$AS185&lt;FechaRef,IF($V185="Sub",1,N($M185))&lt;1),"Vencida"&amp;" · ","")&amp;IF(AND(ObsObligatoria="Sí",ISNUMBER($AS185),$AS185&lt;FechaRef,IF($V185="Sub",1,N($M185))&lt;1,$Q185=""),"Vencida sin observación"&amp;" · ",""))-3)))</f>
        <v/>
      </c>
      <c r="S185" s="64">
        <f>IF(NOT((COUNTA($B185:$D185)+COUNTA($G185:$H185)+COUNTA($Q185))&gt;0),"",IF(AND($V185="Sub",N($U185)&gt;0),IF(ISNUMBER(INDEX($AR$5:$AR$1000,$U185-4)),DATE(YEAR(INDEX($AR$5:$AR$1000,$U185-4)),MONTH(INDEX($AR$5:$AR$1000,$U185-4)),1),IF(ISNUMBER(INDEX($AS$5:$AS$1000,$U185-4)),DATE(YEAR(INDEX($AS$5:$AS$1000,$U185-4)),MONTH(INDEX($AS$5:$AS$1000,$U185-4)),1),MesCiclo)),IF(ISNUMBER($AR185),DATE(YEAR($AR185),MONTH($AR185),1),IF(ISNUMBER($AS185),DATE(YEAR($AS185),MONTH($AS185),1),MesCiclo))))</f>
        <v/>
      </c>
      <c r="T185" s="62">
        <f>IF(OR($S185="",$S185&lt;&gt;MesCiclo,$V185&lt;&gt;"Macro"),"",COUNTIFS($S$5:$S185,MesCiclo,$V$5:$V185,"Macro"))</f>
        <v/>
      </c>
      <c r="U185" s="62">
        <f>IF($V185="","",IF($V185="Macro",ROW(),IFERROR(LOOKUP(2,1/($V$5:$V185="Macro"),ROW($V$5:$V185)),0)))</f>
        <v/>
      </c>
      <c r="V185" s="62">
        <f>IF(NOT((COUNTA($B185:$D185)+COUNTA($G185:$H185)+COUNTA($Q185))&gt;0),"",IF($B185="Subactividad","Sub","Macro"))</f>
        <v/>
      </c>
      <c r="W185" s="62">
        <f>IF($V185="Macro",COUNTIFS($U$5:$U$1000,ROW(),$V$5:$V$1000,"Sub"),"")</f>
        <v/>
      </c>
      <c r="X185" s="62">
        <f>IF($V185&lt;&gt;"Sub","",IF(AND(ISNUMBER($H185),N($H185)&gt;0),$H185,IFERROR(MAX(0,1-SUMIFS($H$5:$H$1000,$U$5:$U$1000,$U185,$V$5:$V$1000,"Sub"))/(COUNTIFS($U$5:$U$1000,$U185,$V$5:$V$1000,"Sub")-COUNTIFS($U$5:$U$1000,$U185,$V$5:$V$1000,"Sub",$H$5:$H$1000,"&gt;0")),0)))</f>
        <v/>
      </c>
      <c r="Y185" s="62">
        <f>IF($V185="","",IF($V185="Sub",N($X185)*IF(ISNUMBER($G185),1,MIN(1,MAX(0,IFERROR(LOOKUP(2,1/ISNUMBER($I185:$L185),$I185:$L185),0)))),IF(ISNUMBER($G185),1,IFERROR(LOOKUP(2,1/($I185:$L185&lt;&gt;""),$I185:$L185),0))))</f>
        <v/>
      </c>
      <c r="Z185" s="62">
        <f>IF($V185="","",IF(AND(ISNUMBER($G185),$G185&lt;=IF($S185=MesCiclo,InicioCiclo,$S185+MOD(2-WEEKDAY($S185),7))+6),1,IF(ISNUMBER($I185),$I185,0)))</f>
        <v/>
      </c>
      <c r="AA185" s="62">
        <f>IF($V185="","",IF(AND(ISNUMBER($G185),$G185&lt;=IF($S185=MesCiclo,InicioCiclo,$S185+MOD(2-WEEKDAY($S185),7))+13),1,IF(ISNUMBER($J185),$J185,$Z185)))</f>
        <v/>
      </c>
      <c r="AB185" s="62">
        <f>IF($V185="","",IF(AND(ISNUMBER($G185),$G185&lt;=IF($S185=MesCiclo,InicioCiclo,$S185+MOD(2-WEEKDAY($S185),7))+20),1,IF(ISNUMBER($K185),$K185,$AA185)))</f>
        <v/>
      </c>
      <c r="AC185" s="62">
        <f>IF($V185="","",IF(AND(ISNUMBER($G185),$G185&lt;=IF($S185=MesCiclo,InicioCiclo,$S185+MOD(2-WEEKDAY($S185),7))+27),1,IF(ISNUMBER($L185),$L185,$AB185)))</f>
        <v/>
      </c>
      <c r="AD185" s="62">
        <f>IF($V185&lt;&gt;"Sub","",N($X185)*IF(AND(ISNUMBER($G185),$G185&lt;=IF($S185=MesCiclo,InicioCiclo,$S185+MOD(2-WEEKDAY($S185),7))+6),1,MIN(1,MAX(0,IF(ISNUMBER(OFFSET($A$1,ROW()-1,8)),OFFSET($A$1,ROW()-1,8),0)))))</f>
        <v/>
      </c>
      <c r="AE185" s="62">
        <f>IF($V185&lt;&gt;"Sub","",N($X185)*IF(AND(ISNUMBER($G185),$G185&lt;=IF($S185=MesCiclo,InicioCiclo,$S185+MOD(2-WEEKDAY($S185),7))+13),1,MIN(1,MAX(0,IF(ISNUMBER(OFFSET($A$1,ROW()-1,9)),OFFSET($A$1,ROW()-1,9),IF(ISNUMBER(OFFSET($A$1,ROW()-1,8)),OFFSET($A$1,ROW()-1,8),0))))))</f>
        <v/>
      </c>
      <c r="AF185" s="62">
        <f>IF($V185&lt;&gt;"Sub","",N($X185)*IF(AND(ISNUMBER($G185),$G185&lt;=IF($S185=MesCiclo,InicioCiclo,$S185+MOD(2-WEEKDAY($S185),7))+20),1,MIN(1,MAX(0,IF(ISNUMBER(OFFSET($A$1,ROW()-1,10)),OFFSET($A$1,ROW()-1,10),IF(ISNUMBER(OFFSET($A$1,ROW()-1,9)),OFFSET($A$1,ROW()-1,9),IF(ISNUMBER(OFFSET($A$1,ROW()-1,8)),OFFSET($A$1,ROW()-1,8),0)))))))</f>
        <v/>
      </c>
      <c r="AG185" s="62">
        <f>IF($V185&lt;&gt;"Sub","",N($X185)*IF(AND(ISNUMBER($G185),$G185&lt;=IF($S185=MesCiclo,InicioCiclo,$S185+MOD(2-WEEKDAY($S185),7))+27),1,MIN(1,MAX(0,IF(ISNUMBER(OFFSET($A$1,ROW()-1,11)),OFFSET($A$1,ROW()-1,11),IF(ISNUMBER(OFFSET($A$1,ROW()-1,10)),OFFSET($A$1,ROW()-1,10),IF(ISNUMBER(OFFSET($A$1,ROW()-1,9)),OFFSET($A$1,ROW()-1,9),IF(ISNUMBER(OFFSET($A$1,ROW()-1,8)),OFFSET($A$1,ROW()-1,8),0))))))))</f>
        <v/>
      </c>
      <c r="AH185" s="62">
        <f>IF($V185="","",IF(AND(ISNUMBER($G185),$G185&lt;=IF($S185=MesCiclo,InicioCiclo,$S185+MOD(2-WEEKDAY($S185),7))+6),1,IF(N($W185)&gt;0,MIN(1,SUMIFS($AD$5:$AD$1000,$U$5:$U$1000,ROW(),$V$5:$V$1000,"Sub")),$Z185)))</f>
        <v/>
      </c>
      <c r="AI185" s="62">
        <f>IF($V185="","",IF(AND(ISNUMBER($G185),$G185&lt;=IF($S185=MesCiclo,InicioCiclo,$S185+MOD(2-WEEKDAY($S185),7))+13),1,IF(N($W185)&gt;0,MIN(1,SUMIFS($AE$5:$AE$1000,$U$5:$U$1000,ROW(),$V$5:$V$1000,"Sub")),$AA185)))</f>
        <v/>
      </c>
      <c r="AJ185" s="62">
        <f>IF($V185="","",IF(AND(ISNUMBER($G185),$G185&lt;=IF($S185=MesCiclo,InicioCiclo,$S185+MOD(2-WEEKDAY($S185),7))+20),1,IF(N($W185)&gt;0,MIN(1,SUMIFS($AF$5:$AF$1000,$U$5:$U$1000,ROW(),$V$5:$V$1000,"Sub")),$AB185)))</f>
        <v/>
      </c>
      <c r="AK185" s="62">
        <f>IF($V185="","",IF(AND(ISNUMBER($G185),$G185&lt;=IF($S185=MesCiclo,InicioCiclo,$S185+MOD(2-WEEKDAY($S185),7))+27),1,IF(N($W185)&gt;0,MIN(1,SUMIFS($AG$5:$AG$1000,$U$5:$U$1000,ROW(),$V$5:$V$1000,"Sub")),$AC185)))</f>
        <v/>
      </c>
      <c r="AL185" s="62">
        <f>IF($V185&lt;&gt;"Macro","",IF(COUNTIFS($S$5:$S$1000,$S185,$V$5:$V$1000,"Macro",$H$5:$H$1000,"&gt;0")=0,1/COUNTIFS($S$5:$S$1000,$S185,$V$5:$V$1000,"Macro"),IF(AND(ISNUMBER($H185),N($H185)&gt;0),$H185,SUMIFS($H$5:$H$1000,$S$5:$S$1000,$S185,$V$5:$V$1000,"Macro")/COUNTIFS($S$5:$S$1000,$S185,$V$5:$V$1000,"Macro",$H$5:$H$1000,"&gt;0"))/(COUNTIFS($S$5:$S$1000,$S185,$V$5:$V$1000,"Macro")*SUMIFS($H$5:$H$1000,$S$5:$S$1000,$S185,$V$5:$V$1000,"Macro")/COUNTIFS($S$5:$S$1000,$S185,$V$5:$V$1000,"Macro",$H$5:$H$1000,"&gt;0"))))</f>
        <v/>
      </c>
      <c r="AM185" s="62" t="n"/>
      <c r="AN185" s="62" t="n"/>
      <c r="AO185" s="62" t="n"/>
      <c r="AP185" s="62" t="n"/>
      <c r="AQ185" s="62">
        <f>IF(LEFT($C185,11)="[Jefatura] ",IFERROR(MATCH("Asistente Técnico de Riesgo|"&amp;MID($C185,12,500),rDname_ADM,0),0),"")</f>
        <v/>
      </c>
      <c r="AR185" s="62">
        <f>IF(N($AQ185)&gt;0,INDEX(rIni_ADM,$AQ185),IF(ISNUMBER($E185),$E185,""))</f>
        <v/>
      </c>
      <c r="AS185" s="62">
        <f>IF(N($AQ185)&gt;0,INDEX(rLim_ADM,$AQ185),IF(ISNUMBER($F185),$F185,""))</f>
        <v/>
      </c>
    </row>
    <row r="186">
      <c r="A186" s="56">
        <f>IF(NOT((COUNTA($B186:$D186)+COUNTA($G186:$H186)+COUNTA($Q186))&gt;0),"",IF($V186="Macro",COUNTIFS($V$5:$V186,"Macro",$S$5:$S186,$S186),IF(N($U186)=0,"?",COUNTIFS(INDEX($V$5:$V$1000,1):INDEX($V$5:$V$1000,$U186-4),"Macro",INDEX($S$5:$S$1000,1):INDEX($S$5:$S$1000,$U186-4),INDEX($S$5:$S$1000,$U186-4))&amp;"."&amp;COUNTIFS($U$5:$U186,$U186,$V$5:$V186,"Sub"))))</f>
        <v/>
      </c>
      <c r="B186" s="57" t="n"/>
      <c r="C186" s="58" t="n"/>
      <c r="D186" s="58" t="n"/>
      <c r="E186" s="59">
        <f>IF(N($AQ186)&gt;0,INDEX(rIni_ADM,$AQ186),"")</f>
        <v/>
      </c>
      <c r="F186" s="59">
        <f>IF(N($AQ186)&gt;0,INDEX(rLim_ADM,$AQ186),"")</f>
        <v/>
      </c>
      <c r="G186" s="59" t="n"/>
      <c r="H186" s="60" t="n"/>
      <c r="I186" s="60">
        <f>IF(N($W186)=0,"",IF(AND($S186=MesCiclo,1&gt;SemanaActual),"",MIN(1,SUMIFS(OFFSET($A$1,ROW(),29,1000-ROW(),1),OFFSET($A$1,ROW(),20,1000-ROW(),1),ROW(),OFFSET($A$1,ROW(),21,1000-ROW(),1),"Sub"))))</f>
        <v/>
      </c>
      <c r="J186" s="60">
        <f>IF(N($W186)=0,"",IF(AND($S186=MesCiclo,2&gt;SemanaActual),"",MIN(1,SUMIFS(OFFSET($A$1,ROW(),30,1000-ROW(),1),OFFSET($A$1,ROW(),20,1000-ROW(),1),ROW(),OFFSET($A$1,ROW(),21,1000-ROW(),1),"Sub"))))</f>
        <v/>
      </c>
      <c r="K186" s="60">
        <f>IF(N($W186)=0,"",IF(AND($S186=MesCiclo,3&gt;SemanaActual),"",MIN(1,SUMIFS(OFFSET($A$1,ROW(),31,1000-ROW(),1),OFFSET($A$1,ROW(),20,1000-ROW(),1),ROW(),OFFSET($A$1,ROW(),21,1000-ROW(),1),"Sub"))))</f>
        <v/>
      </c>
      <c r="L186" s="60">
        <f>IF(N($W186)=0,"",IF(AND($S186=MesCiclo,4&gt;SemanaActual),"",MIN(1,SUMIFS(OFFSET($A$1,ROW(),32,1000-ROW(),1),OFFSET($A$1,ROW(),20,1000-ROW(),1),ROW(),OFFSET($A$1,ROW(),21,1000-ROW(),1),"Sub"))))</f>
        <v/>
      </c>
      <c r="M186" s="61">
        <f>IF(OR(NOT((COUNTA($B186:$D186)+COUNTA($G186:$H186)+COUNTA($Q186))&gt;0),$V186="Sub"),"",IF(ISNUMBER($G186),1,IF(N($W186)&gt;0,MIN(1,SUMIFS($Y$5:$Y$1000,$U$5:$U$1000,ROW(),$V$5:$V$1000,"Sub")),$Y186)))</f>
        <v/>
      </c>
      <c r="N186" s="56">
        <f>IF(OR($M186="",$V186="Sub"),"",IF($M186&gt;=1,"Completado",IF($M186&gt;0,"En curso","Pendiente")))</f>
        <v/>
      </c>
      <c r="O186" s="56">
        <f>IF(OR(NOT((COUNTA($B186:$D186)+COUNTA($G186:$H186)+COUNTA($Q186))&gt;0),$V186="Sub"),"",IF(ISNUMBER($G186),IF(AND(ISNUMBER($AS186),$G186&gt;$AS186),"Cumplida con "&amp;($G186-$AS186)&amp;IF($G186-$AS186=1," día"," días")&amp;" de retraso","Cumplida"),IF(N($M186)&gt;=1,"Cumplida",IF(NOT(ISNUMBER($AS186)),"Sin fecha límite",IF($AS186&lt;FechaRef,"Vencida hace "&amp;(FechaRef-$AS186)&amp;IF(FechaRef-$AS186=1," día"," días"),IF($AS186=FechaRef,"Vence hoy",IF($AS186-FechaRef&lt;=DiasAlerta,"Vence en "&amp;($AS186-FechaRef)&amp;IF($AS186-FechaRef=1," día"," días"),"En plazo")))))))</f>
        <v/>
      </c>
      <c r="P186" s="62" t="n"/>
      <c r="Q186" s="58" t="n"/>
      <c r="R186" s="63">
        <f>IF(NOT((COUNTA($B186:$D186)+COUNTA($G186:$H186)+COUNTA($Q186))&gt;0),"",IF((IF($C186="","Falta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 OK","⚠ "&amp;LEFT(IF($C186="","Falta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",""),LEN(IF($C186="","Falta el nombre de la actividad"&amp;" · ","")&amp;IF(AND($V186="Sub",N($U186)=0),"Subactividad sin macroactividad arriba"&amp;" · ","")&amp;IF(AND($V186="Macro",$AR186=""),"Sin fecha de inicio"&amp;" · ","")&amp;IF(AND($V186="Macro",$AS186=""),"Sin fecha límite"&amp;" · ","")&amp;IF(AND(LEFT($C186,11)="[Jefatura] ",N($AQ186)=0),"No se encuentra en la hoja de la jefatura (elíjala de nuevo en la lista)"&amp;" · ","")&amp;IF(OR(AND($E186&lt;&gt;"",NOT(ISNUMBER($E186))),AND($F186&lt;&gt;"",NOT(ISNUMBER($F186))),AND($G186&lt;&gt;"",NOT(ISNUMBER($G186)))),"Fecha no válida"&amp;" · ","")&amp;IF(AND(ISNUMBER($AR186),ISNUMBER($AS186),$AR186&gt;$AS186),"Inicio posterior a fecha límite"&amp;" · ","")&amp;IF(AND($V186="Macro",$H186&lt;&gt;"",OR(NOT(ISNUMBER($H186)),$H186&lt;0,$H186&gt;1)),"Peso fuera de rango"&amp;" · ","")&amp;IF(AND($V186="Sub",$H186&lt;&gt;"",OR(NOT(ISNUMBER($H186)),$H186&lt;0,$H186&gt;1)),"% de la subactividad fuera de rango 0-100%"&amp;" · ","")&amp;IF(AND(N($W186)&gt;0,SUMIFS($H$5:$H$1000,$U$5:$U$1000,ROW(),$V$5:$V$1000,"Sub")&gt;1.0001),"Las subactividades suman más de 100%"&amp;" · ","")&amp;IF(AND(N($W186)&gt;0,OR(IF(ISNUMBER($I186),ROUND($I186,6)&lt;&gt;ROUND(MIN(1,SUMIFS($AD$5:$AD$1000,$U$5:$U$1000,ROW(),$V$5:$V$1000,"Sub")),6),FALSE),IF(ISNUMBER($J186),ROUND($J186,6)&lt;&gt;ROUND(MIN(1,SUMIFS($AE$5:$AE$1000,$U$5:$U$1000,ROW(),$V$5:$V$1000,"Sub")),6),FALSE),IF(ISNUMBER($K186),ROUND($K186,6)&lt;&gt;ROUND(MIN(1,SUMIFS($AF$5:$AF$1000,$U$5:$U$1000,ROW(),$V$5:$V$1000,"Sub")),6),FALSE),IF(ISNUMBER($L186),ROUND($L186,6)&lt;&gt;ROUND(MIN(1,SUMIFS($AG$5:$AG$1000,$U$5:$U$1000,ROW(),$V$5:$V$1000,"Sub")),6),FALSE))),"Con subactividades: no escriba en las semanas (se llenan solas)"&amp;" · ","")&amp;IF((COUNTIF($I186:$L186,"&gt;1")+COUNTIF($I186:$L186,"&lt;0")+SUMPRODUCT((LEN($I186:$L186)&gt;0)*NOT(ISNUMBER($I186:$L186))))&gt;0,"Avance fuera de rango 0-100%"&amp;" · ","")&amp;IF(OR(AND(ISNUMBER($J186),$J186&lt;N($I186)),AND(ISNUMBER($K186),$K186&lt;MAX($I186:$J186)),AND(ISNUMBER($L186),$L186&lt;MAX($I186:$K186))),"Avance semanal decreciente"&amp;" · ","")&amp;IF(AND(ISNUMBER($AS186),$AS186&lt;FechaRef,IF($V186="Sub",1,N($M186))&lt;1),"Vencida"&amp;" · ","")&amp;IF(AND(ObsObligatoria="Sí",ISNUMBER($AS186),$AS186&lt;FechaRef,IF($V186="Sub",1,N($M186))&lt;1,$Q186=""),"Vencida sin observación"&amp;" · ",""))-3)))</f>
        <v/>
      </c>
      <c r="S186" s="64">
        <f>IF(NOT((COUNTA($B186:$D186)+COUNTA($G186:$H186)+COUNTA($Q186))&gt;0),"",IF(AND($V186="Sub",N($U186)&gt;0),IF(ISNUMBER(INDEX($AR$5:$AR$1000,$U186-4)),DATE(YEAR(INDEX($AR$5:$AR$1000,$U186-4)),MONTH(INDEX($AR$5:$AR$1000,$U186-4)),1),IF(ISNUMBER(INDEX($AS$5:$AS$1000,$U186-4)),DATE(YEAR(INDEX($AS$5:$AS$1000,$U186-4)),MONTH(INDEX($AS$5:$AS$1000,$U186-4)),1),MesCiclo)),IF(ISNUMBER($AR186),DATE(YEAR($AR186),MONTH($AR186),1),IF(ISNUMBER($AS186),DATE(YEAR($AS186),MONTH($AS186),1),MesCiclo))))</f>
        <v/>
      </c>
      <c r="T186" s="62">
        <f>IF(OR($S186="",$S186&lt;&gt;MesCiclo,$V186&lt;&gt;"Macro"),"",COUNTIFS($S$5:$S186,MesCiclo,$V$5:$V186,"Macro"))</f>
        <v/>
      </c>
      <c r="U186" s="62">
        <f>IF($V186="","",IF($V186="Macro",ROW(),IFERROR(LOOKUP(2,1/($V$5:$V186="Macro"),ROW($V$5:$V186)),0)))</f>
        <v/>
      </c>
      <c r="V186" s="62">
        <f>IF(NOT((COUNTA($B186:$D186)+COUNTA($G186:$H186)+COUNTA($Q186))&gt;0),"",IF($B186="Subactividad","Sub","Macro"))</f>
        <v/>
      </c>
      <c r="W186" s="62">
        <f>IF($V186="Macro",COUNTIFS($U$5:$U$1000,ROW(),$V$5:$V$1000,"Sub"),"")</f>
        <v/>
      </c>
      <c r="X186" s="62">
        <f>IF($V186&lt;&gt;"Sub","",IF(AND(ISNUMBER($H186),N($H186)&gt;0),$H186,IFERROR(MAX(0,1-SUMIFS($H$5:$H$1000,$U$5:$U$1000,$U186,$V$5:$V$1000,"Sub"))/(COUNTIFS($U$5:$U$1000,$U186,$V$5:$V$1000,"Sub")-COUNTIFS($U$5:$U$1000,$U186,$V$5:$V$1000,"Sub",$H$5:$H$1000,"&gt;0")),0)))</f>
        <v/>
      </c>
      <c r="Y186" s="62">
        <f>IF($V186="","",IF($V186="Sub",N($X186)*IF(ISNUMBER($G186),1,MIN(1,MAX(0,IFERROR(LOOKUP(2,1/ISNUMBER($I186:$L186),$I186:$L186),0)))),IF(ISNUMBER($G186),1,IFERROR(LOOKUP(2,1/($I186:$L186&lt;&gt;""),$I186:$L186),0))))</f>
        <v/>
      </c>
      <c r="Z186" s="62">
        <f>IF($V186="","",IF(AND(ISNUMBER($G186),$G186&lt;=IF($S186=MesCiclo,InicioCiclo,$S186+MOD(2-WEEKDAY($S186),7))+6),1,IF(ISNUMBER($I186),$I186,0)))</f>
        <v/>
      </c>
      <c r="AA186" s="62">
        <f>IF($V186="","",IF(AND(ISNUMBER($G186),$G186&lt;=IF($S186=MesCiclo,InicioCiclo,$S186+MOD(2-WEEKDAY($S186),7))+13),1,IF(ISNUMBER($J186),$J186,$Z186)))</f>
        <v/>
      </c>
      <c r="AB186" s="62">
        <f>IF($V186="","",IF(AND(ISNUMBER($G186),$G186&lt;=IF($S186=MesCiclo,InicioCiclo,$S186+MOD(2-WEEKDAY($S186),7))+20),1,IF(ISNUMBER($K186),$K186,$AA186)))</f>
        <v/>
      </c>
      <c r="AC186" s="62">
        <f>IF($V186="","",IF(AND(ISNUMBER($G186),$G186&lt;=IF($S186=MesCiclo,InicioCiclo,$S186+MOD(2-WEEKDAY($S186),7))+27),1,IF(ISNUMBER($L186),$L186,$AB186)))</f>
        <v/>
      </c>
      <c r="AD186" s="62">
        <f>IF($V186&lt;&gt;"Sub","",N($X186)*IF(AND(ISNUMBER($G186),$G186&lt;=IF($S186=MesCiclo,InicioCiclo,$S186+MOD(2-WEEKDAY($S186),7))+6),1,MIN(1,MAX(0,IF(ISNUMBER(OFFSET($A$1,ROW()-1,8)),OFFSET($A$1,ROW()-1,8),0)))))</f>
        <v/>
      </c>
      <c r="AE186" s="62">
        <f>IF($V186&lt;&gt;"Sub","",N($X186)*IF(AND(ISNUMBER($G186),$G186&lt;=IF($S186=MesCiclo,InicioCiclo,$S186+MOD(2-WEEKDAY($S186),7))+13),1,MIN(1,MAX(0,IF(ISNUMBER(OFFSET($A$1,ROW()-1,9)),OFFSET($A$1,ROW()-1,9),IF(ISNUMBER(OFFSET($A$1,ROW()-1,8)),OFFSET($A$1,ROW()-1,8),0))))))</f>
        <v/>
      </c>
      <c r="AF186" s="62">
        <f>IF($V186&lt;&gt;"Sub","",N($X186)*IF(AND(ISNUMBER($G186),$G186&lt;=IF($S186=MesCiclo,InicioCiclo,$S186+MOD(2-WEEKDAY($S186),7))+20),1,MIN(1,MAX(0,IF(ISNUMBER(OFFSET($A$1,ROW()-1,10)),OFFSET($A$1,ROW()-1,10),IF(ISNUMBER(OFFSET($A$1,ROW()-1,9)),OFFSET($A$1,ROW()-1,9),IF(ISNUMBER(OFFSET($A$1,ROW()-1,8)),OFFSET($A$1,ROW()-1,8),0)))))))</f>
        <v/>
      </c>
      <c r="AG186" s="62">
        <f>IF($V186&lt;&gt;"Sub","",N($X186)*IF(AND(ISNUMBER($G186),$G186&lt;=IF($S186=MesCiclo,InicioCiclo,$S186+MOD(2-WEEKDAY($S186),7))+27),1,MIN(1,MAX(0,IF(ISNUMBER(OFFSET($A$1,ROW()-1,11)),OFFSET($A$1,ROW()-1,11),IF(ISNUMBER(OFFSET($A$1,ROW()-1,10)),OFFSET($A$1,ROW()-1,10),IF(ISNUMBER(OFFSET($A$1,ROW()-1,9)),OFFSET($A$1,ROW()-1,9),IF(ISNUMBER(OFFSET($A$1,ROW()-1,8)),OFFSET($A$1,ROW()-1,8),0))))))))</f>
        <v/>
      </c>
      <c r="AH186" s="62">
        <f>IF($V186="","",IF(AND(ISNUMBER($G186),$G186&lt;=IF($S186=MesCiclo,InicioCiclo,$S186+MOD(2-WEEKDAY($S186),7))+6),1,IF(N($W186)&gt;0,MIN(1,SUMIFS($AD$5:$AD$1000,$U$5:$U$1000,ROW(),$V$5:$V$1000,"Sub")),$Z186)))</f>
        <v/>
      </c>
      <c r="AI186" s="62">
        <f>IF($V186="","",IF(AND(ISNUMBER($G186),$G186&lt;=IF($S186=MesCiclo,InicioCiclo,$S186+MOD(2-WEEKDAY($S186),7))+13),1,IF(N($W186)&gt;0,MIN(1,SUMIFS($AE$5:$AE$1000,$U$5:$U$1000,ROW(),$V$5:$V$1000,"Sub")),$AA186)))</f>
        <v/>
      </c>
      <c r="AJ186" s="62">
        <f>IF($V186="","",IF(AND(ISNUMBER($G186),$G186&lt;=IF($S186=MesCiclo,InicioCiclo,$S186+MOD(2-WEEKDAY($S186),7))+20),1,IF(N($W186)&gt;0,MIN(1,SUMIFS($AF$5:$AF$1000,$U$5:$U$1000,ROW(),$V$5:$V$1000,"Sub")),$AB186)))</f>
        <v/>
      </c>
      <c r="AK186" s="62">
        <f>IF($V186="","",IF(AND(ISNUMBER($G186),$G186&lt;=IF($S186=MesCiclo,InicioCiclo,$S186+MOD(2-WEEKDAY($S186),7))+27),1,IF(N($W186)&gt;0,MIN(1,SUMIFS($AG$5:$AG$1000,$U$5:$U$1000,ROW(),$V$5:$V$1000,"Sub")),$AC186)))</f>
        <v/>
      </c>
      <c r="AL186" s="62">
        <f>IF($V186&lt;&gt;"Macro","",IF(COUNTIFS($S$5:$S$1000,$S186,$V$5:$V$1000,"Macro",$H$5:$H$1000,"&gt;0")=0,1/COUNTIFS($S$5:$S$1000,$S186,$V$5:$V$1000,"Macro"),IF(AND(ISNUMBER($H186),N($H186)&gt;0),$H186,SUMIFS($H$5:$H$1000,$S$5:$S$1000,$S186,$V$5:$V$1000,"Macro")/COUNTIFS($S$5:$S$1000,$S186,$V$5:$V$1000,"Macro",$H$5:$H$1000,"&gt;0"))/(COUNTIFS($S$5:$S$1000,$S186,$V$5:$V$1000,"Macro")*SUMIFS($H$5:$H$1000,$S$5:$S$1000,$S186,$V$5:$V$1000,"Macro")/COUNTIFS($S$5:$S$1000,$S186,$V$5:$V$1000,"Macro",$H$5:$H$1000,"&gt;0"))))</f>
        <v/>
      </c>
      <c r="AM186" s="62" t="n"/>
      <c r="AN186" s="62" t="n"/>
      <c r="AO186" s="62" t="n"/>
      <c r="AP186" s="62" t="n"/>
      <c r="AQ186" s="62">
        <f>IF(LEFT($C186,11)="[Jefatura] ",IFERROR(MATCH("Asistente Técnico de Riesgo|"&amp;MID($C186,12,500),rDname_ADM,0),0),"")</f>
        <v/>
      </c>
      <c r="AR186" s="62">
        <f>IF(N($AQ186)&gt;0,INDEX(rIni_ADM,$AQ186),IF(ISNUMBER($E186),$E186,""))</f>
        <v/>
      </c>
      <c r="AS186" s="62">
        <f>IF(N($AQ186)&gt;0,INDEX(rLim_ADM,$AQ186),IF(ISNUMBER($F186),$F186,""))</f>
        <v/>
      </c>
    </row>
    <row r="187">
      <c r="A187" s="56">
        <f>IF(NOT((COUNTA($B187:$D187)+COUNTA($G187:$H187)+COUNTA($Q187))&gt;0),"",IF($V187="Macro",COUNTIFS($V$5:$V187,"Macro",$S$5:$S187,$S187),IF(N($U187)=0,"?",COUNTIFS(INDEX($V$5:$V$1000,1):INDEX($V$5:$V$1000,$U187-4),"Macro",INDEX($S$5:$S$1000,1):INDEX($S$5:$S$1000,$U187-4),INDEX($S$5:$S$1000,$U187-4))&amp;"."&amp;COUNTIFS($U$5:$U187,$U187,$V$5:$V187,"Sub"))))</f>
        <v/>
      </c>
      <c r="B187" s="57" t="n"/>
      <c r="C187" s="58" t="n"/>
      <c r="D187" s="58" t="n"/>
      <c r="E187" s="59">
        <f>IF(N($AQ187)&gt;0,INDEX(rIni_ADM,$AQ187),"")</f>
        <v/>
      </c>
      <c r="F187" s="59">
        <f>IF(N($AQ187)&gt;0,INDEX(rLim_ADM,$AQ187),"")</f>
        <v/>
      </c>
      <c r="G187" s="59" t="n"/>
      <c r="H187" s="60" t="n"/>
      <c r="I187" s="60">
        <f>IF(N($W187)=0,"",IF(AND($S187=MesCiclo,1&gt;SemanaActual),"",MIN(1,SUMIFS(OFFSET($A$1,ROW(),29,1000-ROW(),1),OFFSET($A$1,ROW(),20,1000-ROW(),1),ROW(),OFFSET($A$1,ROW(),21,1000-ROW(),1),"Sub"))))</f>
        <v/>
      </c>
      <c r="J187" s="60">
        <f>IF(N($W187)=0,"",IF(AND($S187=MesCiclo,2&gt;SemanaActual),"",MIN(1,SUMIFS(OFFSET($A$1,ROW(),30,1000-ROW(),1),OFFSET($A$1,ROW(),20,1000-ROW(),1),ROW(),OFFSET($A$1,ROW(),21,1000-ROW(),1),"Sub"))))</f>
        <v/>
      </c>
      <c r="K187" s="60">
        <f>IF(N($W187)=0,"",IF(AND($S187=MesCiclo,3&gt;SemanaActual),"",MIN(1,SUMIFS(OFFSET($A$1,ROW(),31,1000-ROW(),1),OFFSET($A$1,ROW(),20,1000-ROW(),1),ROW(),OFFSET($A$1,ROW(),21,1000-ROW(),1),"Sub"))))</f>
        <v/>
      </c>
      <c r="L187" s="60">
        <f>IF(N($W187)=0,"",IF(AND($S187=MesCiclo,4&gt;SemanaActual),"",MIN(1,SUMIFS(OFFSET($A$1,ROW(),32,1000-ROW(),1),OFFSET($A$1,ROW(),20,1000-ROW(),1),ROW(),OFFSET($A$1,ROW(),21,1000-ROW(),1),"Sub"))))</f>
        <v/>
      </c>
      <c r="M187" s="61">
        <f>IF(OR(NOT((COUNTA($B187:$D187)+COUNTA($G187:$H187)+COUNTA($Q187))&gt;0),$V187="Sub"),"",IF(ISNUMBER($G187),1,IF(N($W187)&gt;0,MIN(1,SUMIFS($Y$5:$Y$1000,$U$5:$U$1000,ROW(),$V$5:$V$1000,"Sub")),$Y187)))</f>
        <v/>
      </c>
      <c r="N187" s="56">
        <f>IF(OR($M187="",$V187="Sub"),"",IF($M187&gt;=1,"Completado",IF($M187&gt;0,"En curso","Pendiente")))</f>
        <v/>
      </c>
      <c r="O187" s="56">
        <f>IF(OR(NOT((COUNTA($B187:$D187)+COUNTA($G187:$H187)+COUNTA($Q187))&gt;0),$V187="Sub"),"",IF(ISNUMBER($G187),IF(AND(ISNUMBER($AS187),$G187&gt;$AS187),"Cumplida con "&amp;($G187-$AS187)&amp;IF($G187-$AS187=1," día"," días")&amp;" de retraso","Cumplida"),IF(N($M187)&gt;=1,"Cumplida",IF(NOT(ISNUMBER($AS187)),"Sin fecha límite",IF($AS187&lt;FechaRef,"Vencida hace "&amp;(FechaRef-$AS187)&amp;IF(FechaRef-$AS187=1," día"," días"),IF($AS187=FechaRef,"Vence hoy",IF($AS187-FechaRef&lt;=DiasAlerta,"Vence en "&amp;($AS187-FechaRef)&amp;IF($AS187-FechaRef=1," día"," días"),"En plazo")))))))</f>
        <v/>
      </c>
      <c r="P187" s="62" t="n"/>
      <c r="Q187" s="58" t="n"/>
      <c r="R187" s="63">
        <f>IF(NOT((COUNTA($B187:$D187)+COUNTA($G187:$H187)+COUNTA($Q187))&gt;0),"",IF((IF($C187="","Falta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 OK","⚠ "&amp;LEFT(IF($C187="","Falta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",""),LEN(IF($C187="","Falta el nombre de la actividad"&amp;" · ","")&amp;IF(AND($V187="Sub",N($U187)=0),"Subactividad sin macroactividad arriba"&amp;" · ","")&amp;IF(AND($V187="Macro",$AR187=""),"Sin fecha de inicio"&amp;" · ","")&amp;IF(AND($V187="Macro",$AS187=""),"Sin fecha límite"&amp;" · ","")&amp;IF(AND(LEFT($C187,11)="[Jefatura] ",N($AQ187)=0),"No se encuentra en la hoja de la jefatura (elíjala de nuevo en la lista)"&amp;" · ","")&amp;IF(OR(AND($E187&lt;&gt;"",NOT(ISNUMBER($E187))),AND($F187&lt;&gt;"",NOT(ISNUMBER($F187))),AND($G187&lt;&gt;"",NOT(ISNUMBER($G187)))),"Fecha no válida"&amp;" · ","")&amp;IF(AND(ISNUMBER($AR187),ISNUMBER($AS187),$AR187&gt;$AS187),"Inicio posterior a fecha límite"&amp;" · ","")&amp;IF(AND($V187="Macro",$H187&lt;&gt;"",OR(NOT(ISNUMBER($H187)),$H187&lt;0,$H187&gt;1)),"Peso fuera de rango"&amp;" · ","")&amp;IF(AND($V187="Sub",$H187&lt;&gt;"",OR(NOT(ISNUMBER($H187)),$H187&lt;0,$H187&gt;1)),"% de la subactividad fuera de rango 0-100%"&amp;" · ","")&amp;IF(AND(N($W187)&gt;0,SUMIFS($H$5:$H$1000,$U$5:$U$1000,ROW(),$V$5:$V$1000,"Sub")&gt;1.0001),"Las subactividades suman más de 100%"&amp;" · ","")&amp;IF(AND(N($W187)&gt;0,OR(IF(ISNUMBER($I187),ROUND($I187,6)&lt;&gt;ROUND(MIN(1,SUMIFS($AD$5:$AD$1000,$U$5:$U$1000,ROW(),$V$5:$V$1000,"Sub")),6),FALSE),IF(ISNUMBER($J187),ROUND($J187,6)&lt;&gt;ROUND(MIN(1,SUMIFS($AE$5:$AE$1000,$U$5:$U$1000,ROW(),$V$5:$V$1000,"Sub")),6),FALSE),IF(ISNUMBER($K187),ROUND($K187,6)&lt;&gt;ROUND(MIN(1,SUMIFS($AF$5:$AF$1000,$U$5:$U$1000,ROW(),$V$5:$V$1000,"Sub")),6),FALSE),IF(ISNUMBER($L187),ROUND($L187,6)&lt;&gt;ROUND(MIN(1,SUMIFS($AG$5:$AG$1000,$U$5:$U$1000,ROW(),$V$5:$V$1000,"Sub")),6),FALSE))),"Con subactividades: no escriba en las semanas (se llenan solas)"&amp;" · ","")&amp;IF((COUNTIF($I187:$L187,"&gt;1")+COUNTIF($I187:$L187,"&lt;0")+SUMPRODUCT((LEN($I187:$L187)&gt;0)*NOT(ISNUMBER($I187:$L187))))&gt;0,"Avance fuera de rango 0-100%"&amp;" · ","")&amp;IF(OR(AND(ISNUMBER($J187),$J187&lt;N($I187)),AND(ISNUMBER($K187),$K187&lt;MAX($I187:$J187)),AND(ISNUMBER($L187),$L187&lt;MAX($I187:$K187))),"Avance semanal decreciente"&amp;" · ","")&amp;IF(AND(ISNUMBER($AS187),$AS187&lt;FechaRef,IF($V187="Sub",1,N($M187))&lt;1),"Vencida"&amp;" · ","")&amp;IF(AND(ObsObligatoria="Sí",ISNUMBER($AS187),$AS187&lt;FechaRef,IF($V187="Sub",1,N($M187))&lt;1,$Q187=""),"Vencida sin observación"&amp;" · ",""))-3)))</f>
        <v/>
      </c>
      <c r="S187" s="64">
        <f>IF(NOT((COUNTA($B187:$D187)+COUNTA($G187:$H187)+COUNTA($Q187))&gt;0),"",IF(AND($V187="Sub",N($U187)&gt;0),IF(ISNUMBER(INDEX($AR$5:$AR$1000,$U187-4)),DATE(YEAR(INDEX($AR$5:$AR$1000,$U187-4)),MONTH(INDEX($AR$5:$AR$1000,$U187-4)),1),IF(ISNUMBER(INDEX($AS$5:$AS$1000,$U187-4)),DATE(YEAR(INDEX($AS$5:$AS$1000,$U187-4)),MONTH(INDEX($AS$5:$AS$1000,$U187-4)),1),MesCiclo)),IF(ISNUMBER($AR187),DATE(YEAR($AR187),MONTH($AR187),1),IF(ISNUMBER($AS187),DATE(YEAR($AS187),MONTH($AS187),1),MesCiclo))))</f>
        <v/>
      </c>
      <c r="T187" s="62">
        <f>IF(OR($S187="",$S187&lt;&gt;MesCiclo,$V187&lt;&gt;"Macro"),"",COUNTIFS($S$5:$S187,MesCiclo,$V$5:$V187,"Macro"))</f>
        <v/>
      </c>
      <c r="U187" s="62">
        <f>IF($V187="","",IF($V187="Macro",ROW(),IFERROR(LOOKUP(2,1/($V$5:$V187="Macro"),ROW($V$5:$V187)),0)))</f>
        <v/>
      </c>
      <c r="V187" s="62">
        <f>IF(NOT((COUNTA($B187:$D187)+COUNTA($G187:$H187)+COUNTA($Q187))&gt;0),"",IF($B187="Subactividad","Sub","Macro"))</f>
        <v/>
      </c>
      <c r="W187" s="62">
        <f>IF($V187="Macro",COUNTIFS($U$5:$U$1000,ROW(),$V$5:$V$1000,"Sub"),"")</f>
        <v/>
      </c>
      <c r="X187" s="62">
        <f>IF($V187&lt;&gt;"Sub","",IF(AND(ISNUMBER($H187),N($H187)&gt;0),$H187,IFERROR(MAX(0,1-SUMIFS($H$5:$H$1000,$U$5:$U$1000,$U187,$V$5:$V$1000,"Sub"))/(COUNTIFS($U$5:$U$1000,$U187,$V$5:$V$1000,"Sub")-COUNTIFS($U$5:$U$1000,$U187,$V$5:$V$1000,"Sub",$H$5:$H$1000,"&gt;0")),0)))</f>
        <v/>
      </c>
      <c r="Y187" s="62">
        <f>IF($V187="","",IF($V187="Sub",N($X187)*IF(ISNUMBER($G187),1,MIN(1,MAX(0,IFERROR(LOOKUP(2,1/ISNUMBER($I187:$L187),$I187:$L187),0)))),IF(ISNUMBER($G187),1,IFERROR(LOOKUP(2,1/($I187:$L187&lt;&gt;""),$I187:$L187),0))))</f>
        <v/>
      </c>
      <c r="Z187" s="62">
        <f>IF($V187="","",IF(AND(ISNUMBER($G187),$G187&lt;=IF($S187=MesCiclo,InicioCiclo,$S187+MOD(2-WEEKDAY($S187),7))+6),1,IF(ISNUMBER($I187),$I187,0)))</f>
        <v/>
      </c>
      <c r="AA187" s="62">
        <f>IF($V187="","",IF(AND(ISNUMBER($G187),$G187&lt;=IF($S187=MesCiclo,InicioCiclo,$S187+MOD(2-WEEKDAY($S187),7))+13),1,IF(ISNUMBER($J187),$J187,$Z187)))</f>
        <v/>
      </c>
      <c r="AB187" s="62">
        <f>IF($V187="","",IF(AND(ISNUMBER($G187),$G187&lt;=IF($S187=MesCiclo,InicioCiclo,$S187+MOD(2-WEEKDAY($S187),7))+20),1,IF(ISNUMBER($K187),$K187,$AA187)))</f>
        <v/>
      </c>
      <c r="AC187" s="62">
        <f>IF($V187="","",IF(AND(ISNUMBER($G187),$G187&lt;=IF($S187=MesCiclo,InicioCiclo,$S187+MOD(2-WEEKDAY($S187),7))+27),1,IF(ISNUMBER($L187),$L187,$AB187)))</f>
        <v/>
      </c>
      <c r="AD187" s="62">
        <f>IF($V187&lt;&gt;"Sub","",N($X187)*IF(AND(ISNUMBER($G187),$G187&lt;=IF($S187=MesCiclo,InicioCiclo,$S187+MOD(2-WEEKDAY($S187),7))+6),1,MIN(1,MAX(0,IF(ISNUMBER(OFFSET($A$1,ROW()-1,8)),OFFSET($A$1,ROW()-1,8),0)))))</f>
        <v/>
      </c>
      <c r="AE187" s="62">
        <f>IF($V187&lt;&gt;"Sub","",N($X187)*IF(AND(ISNUMBER($G187),$G187&lt;=IF($S187=MesCiclo,InicioCiclo,$S187+MOD(2-WEEKDAY($S187),7))+13),1,MIN(1,MAX(0,IF(ISNUMBER(OFFSET($A$1,ROW()-1,9)),OFFSET($A$1,ROW()-1,9),IF(ISNUMBER(OFFSET($A$1,ROW()-1,8)),OFFSET($A$1,ROW()-1,8),0))))))</f>
        <v/>
      </c>
      <c r="AF187" s="62">
        <f>IF($V187&lt;&gt;"Sub","",N($X187)*IF(AND(ISNUMBER($G187),$G187&lt;=IF($S187=MesCiclo,InicioCiclo,$S187+MOD(2-WEEKDAY($S187),7))+20),1,MIN(1,MAX(0,IF(ISNUMBER(OFFSET($A$1,ROW()-1,10)),OFFSET($A$1,ROW()-1,10),IF(ISNUMBER(OFFSET($A$1,ROW()-1,9)),OFFSET($A$1,ROW()-1,9),IF(ISNUMBER(OFFSET($A$1,ROW()-1,8)),OFFSET($A$1,ROW()-1,8),0)))))))</f>
        <v/>
      </c>
      <c r="AG187" s="62">
        <f>IF($V187&lt;&gt;"Sub","",N($X187)*IF(AND(ISNUMBER($G187),$G187&lt;=IF($S187=MesCiclo,InicioCiclo,$S187+MOD(2-WEEKDAY($S187),7))+27),1,MIN(1,MAX(0,IF(ISNUMBER(OFFSET($A$1,ROW()-1,11)),OFFSET($A$1,ROW()-1,11),IF(ISNUMBER(OFFSET($A$1,ROW()-1,10)),OFFSET($A$1,ROW()-1,10),IF(ISNUMBER(OFFSET($A$1,ROW()-1,9)),OFFSET($A$1,ROW()-1,9),IF(ISNUMBER(OFFSET($A$1,ROW()-1,8)),OFFSET($A$1,ROW()-1,8),0))))))))</f>
        <v/>
      </c>
      <c r="AH187" s="62">
        <f>IF($V187="","",IF(AND(ISNUMBER($G187),$G187&lt;=IF($S187=MesCiclo,InicioCiclo,$S187+MOD(2-WEEKDAY($S187),7))+6),1,IF(N($W187)&gt;0,MIN(1,SUMIFS($AD$5:$AD$1000,$U$5:$U$1000,ROW(),$V$5:$V$1000,"Sub")),$Z187)))</f>
        <v/>
      </c>
      <c r="AI187" s="62">
        <f>IF($V187="","",IF(AND(ISNUMBER($G187),$G187&lt;=IF($S187=MesCiclo,InicioCiclo,$S187+MOD(2-WEEKDAY($S187),7))+13),1,IF(N($W187)&gt;0,MIN(1,SUMIFS($AE$5:$AE$1000,$U$5:$U$1000,ROW(),$V$5:$V$1000,"Sub")),$AA187)))</f>
        <v/>
      </c>
      <c r="AJ187" s="62">
        <f>IF($V187="","",IF(AND(ISNUMBER($G187),$G187&lt;=IF($S187=MesCiclo,InicioCiclo,$S187+MOD(2-WEEKDAY($S187),7))+20),1,IF(N($W187)&gt;0,MIN(1,SUMIFS($AF$5:$AF$1000,$U$5:$U$1000,ROW(),$V$5:$V$1000,"Sub")),$AB187)))</f>
        <v/>
      </c>
      <c r="AK187" s="62">
        <f>IF($V187="","",IF(AND(ISNUMBER($G187),$G187&lt;=IF($S187=MesCiclo,InicioCiclo,$S187+MOD(2-WEEKDAY($S187),7))+27),1,IF(N($W187)&gt;0,MIN(1,SUMIFS($AG$5:$AG$1000,$U$5:$U$1000,ROW(),$V$5:$V$1000,"Sub")),$AC187)))</f>
        <v/>
      </c>
      <c r="AL187" s="62">
        <f>IF($V187&lt;&gt;"Macro","",IF(COUNTIFS($S$5:$S$1000,$S187,$V$5:$V$1000,"Macro",$H$5:$H$1000,"&gt;0")=0,1/COUNTIFS($S$5:$S$1000,$S187,$V$5:$V$1000,"Macro"),IF(AND(ISNUMBER($H187),N($H187)&gt;0),$H187,SUMIFS($H$5:$H$1000,$S$5:$S$1000,$S187,$V$5:$V$1000,"Macro")/COUNTIFS($S$5:$S$1000,$S187,$V$5:$V$1000,"Macro",$H$5:$H$1000,"&gt;0"))/(COUNTIFS($S$5:$S$1000,$S187,$V$5:$V$1000,"Macro")*SUMIFS($H$5:$H$1000,$S$5:$S$1000,$S187,$V$5:$V$1000,"Macro")/COUNTIFS($S$5:$S$1000,$S187,$V$5:$V$1000,"Macro",$H$5:$H$1000,"&gt;0"))))</f>
        <v/>
      </c>
      <c r="AM187" s="62" t="n"/>
      <c r="AN187" s="62" t="n"/>
      <c r="AO187" s="62" t="n"/>
      <c r="AP187" s="62" t="n"/>
      <c r="AQ187" s="62">
        <f>IF(LEFT($C187,11)="[Jefatura] ",IFERROR(MATCH("Asistente Técnico de Riesgo|"&amp;MID($C187,12,500),rDname_ADM,0),0),"")</f>
        <v/>
      </c>
      <c r="AR187" s="62">
        <f>IF(N($AQ187)&gt;0,INDEX(rIni_ADM,$AQ187),IF(ISNUMBER($E187),$E187,""))</f>
        <v/>
      </c>
      <c r="AS187" s="62">
        <f>IF(N($AQ187)&gt;0,INDEX(rLim_ADM,$AQ187),IF(ISNUMBER($F187),$F187,""))</f>
        <v/>
      </c>
    </row>
    <row r="188">
      <c r="A188" s="56">
        <f>IF(NOT((COUNTA($B188:$D188)+COUNTA($G188:$H188)+COUNTA($Q188))&gt;0),"",IF($V188="Macro",COUNTIFS($V$5:$V188,"Macro",$S$5:$S188,$S188),IF(N($U188)=0,"?",COUNTIFS(INDEX($V$5:$V$1000,1):INDEX($V$5:$V$1000,$U188-4),"Macro",INDEX($S$5:$S$1000,1):INDEX($S$5:$S$1000,$U188-4),INDEX($S$5:$S$1000,$U188-4))&amp;"."&amp;COUNTIFS($U$5:$U188,$U188,$V$5:$V188,"Sub"))))</f>
        <v/>
      </c>
      <c r="B188" s="57" t="n"/>
      <c r="C188" s="58" t="n"/>
      <c r="D188" s="58" t="n"/>
      <c r="E188" s="59">
        <f>IF(N($AQ188)&gt;0,INDEX(rIni_ADM,$AQ188),"")</f>
        <v/>
      </c>
      <c r="F188" s="59">
        <f>IF(N($AQ188)&gt;0,INDEX(rLim_ADM,$AQ188),"")</f>
        <v/>
      </c>
      <c r="G188" s="59" t="n"/>
      <c r="H188" s="60" t="n"/>
      <c r="I188" s="60">
        <f>IF(N($W188)=0,"",IF(AND($S188=MesCiclo,1&gt;SemanaActual),"",MIN(1,SUMIFS(OFFSET($A$1,ROW(),29,1000-ROW(),1),OFFSET($A$1,ROW(),20,1000-ROW(),1),ROW(),OFFSET($A$1,ROW(),21,1000-ROW(),1),"Sub"))))</f>
        <v/>
      </c>
      <c r="J188" s="60">
        <f>IF(N($W188)=0,"",IF(AND($S188=MesCiclo,2&gt;SemanaActual),"",MIN(1,SUMIFS(OFFSET($A$1,ROW(),30,1000-ROW(),1),OFFSET($A$1,ROW(),20,1000-ROW(),1),ROW(),OFFSET($A$1,ROW(),21,1000-ROW(),1),"Sub"))))</f>
        <v/>
      </c>
      <c r="K188" s="60">
        <f>IF(N($W188)=0,"",IF(AND($S188=MesCiclo,3&gt;SemanaActual),"",MIN(1,SUMIFS(OFFSET($A$1,ROW(),31,1000-ROW(),1),OFFSET($A$1,ROW(),20,1000-ROW(),1),ROW(),OFFSET($A$1,ROW(),21,1000-ROW(),1),"Sub"))))</f>
        <v/>
      </c>
      <c r="L188" s="60">
        <f>IF(N($W188)=0,"",IF(AND($S188=MesCiclo,4&gt;SemanaActual),"",MIN(1,SUMIFS(OFFSET($A$1,ROW(),32,1000-ROW(),1),OFFSET($A$1,ROW(),20,1000-ROW(),1),ROW(),OFFSET($A$1,ROW(),21,1000-ROW(),1),"Sub"))))</f>
        <v/>
      </c>
      <c r="M188" s="61">
        <f>IF(OR(NOT((COUNTA($B188:$D188)+COUNTA($G188:$H188)+COUNTA($Q188))&gt;0),$V188="Sub"),"",IF(ISNUMBER($G188),1,IF(N($W188)&gt;0,MIN(1,SUMIFS($Y$5:$Y$1000,$U$5:$U$1000,ROW(),$V$5:$V$1000,"Sub")),$Y188)))</f>
        <v/>
      </c>
      <c r="N188" s="56">
        <f>IF(OR($M188="",$V188="Sub"),"",IF($M188&gt;=1,"Completado",IF($M188&gt;0,"En curso","Pendiente")))</f>
        <v/>
      </c>
      <c r="O188" s="56">
        <f>IF(OR(NOT((COUNTA($B188:$D188)+COUNTA($G188:$H188)+COUNTA($Q188))&gt;0),$V188="Sub"),"",IF(ISNUMBER($G188),IF(AND(ISNUMBER($AS188),$G188&gt;$AS188),"Cumplida con "&amp;($G188-$AS188)&amp;IF($G188-$AS188=1," día"," días")&amp;" de retraso","Cumplida"),IF(N($M188)&gt;=1,"Cumplida",IF(NOT(ISNUMBER($AS188)),"Sin fecha límite",IF($AS188&lt;FechaRef,"Vencida hace "&amp;(FechaRef-$AS188)&amp;IF(FechaRef-$AS188=1," día"," días"),IF($AS188=FechaRef,"Vence hoy",IF($AS188-FechaRef&lt;=DiasAlerta,"Vence en "&amp;($AS188-FechaRef)&amp;IF($AS188-FechaRef=1," día"," días"),"En plazo")))))))</f>
        <v/>
      </c>
      <c r="P188" s="62" t="n"/>
      <c r="Q188" s="58" t="n"/>
      <c r="R188" s="63">
        <f>IF(NOT((COUNTA($B188:$D188)+COUNTA($G188:$H188)+COUNTA($Q188))&gt;0),"",IF((IF($C188="","Falta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 OK","⚠ "&amp;LEFT(IF($C188="","Falta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",""),LEN(IF($C188="","Falta el nombre de la actividad"&amp;" · ","")&amp;IF(AND($V188="Sub",N($U188)=0),"Subactividad sin macroactividad arriba"&amp;" · ","")&amp;IF(AND($V188="Macro",$AR188=""),"Sin fecha de inicio"&amp;" · ","")&amp;IF(AND($V188="Macro",$AS188=""),"Sin fecha límite"&amp;" · ","")&amp;IF(AND(LEFT($C188,11)="[Jefatura] ",N($AQ188)=0),"No se encuentra en la hoja de la jefatura (elíjala de nuevo en la lista)"&amp;" · ","")&amp;IF(OR(AND($E188&lt;&gt;"",NOT(ISNUMBER($E188))),AND($F188&lt;&gt;"",NOT(ISNUMBER($F188))),AND($G188&lt;&gt;"",NOT(ISNUMBER($G188)))),"Fecha no válida"&amp;" · ","")&amp;IF(AND(ISNUMBER($AR188),ISNUMBER($AS188),$AR188&gt;$AS188),"Inicio posterior a fecha límite"&amp;" · ","")&amp;IF(AND($V188="Macro",$H188&lt;&gt;"",OR(NOT(ISNUMBER($H188)),$H188&lt;0,$H188&gt;1)),"Peso fuera de rango"&amp;" · ","")&amp;IF(AND($V188="Sub",$H188&lt;&gt;"",OR(NOT(ISNUMBER($H188)),$H188&lt;0,$H188&gt;1)),"% de la subactividad fuera de rango 0-100%"&amp;" · ","")&amp;IF(AND(N($W188)&gt;0,SUMIFS($H$5:$H$1000,$U$5:$U$1000,ROW(),$V$5:$V$1000,"Sub")&gt;1.0001),"Las subactividades suman más de 100%"&amp;" · ","")&amp;IF(AND(N($W188)&gt;0,OR(IF(ISNUMBER($I188),ROUND($I188,6)&lt;&gt;ROUND(MIN(1,SUMIFS($AD$5:$AD$1000,$U$5:$U$1000,ROW(),$V$5:$V$1000,"Sub")),6),FALSE),IF(ISNUMBER($J188),ROUND($J188,6)&lt;&gt;ROUND(MIN(1,SUMIFS($AE$5:$AE$1000,$U$5:$U$1000,ROW(),$V$5:$V$1000,"Sub")),6),FALSE),IF(ISNUMBER($K188),ROUND($K188,6)&lt;&gt;ROUND(MIN(1,SUMIFS($AF$5:$AF$1000,$U$5:$U$1000,ROW(),$V$5:$V$1000,"Sub")),6),FALSE),IF(ISNUMBER($L188),ROUND($L188,6)&lt;&gt;ROUND(MIN(1,SUMIFS($AG$5:$AG$1000,$U$5:$U$1000,ROW(),$V$5:$V$1000,"Sub")),6),FALSE))),"Con subactividades: no escriba en las semanas (se llenan solas)"&amp;" · ","")&amp;IF((COUNTIF($I188:$L188,"&gt;1")+COUNTIF($I188:$L188,"&lt;0")+SUMPRODUCT((LEN($I188:$L188)&gt;0)*NOT(ISNUMBER($I188:$L188))))&gt;0,"Avance fuera de rango 0-100%"&amp;" · ","")&amp;IF(OR(AND(ISNUMBER($J188),$J188&lt;N($I188)),AND(ISNUMBER($K188),$K188&lt;MAX($I188:$J188)),AND(ISNUMBER($L188),$L188&lt;MAX($I188:$K188))),"Avance semanal decreciente"&amp;" · ","")&amp;IF(AND(ISNUMBER($AS188),$AS188&lt;FechaRef,IF($V188="Sub",1,N($M188))&lt;1),"Vencida"&amp;" · ","")&amp;IF(AND(ObsObligatoria="Sí",ISNUMBER($AS188),$AS188&lt;FechaRef,IF($V188="Sub",1,N($M188))&lt;1,$Q188=""),"Vencida sin observación"&amp;" · ",""))-3)))</f>
        <v/>
      </c>
      <c r="S188" s="64">
        <f>IF(NOT((COUNTA($B188:$D188)+COUNTA($G188:$H188)+COUNTA($Q188))&gt;0),"",IF(AND($V188="Sub",N($U188)&gt;0),IF(ISNUMBER(INDEX($AR$5:$AR$1000,$U188-4)),DATE(YEAR(INDEX($AR$5:$AR$1000,$U188-4)),MONTH(INDEX($AR$5:$AR$1000,$U188-4)),1),IF(ISNUMBER(INDEX($AS$5:$AS$1000,$U188-4)),DATE(YEAR(INDEX($AS$5:$AS$1000,$U188-4)),MONTH(INDEX($AS$5:$AS$1000,$U188-4)),1),MesCiclo)),IF(ISNUMBER($AR188),DATE(YEAR($AR188),MONTH($AR188),1),IF(ISNUMBER($AS188),DATE(YEAR($AS188),MONTH($AS188),1),MesCiclo))))</f>
        <v/>
      </c>
      <c r="T188" s="62">
        <f>IF(OR($S188="",$S188&lt;&gt;MesCiclo,$V188&lt;&gt;"Macro"),"",COUNTIFS($S$5:$S188,MesCiclo,$V$5:$V188,"Macro"))</f>
        <v/>
      </c>
      <c r="U188" s="62">
        <f>IF($V188="","",IF($V188="Macro",ROW(),IFERROR(LOOKUP(2,1/($V$5:$V188="Macro"),ROW($V$5:$V188)),0)))</f>
        <v/>
      </c>
      <c r="V188" s="62">
        <f>IF(NOT((COUNTA($B188:$D188)+COUNTA($G188:$H188)+COUNTA($Q188))&gt;0),"",IF($B188="Subactividad","Sub","Macro"))</f>
        <v/>
      </c>
      <c r="W188" s="62">
        <f>IF($V188="Macro",COUNTIFS($U$5:$U$1000,ROW(),$V$5:$V$1000,"Sub"),"")</f>
        <v/>
      </c>
      <c r="X188" s="62">
        <f>IF($V188&lt;&gt;"Sub","",IF(AND(ISNUMBER($H188),N($H188)&gt;0),$H188,IFERROR(MAX(0,1-SUMIFS($H$5:$H$1000,$U$5:$U$1000,$U188,$V$5:$V$1000,"Sub"))/(COUNTIFS($U$5:$U$1000,$U188,$V$5:$V$1000,"Sub")-COUNTIFS($U$5:$U$1000,$U188,$V$5:$V$1000,"Sub",$H$5:$H$1000,"&gt;0")),0)))</f>
        <v/>
      </c>
      <c r="Y188" s="62">
        <f>IF($V188="","",IF($V188="Sub",N($X188)*IF(ISNUMBER($G188),1,MIN(1,MAX(0,IFERROR(LOOKUP(2,1/ISNUMBER($I188:$L188),$I188:$L188),0)))),IF(ISNUMBER($G188),1,IFERROR(LOOKUP(2,1/($I188:$L188&lt;&gt;""),$I188:$L188),0))))</f>
        <v/>
      </c>
      <c r="Z188" s="62">
        <f>IF($V188="","",IF(AND(ISNUMBER($G188),$G188&lt;=IF($S188=MesCiclo,InicioCiclo,$S188+MOD(2-WEEKDAY($S188),7))+6),1,IF(ISNUMBER($I188),$I188,0)))</f>
        <v/>
      </c>
      <c r="AA188" s="62">
        <f>IF($V188="","",IF(AND(ISNUMBER($G188),$G188&lt;=IF($S188=MesCiclo,InicioCiclo,$S188+MOD(2-WEEKDAY($S188),7))+13),1,IF(ISNUMBER($J188),$J188,$Z188)))</f>
        <v/>
      </c>
      <c r="AB188" s="62">
        <f>IF($V188="","",IF(AND(ISNUMBER($G188),$G188&lt;=IF($S188=MesCiclo,InicioCiclo,$S188+MOD(2-WEEKDAY($S188),7))+20),1,IF(ISNUMBER($K188),$K188,$AA188)))</f>
        <v/>
      </c>
      <c r="AC188" s="62">
        <f>IF($V188="","",IF(AND(ISNUMBER($G188),$G188&lt;=IF($S188=MesCiclo,InicioCiclo,$S188+MOD(2-WEEKDAY($S188),7))+27),1,IF(ISNUMBER($L188),$L188,$AB188)))</f>
        <v/>
      </c>
      <c r="AD188" s="62">
        <f>IF($V188&lt;&gt;"Sub","",N($X188)*IF(AND(ISNUMBER($G188),$G188&lt;=IF($S188=MesCiclo,InicioCiclo,$S188+MOD(2-WEEKDAY($S188),7))+6),1,MIN(1,MAX(0,IF(ISNUMBER(OFFSET($A$1,ROW()-1,8)),OFFSET($A$1,ROW()-1,8),0)))))</f>
        <v/>
      </c>
      <c r="AE188" s="62">
        <f>IF($V188&lt;&gt;"Sub","",N($X188)*IF(AND(ISNUMBER($G188),$G188&lt;=IF($S188=MesCiclo,InicioCiclo,$S188+MOD(2-WEEKDAY($S188),7))+13),1,MIN(1,MAX(0,IF(ISNUMBER(OFFSET($A$1,ROW()-1,9)),OFFSET($A$1,ROW()-1,9),IF(ISNUMBER(OFFSET($A$1,ROW()-1,8)),OFFSET($A$1,ROW()-1,8),0))))))</f>
        <v/>
      </c>
      <c r="AF188" s="62">
        <f>IF($V188&lt;&gt;"Sub","",N($X188)*IF(AND(ISNUMBER($G188),$G188&lt;=IF($S188=MesCiclo,InicioCiclo,$S188+MOD(2-WEEKDAY($S188),7))+20),1,MIN(1,MAX(0,IF(ISNUMBER(OFFSET($A$1,ROW()-1,10)),OFFSET($A$1,ROW()-1,10),IF(ISNUMBER(OFFSET($A$1,ROW()-1,9)),OFFSET($A$1,ROW()-1,9),IF(ISNUMBER(OFFSET($A$1,ROW()-1,8)),OFFSET($A$1,ROW()-1,8),0)))))))</f>
        <v/>
      </c>
      <c r="AG188" s="62">
        <f>IF($V188&lt;&gt;"Sub","",N($X188)*IF(AND(ISNUMBER($G188),$G188&lt;=IF($S188=MesCiclo,InicioCiclo,$S188+MOD(2-WEEKDAY($S188),7))+27),1,MIN(1,MAX(0,IF(ISNUMBER(OFFSET($A$1,ROW()-1,11)),OFFSET($A$1,ROW()-1,11),IF(ISNUMBER(OFFSET($A$1,ROW()-1,10)),OFFSET($A$1,ROW()-1,10),IF(ISNUMBER(OFFSET($A$1,ROW()-1,9)),OFFSET($A$1,ROW()-1,9),IF(ISNUMBER(OFFSET($A$1,ROW()-1,8)),OFFSET($A$1,ROW()-1,8),0))))))))</f>
        <v/>
      </c>
      <c r="AH188" s="62">
        <f>IF($V188="","",IF(AND(ISNUMBER($G188),$G188&lt;=IF($S188=MesCiclo,InicioCiclo,$S188+MOD(2-WEEKDAY($S188),7))+6),1,IF(N($W188)&gt;0,MIN(1,SUMIFS($AD$5:$AD$1000,$U$5:$U$1000,ROW(),$V$5:$V$1000,"Sub")),$Z188)))</f>
        <v/>
      </c>
      <c r="AI188" s="62">
        <f>IF($V188="","",IF(AND(ISNUMBER($G188),$G188&lt;=IF($S188=MesCiclo,InicioCiclo,$S188+MOD(2-WEEKDAY($S188),7))+13),1,IF(N($W188)&gt;0,MIN(1,SUMIFS($AE$5:$AE$1000,$U$5:$U$1000,ROW(),$V$5:$V$1000,"Sub")),$AA188)))</f>
        <v/>
      </c>
      <c r="AJ188" s="62">
        <f>IF($V188="","",IF(AND(ISNUMBER($G188),$G188&lt;=IF($S188=MesCiclo,InicioCiclo,$S188+MOD(2-WEEKDAY($S188),7))+20),1,IF(N($W188)&gt;0,MIN(1,SUMIFS($AF$5:$AF$1000,$U$5:$U$1000,ROW(),$V$5:$V$1000,"Sub")),$AB188)))</f>
        <v/>
      </c>
      <c r="AK188" s="62">
        <f>IF($V188="","",IF(AND(ISNUMBER($G188),$G188&lt;=IF($S188=MesCiclo,InicioCiclo,$S188+MOD(2-WEEKDAY($S188),7))+27),1,IF(N($W188)&gt;0,MIN(1,SUMIFS($AG$5:$AG$1000,$U$5:$U$1000,ROW(),$V$5:$V$1000,"Sub")),$AC188)))</f>
        <v/>
      </c>
      <c r="AL188" s="62">
        <f>IF($V188&lt;&gt;"Macro","",IF(COUNTIFS($S$5:$S$1000,$S188,$V$5:$V$1000,"Macro",$H$5:$H$1000,"&gt;0")=0,1/COUNTIFS($S$5:$S$1000,$S188,$V$5:$V$1000,"Macro"),IF(AND(ISNUMBER($H188),N($H188)&gt;0),$H188,SUMIFS($H$5:$H$1000,$S$5:$S$1000,$S188,$V$5:$V$1000,"Macro")/COUNTIFS($S$5:$S$1000,$S188,$V$5:$V$1000,"Macro",$H$5:$H$1000,"&gt;0"))/(COUNTIFS($S$5:$S$1000,$S188,$V$5:$V$1000,"Macro")*SUMIFS($H$5:$H$1000,$S$5:$S$1000,$S188,$V$5:$V$1000,"Macro")/COUNTIFS($S$5:$S$1000,$S188,$V$5:$V$1000,"Macro",$H$5:$H$1000,"&gt;0"))))</f>
        <v/>
      </c>
      <c r="AM188" s="62" t="n"/>
      <c r="AN188" s="62" t="n"/>
      <c r="AO188" s="62" t="n"/>
      <c r="AP188" s="62" t="n"/>
      <c r="AQ188" s="62">
        <f>IF(LEFT($C188,11)="[Jefatura] ",IFERROR(MATCH("Asistente Técnico de Riesgo|"&amp;MID($C188,12,500),rDname_ADM,0),0),"")</f>
        <v/>
      </c>
      <c r="AR188" s="62">
        <f>IF(N($AQ188)&gt;0,INDEX(rIni_ADM,$AQ188),IF(ISNUMBER($E188),$E188,""))</f>
        <v/>
      </c>
      <c r="AS188" s="62">
        <f>IF(N($AQ188)&gt;0,INDEX(rLim_ADM,$AQ188),IF(ISNUMBER($F188),$F188,""))</f>
        <v/>
      </c>
    </row>
    <row r="189">
      <c r="A189" s="56">
        <f>IF(NOT((COUNTA($B189:$D189)+COUNTA($G189:$H189)+COUNTA($Q189))&gt;0),"",IF($V189="Macro",COUNTIFS($V$5:$V189,"Macro",$S$5:$S189,$S189),IF(N($U189)=0,"?",COUNTIFS(INDEX($V$5:$V$1000,1):INDEX($V$5:$V$1000,$U189-4),"Macro",INDEX($S$5:$S$1000,1):INDEX($S$5:$S$1000,$U189-4),INDEX($S$5:$S$1000,$U189-4))&amp;"."&amp;COUNTIFS($U$5:$U189,$U189,$V$5:$V189,"Sub"))))</f>
        <v/>
      </c>
      <c r="B189" s="57" t="n"/>
      <c r="C189" s="58" t="n"/>
      <c r="D189" s="58" t="n"/>
      <c r="E189" s="59">
        <f>IF(N($AQ189)&gt;0,INDEX(rIni_ADM,$AQ189),"")</f>
        <v/>
      </c>
      <c r="F189" s="59">
        <f>IF(N($AQ189)&gt;0,INDEX(rLim_ADM,$AQ189),"")</f>
        <v/>
      </c>
      <c r="G189" s="59" t="n"/>
      <c r="H189" s="60" t="n"/>
      <c r="I189" s="60">
        <f>IF(N($W189)=0,"",IF(AND($S189=MesCiclo,1&gt;SemanaActual),"",MIN(1,SUMIFS(OFFSET($A$1,ROW(),29,1000-ROW(),1),OFFSET($A$1,ROW(),20,1000-ROW(),1),ROW(),OFFSET($A$1,ROW(),21,1000-ROW(),1),"Sub"))))</f>
        <v/>
      </c>
      <c r="J189" s="60">
        <f>IF(N($W189)=0,"",IF(AND($S189=MesCiclo,2&gt;SemanaActual),"",MIN(1,SUMIFS(OFFSET($A$1,ROW(),30,1000-ROW(),1),OFFSET($A$1,ROW(),20,1000-ROW(),1),ROW(),OFFSET($A$1,ROW(),21,1000-ROW(),1),"Sub"))))</f>
        <v/>
      </c>
      <c r="K189" s="60">
        <f>IF(N($W189)=0,"",IF(AND($S189=MesCiclo,3&gt;SemanaActual),"",MIN(1,SUMIFS(OFFSET($A$1,ROW(),31,1000-ROW(),1),OFFSET($A$1,ROW(),20,1000-ROW(),1),ROW(),OFFSET($A$1,ROW(),21,1000-ROW(),1),"Sub"))))</f>
        <v/>
      </c>
      <c r="L189" s="60">
        <f>IF(N($W189)=0,"",IF(AND($S189=MesCiclo,4&gt;SemanaActual),"",MIN(1,SUMIFS(OFFSET($A$1,ROW(),32,1000-ROW(),1),OFFSET($A$1,ROW(),20,1000-ROW(),1),ROW(),OFFSET($A$1,ROW(),21,1000-ROW(),1),"Sub"))))</f>
        <v/>
      </c>
      <c r="M189" s="61">
        <f>IF(OR(NOT((COUNTA($B189:$D189)+COUNTA($G189:$H189)+COUNTA($Q189))&gt;0),$V189="Sub"),"",IF(ISNUMBER($G189),1,IF(N($W189)&gt;0,MIN(1,SUMIFS($Y$5:$Y$1000,$U$5:$U$1000,ROW(),$V$5:$V$1000,"Sub")),$Y189)))</f>
        <v/>
      </c>
      <c r="N189" s="56">
        <f>IF(OR($M189="",$V189="Sub"),"",IF($M189&gt;=1,"Completado",IF($M189&gt;0,"En curso","Pendiente")))</f>
        <v/>
      </c>
      <c r="O189" s="56">
        <f>IF(OR(NOT((COUNTA($B189:$D189)+COUNTA($G189:$H189)+COUNTA($Q189))&gt;0),$V189="Sub"),"",IF(ISNUMBER($G189),IF(AND(ISNUMBER($AS189),$G189&gt;$AS189),"Cumplida con "&amp;($G189-$AS189)&amp;IF($G189-$AS189=1," día"," días")&amp;" de retraso","Cumplida"),IF(N($M189)&gt;=1,"Cumplida",IF(NOT(ISNUMBER($AS189)),"Sin fecha límite",IF($AS189&lt;FechaRef,"Vencida hace "&amp;(FechaRef-$AS189)&amp;IF(FechaRef-$AS189=1," día"," días"),IF($AS189=FechaRef,"Vence hoy",IF($AS189-FechaRef&lt;=DiasAlerta,"Vence en "&amp;($AS189-FechaRef)&amp;IF($AS189-FechaRef=1," día"," días"),"En plazo")))))))</f>
        <v/>
      </c>
      <c r="P189" s="62" t="n"/>
      <c r="Q189" s="58" t="n"/>
      <c r="R189" s="63">
        <f>IF(NOT((COUNTA($B189:$D189)+COUNTA($G189:$H189)+COUNTA($Q189))&gt;0),"",IF((IF($C189="","Falta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 OK","⚠ "&amp;LEFT(IF($C189="","Falta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",""),LEN(IF($C189="","Falta el nombre de la actividad"&amp;" · ","")&amp;IF(AND($V189="Sub",N($U189)=0),"Subactividad sin macroactividad arriba"&amp;" · ","")&amp;IF(AND($V189="Macro",$AR189=""),"Sin fecha de inicio"&amp;" · ","")&amp;IF(AND($V189="Macro",$AS189=""),"Sin fecha límite"&amp;" · ","")&amp;IF(AND(LEFT($C189,11)="[Jefatura] ",N($AQ189)=0),"No se encuentra en la hoja de la jefatura (elíjala de nuevo en la lista)"&amp;" · ","")&amp;IF(OR(AND($E189&lt;&gt;"",NOT(ISNUMBER($E189))),AND($F189&lt;&gt;"",NOT(ISNUMBER($F189))),AND($G189&lt;&gt;"",NOT(ISNUMBER($G189)))),"Fecha no válida"&amp;" · ","")&amp;IF(AND(ISNUMBER($AR189),ISNUMBER($AS189),$AR189&gt;$AS189),"Inicio posterior a fecha límite"&amp;" · ","")&amp;IF(AND($V189="Macro",$H189&lt;&gt;"",OR(NOT(ISNUMBER($H189)),$H189&lt;0,$H189&gt;1)),"Peso fuera de rango"&amp;" · ","")&amp;IF(AND($V189="Sub",$H189&lt;&gt;"",OR(NOT(ISNUMBER($H189)),$H189&lt;0,$H189&gt;1)),"% de la subactividad fuera de rango 0-100%"&amp;" · ","")&amp;IF(AND(N($W189)&gt;0,SUMIFS($H$5:$H$1000,$U$5:$U$1000,ROW(),$V$5:$V$1000,"Sub")&gt;1.0001),"Las subactividades suman más de 100%"&amp;" · ","")&amp;IF(AND(N($W189)&gt;0,OR(IF(ISNUMBER($I189),ROUND($I189,6)&lt;&gt;ROUND(MIN(1,SUMIFS($AD$5:$AD$1000,$U$5:$U$1000,ROW(),$V$5:$V$1000,"Sub")),6),FALSE),IF(ISNUMBER($J189),ROUND($J189,6)&lt;&gt;ROUND(MIN(1,SUMIFS($AE$5:$AE$1000,$U$5:$U$1000,ROW(),$V$5:$V$1000,"Sub")),6),FALSE),IF(ISNUMBER($K189),ROUND($K189,6)&lt;&gt;ROUND(MIN(1,SUMIFS($AF$5:$AF$1000,$U$5:$U$1000,ROW(),$V$5:$V$1000,"Sub")),6),FALSE),IF(ISNUMBER($L189),ROUND($L189,6)&lt;&gt;ROUND(MIN(1,SUMIFS($AG$5:$AG$1000,$U$5:$U$1000,ROW(),$V$5:$V$1000,"Sub")),6),FALSE))),"Con subactividades: no escriba en las semanas (se llenan solas)"&amp;" · ","")&amp;IF((COUNTIF($I189:$L189,"&gt;1")+COUNTIF($I189:$L189,"&lt;0")+SUMPRODUCT((LEN($I189:$L189)&gt;0)*NOT(ISNUMBER($I189:$L189))))&gt;0,"Avance fuera de rango 0-100%"&amp;" · ","")&amp;IF(OR(AND(ISNUMBER($J189),$J189&lt;N($I189)),AND(ISNUMBER($K189),$K189&lt;MAX($I189:$J189)),AND(ISNUMBER($L189),$L189&lt;MAX($I189:$K189))),"Avance semanal decreciente"&amp;" · ","")&amp;IF(AND(ISNUMBER($AS189),$AS189&lt;FechaRef,IF($V189="Sub",1,N($M189))&lt;1),"Vencida"&amp;" · ","")&amp;IF(AND(ObsObligatoria="Sí",ISNUMBER($AS189),$AS189&lt;FechaRef,IF($V189="Sub",1,N($M189))&lt;1,$Q189=""),"Vencida sin observación"&amp;" · ",""))-3)))</f>
        <v/>
      </c>
      <c r="S189" s="64">
        <f>IF(NOT((COUNTA($B189:$D189)+COUNTA($G189:$H189)+COUNTA($Q189))&gt;0),"",IF(AND($V189="Sub",N($U189)&gt;0),IF(ISNUMBER(INDEX($AR$5:$AR$1000,$U189-4)),DATE(YEAR(INDEX($AR$5:$AR$1000,$U189-4)),MONTH(INDEX($AR$5:$AR$1000,$U189-4)),1),IF(ISNUMBER(INDEX($AS$5:$AS$1000,$U189-4)),DATE(YEAR(INDEX($AS$5:$AS$1000,$U189-4)),MONTH(INDEX($AS$5:$AS$1000,$U189-4)),1),MesCiclo)),IF(ISNUMBER($AR189),DATE(YEAR($AR189),MONTH($AR189),1),IF(ISNUMBER($AS189),DATE(YEAR($AS189),MONTH($AS189),1),MesCiclo))))</f>
        <v/>
      </c>
      <c r="T189" s="62">
        <f>IF(OR($S189="",$S189&lt;&gt;MesCiclo,$V189&lt;&gt;"Macro"),"",COUNTIFS($S$5:$S189,MesCiclo,$V$5:$V189,"Macro"))</f>
        <v/>
      </c>
      <c r="U189" s="62">
        <f>IF($V189="","",IF($V189="Macro",ROW(),IFERROR(LOOKUP(2,1/($V$5:$V189="Macro"),ROW($V$5:$V189)),0)))</f>
        <v/>
      </c>
      <c r="V189" s="62">
        <f>IF(NOT((COUNTA($B189:$D189)+COUNTA($G189:$H189)+COUNTA($Q189))&gt;0),"",IF($B189="Subactividad","Sub","Macro"))</f>
        <v/>
      </c>
      <c r="W189" s="62">
        <f>IF($V189="Macro",COUNTIFS($U$5:$U$1000,ROW(),$V$5:$V$1000,"Sub"),"")</f>
        <v/>
      </c>
      <c r="X189" s="62">
        <f>IF($V189&lt;&gt;"Sub","",IF(AND(ISNUMBER($H189),N($H189)&gt;0),$H189,IFERROR(MAX(0,1-SUMIFS($H$5:$H$1000,$U$5:$U$1000,$U189,$V$5:$V$1000,"Sub"))/(COUNTIFS($U$5:$U$1000,$U189,$V$5:$V$1000,"Sub")-COUNTIFS($U$5:$U$1000,$U189,$V$5:$V$1000,"Sub",$H$5:$H$1000,"&gt;0")),0)))</f>
        <v/>
      </c>
      <c r="Y189" s="62">
        <f>IF($V189="","",IF($V189="Sub",N($X189)*IF(ISNUMBER($G189),1,MIN(1,MAX(0,IFERROR(LOOKUP(2,1/ISNUMBER($I189:$L189),$I189:$L189),0)))),IF(ISNUMBER($G189),1,IFERROR(LOOKUP(2,1/($I189:$L189&lt;&gt;""),$I189:$L189),0))))</f>
        <v/>
      </c>
      <c r="Z189" s="62">
        <f>IF($V189="","",IF(AND(ISNUMBER($G189),$G189&lt;=IF($S189=MesCiclo,InicioCiclo,$S189+MOD(2-WEEKDAY($S189),7))+6),1,IF(ISNUMBER($I189),$I189,0)))</f>
        <v/>
      </c>
      <c r="AA189" s="62">
        <f>IF($V189="","",IF(AND(ISNUMBER($G189),$G189&lt;=IF($S189=MesCiclo,InicioCiclo,$S189+MOD(2-WEEKDAY($S189),7))+13),1,IF(ISNUMBER($J189),$J189,$Z189)))</f>
        <v/>
      </c>
      <c r="AB189" s="62">
        <f>IF($V189="","",IF(AND(ISNUMBER($G189),$G189&lt;=IF($S189=MesCiclo,InicioCiclo,$S189+MOD(2-WEEKDAY($S189),7))+20),1,IF(ISNUMBER($K189),$K189,$AA189)))</f>
        <v/>
      </c>
      <c r="AC189" s="62">
        <f>IF($V189="","",IF(AND(ISNUMBER($G189),$G189&lt;=IF($S189=MesCiclo,InicioCiclo,$S189+MOD(2-WEEKDAY($S189),7))+27),1,IF(ISNUMBER($L189),$L189,$AB189)))</f>
        <v/>
      </c>
      <c r="AD189" s="62">
        <f>IF($V189&lt;&gt;"Sub","",N($X189)*IF(AND(ISNUMBER($G189),$G189&lt;=IF($S189=MesCiclo,InicioCiclo,$S189+MOD(2-WEEKDAY($S189),7))+6),1,MIN(1,MAX(0,IF(ISNUMBER(OFFSET($A$1,ROW()-1,8)),OFFSET($A$1,ROW()-1,8),0)))))</f>
        <v/>
      </c>
      <c r="AE189" s="62">
        <f>IF($V189&lt;&gt;"Sub","",N($X189)*IF(AND(ISNUMBER($G189),$G189&lt;=IF($S189=MesCiclo,InicioCiclo,$S189+MOD(2-WEEKDAY($S189),7))+13),1,MIN(1,MAX(0,IF(ISNUMBER(OFFSET($A$1,ROW()-1,9)),OFFSET($A$1,ROW()-1,9),IF(ISNUMBER(OFFSET($A$1,ROW()-1,8)),OFFSET($A$1,ROW()-1,8),0))))))</f>
        <v/>
      </c>
      <c r="AF189" s="62">
        <f>IF($V189&lt;&gt;"Sub","",N($X189)*IF(AND(ISNUMBER($G189),$G189&lt;=IF($S189=MesCiclo,InicioCiclo,$S189+MOD(2-WEEKDAY($S189),7))+20),1,MIN(1,MAX(0,IF(ISNUMBER(OFFSET($A$1,ROW()-1,10)),OFFSET($A$1,ROW()-1,10),IF(ISNUMBER(OFFSET($A$1,ROW()-1,9)),OFFSET($A$1,ROW()-1,9),IF(ISNUMBER(OFFSET($A$1,ROW()-1,8)),OFFSET($A$1,ROW()-1,8),0)))))))</f>
        <v/>
      </c>
      <c r="AG189" s="62">
        <f>IF($V189&lt;&gt;"Sub","",N($X189)*IF(AND(ISNUMBER($G189),$G189&lt;=IF($S189=MesCiclo,InicioCiclo,$S189+MOD(2-WEEKDAY($S189),7))+27),1,MIN(1,MAX(0,IF(ISNUMBER(OFFSET($A$1,ROW()-1,11)),OFFSET($A$1,ROW()-1,11),IF(ISNUMBER(OFFSET($A$1,ROW()-1,10)),OFFSET($A$1,ROW()-1,10),IF(ISNUMBER(OFFSET($A$1,ROW()-1,9)),OFFSET($A$1,ROW()-1,9),IF(ISNUMBER(OFFSET($A$1,ROW()-1,8)),OFFSET($A$1,ROW()-1,8),0))))))))</f>
        <v/>
      </c>
      <c r="AH189" s="62">
        <f>IF($V189="","",IF(AND(ISNUMBER($G189),$G189&lt;=IF($S189=MesCiclo,InicioCiclo,$S189+MOD(2-WEEKDAY($S189),7))+6),1,IF(N($W189)&gt;0,MIN(1,SUMIFS($AD$5:$AD$1000,$U$5:$U$1000,ROW(),$V$5:$V$1000,"Sub")),$Z189)))</f>
        <v/>
      </c>
      <c r="AI189" s="62">
        <f>IF($V189="","",IF(AND(ISNUMBER($G189),$G189&lt;=IF($S189=MesCiclo,InicioCiclo,$S189+MOD(2-WEEKDAY($S189),7))+13),1,IF(N($W189)&gt;0,MIN(1,SUMIFS($AE$5:$AE$1000,$U$5:$U$1000,ROW(),$V$5:$V$1000,"Sub")),$AA189)))</f>
        <v/>
      </c>
      <c r="AJ189" s="62">
        <f>IF($V189="","",IF(AND(ISNUMBER($G189),$G189&lt;=IF($S189=MesCiclo,InicioCiclo,$S189+MOD(2-WEEKDAY($S189),7))+20),1,IF(N($W189)&gt;0,MIN(1,SUMIFS($AF$5:$AF$1000,$U$5:$U$1000,ROW(),$V$5:$V$1000,"Sub")),$AB189)))</f>
        <v/>
      </c>
      <c r="AK189" s="62">
        <f>IF($V189="","",IF(AND(ISNUMBER($G189),$G189&lt;=IF($S189=MesCiclo,InicioCiclo,$S189+MOD(2-WEEKDAY($S189),7))+27),1,IF(N($W189)&gt;0,MIN(1,SUMIFS($AG$5:$AG$1000,$U$5:$U$1000,ROW(),$V$5:$V$1000,"Sub")),$AC189)))</f>
        <v/>
      </c>
      <c r="AL189" s="62">
        <f>IF($V189&lt;&gt;"Macro","",IF(COUNTIFS($S$5:$S$1000,$S189,$V$5:$V$1000,"Macro",$H$5:$H$1000,"&gt;0")=0,1/COUNTIFS($S$5:$S$1000,$S189,$V$5:$V$1000,"Macro"),IF(AND(ISNUMBER($H189),N($H189)&gt;0),$H189,SUMIFS($H$5:$H$1000,$S$5:$S$1000,$S189,$V$5:$V$1000,"Macro")/COUNTIFS($S$5:$S$1000,$S189,$V$5:$V$1000,"Macro",$H$5:$H$1000,"&gt;0"))/(COUNTIFS($S$5:$S$1000,$S189,$V$5:$V$1000,"Macro")*SUMIFS($H$5:$H$1000,$S$5:$S$1000,$S189,$V$5:$V$1000,"Macro")/COUNTIFS($S$5:$S$1000,$S189,$V$5:$V$1000,"Macro",$H$5:$H$1000,"&gt;0"))))</f>
        <v/>
      </c>
      <c r="AM189" s="62" t="n"/>
      <c r="AN189" s="62" t="n"/>
      <c r="AO189" s="62" t="n"/>
      <c r="AP189" s="62" t="n"/>
      <c r="AQ189" s="62">
        <f>IF(LEFT($C189,11)="[Jefatura] ",IFERROR(MATCH("Asistente Técnico de Riesgo|"&amp;MID($C189,12,500),rDname_ADM,0),0),"")</f>
        <v/>
      </c>
      <c r="AR189" s="62">
        <f>IF(N($AQ189)&gt;0,INDEX(rIni_ADM,$AQ189),IF(ISNUMBER($E189),$E189,""))</f>
        <v/>
      </c>
      <c r="AS189" s="62">
        <f>IF(N($AQ189)&gt;0,INDEX(rLim_ADM,$AQ189),IF(ISNUMBER($F189),$F189,""))</f>
        <v/>
      </c>
    </row>
    <row r="190">
      <c r="A190" s="56">
        <f>IF(NOT((COUNTA($B190:$D190)+COUNTA($G190:$H190)+COUNTA($Q190))&gt;0),"",IF($V190="Macro",COUNTIFS($V$5:$V190,"Macro",$S$5:$S190,$S190),IF(N($U190)=0,"?",COUNTIFS(INDEX($V$5:$V$1000,1):INDEX($V$5:$V$1000,$U190-4),"Macro",INDEX($S$5:$S$1000,1):INDEX($S$5:$S$1000,$U190-4),INDEX($S$5:$S$1000,$U190-4))&amp;"."&amp;COUNTIFS($U$5:$U190,$U190,$V$5:$V190,"Sub"))))</f>
        <v/>
      </c>
      <c r="B190" s="57" t="n"/>
      <c r="C190" s="58" t="n"/>
      <c r="D190" s="58" t="n"/>
      <c r="E190" s="59">
        <f>IF(N($AQ190)&gt;0,INDEX(rIni_ADM,$AQ190),"")</f>
        <v/>
      </c>
      <c r="F190" s="59">
        <f>IF(N($AQ190)&gt;0,INDEX(rLim_ADM,$AQ190),"")</f>
        <v/>
      </c>
      <c r="G190" s="59" t="n"/>
      <c r="H190" s="60" t="n"/>
      <c r="I190" s="60">
        <f>IF(N($W190)=0,"",IF(AND($S190=MesCiclo,1&gt;SemanaActual),"",MIN(1,SUMIFS(OFFSET($A$1,ROW(),29,1000-ROW(),1),OFFSET($A$1,ROW(),20,1000-ROW(),1),ROW(),OFFSET($A$1,ROW(),21,1000-ROW(),1),"Sub"))))</f>
        <v/>
      </c>
      <c r="J190" s="60">
        <f>IF(N($W190)=0,"",IF(AND($S190=MesCiclo,2&gt;SemanaActual),"",MIN(1,SUMIFS(OFFSET($A$1,ROW(),30,1000-ROW(),1),OFFSET($A$1,ROW(),20,1000-ROW(),1),ROW(),OFFSET($A$1,ROW(),21,1000-ROW(),1),"Sub"))))</f>
        <v/>
      </c>
      <c r="K190" s="60">
        <f>IF(N($W190)=0,"",IF(AND($S190=MesCiclo,3&gt;SemanaActual),"",MIN(1,SUMIFS(OFFSET($A$1,ROW(),31,1000-ROW(),1),OFFSET($A$1,ROW(),20,1000-ROW(),1),ROW(),OFFSET($A$1,ROW(),21,1000-ROW(),1),"Sub"))))</f>
        <v/>
      </c>
      <c r="L190" s="60">
        <f>IF(N($W190)=0,"",IF(AND($S190=MesCiclo,4&gt;SemanaActual),"",MIN(1,SUMIFS(OFFSET($A$1,ROW(),32,1000-ROW(),1),OFFSET($A$1,ROW(),20,1000-ROW(),1),ROW(),OFFSET($A$1,ROW(),21,1000-ROW(),1),"Sub"))))</f>
        <v/>
      </c>
      <c r="M190" s="61">
        <f>IF(OR(NOT((COUNTA($B190:$D190)+COUNTA($G190:$H190)+COUNTA($Q190))&gt;0),$V190="Sub"),"",IF(ISNUMBER($G190),1,IF(N($W190)&gt;0,MIN(1,SUMIFS($Y$5:$Y$1000,$U$5:$U$1000,ROW(),$V$5:$V$1000,"Sub")),$Y190)))</f>
        <v/>
      </c>
      <c r="N190" s="56">
        <f>IF(OR($M190="",$V190="Sub"),"",IF($M190&gt;=1,"Completado",IF($M190&gt;0,"En curso","Pendiente")))</f>
        <v/>
      </c>
      <c r="O190" s="56">
        <f>IF(OR(NOT((COUNTA($B190:$D190)+COUNTA($G190:$H190)+COUNTA($Q190))&gt;0),$V190="Sub"),"",IF(ISNUMBER($G190),IF(AND(ISNUMBER($AS190),$G190&gt;$AS190),"Cumplida con "&amp;($G190-$AS190)&amp;IF($G190-$AS190=1," día"," días")&amp;" de retraso","Cumplida"),IF(N($M190)&gt;=1,"Cumplida",IF(NOT(ISNUMBER($AS190)),"Sin fecha límite",IF($AS190&lt;FechaRef,"Vencida hace "&amp;(FechaRef-$AS190)&amp;IF(FechaRef-$AS190=1," día"," días"),IF($AS190=FechaRef,"Vence hoy",IF($AS190-FechaRef&lt;=DiasAlerta,"Vence en "&amp;($AS190-FechaRef)&amp;IF($AS190-FechaRef=1," día"," días"),"En plazo")))))))</f>
        <v/>
      </c>
      <c r="P190" s="62" t="n"/>
      <c r="Q190" s="58" t="n"/>
      <c r="R190" s="63">
        <f>IF(NOT((COUNTA($B190:$D190)+COUNTA($G190:$H190)+COUNTA($Q190))&gt;0),"",IF((IF($C190="","Falta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 OK","⚠ "&amp;LEFT(IF($C190="","Falta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",""),LEN(IF($C190="","Falta el nombre de la actividad"&amp;" · ","")&amp;IF(AND($V190="Sub",N($U190)=0),"Subactividad sin macroactividad arriba"&amp;" · ","")&amp;IF(AND($V190="Macro",$AR190=""),"Sin fecha de inicio"&amp;" · ","")&amp;IF(AND($V190="Macro",$AS190=""),"Sin fecha límite"&amp;" · ","")&amp;IF(AND(LEFT($C190,11)="[Jefatura] ",N($AQ190)=0),"No se encuentra en la hoja de la jefatura (elíjala de nuevo en la lista)"&amp;" · ","")&amp;IF(OR(AND($E190&lt;&gt;"",NOT(ISNUMBER($E190))),AND($F190&lt;&gt;"",NOT(ISNUMBER($F190))),AND($G190&lt;&gt;"",NOT(ISNUMBER($G190)))),"Fecha no válida"&amp;" · ","")&amp;IF(AND(ISNUMBER($AR190),ISNUMBER($AS190),$AR190&gt;$AS190),"Inicio posterior a fecha límite"&amp;" · ","")&amp;IF(AND($V190="Macro",$H190&lt;&gt;"",OR(NOT(ISNUMBER($H190)),$H190&lt;0,$H190&gt;1)),"Peso fuera de rango"&amp;" · ","")&amp;IF(AND($V190="Sub",$H190&lt;&gt;"",OR(NOT(ISNUMBER($H190)),$H190&lt;0,$H190&gt;1)),"% de la subactividad fuera de rango 0-100%"&amp;" · ","")&amp;IF(AND(N($W190)&gt;0,SUMIFS($H$5:$H$1000,$U$5:$U$1000,ROW(),$V$5:$V$1000,"Sub")&gt;1.0001),"Las subactividades suman más de 100%"&amp;" · ","")&amp;IF(AND(N($W190)&gt;0,OR(IF(ISNUMBER($I190),ROUND($I190,6)&lt;&gt;ROUND(MIN(1,SUMIFS($AD$5:$AD$1000,$U$5:$U$1000,ROW(),$V$5:$V$1000,"Sub")),6),FALSE),IF(ISNUMBER($J190),ROUND($J190,6)&lt;&gt;ROUND(MIN(1,SUMIFS($AE$5:$AE$1000,$U$5:$U$1000,ROW(),$V$5:$V$1000,"Sub")),6),FALSE),IF(ISNUMBER($K190),ROUND($K190,6)&lt;&gt;ROUND(MIN(1,SUMIFS($AF$5:$AF$1000,$U$5:$U$1000,ROW(),$V$5:$V$1000,"Sub")),6),FALSE),IF(ISNUMBER($L190),ROUND($L190,6)&lt;&gt;ROUND(MIN(1,SUMIFS($AG$5:$AG$1000,$U$5:$U$1000,ROW(),$V$5:$V$1000,"Sub")),6),FALSE))),"Con subactividades: no escriba en las semanas (se llenan solas)"&amp;" · ","")&amp;IF((COUNTIF($I190:$L190,"&gt;1")+COUNTIF($I190:$L190,"&lt;0")+SUMPRODUCT((LEN($I190:$L190)&gt;0)*NOT(ISNUMBER($I190:$L190))))&gt;0,"Avance fuera de rango 0-100%"&amp;" · ","")&amp;IF(OR(AND(ISNUMBER($J190),$J190&lt;N($I190)),AND(ISNUMBER($K190),$K190&lt;MAX($I190:$J190)),AND(ISNUMBER($L190),$L190&lt;MAX($I190:$K190))),"Avance semanal decreciente"&amp;" · ","")&amp;IF(AND(ISNUMBER($AS190),$AS190&lt;FechaRef,IF($V190="Sub",1,N($M190))&lt;1),"Vencida"&amp;" · ","")&amp;IF(AND(ObsObligatoria="Sí",ISNUMBER($AS190),$AS190&lt;FechaRef,IF($V190="Sub",1,N($M190))&lt;1,$Q190=""),"Vencida sin observación"&amp;" · ",""))-3)))</f>
        <v/>
      </c>
      <c r="S190" s="64">
        <f>IF(NOT((COUNTA($B190:$D190)+COUNTA($G190:$H190)+COUNTA($Q190))&gt;0),"",IF(AND($V190="Sub",N($U190)&gt;0),IF(ISNUMBER(INDEX($AR$5:$AR$1000,$U190-4)),DATE(YEAR(INDEX($AR$5:$AR$1000,$U190-4)),MONTH(INDEX($AR$5:$AR$1000,$U190-4)),1),IF(ISNUMBER(INDEX($AS$5:$AS$1000,$U190-4)),DATE(YEAR(INDEX($AS$5:$AS$1000,$U190-4)),MONTH(INDEX($AS$5:$AS$1000,$U190-4)),1),MesCiclo)),IF(ISNUMBER($AR190),DATE(YEAR($AR190),MONTH($AR190),1),IF(ISNUMBER($AS190),DATE(YEAR($AS190),MONTH($AS190),1),MesCiclo))))</f>
        <v/>
      </c>
      <c r="T190" s="62">
        <f>IF(OR($S190="",$S190&lt;&gt;MesCiclo,$V190&lt;&gt;"Macro"),"",COUNTIFS($S$5:$S190,MesCiclo,$V$5:$V190,"Macro"))</f>
        <v/>
      </c>
      <c r="U190" s="62">
        <f>IF($V190="","",IF($V190="Macro",ROW(),IFERROR(LOOKUP(2,1/($V$5:$V190="Macro"),ROW($V$5:$V190)),0)))</f>
        <v/>
      </c>
      <c r="V190" s="62">
        <f>IF(NOT((COUNTA($B190:$D190)+COUNTA($G190:$H190)+COUNTA($Q190))&gt;0),"",IF($B190="Subactividad","Sub","Macro"))</f>
        <v/>
      </c>
      <c r="W190" s="62">
        <f>IF($V190="Macro",COUNTIFS($U$5:$U$1000,ROW(),$V$5:$V$1000,"Sub"),"")</f>
        <v/>
      </c>
      <c r="X190" s="62">
        <f>IF($V190&lt;&gt;"Sub","",IF(AND(ISNUMBER($H190),N($H190)&gt;0),$H190,IFERROR(MAX(0,1-SUMIFS($H$5:$H$1000,$U$5:$U$1000,$U190,$V$5:$V$1000,"Sub"))/(COUNTIFS($U$5:$U$1000,$U190,$V$5:$V$1000,"Sub")-COUNTIFS($U$5:$U$1000,$U190,$V$5:$V$1000,"Sub",$H$5:$H$1000,"&gt;0")),0)))</f>
        <v/>
      </c>
      <c r="Y190" s="62">
        <f>IF($V190="","",IF($V190="Sub",N($X190)*IF(ISNUMBER($G190),1,MIN(1,MAX(0,IFERROR(LOOKUP(2,1/ISNUMBER($I190:$L190),$I190:$L190),0)))),IF(ISNUMBER($G190),1,IFERROR(LOOKUP(2,1/($I190:$L190&lt;&gt;""),$I190:$L190),0))))</f>
        <v/>
      </c>
      <c r="Z190" s="62">
        <f>IF($V190="","",IF(AND(ISNUMBER($G190),$G190&lt;=IF($S190=MesCiclo,InicioCiclo,$S190+MOD(2-WEEKDAY($S190),7))+6),1,IF(ISNUMBER($I190),$I190,0)))</f>
        <v/>
      </c>
      <c r="AA190" s="62">
        <f>IF($V190="","",IF(AND(ISNUMBER($G190),$G190&lt;=IF($S190=MesCiclo,InicioCiclo,$S190+MOD(2-WEEKDAY($S190),7))+13),1,IF(ISNUMBER($J190),$J190,$Z190)))</f>
        <v/>
      </c>
      <c r="AB190" s="62">
        <f>IF($V190="","",IF(AND(ISNUMBER($G190),$G190&lt;=IF($S190=MesCiclo,InicioCiclo,$S190+MOD(2-WEEKDAY($S190),7))+20),1,IF(ISNUMBER($K190),$K190,$AA190)))</f>
        <v/>
      </c>
      <c r="AC190" s="62">
        <f>IF($V190="","",IF(AND(ISNUMBER($G190),$G190&lt;=IF($S190=MesCiclo,InicioCiclo,$S190+MOD(2-WEEKDAY($S190),7))+27),1,IF(ISNUMBER($L190),$L190,$AB190)))</f>
        <v/>
      </c>
      <c r="AD190" s="62">
        <f>IF($V190&lt;&gt;"Sub","",N($X190)*IF(AND(ISNUMBER($G190),$G190&lt;=IF($S190=MesCiclo,InicioCiclo,$S190+MOD(2-WEEKDAY($S190),7))+6),1,MIN(1,MAX(0,IF(ISNUMBER(OFFSET($A$1,ROW()-1,8)),OFFSET($A$1,ROW()-1,8),0)))))</f>
        <v/>
      </c>
      <c r="AE190" s="62">
        <f>IF($V190&lt;&gt;"Sub","",N($X190)*IF(AND(ISNUMBER($G190),$G190&lt;=IF($S190=MesCiclo,InicioCiclo,$S190+MOD(2-WEEKDAY($S190),7))+13),1,MIN(1,MAX(0,IF(ISNUMBER(OFFSET($A$1,ROW()-1,9)),OFFSET($A$1,ROW()-1,9),IF(ISNUMBER(OFFSET($A$1,ROW()-1,8)),OFFSET($A$1,ROW()-1,8),0))))))</f>
        <v/>
      </c>
      <c r="AF190" s="62">
        <f>IF($V190&lt;&gt;"Sub","",N($X190)*IF(AND(ISNUMBER($G190),$G190&lt;=IF($S190=MesCiclo,InicioCiclo,$S190+MOD(2-WEEKDAY($S190),7))+20),1,MIN(1,MAX(0,IF(ISNUMBER(OFFSET($A$1,ROW()-1,10)),OFFSET($A$1,ROW()-1,10),IF(ISNUMBER(OFFSET($A$1,ROW()-1,9)),OFFSET($A$1,ROW()-1,9),IF(ISNUMBER(OFFSET($A$1,ROW()-1,8)),OFFSET($A$1,ROW()-1,8),0)))))))</f>
        <v/>
      </c>
      <c r="AG190" s="62">
        <f>IF($V190&lt;&gt;"Sub","",N($X190)*IF(AND(ISNUMBER($G190),$G190&lt;=IF($S190=MesCiclo,InicioCiclo,$S190+MOD(2-WEEKDAY($S190),7))+27),1,MIN(1,MAX(0,IF(ISNUMBER(OFFSET($A$1,ROW()-1,11)),OFFSET($A$1,ROW()-1,11),IF(ISNUMBER(OFFSET($A$1,ROW()-1,10)),OFFSET($A$1,ROW()-1,10),IF(ISNUMBER(OFFSET($A$1,ROW()-1,9)),OFFSET($A$1,ROW()-1,9),IF(ISNUMBER(OFFSET($A$1,ROW()-1,8)),OFFSET($A$1,ROW()-1,8),0))))))))</f>
        <v/>
      </c>
      <c r="AH190" s="62">
        <f>IF($V190="","",IF(AND(ISNUMBER($G190),$G190&lt;=IF($S190=MesCiclo,InicioCiclo,$S190+MOD(2-WEEKDAY($S190),7))+6),1,IF(N($W190)&gt;0,MIN(1,SUMIFS($AD$5:$AD$1000,$U$5:$U$1000,ROW(),$V$5:$V$1000,"Sub")),$Z190)))</f>
        <v/>
      </c>
      <c r="AI190" s="62">
        <f>IF($V190="","",IF(AND(ISNUMBER($G190),$G190&lt;=IF($S190=MesCiclo,InicioCiclo,$S190+MOD(2-WEEKDAY($S190),7))+13),1,IF(N($W190)&gt;0,MIN(1,SUMIFS($AE$5:$AE$1000,$U$5:$U$1000,ROW(),$V$5:$V$1000,"Sub")),$AA190)))</f>
        <v/>
      </c>
      <c r="AJ190" s="62">
        <f>IF($V190="","",IF(AND(ISNUMBER($G190),$G190&lt;=IF($S190=MesCiclo,InicioCiclo,$S190+MOD(2-WEEKDAY($S190),7))+20),1,IF(N($W190)&gt;0,MIN(1,SUMIFS($AF$5:$AF$1000,$U$5:$U$1000,ROW(),$V$5:$V$1000,"Sub")),$AB190)))</f>
        <v/>
      </c>
      <c r="AK190" s="62">
        <f>IF($V190="","",IF(AND(ISNUMBER($G190),$G190&lt;=IF($S190=MesCiclo,InicioCiclo,$S190+MOD(2-WEEKDAY($S190),7))+27),1,IF(N($W190)&gt;0,MIN(1,SUMIFS($AG$5:$AG$1000,$U$5:$U$1000,ROW(),$V$5:$V$1000,"Sub")),$AC190)))</f>
        <v/>
      </c>
      <c r="AL190" s="62">
        <f>IF($V190&lt;&gt;"Macro","",IF(COUNTIFS($S$5:$S$1000,$S190,$V$5:$V$1000,"Macro",$H$5:$H$1000,"&gt;0")=0,1/COUNTIFS($S$5:$S$1000,$S190,$V$5:$V$1000,"Macro"),IF(AND(ISNUMBER($H190),N($H190)&gt;0),$H190,SUMIFS($H$5:$H$1000,$S$5:$S$1000,$S190,$V$5:$V$1000,"Macro")/COUNTIFS($S$5:$S$1000,$S190,$V$5:$V$1000,"Macro",$H$5:$H$1000,"&gt;0"))/(COUNTIFS($S$5:$S$1000,$S190,$V$5:$V$1000,"Macro")*SUMIFS($H$5:$H$1000,$S$5:$S$1000,$S190,$V$5:$V$1000,"Macro")/COUNTIFS($S$5:$S$1000,$S190,$V$5:$V$1000,"Macro",$H$5:$H$1000,"&gt;0"))))</f>
        <v/>
      </c>
      <c r="AM190" s="62" t="n"/>
      <c r="AN190" s="62" t="n"/>
      <c r="AO190" s="62" t="n"/>
      <c r="AP190" s="62" t="n"/>
      <c r="AQ190" s="62">
        <f>IF(LEFT($C190,11)="[Jefatura] ",IFERROR(MATCH("Asistente Técnico de Riesgo|"&amp;MID($C190,12,500),rDname_ADM,0),0),"")</f>
        <v/>
      </c>
      <c r="AR190" s="62">
        <f>IF(N($AQ190)&gt;0,INDEX(rIni_ADM,$AQ190),IF(ISNUMBER($E190),$E190,""))</f>
        <v/>
      </c>
      <c r="AS190" s="62">
        <f>IF(N($AQ190)&gt;0,INDEX(rLim_ADM,$AQ190),IF(ISNUMBER($F190),$F190,""))</f>
        <v/>
      </c>
    </row>
    <row r="191">
      <c r="A191" s="56">
        <f>IF(NOT((COUNTA($B191:$D191)+COUNTA($G191:$H191)+COUNTA($Q191))&gt;0),"",IF($V191="Macro",COUNTIFS($V$5:$V191,"Macro",$S$5:$S191,$S191),IF(N($U191)=0,"?",COUNTIFS(INDEX($V$5:$V$1000,1):INDEX($V$5:$V$1000,$U191-4),"Macro",INDEX($S$5:$S$1000,1):INDEX($S$5:$S$1000,$U191-4),INDEX($S$5:$S$1000,$U191-4))&amp;"."&amp;COUNTIFS($U$5:$U191,$U191,$V$5:$V191,"Sub"))))</f>
        <v/>
      </c>
      <c r="B191" s="57" t="n"/>
      <c r="C191" s="58" t="n"/>
      <c r="D191" s="58" t="n"/>
      <c r="E191" s="59">
        <f>IF(N($AQ191)&gt;0,INDEX(rIni_ADM,$AQ191),"")</f>
        <v/>
      </c>
      <c r="F191" s="59">
        <f>IF(N($AQ191)&gt;0,INDEX(rLim_ADM,$AQ191),"")</f>
        <v/>
      </c>
      <c r="G191" s="59" t="n"/>
      <c r="H191" s="60" t="n"/>
      <c r="I191" s="60">
        <f>IF(N($W191)=0,"",IF(AND($S191=MesCiclo,1&gt;SemanaActual),"",MIN(1,SUMIFS(OFFSET($A$1,ROW(),29,1000-ROW(),1),OFFSET($A$1,ROW(),20,1000-ROW(),1),ROW(),OFFSET($A$1,ROW(),21,1000-ROW(),1),"Sub"))))</f>
        <v/>
      </c>
      <c r="J191" s="60">
        <f>IF(N($W191)=0,"",IF(AND($S191=MesCiclo,2&gt;SemanaActual),"",MIN(1,SUMIFS(OFFSET($A$1,ROW(),30,1000-ROW(),1),OFFSET($A$1,ROW(),20,1000-ROW(),1),ROW(),OFFSET($A$1,ROW(),21,1000-ROW(),1),"Sub"))))</f>
        <v/>
      </c>
      <c r="K191" s="60">
        <f>IF(N($W191)=0,"",IF(AND($S191=MesCiclo,3&gt;SemanaActual),"",MIN(1,SUMIFS(OFFSET($A$1,ROW(),31,1000-ROW(),1),OFFSET($A$1,ROW(),20,1000-ROW(),1),ROW(),OFFSET($A$1,ROW(),21,1000-ROW(),1),"Sub"))))</f>
        <v/>
      </c>
      <c r="L191" s="60">
        <f>IF(N($W191)=0,"",IF(AND($S191=MesCiclo,4&gt;SemanaActual),"",MIN(1,SUMIFS(OFFSET($A$1,ROW(),32,1000-ROW(),1),OFFSET($A$1,ROW(),20,1000-ROW(),1),ROW(),OFFSET($A$1,ROW(),21,1000-ROW(),1),"Sub"))))</f>
        <v/>
      </c>
      <c r="M191" s="61">
        <f>IF(OR(NOT((COUNTA($B191:$D191)+COUNTA($G191:$H191)+COUNTA($Q191))&gt;0),$V191="Sub"),"",IF(ISNUMBER($G191),1,IF(N($W191)&gt;0,MIN(1,SUMIFS($Y$5:$Y$1000,$U$5:$U$1000,ROW(),$V$5:$V$1000,"Sub")),$Y191)))</f>
        <v/>
      </c>
      <c r="N191" s="56">
        <f>IF(OR($M191="",$V191="Sub"),"",IF($M191&gt;=1,"Completado",IF($M191&gt;0,"En curso","Pendiente")))</f>
        <v/>
      </c>
      <c r="O191" s="56">
        <f>IF(OR(NOT((COUNTA($B191:$D191)+COUNTA($G191:$H191)+COUNTA($Q191))&gt;0),$V191="Sub"),"",IF(ISNUMBER($G191),IF(AND(ISNUMBER($AS191),$G191&gt;$AS191),"Cumplida con "&amp;($G191-$AS191)&amp;IF($G191-$AS191=1," día"," días")&amp;" de retraso","Cumplida"),IF(N($M191)&gt;=1,"Cumplida",IF(NOT(ISNUMBER($AS191)),"Sin fecha límite",IF($AS191&lt;FechaRef,"Vencida hace "&amp;(FechaRef-$AS191)&amp;IF(FechaRef-$AS191=1," día"," días"),IF($AS191=FechaRef,"Vence hoy",IF($AS191-FechaRef&lt;=DiasAlerta,"Vence en "&amp;($AS191-FechaRef)&amp;IF($AS191-FechaRef=1," día"," días"),"En plazo")))))))</f>
        <v/>
      </c>
      <c r="P191" s="62" t="n"/>
      <c r="Q191" s="58" t="n"/>
      <c r="R191" s="63">
        <f>IF(NOT((COUNTA($B191:$D191)+COUNTA($G191:$H191)+COUNTA($Q191))&gt;0),"",IF((IF($C191="","Falta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 OK","⚠ "&amp;LEFT(IF($C191="","Falta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",""),LEN(IF($C191="","Falta el nombre de la actividad"&amp;" · ","")&amp;IF(AND($V191="Sub",N($U191)=0),"Subactividad sin macroactividad arriba"&amp;" · ","")&amp;IF(AND($V191="Macro",$AR191=""),"Sin fecha de inicio"&amp;" · ","")&amp;IF(AND($V191="Macro",$AS191=""),"Sin fecha límite"&amp;" · ","")&amp;IF(AND(LEFT($C191,11)="[Jefatura] ",N($AQ191)=0),"No se encuentra en la hoja de la jefatura (elíjala de nuevo en la lista)"&amp;" · ","")&amp;IF(OR(AND($E191&lt;&gt;"",NOT(ISNUMBER($E191))),AND($F191&lt;&gt;"",NOT(ISNUMBER($F191))),AND($G191&lt;&gt;"",NOT(ISNUMBER($G191)))),"Fecha no válida"&amp;" · ","")&amp;IF(AND(ISNUMBER($AR191),ISNUMBER($AS191),$AR191&gt;$AS191),"Inicio posterior a fecha límite"&amp;" · ","")&amp;IF(AND($V191="Macro",$H191&lt;&gt;"",OR(NOT(ISNUMBER($H191)),$H191&lt;0,$H191&gt;1)),"Peso fuera de rango"&amp;" · ","")&amp;IF(AND($V191="Sub",$H191&lt;&gt;"",OR(NOT(ISNUMBER($H191)),$H191&lt;0,$H191&gt;1)),"% de la subactividad fuera de rango 0-100%"&amp;" · ","")&amp;IF(AND(N($W191)&gt;0,SUMIFS($H$5:$H$1000,$U$5:$U$1000,ROW(),$V$5:$V$1000,"Sub")&gt;1.0001),"Las subactividades suman más de 100%"&amp;" · ","")&amp;IF(AND(N($W191)&gt;0,OR(IF(ISNUMBER($I191),ROUND($I191,6)&lt;&gt;ROUND(MIN(1,SUMIFS($AD$5:$AD$1000,$U$5:$U$1000,ROW(),$V$5:$V$1000,"Sub")),6),FALSE),IF(ISNUMBER($J191),ROUND($J191,6)&lt;&gt;ROUND(MIN(1,SUMIFS($AE$5:$AE$1000,$U$5:$U$1000,ROW(),$V$5:$V$1000,"Sub")),6),FALSE),IF(ISNUMBER($K191),ROUND($K191,6)&lt;&gt;ROUND(MIN(1,SUMIFS($AF$5:$AF$1000,$U$5:$U$1000,ROW(),$V$5:$V$1000,"Sub")),6),FALSE),IF(ISNUMBER($L191),ROUND($L191,6)&lt;&gt;ROUND(MIN(1,SUMIFS($AG$5:$AG$1000,$U$5:$U$1000,ROW(),$V$5:$V$1000,"Sub")),6),FALSE))),"Con subactividades: no escriba en las semanas (se llenan solas)"&amp;" · ","")&amp;IF((COUNTIF($I191:$L191,"&gt;1")+COUNTIF($I191:$L191,"&lt;0")+SUMPRODUCT((LEN($I191:$L191)&gt;0)*NOT(ISNUMBER($I191:$L191))))&gt;0,"Avance fuera de rango 0-100%"&amp;" · ","")&amp;IF(OR(AND(ISNUMBER($J191),$J191&lt;N($I191)),AND(ISNUMBER($K191),$K191&lt;MAX($I191:$J191)),AND(ISNUMBER($L191),$L191&lt;MAX($I191:$K191))),"Avance semanal decreciente"&amp;" · ","")&amp;IF(AND(ISNUMBER($AS191),$AS191&lt;FechaRef,IF($V191="Sub",1,N($M191))&lt;1),"Vencida"&amp;" · ","")&amp;IF(AND(ObsObligatoria="Sí",ISNUMBER($AS191),$AS191&lt;FechaRef,IF($V191="Sub",1,N($M191))&lt;1,$Q191=""),"Vencida sin observación"&amp;" · ",""))-3)))</f>
        <v/>
      </c>
      <c r="S191" s="64">
        <f>IF(NOT((COUNTA($B191:$D191)+COUNTA($G191:$H191)+COUNTA($Q191))&gt;0),"",IF(AND($V191="Sub",N($U191)&gt;0),IF(ISNUMBER(INDEX($AR$5:$AR$1000,$U191-4)),DATE(YEAR(INDEX($AR$5:$AR$1000,$U191-4)),MONTH(INDEX($AR$5:$AR$1000,$U191-4)),1),IF(ISNUMBER(INDEX($AS$5:$AS$1000,$U191-4)),DATE(YEAR(INDEX($AS$5:$AS$1000,$U191-4)),MONTH(INDEX($AS$5:$AS$1000,$U191-4)),1),MesCiclo)),IF(ISNUMBER($AR191),DATE(YEAR($AR191),MONTH($AR191),1),IF(ISNUMBER($AS191),DATE(YEAR($AS191),MONTH($AS191),1),MesCiclo))))</f>
        <v/>
      </c>
      <c r="T191" s="62">
        <f>IF(OR($S191="",$S191&lt;&gt;MesCiclo,$V191&lt;&gt;"Macro"),"",COUNTIFS($S$5:$S191,MesCiclo,$V$5:$V191,"Macro"))</f>
        <v/>
      </c>
      <c r="U191" s="62">
        <f>IF($V191="","",IF($V191="Macro",ROW(),IFERROR(LOOKUP(2,1/($V$5:$V191="Macro"),ROW($V$5:$V191)),0)))</f>
        <v/>
      </c>
      <c r="V191" s="62">
        <f>IF(NOT((COUNTA($B191:$D191)+COUNTA($G191:$H191)+COUNTA($Q191))&gt;0),"",IF($B191="Subactividad","Sub","Macro"))</f>
        <v/>
      </c>
      <c r="W191" s="62">
        <f>IF($V191="Macro",COUNTIFS($U$5:$U$1000,ROW(),$V$5:$V$1000,"Sub"),"")</f>
        <v/>
      </c>
      <c r="X191" s="62">
        <f>IF($V191&lt;&gt;"Sub","",IF(AND(ISNUMBER($H191),N($H191)&gt;0),$H191,IFERROR(MAX(0,1-SUMIFS($H$5:$H$1000,$U$5:$U$1000,$U191,$V$5:$V$1000,"Sub"))/(COUNTIFS($U$5:$U$1000,$U191,$V$5:$V$1000,"Sub")-COUNTIFS($U$5:$U$1000,$U191,$V$5:$V$1000,"Sub",$H$5:$H$1000,"&gt;0")),0)))</f>
        <v/>
      </c>
      <c r="Y191" s="62">
        <f>IF($V191="","",IF($V191="Sub",N($X191)*IF(ISNUMBER($G191),1,MIN(1,MAX(0,IFERROR(LOOKUP(2,1/ISNUMBER($I191:$L191),$I191:$L191),0)))),IF(ISNUMBER($G191),1,IFERROR(LOOKUP(2,1/($I191:$L191&lt;&gt;""),$I191:$L191),0))))</f>
        <v/>
      </c>
      <c r="Z191" s="62">
        <f>IF($V191="","",IF(AND(ISNUMBER($G191),$G191&lt;=IF($S191=MesCiclo,InicioCiclo,$S191+MOD(2-WEEKDAY($S191),7))+6),1,IF(ISNUMBER($I191),$I191,0)))</f>
        <v/>
      </c>
      <c r="AA191" s="62">
        <f>IF($V191="","",IF(AND(ISNUMBER($G191),$G191&lt;=IF($S191=MesCiclo,InicioCiclo,$S191+MOD(2-WEEKDAY($S191),7))+13),1,IF(ISNUMBER($J191),$J191,$Z191)))</f>
        <v/>
      </c>
      <c r="AB191" s="62">
        <f>IF($V191="","",IF(AND(ISNUMBER($G191),$G191&lt;=IF($S191=MesCiclo,InicioCiclo,$S191+MOD(2-WEEKDAY($S191),7))+20),1,IF(ISNUMBER($K191),$K191,$AA191)))</f>
        <v/>
      </c>
      <c r="AC191" s="62">
        <f>IF($V191="","",IF(AND(ISNUMBER($G191),$G191&lt;=IF($S191=MesCiclo,InicioCiclo,$S191+MOD(2-WEEKDAY($S191),7))+27),1,IF(ISNUMBER($L191),$L191,$AB191)))</f>
        <v/>
      </c>
      <c r="AD191" s="62">
        <f>IF($V191&lt;&gt;"Sub","",N($X191)*IF(AND(ISNUMBER($G191),$G191&lt;=IF($S191=MesCiclo,InicioCiclo,$S191+MOD(2-WEEKDAY($S191),7))+6),1,MIN(1,MAX(0,IF(ISNUMBER(OFFSET($A$1,ROW()-1,8)),OFFSET($A$1,ROW()-1,8),0)))))</f>
        <v/>
      </c>
      <c r="AE191" s="62">
        <f>IF($V191&lt;&gt;"Sub","",N($X191)*IF(AND(ISNUMBER($G191),$G191&lt;=IF($S191=MesCiclo,InicioCiclo,$S191+MOD(2-WEEKDAY($S191),7))+13),1,MIN(1,MAX(0,IF(ISNUMBER(OFFSET($A$1,ROW()-1,9)),OFFSET($A$1,ROW()-1,9),IF(ISNUMBER(OFFSET($A$1,ROW()-1,8)),OFFSET($A$1,ROW()-1,8),0))))))</f>
        <v/>
      </c>
      <c r="AF191" s="62">
        <f>IF($V191&lt;&gt;"Sub","",N($X191)*IF(AND(ISNUMBER($G191),$G191&lt;=IF($S191=MesCiclo,InicioCiclo,$S191+MOD(2-WEEKDAY($S191),7))+20),1,MIN(1,MAX(0,IF(ISNUMBER(OFFSET($A$1,ROW()-1,10)),OFFSET($A$1,ROW()-1,10),IF(ISNUMBER(OFFSET($A$1,ROW()-1,9)),OFFSET($A$1,ROW()-1,9),IF(ISNUMBER(OFFSET($A$1,ROW()-1,8)),OFFSET($A$1,ROW()-1,8),0)))))))</f>
        <v/>
      </c>
      <c r="AG191" s="62">
        <f>IF($V191&lt;&gt;"Sub","",N($X191)*IF(AND(ISNUMBER($G191),$G191&lt;=IF($S191=MesCiclo,InicioCiclo,$S191+MOD(2-WEEKDAY($S191),7))+27),1,MIN(1,MAX(0,IF(ISNUMBER(OFFSET($A$1,ROW()-1,11)),OFFSET($A$1,ROW()-1,11),IF(ISNUMBER(OFFSET($A$1,ROW()-1,10)),OFFSET($A$1,ROW()-1,10),IF(ISNUMBER(OFFSET($A$1,ROW()-1,9)),OFFSET($A$1,ROW()-1,9),IF(ISNUMBER(OFFSET($A$1,ROW()-1,8)),OFFSET($A$1,ROW()-1,8),0))))))))</f>
        <v/>
      </c>
      <c r="AH191" s="62">
        <f>IF($V191="","",IF(AND(ISNUMBER($G191),$G191&lt;=IF($S191=MesCiclo,InicioCiclo,$S191+MOD(2-WEEKDAY($S191),7))+6),1,IF(N($W191)&gt;0,MIN(1,SUMIFS($AD$5:$AD$1000,$U$5:$U$1000,ROW(),$V$5:$V$1000,"Sub")),$Z191)))</f>
        <v/>
      </c>
      <c r="AI191" s="62">
        <f>IF($V191="","",IF(AND(ISNUMBER($G191),$G191&lt;=IF($S191=MesCiclo,InicioCiclo,$S191+MOD(2-WEEKDAY($S191),7))+13),1,IF(N($W191)&gt;0,MIN(1,SUMIFS($AE$5:$AE$1000,$U$5:$U$1000,ROW(),$V$5:$V$1000,"Sub")),$AA191)))</f>
        <v/>
      </c>
      <c r="AJ191" s="62">
        <f>IF($V191="","",IF(AND(ISNUMBER($G191),$G191&lt;=IF($S191=MesCiclo,InicioCiclo,$S191+MOD(2-WEEKDAY($S191),7))+20),1,IF(N($W191)&gt;0,MIN(1,SUMIFS($AF$5:$AF$1000,$U$5:$U$1000,ROW(),$V$5:$V$1000,"Sub")),$AB191)))</f>
        <v/>
      </c>
      <c r="AK191" s="62">
        <f>IF($V191="","",IF(AND(ISNUMBER($G191),$G191&lt;=IF($S191=MesCiclo,InicioCiclo,$S191+MOD(2-WEEKDAY($S191),7))+27),1,IF(N($W191)&gt;0,MIN(1,SUMIFS($AG$5:$AG$1000,$U$5:$U$1000,ROW(),$V$5:$V$1000,"Sub")),$AC191)))</f>
        <v/>
      </c>
      <c r="AL191" s="62">
        <f>IF($V191&lt;&gt;"Macro","",IF(COUNTIFS($S$5:$S$1000,$S191,$V$5:$V$1000,"Macro",$H$5:$H$1000,"&gt;0")=0,1/COUNTIFS($S$5:$S$1000,$S191,$V$5:$V$1000,"Macro"),IF(AND(ISNUMBER($H191),N($H191)&gt;0),$H191,SUMIFS($H$5:$H$1000,$S$5:$S$1000,$S191,$V$5:$V$1000,"Macro")/COUNTIFS($S$5:$S$1000,$S191,$V$5:$V$1000,"Macro",$H$5:$H$1000,"&gt;0"))/(COUNTIFS($S$5:$S$1000,$S191,$V$5:$V$1000,"Macro")*SUMIFS($H$5:$H$1000,$S$5:$S$1000,$S191,$V$5:$V$1000,"Macro")/COUNTIFS($S$5:$S$1000,$S191,$V$5:$V$1000,"Macro",$H$5:$H$1000,"&gt;0"))))</f>
        <v/>
      </c>
      <c r="AM191" s="62" t="n"/>
      <c r="AN191" s="62" t="n"/>
      <c r="AO191" s="62" t="n"/>
      <c r="AP191" s="62" t="n"/>
      <c r="AQ191" s="62">
        <f>IF(LEFT($C191,11)="[Jefatura] ",IFERROR(MATCH("Asistente Técnico de Riesgo|"&amp;MID($C191,12,500),rDname_ADM,0),0),"")</f>
        <v/>
      </c>
      <c r="AR191" s="62">
        <f>IF(N($AQ191)&gt;0,INDEX(rIni_ADM,$AQ191),IF(ISNUMBER($E191),$E191,""))</f>
        <v/>
      </c>
      <c r="AS191" s="62">
        <f>IF(N($AQ191)&gt;0,INDEX(rLim_ADM,$AQ191),IF(ISNUMBER($F191),$F191,""))</f>
        <v/>
      </c>
    </row>
    <row r="192">
      <c r="A192" s="56">
        <f>IF(NOT((COUNTA($B192:$D192)+COUNTA($G192:$H192)+COUNTA($Q192))&gt;0),"",IF($V192="Macro",COUNTIFS($V$5:$V192,"Macro",$S$5:$S192,$S192),IF(N($U192)=0,"?",COUNTIFS(INDEX($V$5:$V$1000,1):INDEX($V$5:$V$1000,$U192-4),"Macro",INDEX($S$5:$S$1000,1):INDEX($S$5:$S$1000,$U192-4),INDEX($S$5:$S$1000,$U192-4))&amp;"."&amp;COUNTIFS($U$5:$U192,$U192,$V$5:$V192,"Sub"))))</f>
        <v/>
      </c>
      <c r="B192" s="57" t="n"/>
      <c r="C192" s="58" t="n"/>
      <c r="D192" s="58" t="n"/>
      <c r="E192" s="59">
        <f>IF(N($AQ192)&gt;0,INDEX(rIni_ADM,$AQ192),"")</f>
        <v/>
      </c>
      <c r="F192" s="59">
        <f>IF(N($AQ192)&gt;0,INDEX(rLim_ADM,$AQ192),"")</f>
        <v/>
      </c>
      <c r="G192" s="59" t="n"/>
      <c r="H192" s="60" t="n"/>
      <c r="I192" s="60">
        <f>IF(N($W192)=0,"",IF(AND($S192=MesCiclo,1&gt;SemanaActual),"",MIN(1,SUMIFS(OFFSET($A$1,ROW(),29,1000-ROW(),1),OFFSET($A$1,ROW(),20,1000-ROW(),1),ROW(),OFFSET($A$1,ROW(),21,1000-ROW(),1),"Sub"))))</f>
        <v/>
      </c>
      <c r="J192" s="60">
        <f>IF(N($W192)=0,"",IF(AND($S192=MesCiclo,2&gt;SemanaActual),"",MIN(1,SUMIFS(OFFSET($A$1,ROW(),30,1000-ROW(),1),OFFSET($A$1,ROW(),20,1000-ROW(),1),ROW(),OFFSET($A$1,ROW(),21,1000-ROW(),1),"Sub"))))</f>
        <v/>
      </c>
      <c r="K192" s="60">
        <f>IF(N($W192)=0,"",IF(AND($S192=MesCiclo,3&gt;SemanaActual),"",MIN(1,SUMIFS(OFFSET($A$1,ROW(),31,1000-ROW(),1),OFFSET($A$1,ROW(),20,1000-ROW(),1),ROW(),OFFSET($A$1,ROW(),21,1000-ROW(),1),"Sub"))))</f>
        <v/>
      </c>
      <c r="L192" s="60">
        <f>IF(N($W192)=0,"",IF(AND($S192=MesCiclo,4&gt;SemanaActual),"",MIN(1,SUMIFS(OFFSET($A$1,ROW(),32,1000-ROW(),1),OFFSET($A$1,ROW(),20,1000-ROW(),1),ROW(),OFFSET($A$1,ROW(),21,1000-ROW(),1),"Sub"))))</f>
        <v/>
      </c>
      <c r="M192" s="61">
        <f>IF(OR(NOT((COUNTA($B192:$D192)+COUNTA($G192:$H192)+COUNTA($Q192))&gt;0),$V192="Sub"),"",IF(ISNUMBER($G192),1,IF(N($W192)&gt;0,MIN(1,SUMIFS($Y$5:$Y$1000,$U$5:$U$1000,ROW(),$V$5:$V$1000,"Sub")),$Y192)))</f>
        <v/>
      </c>
      <c r="N192" s="56">
        <f>IF(OR($M192="",$V192="Sub"),"",IF($M192&gt;=1,"Completado",IF($M192&gt;0,"En curso","Pendiente")))</f>
        <v/>
      </c>
      <c r="O192" s="56">
        <f>IF(OR(NOT((COUNTA($B192:$D192)+COUNTA($G192:$H192)+COUNTA($Q192))&gt;0),$V192="Sub"),"",IF(ISNUMBER($G192),IF(AND(ISNUMBER($AS192),$G192&gt;$AS192),"Cumplida con "&amp;($G192-$AS192)&amp;IF($G192-$AS192=1," día"," días")&amp;" de retraso","Cumplida"),IF(N($M192)&gt;=1,"Cumplida",IF(NOT(ISNUMBER($AS192)),"Sin fecha límite",IF($AS192&lt;FechaRef,"Vencida hace "&amp;(FechaRef-$AS192)&amp;IF(FechaRef-$AS192=1," día"," días"),IF($AS192=FechaRef,"Vence hoy",IF($AS192-FechaRef&lt;=DiasAlerta,"Vence en "&amp;($AS192-FechaRef)&amp;IF($AS192-FechaRef=1," día"," días"),"En plazo")))))))</f>
        <v/>
      </c>
      <c r="P192" s="62" t="n"/>
      <c r="Q192" s="58" t="n"/>
      <c r="R192" s="63">
        <f>IF(NOT((COUNTA($B192:$D192)+COUNTA($G192:$H192)+COUNTA($Q192))&gt;0),"",IF((IF($C192="","Falta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 OK","⚠ "&amp;LEFT(IF($C192="","Falta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",""),LEN(IF($C192="","Falta el nombre de la actividad"&amp;" · ","")&amp;IF(AND($V192="Sub",N($U192)=0),"Subactividad sin macroactividad arriba"&amp;" · ","")&amp;IF(AND($V192="Macro",$AR192=""),"Sin fecha de inicio"&amp;" · ","")&amp;IF(AND($V192="Macro",$AS192=""),"Sin fecha límite"&amp;" · ","")&amp;IF(AND(LEFT($C192,11)="[Jefatura] ",N($AQ192)=0),"No se encuentra en la hoja de la jefatura (elíjala de nuevo en la lista)"&amp;" · ","")&amp;IF(OR(AND($E192&lt;&gt;"",NOT(ISNUMBER($E192))),AND($F192&lt;&gt;"",NOT(ISNUMBER($F192))),AND($G192&lt;&gt;"",NOT(ISNUMBER($G192)))),"Fecha no válida"&amp;" · ","")&amp;IF(AND(ISNUMBER($AR192),ISNUMBER($AS192),$AR192&gt;$AS192),"Inicio posterior a fecha límite"&amp;" · ","")&amp;IF(AND($V192="Macro",$H192&lt;&gt;"",OR(NOT(ISNUMBER($H192)),$H192&lt;0,$H192&gt;1)),"Peso fuera de rango"&amp;" · ","")&amp;IF(AND($V192="Sub",$H192&lt;&gt;"",OR(NOT(ISNUMBER($H192)),$H192&lt;0,$H192&gt;1)),"% de la subactividad fuera de rango 0-100%"&amp;" · ","")&amp;IF(AND(N($W192)&gt;0,SUMIFS($H$5:$H$1000,$U$5:$U$1000,ROW(),$V$5:$V$1000,"Sub")&gt;1.0001),"Las subactividades suman más de 100%"&amp;" · ","")&amp;IF(AND(N($W192)&gt;0,OR(IF(ISNUMBER($I192),ROUND($I192,6)&lt;&gt;ROUND(MIN(1,SUMIFS($AD$5:$AD$1000,$U$5:$U$1000,ROW(),$V$5:$V$1000,"Sub")),6),FALSE),IF(ISNUMBER($J192),ROUND($J192,6)&lt;&gt;ROUND(MIN(1,SUMIFS($AE$5:$AE$1000,$U$5:$U$1000,ROW(),$V$5:$V$1000,"Sub")),6),FALSE),IF(ISNUMBER($K192),ROUND($K192,6)&lt;&gt;ROUND(MIN(1,SUMIFS($AF$5:$AF$1000,$U$5:$U$1000,ROW(),$V$5:$V$1000,"Sub")),6),FALSE),IF(ISNUMBER($L192),ROUND($L192,6)&lt;&gt;ROUND(MIN(1,SUMIFS($AG$5:$AG$1000,$U$5:$U$1000,ROW(),$V$5:$V$1000,"Sub")),6),FALSE))),"Con subactividades: no escriba en las semanas (se llenan solas)"&amp;" · ","")&amp;IF((COUNTIF($I192:$L192,"&gt;1")+COUNTIF($I192:$L192,"&lt;0")+SUMPRODUCT((LEN($I192:$L192)&gt;0)*NOT(ISNUMBER($I192:$L192))))&gt;0,"Avance fuera de rango 0-100%"&amp;" · ","")&amp;IF(OR(AND(ISNUMBER($J192),$J192&lt;N($I192)),AND(ISNUMBER($K192),$K192&lt;MAX($I192:$J192)),AND(ISNUMBER($L192),$L192&lt;MAX($I192:$K192))),"Avance semanal decreciente"&amp;" · ","")&amp;IF(AND(ISNUMBER($AS192),$AS192&lt;FechaRef,IF($V192="Sub",1,N($M192))&lt;1),"Vencida"&amp;" · ","")&amp;IF(AND(ObsObligatoria="Sí",ISNUMBER($AS192),$AS192&lt;FechaRef,IF($V192="Sub",1,N($M192))&lt;1,$Q192=""),"Vencida sin observación"&amp;" · ",""))-3)))</f>
        <v/>
      </c>
      <c r="S192" s="64">
        <f>IF(NOT((COUNTA($B192:$D192)+COUNTA($G192:$H192)+COUNTA($Q192))&gt;0),"",IF(AND($V192="Sub",N($U192)&gt;0),IF(ISNUMBER(INDEX($AR$5:$AR$1000,$U192-4)),DATE(YEAR(INDEX($AR$5:$AR$1000,$U192-4)),MONTH(INDEX($AR$5:$AR$1000,$U192-4)),1),IF(ISNUMBER(INDEX($AS$5:$AS$1000,$U192-4)),DATE(YEAR(INDEX($AS$5:$AS$1000,$U192-4)),MONTH(INDEX($AS$5:$AS$1000,$U192-4)),1),MesCiclo)),IF(ISNUMBER($AR192),DATE(YEAR($AR192),MONTH($AR192),1),IF(ISNUMBER($AS192),DATE(YEAR($AS192),MONTH($AS192),1),MesCiclo))))</f>
        <v/>
      </c>
      <c r="T192" s="62">
        <f>IF(OR($S192="",$S192&lt;&gt;MesCiclo,$V192&lt;&gt;"Macro"),"",COUNTIFS($S$5:$S192,MesCiclo,$V$5:$V192,"Macro"))</f>
        <v/>
      </c>
      <c r="U192" s="62">
        <f>IF($V192="","",IF($V192="Macro",ROW(),IFERROR(LOOKUP(2,1/($V$5:$V192="Macro"),ROW($V$5:$V192)),0)))</f>
        <v/>
      </c>
      <c r="V192" s="62">
        <f>IF(NOT((COUNTA($B192:$D192)+COUNTA($G192:$H192)+COUNTA($Q192))&gt;0),"",IF($B192="Subactividad","Sub","Macro"))</f>
        <v/>
      </c>
      <c r="W192" s="62">
        <f>IF($V192="Macro",COUNTIFS($U$5:$U$1000,ROW(),$V$5:$V$1000,"Sub"),"")</f>
        <v/>
      </c>
      <c r="X192" s="62">
        <f>IF($V192&lt;&gt;"Sub","",IF(AND(ISNUMBER($H192),N($H192)&gt;0),$H192,IFERROR(MAX(0,1-SUMIFS($H$5:$H$1000,$U$5:$U$1000,$U192,$V$5:$V$1000,"Sub"))/(COUNTIFS($U$5:$U$1000,$U192,$V$5:$V$1000,"Sub")-COUNTIFS($U$5:$U$1000,$U192,$V$5:$V$1000,"Sub",$H$5:$H$1000,"&gt;0")),0)))</f>
        <v/>
      </c>
      <c r="Y192" s="62">
        <f>IF($V192="","",IF($V192="Sub",N($X192)*IF(ISNUMBER($G192),1,MIN(1,MAX(0,IFERROR(LOOKUP(2,1/ISNUMBER($I192:$L192),$I192:$L192),0)))),IF(ISNUMBER($G192),1,IFERROR(LOOKUP(2,1/($I192:$L192&lt;&gt;""),$I192:$L192),0))))</f>
        <v/>
      </c>
      <c r="Z192" s="62">
        <f>IF($V192="","",IF(AND(ISNUMBER($G192),$G192&lt;=IF($S192=MesCiclo,InicioCiclo,$S192+MOD(2-WEEKDAY($S192),7))+6),1,IF(ISNUMBER($I192),$I192,0)))</f>
        <v/>
      </c>
      <c r="AA192" s="62">
        <f>IF($V192="","",IF(AND(ISNUMBER($G192),$G192&lt;=IF($S192=MesCiclo,InicioCiclo,$S192+MOD(2-WEEKDAY($S192),7))+13),1,IF(ISNUMBER($J192),$J192,$Z192)))</f>
        <v/>
      </c>
      <c r="AB192" s="62">
        <f>IF($V192="","",IF(AND(ISNUMBER($G192),$G192&lt;=IF($S192=MesCiclo,InicioCiclo,$S192+MOD(2-WEEKDAY($S192),7))+20),1,IF(ISNUMBER($K192),$K192,$AA192)))</f>
        <v/>
      </c>
      <c r="AC192" s="62">
        <f>IF($V192="","",IF(AND(ISNUMBER($G192),$G192&lt;=IF($S192=MesCiclo,InicioCiclo,$S192+MOD(2-WEEKDAY($S192),7))+27),1,IF(ISNUMBER($L192),$L192,$AB192)))</f>
        <v/>
      </c>
      <c r="AD192" s="62">
        <f>IF($V192&lt;&gt;"Sub","",N($X192)*IF(AND(ISNUMBER($G192),$G192&lt;=IF($S192=MesCiclo,InicioCiclo,$S192+MOD(2-WEEKDAY($S192),7))+6),1,MIN(1,MAX(0,IF(ISNUMBER(OFFSET($A$1,ROW()-1,8)),OFFSET($A$1,ROW()-1,8),0)))))</f>
        <v/>
      </c>
      <c r="AE192" s="62">
        <f>IF($V192&lt;&gt;"Sub","",N($X192)*IF(AND(ISNUMBER($G192),$G192&lt;=IF($S192=MesCiclo,InicioCiclo,$S192+MOD(2-WEEKDAY($S192),7))+13),1,MIN(1,MAX(0,IF(ISNUMBER(OFFSET($A$1,ROW()-1,9)),OFFSET($A$1,ROW()-1,9),IF(ISNUMBER(OFFSET($A$1,ROW()-1,8)),OFFSET($A$1,ROW()-1,8),0))))))</f>
        <v/>
      </c>
      <c r="AF192" s="62">
        <f>IF($V192&lt;&gt;"Sub","",N($X192)*IF(AND(ISNUMBER($G192),$G192&lt;=IF($S192=MesCiclo,InicioCiclo,$S192+MOD(2-WEEKDAY($S192),7))+20),1,MIN(1,MAX(0,IF(ISNUMBER(OFFSET($A$1,ROW()-1,10)),OFFSET($A$1,ROW()-1,10),IF(ISNUMBER(OFFSET($A$1,ROW()-1,9)),OFFSET($A$1,ROW()-1,9),IF(ISNUMBER(OFFSET($A$1,ROW()-1,8)),OFFSET($A$1,ROW()-1,8),0)))))))</f>
        <v/>
      </c>
      <c r="AG192" s="62">
        <f>IF($V192&lt;&gt;"Sub","",N($X192)*IF(AND(ISNUMBER($G192),$G192&lt;=IF($S192=MesCiclo,InicioCiclo,$S192+MOD(2-WEEKDAY($S192),7))+27),1,MIN(1,MAX(0,IF(ISNUMBER(OFFSET($A$1,ROW()-1,11)),OFFSET($A$1,ROW()-1,11),IF(ISNUMBER(OFFSET($A$1,ROW()-1,10)),OFFSET($A$1,ROW()-1,10),IF(ISNUMBER(OFFSET($A$1,ROW()-1,9)),OFFSET($A$1,ROW()-1,9),IF(ISNUMBER(OFFSET($A$1,ROW()-1,8)),OFFSET($A$1,ROW()-1,8),0))))))))</f>
        <v/>
      </c>
      <c r="AH192" s="62">
        <f>IF($V192="","",IF(AND(ISNUMBER($G192),$G192&lt;=IF($S192=MesCiclo,InicioCiclo,$S192+MOD(2-WEEKDAY($S192),7))+6),1,IF(N($W192)&gt;0,MIN(1,SUMIFS($AD$5:$AD$1000,$U$5:$U$1000,ROW(),$V$5:$V$1000,"Sub")),$Z192)))</f>
        <v/>
      </c>
      <c r="AI192" s="62">
        <f>IF($V192="","",IF(AND(ISNUMBER($G192),$G192&lt;=IF($S192=MesCiclo,InicioCiclo,$S192+MOD(2-WEEKDAY($S192),7))+13),1,IF(N($W192)&gt;0,MIN(1,SUMIFS($AE$5:$AE$1000,$U$5:$U$1000,ROW(),$V$5:$V$1000,"Sub")),$AA192)))</f>
        <v/>
      </c>
      <c r="AJ192" s="62">
        <f>IF($V192="","",IF(AND(ISNUMBER($G192),$G192&lt;=IF($S192=MesCiclo,InicioCiclo,$S192+MOD(2-WEEKDAY($S192),7))+20),1,IF(N($W192)&gt;0,MIN(1,SUMIFS($AF$5:$AF$1000,$U$5:$U$1000,ROW(),$V$5:$V$1000,"Sub")),$AB192)))</f>
        <v/>
      </c>
      <c r="AK192" s="62">
        <f>IF($V192="","",IF(AND(ISNUMBER($G192),$G192&lt;=IF($S192=MesCiclo,InicioCiclo,$S192+MOD(2-WEEKDAY($S192),7))+27),1,IF(N($W192)&gt;0,MIN(1,SUMIFS($AG$5:$AG$1000,$U$5:$U$1000,ROW(),$V$5:$V$1000,"Sub")),$AC192)))</f>
        <v/>
      </c>
      <c r="AL192" s="62">
        <f>IF($V192&lt;&gt;"Macro","",IF(COUNTIFS($S$5:$S$1000,$S192,$V$5:$V$1000,"Macro",$H$5:$H$1000,"&gt;0")=0,1/COUNTIFS($S$5:$S$1000,$S192,$V$5:$V$1000,"Macro"),IF(AND(ISNUMBER($H192),N($H192)&gt;0),$H192,SUMIFS($H$5:$H$1000,$S$5:$S$1000,$S192,$V$5:$V$1000,"Macro")/COUNTIFS($S$5:$S$1000,$S192,$V$5:$V$1000,"Macro",$H$5:$H$1000,"&gt;0"))/(COUNTIFS($S$5:$S$1000,$S192,$V$5:$V$1000,"Macro")*SUMIFS($H$5:$H$1000,$S$5:$S$1000,$S192,$V$5:$V$1000,"Macro")/COUNTIFS($S$5:$S$1000,$S192,$V$5:$V$1000,"Macro",$H$5:$H$1000,"&gt;0"))))</f>
        <v/>
      </c>
      <c r="AM192" s="62" t="n"/>
      <c r="AN192" s="62" t="n"/>
      <c r="AO192" s="62" t="n"/>
      <c r="AP192" s="62" t="n"/>
      <c r="AQ192" s="62">
        <f>IF(LEFT($C192,11)="[Jefatura] ",IFERROR(MATCH("Asistente Técnico de Riesgo|"&amp;MID($C192,12,500),rDname_ADM,0),0),"")</f>
        <v/>
      </c>
      <c r="AR192" s="62">
        <f>IF(N($AQ192)&gt;0,INDEX(rIni_ADM,$AQ192),IF(ISNUMBER($E192),$E192,""))</f>
        <v/>
      </c>
      <c r="AS192" s="62">
        <f>IF(N($AQ192)&gt;0,INDEX(rLim_ADM,$AQ192),IF(ISNUMBER($F192),$F192,""))</f>
        <v/>
      </c>
    </row>
    <row r="193">
      <c r="A193" s="56">
        <f>IF(NOT((COUNTA($B193:$D193)+COUNTA($G193:$H193)+COUNTA($Q193))&gt;0),"",IF($V193="Macro",COUNTIFS($V$5:$V193,"Macro",$S$5:$S193,$S193),IF(N($U193)=0,"?",COUNTIFS(INDEX($V$5:$V$1000,1):INDEX($V$5:$V$1000,$U193-4),"Macro",INDEX($S$5:$S$1000,1):INDEX($S$5:$S$1000,$U193-4),INDEX($S$5:$S$1000,$U193-4))&amp;"."&amp;COUNTIFS($U$5:$U193,$U193,$V$5:$V193,"Sub"))))</f>
        <v/>
      </c>
      <c r="B193" s="57" t="n"/>
      <c r="C193" s="58" t="n"/>
      <c r="D193" s="58" t="n"/>
      <c r="E193" s="59">
        <f>IF(N($AQ193)&gt;0,INDEX(rIni_ADM,$AQ193),"")</f>
        <v/>
      </c>
      <c r="F193" s="59">
        <f>IF(N($AQ193)&gt;0,INDEX(rLim_ADM,$AQ193),"")</f>
        <v/>
      </c>
      <c r="G193" s="59" t="n"/>
      <c r="H193" s="60" t="n"/>
      <c r="I193" s="60">
        <f>IF(N($W193)=0,"",IF(AND($S193=MesCiclo,1&gt;SemanaActual),"",MIN(1,SUMIFS(OFFSET($A$1,ROW(),29,1000-ROW(),1),OFFSET($A$1,ROW(),20,1000-ROW(),1),ROW(),OFFSET($A$1,ROW(),21,1000-ROW(),1),"Sub"))))</f>
        <v/>
      </c>
      <c r="J193" s="60">
        <f>IF(N($W193)=0,"",IF(AND($S193=MesCiclo,2&gt;SemanaActual),"",MIN(1,SUMIFS(OFFSET($A$1,ROW(),30,1000-ROW(),1),OFFSET($A$1,ROW(),20,1000-ROW(),1),ROW(),OFFSET($A$1,ROW(),21,1000-ROW(),1),"Sub"))))</f>
        <v/>
      </c>
      <c r="K193" s="60">
        <f>IF(N($W193)=0,"",IF(AND($S193=MesCiclo,3&gt;SemanaActual),"",MIN(1,SUMIFS(OFFSET($A$1,ROW(),31,1000-ROW(),1),OFFSET($A$1,ROW(),20,1000-ROW(),1),ROW(),OFFSET($A$1,ROW(),21,1000-ROW(),1),"Sub"))))</f>
        <v/>
      </c>
      <c r="L193" s="60">
        <f>IF(N($W193)=0,"",IF(AND($S193=MesCiclo,4&gt;SemanaActual),"",MIN(1,SUMIFS(OFFSET($A$1,ROW(),32,1000-ROW(),1),OFFSET($A$1,ROW(),20,1000-ROW(),1),ROW(),OFFSET($A$1,ROW(),21,1000-ROW(),1),"Sub"))))</f>
        <v/>
      </c>
      <c r="M193" s="61">
        <f>IF(OR(NOT((COUNTA($B193:$D193)+COUNTA($G193:$H193)+COUNTA($Q193))&gt;0),$V193="Sub"),"",IF(ISNUMBER($G193),1,IF(N($W193)&gt;0,MIN(1,SUMIFS($Y$5:$Y$1000,$U$5:$U$1000,ROW(),$V$5:$V$1000,"Sub")),$Y193)))</f>
        <v/>
      </c>
      <c r="N193" s="56">
        <f>IF(OR($M193="",$V193="Sub"),"",IF($M193&gt;=1,"Completado",IF($M193&gt;0,"En curso","Pendiente")))</f>
        <v/>
      </c>
      <c r="O193" s="56">
        <f>IF(OR(NOT((COUNTA($B193:$D193)+COUNTA($G193:$H193)+COUNTA($Q193))&gt;0),$V193="Sub"),"",IF(ISNUMBER($G193),IF(AND(ISNUMBER($AS193),$G193&gt;$AS193),"Cumplida con "&amp;($G193-$AS193)&amp;IF($G193-$AS193=1," día"," días")&amp;" de retraso","Cumplida"),IF(N($M193)&gt;=1,"Cumplida",IF(NOT(ISNUMBER($AS193)),"Sin fecha límite",IF($AS193&lt;FechaRef,"Vencida hace "&amp;(FechaRef-$AS193)&amp;IF(FechaRef-$AS193=1," día"," días"),IF($AS193=FechaRef,"Vence hoy",IF($AS193-FechaRef&lt;=DiasAlerta,"Vence en "&amp;($AS193-FechaRef)&amp;IF($AS193-FechaRef=1," día"," días"),"En plazo")))))))</f>
        <v/>
      </c>
      <c r="P193" s="62" t="n"/>
      <c r="Q193" s="58" t="n"/>
      <c r="R193" s="63">
        <f>IF(NOT((COUNTA($B193:$D193)+COUNTA($G193:$H193)+COUNTA($Q193))&gt;0),"",IF((IF($C193="","Falta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 OK","⚠ "&amp;LEFT(IF($C193="","Falta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",""),LEN(IF($C193="","Falta el nombre de la actividad"&amp;" · ","")&amp;IF(AND($V193="Sub",N($U193)=0),"Subactividad sin macroactividad arriba"&amp;" · ","")&amp;IF(AND($V193="Macro",$AR193=""),"Sin fecha de inicio"&amp;" · ","")&amp;IF(AND($V193="Macro",$AS193=""),"Sin fecha límite"&amp;" · ","")&amp;IF(AND(LEFT($C193,11)="[Jefatura] ",N($AQ193)=0),"No se encuentra en la hoja de la jefatura (elíjala de nuevo en la lista)"&amp;" · ","")&amp;IF(OR(AND($E193&lt;&gt;"",NOT(ISNUMBER($E193))),AND($F193&lt;&gt;"",NOT(ISNUMBER($F193))),AND($G193&lt;&gt;"",NOT(ISNUMBER($G193)))),"Fecha no válida"&amp;" · ","")&amp;IF(AND(ISNUMBER($AR193),ISNUMBER($AS193),$AR193&gt;$AS193),"Inicio posterior a fecha límite"&amp;" · ","")&amp;IF(AND($V193="Macro",$H193&lt;&gt;"",OR(NOT(ISNUMBER($H193)),$H193&lt;0,$H193&gt;1)),"Peso fuera de rango"&amp;" · ","")&amp;IF(AND($V193="Sub",$H193&lt;&gt;"",OR(NOT(ISNUMBER($H193)),$H193&lt;0,$H193&gt;1)),"% de la subactividad fuera de rango 0-100%"&amp;" · ","")&amp;IF(AND(N($W193)&gt;0,SUMIFS($H$5:$H$1000,$U$5:$U$1000,ROW(),$V$5:$V$1000,"Sub")&gt;1.0001),"Las subactividades suman más de 100%"&amp;" · ","")&amp;IF(AND(N($W193)&gt;0,OR(IF(ISNUMBER($I193),ROUND($I193,6)&lt;&gt;ROUND(MIN(1,SUMIFS($AD$5:$AD$1000,$U$5:$U$1000,ROW(),$V$5:$V$1000,"Sub")),6),FALSE),IF(ISNUMBER($J193),ROUND($J193,6)&lt;&gt;ROUND(MIN(1,SUMIFS($AE$5:$AE$1000,$U$5:$U$1000,ROW(),$V$5:$V$1000,"Sub")),6),FALSE),IF(ISNUMBER($K193),ROUND($K193,6)&lt;&gt;ROUND(MIN(1,SUMIFS($AF$5:$AF$1000,$U$5:$U$1000,ROW(),$V$5:$V$1000,"Sub")),6),FALSE),IF(ISNUMBER($L193),ROUND($L193,6)&lt;&gt;ROUND(MIN(1,SUMIFS($AG$5:$AG$1000,$U$5:$U$1000,ROW(),$V$5:$V$1000,"Sub")),6),FALSE))),"Con subactividades: no escriba en las semanas (se llenan solas)"&amp;" · ","")&amp;IF((COUNTIF($I193:$L193,"&gt;1")+COUNTIF($I193:$L193,"&lt;0")+SUMPRODUCT((LEN($I193:$L193)&gt;0)*NOT(ISNUMBER($I193:$L193))))&gt;0,"Avance fuera de rango 0-100%"&amp;" · ","")&amp;IF(OR(AND(ISNUMBER($J193),$J193&lt;N($I193)),AND(ISNUMBER($K193),$K193&lt;MAX($I193:$J193)),AND(ISNUMBER($L193),$L193&lt;MAX($I193:$K193))),"Avance semanal decreciente"&amp;" · ","")&amp;IF(AND(ISNUMBER($AS193),$AS193&lt;FechaRef,IF($V193="Sub",1,N($M193))&lt;1),"Vencida"&amp;" · ","")&amp;IF(AND(ObsObligatoria="Sí",ISNUMBER($AS193),$AS193&lt;FechaRef,IF($V193="Sub",1,N($M193))&lt;1,$Q193=""),"Vencida sin observación"&amp;" · ",""))-3)))</f>
        <v/>
      </c>
      <c r="S193" s="64">
        <f>IF(NOT((COUNTA($B193:$D193)+COUNTA($G193:$H193)+COUNTA($Q193))&gt;0),"",IF(AND($V193="Sub",N($U193)&gt;0),IF(ISNUMBER(INDEX($AR$5:$AR$1000,$U193-4)),DATE(YEAR(INDEX($AR$5:$AR$1000,$U193-4)),MONTH(INDEX($AR$5:$AR$1000,$U193-4)),1),IF(ISNUMBER(INDEX($AS$5:$AS$1000,$U193-4)),DATE(YEAR(INDEX($AS$5:$AS$1000,$U193-4)),MONTH(INDEX($AS$5:$AS$1000,$U193-4)),1),MesCiclo)),IF(ISNUMBER($AR193),DATE(YEAR($AR193),MONTH($AR193),1),IF(ISNUMBER($AS193),DATE(YEAR($AS193),MONTH($AS193),1),MesCiclo))))</f>
        <v/>
      </c>
      <c r="T193" s="62">
        <f>IF(OR($S193="",$S193&lt;&gt;MesCiclo,$V193&lt;&gt;"Macro"),"",COUNTIFS($S$5:$S193,MesCiclo,$V$5:$V193,"Macro"))</f>
        <v/>
      </c>
      <c r="U193" s="62">
        <f>IF($V193="","",IF($V193="Macro",ROW(),IFERROR(LOOKUP(2,1/($V$5:$V193="Macro"),ROW($V$5:$V193)),0)))</f>
        <v/>
      </c>
      <c r="V193" s="62">
        <f>IF(NOT((COUNTA($B193:$D193)+COUNTA($G193:$H193)+COUNTA($Q193))&gt;0),"",IF($B193="Subactividad","Sub","Macro"))</f>
        <v/>
      </c>
      <c r="W193" s="62">
        <f>IF($V193="Macro",COUNTIFS($U$5:$U$1000,ROW(),$V$5:$V$1000,"Sub"),"")</f>
        <v/>
      </c>
      <c r="X193" s="62">
        <f>IF($V193&lt;&gt;"Sub","",IF(AND(ISNUMBER($H193),N($H193)&gt;0),$H193,IFERROR(MAX(0,1-SUMIFS($H$5:$H$1000,$U$5:$U$1000,$U193,$V$5:$V$1000,"Sub"))/(COUNTIFS($U$5:$U$1000,$U193,$V$5:$V$1000,"Sub")-COUNTIFS($U$5:$U$1000,$U193,$V$5:$V$1000,"Sub",$H$5:$H$1000,"&gt;0")),0)))</f>
        <v/>
      </c>
      <c r="Y193" s="62">
        <f>IF($V193="","",IF($V193="Sub",N($X193)*IF(ISNUMBER($G193),1,MIN(1,MAX(0,IFERROR(LOOKUP(2,1/ISNUMBER($I193:$L193),$I193:$L193),0)))),IF(ISNUMBER($G193),1,IFERROR(LOOKUP(2,1/($I193:$L193&lt;&gt;""),$I193:$L193),0))))</f>
        <v/>
      </c>
      <c r="Z193" s="62">
        <f>IF($V193="","",IF(AND(ISNUMBER($G193),$G193&lt;=IF($S193=MesCiclo,InicioCiclo,$S193+MOD(2-WEEKDAY($S193),7))+6),1,IF(ISNUMBER($I193),$I193,0)))</f>
        <v/>
      </c>
      <c r="AA193" s="62">
        <f>IF($V193="","",IF(AND(ISNUMBER($G193),$G193&lt;=IF($S193=MesCiclo,InicioCiclo,$S193+MOD(2-WEEKDAY($S193),7))+13),1,IF(ISNUMBER($J193),$J193,$Z193)))</f>
        <v/>
      </c>
      <c r="AB193" s="62">
        <f>IF($V193="","",IF(AND(ISNUMBER($G193),$G193&lt;=IF($S193=MesCiclo,InicioCiclo,$S193+MOD(2-WEEKDAY($S193),7))+20),1,IF(ISNUMBER($K193),$K193,$AA193)))</f>
        <v/>
      </c>
      <c r="AC193" s="62">
        <f>IF($V193="","",IF(AND(ISNUMBER($G193),$G193&lt;=IF($S193=MesCiclo,InicioCiclo,$S193+MOD(2-WEEKDAY($S193),7))+27),1,IF(ISNUMBER($L193),$L193,$AB193)))</f>
        <v/>
      </c>
      <c r="AD193" s="62">
        <f>IF($V193&lt;&gt;"Sub","",N($X193)*IF(AND(ISNUMBER($G193),$G193&lt;=IF($S193=MesCiclo,InicioCiclo,$S193+MOD(2-WEEKDAY($S193),7))+6),1,MIN(1,MAX(0,IF(ISNUMBER(OFFSET($A$1,ROW()-1,8)),OFFSET($A$1,ROW()-1,8),0)))))</f>
        <v/>
      </c>
      <c r="AE193" s="62">
        <f>IF($V193&lt;&gt;"Sub","",N($X193)*IF(AND(ISNUMBER($G193),$G193&lt;=IF($S193=MesCiclo,InicioCiclo,$S193+MOD(2-WEEKDAY($S193),7))+13),1,MIN(1,MAX(0,IF(ISNUMBER(OFFSET($A$1,ROW()-1,9)),OFFSET($A$1,ROW()-1,9),IF(ISNUMBER(OFFSET($A$1,ROW()-1,8)),OFFSET($A$1,ROW()-1,8),0))))))</f>
        <v/>
      </c>
      <c r="AF193" s="62">
        <f>IF($V193&lt;&gt;"Sub","",N($X193)*IF(AND(ISNUMBER($G193),$G193&lt;=IF($S193=MesCiclo,InicioCiclo,$S193+MOD(2-WEEKDAY($S193),7))+20),1,MIN(1,MAX(0,IF(ISNUMBER(OFFSET($A$1,ROW()-1,10)),OFFSET($A$1,ROW()-1,10),IF(ISNUMBER(OFFSET($A$1,ROW()-1,9)),OFFSET($A$1,ROW()-1,9),IF(ISNUMBER(OFFSET($A$1,ROW()-1,8)),OFFSET($A$1,ROW()-1,8),0)))))))</f>
        <v/>
      </c>
      <c r="AG193" s="62">
        <f>IF($V193&lt;&gt;"Sub","",N($X193)*IF(AND(ISNUMBER($G193),$G193&lt;=IF($S193=MesCiclo,InicioCiclo,$S193+MOD(2-WEEKDAY($S193),7))+27),1,MIN(1,MAX(0,IF(ISNUMBER(OFFSET($A$1,ROW()-1,11)),OFFSET($A$1,ROW()-1,11),IF(ISNUMBER(OFFSET($A$1,ROW()-1,10)),OFFSET($A$1,ROW()-1,10),IF(ISNUMBER(OFFSET($A$1,ROW()-1,9)),OFFSET($A$1,ROW()-1,9),IF(ISNUMBER(OFFSET($A$1,ROW()-1,8)),OFFSET($A$1,ROW()-1,8),0))))))))</f>
        <v/>
      </c>
      <c r="AH193" s="62">
        <f>IF($V193="","",IF(AND(ISNUMBER($G193),$G193&lt;=IF($S193=MesCiclo,InicioCiclo,$S193+MOD(2-WEEKDAY($S193),7))+6),1,IF(N($W193)&gt;0,MIN(1,SUMIFS($AD$5:$AD$1000,$U$5:$U$1000,ROW(),$V$5:$V$1000,"Sub")),$Z193)))</f>
        <v/>
      </c>
      <c r="AI193" s="62">
        <f>IF($V193="","",IF(AND(ISNUMBER($G193),$G193&lt;=IF($S193=MesCiclo,InicioCiclo,$S193+MOD(2-WEEKDAY($S193),7))+13),1,IF(N($W193)&gt;0,MIN(1,SUMIFS($AE$5:$AE$1000,$U$5:$U$1000,ROW(),$V$5:$V$1000,"Sub")),$AA193)))</f>
        <v/>
      </c>
      <c r="AJ193" s="62">
        <f>IF($V193="","",IF(AND(ISNUMBER($G193),$G193&lt;=IF($S193=MesCiclo,InicioCiclo,$S193+MOD(2-WEEKDAY($S193),7))+20),1,IF(N($W193)&gt;0,MIN(1,SUMIFS($AF$5:$AF$1000,$U$5:$U$1000,ROW(),$V$5:$V$1000,"Sub")),$AB193)))</f>
        <v/>
      </c>
      <c r="AK193" s="62">
        <f>IF($V193="","",IF(AND(ISNUMBER($G193),$G193&lt;=IF($S193=MesCiclo,InicioCiclo,$S193+MOD(2-WEEKDAY($S193),7))+27),1,IF(N($W193)&gt;0,MIN(1,SUMIFS($AG$5:$AG$1000,$U$5:$U$1000,ROW(),$V$5:$V$1000,"Sub")),$AC193)))</f>
        <v/>
      </c>
      <c r="AL193" s="62">
        <f>IF($V193&lt;&gt;"Macro","",IF(COUNTIFS($S$5:$S$1000,$S193,$V$5:$V$1000,"Macro",$H$5:$H$1000,"&gt;0")=0,1/COUNTIFS($S$5:$S$1000,$S193,$V$5:$V$1000,"Macro"),IF(AND(ISNUMBER($H193),N($H193)&gt;0),$H193,SUMIFS($H$5:$H$1000,$S$5:$S$1000,$S193,$V$5:$V$1000,"Macro")/COUNTIFS($S$5:$S$1000,$S193,$V$5:$V$1000,"Macro",$H$5:$H$1000,"&gt;0"))/(COUNTIFS($S$5:$S$1000,$S193,$V$5:$V$1000,"Macro")*SUMIFS($H$5:$H$1000,$S$5:$S$1000,$S193,$V$5:$V$1000,"Macro")/COUNTIFS($S$5:$S$1000,$S193,$V$5:$V$1000,"Macro",$H$5:$H$1000,"&gt;0"))))</f>
        <v/>
      </c>
      <c r="AM193" s="62" t="n"/>
      <c r="AN193" s="62" t="n"/>
      <c r="AO193" s="62" t="n"/>
      <c r="AP193" s="62" t="n"/>
      <c r="AQ193" s="62">
        <f>IF(LEFT($C193,11)="[Jefatura] ",IFERROR(MATCH("Asistente Técnico de Riesgo|"&amp;MID($C193,12,500),rDname_ADM,0),0),"")</f>
        <v/>
      </c>
      <c r="AR193" s="62">
        <f>IF(N($AQ193)&gt;0,INDEX(rIni_ADM,$AQ193),IF(ISNUMBER($E193),$E193,""))</f>
        <v/>
      </c>
      <c r="AS193" s="62">
        <f>IF(N($AQ193)&gt;0,INDEX(rLim_ADM,$AQ193),IF(ISNUMBER($F193),$F193,""))</f>
        <v/>
      </c>
    </row>
    <row r="194">
      <c r="A194" s="56">
        <f>IF(NOT((COUNTA($B194:$D194)+COUNTA($G194:$H194)+COUNTA($Q194))&gt;0),"",IF($V194="Macro",COUNTIFS($V$5:$V194,"Macro",$S$5:$S194,$S194),IF(N($U194)=0,"?",COUNTIFS(INDEX($V$5:$V$1000,1):INDEX($V$5:$V$1000,$U194-4),"Macro",INDEX($S$5:$S$1000,1):INDEX($S$5:$S$1000,$U194-4),INDEX($S$5:$S$1000,$U194-4))&amp;"."&amp;COUNTIFS($U$5:$U194,$U194,$V$5:$V194,"Sub"))))</f>
        <v/>
      </c>
      <c r="B194" s="57" t="n"/>
      <c r="C194" s="58" t="n"/>
      <c r="D194" s="58" t="n"/>
      <c r="E194" s="59">
        <f>IF(N($AQ194)&gt;0,INDEX(rIni_ADM,$AQ194),"")</f>
        <v/>
      </c>
      <c r="F194" s="59">
        <f>IF(N($AQ194)&gt;0,INDEX(rLim_ADM,$AQ194),"")</f>
        <v/>
      </c>
      <c r="G194" s="59" t="n"/>
      <c r="H194" s="60" t="n"/>
      <c r="I194" s="60">
        <f>IF(N($W194)=0,"",IF(AND($S194=MesCiclo,1&gt;SemanaActual),"",MIN(1,SUMIFS(OFFSET($A$1,ROW(),29,1000-ROW(),1),OFFSET($A$1,ROW(),20,1000-ROW(),1),ROW(),OFFSET($A$1,ROW(),21,1000-ROW(),1),"Sub"))))</f>
        <v/>
      </c>
      <c r="J194" s="60">
        <f>IF(N($W194)=0,"",IF(AND($S194=MesCiclo,2&gt;SemanaActual),"",MIN(1,SUMIFS(OFFSET($A$1,ROW(),30,1000-ROW(),1),OFFSET($A$1,ROW(),20,1000-ROW(),1),ROW(),OFFSET($A$1,ROW(),21,1000-ROW(),1),"Sub"))))</f>
        <v/>
      </c>
      <c r="K194" s="60">
        <f>IF(N($W194)=0,"",IF(AND($S194=MesCiclo,3&gt;SemanaActual),"",MIN(1,SUMIFS(OFFSET($A$1,ROW(),31,1000-ROW(),1),OFFSET($A$1,ROW(),20,1000-ROW(),1),ROW(),OFFSET($A$1,ROW(),21,1000-ROW(),1),"Sub"))))</f>
        <v/>
      </c>
      <c r="L194" s="60">
        <f>IF(N($W194)=0,"",IF(AND($S194=MesCiclo,4&gt;SemanaActual),"",MIN(1,SUMIFS(OFFSET($A$1,ROW(),32,1000-ROW(),1),OFFSET($A$1,ROW(),20,1000-ROW(),1),ROW(),OFFSET($A$1,ROW(),21,1000-ROW(),1),"Sub"))))</f>
        <v/>
      </c>
      <c r="M194" s="61">
        <f>IF(OR(NOT((COUNTA($B194:$D194)+COUNTA($G194:$H194)+COUNTA($Q194))&gt;0),$V194="Sub"),"",IF(ISNUMBER($G194),1,IF(N($W194)&gt;0,MIN(1,SUMIFS($Y$5:$Y$1000,$U$5:$U$1000,ROW(),$V$5:$V$1000,"Sub")),$Y194)))</f>
        <v/>
      </c>
      <c r="N194" s="56">
        <f>IF(OR($M194="",$V194="Sub"),"",IF($M194&gt;=1,"Completado",IF($M194&gt;0,"En curso","Pendiente")))</f>
        <v/>
      </c>
      <c r="O194" s="56">
        <f>IF(OR(NOT((COUNTA($B194:$D194)+COUNTA($G194:$H194)+COUNTA($Q194))&gt;0),$V194="Sub"),"",IF(ISNUMBER($G194),IF(AND(ISNUMBER($AS194),$G194&gt;$AS194),"Cumplida con "&amp;($G194-$AS194)&amp;IF($G194-$AS194=1," día"," días")&amp;" de retraso","Cumplida"),IF(N($M194)&gt;=1,"Cumplida",IF(NOT(ISNUMBER($AS194)),"Sin fecha límite",IF($AS194&lt;FechaRef,"Vencida hace "&amp;(FechaRef-$AS194)&amp;IF(FechaRef-$AS194=1," día"," días"),IF($AS194=FechaRef,"Vence hoy",IF($AS194-FechaRef&lt;=DiasAlerta,"Vence en "&amp;($AS194-FechaRef)&amp;IF($AS194-FechaRef=1," día"," días"),"En plazo")))))))</f>
        <v/>
      </c>
      <c r="P194" s="62" t="n"/>
      <c r="Q194" s="58" t="n"/>
      <c r="R194" s="63">
        <f>IF(NOT((COUNTA($B194:$D194)+COUNTA($G194:$H194)+COUNTA($Q194))&gt;0),"",IF((IF($C194="","Falta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 OK","⚠ "&amp;LEFT(IF($C194="","Falta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",""),LEN(IF($C194="","Falta el nombre de la actividad"&amp;" · ","")&amp;IF(AND($V194="Sub",N($U194)=0),"Subactividad sin macroactividad arriba"&amp;" · ","")&amp;IF(AND($V194="Macro",$AR194=""),"Sin fecha de inicio"&amp;" · ","")&amp;IF(AND($V194="Macro",$AS194=""),"Sin fecha límite"&amp;" · ","")&amp;IF(AND(LEFT($C194,11)="[Jefatura] ",N($AQ194)=0),"No se encuentra en la hoja de la jefatura (elíjala de nuevo en la lista)"&amp;" · ","")&amp;IF(OR(AND($E194&lt;&gt;"",NOT(ISNUMBER($E194))),AND($F194&lt;&gt;"",NOT(ISNUMBER($F194))),AND($G194&lt;&gt;"",NOT(ISNUMBER($G194)))),"Fecha no válida"&amp;" · ","")&amp;IF(AND(ISNUMBER($AR194),ISNUMBER($AS194),$AR194&gt;$AS194),"Inicio posterior a fecha límite"&amp;" · ","")&amp;IF(AND($V194="Macro",$H194&lt;&gt;"",OR(NOT(ISNUMBER($H194)),$H194&lt;0,$H194&gt;1)),"Peso fuera de rango"&amp;" · ","")&amp;IF(AND($V194="Sub",$H194&lt;&gt;"",OR(NOT(ISNUMBER($H194)),$H194&lt;0,$H194&gt;1)),"% de la subactividad fuera de rango 0-100%"&amp;" · ","")&amp;IF(AND(N($W194)&gt;0,SUMIFS($H$5:$H$1000,$U$5:$U$1000,ROW(),$V$5:$V$1000,"Sub")&gt;1.0001),"Las subactividades suman más de 100%"&amp;" · ","")&amp;IF(AND(N($W194)&gt;0,OR(IF(ISNUMBER($I194),ROUND($I194,6)&lt;&gt;ROUND(MIN(1,SUMIFS($AD$5:$AD$1000,$U$5:$U$1000,ROW(),$V$5:$V$1000,"Sub")),6),FALSE),IF(ISNUMBER($J194),ROUND($J194,6)&lt;&gt;ROUND(MIN(1,SUMIFS($AE$5:$AE$1000,$U$5:$U$1000,ROW(),$V$5:$V$1000,"Sub")),6),FALSE),IF(ISNUMBER($K194),ROUND($K194,6)&lt;&gt;ROUND(MIN(1,SUMIFS($AF$5:$AF$1000,$U$5:$U$1000,ROW(),$V$5:$V$1000,"Sub")),6),FALSE),IF(ISNUMBER($L194),ROUND($L194,6)&lt;&gt;ROUND(MIN(1,SUMIFS($AG$5:$AG$1000,$U$5:$U$1000,ROW(),$V$5:$V$1000,"Sub")),6),FALSE))),"Con subactividades: no escriba en las semanas (se llenan solas)"&amp;" · ","")&amp;IF((COUNTIF($I194:$L194,"&gt;1")+COUNTIF($I194:$L194,"&lt;0")+SUMPRODUCT((LEN($I194:$L194)&gt;0)*NOT(ISNUMBER($I194:$L194))))&gt;0,"Avance fuera de rango 0-100%"&amp;" · ","")&amp;IF(OR(AND(ISNUMBER($J194),$J194&lt;N($I194)),AND(ISNUMBER($K194),$K194&lt;MAX($I194:$J194)),AND(ISNUMBER($L194),$L194&lt;MAX($I194:$K194))),"Avance semanal decreciente"&amp;" · ","")&amp;IF(AND(ISNUMBER($AS194),$AS194&lt;FechaRef,IF($V194="Sub",1,N($M194))&lt;1),"Vencida"&amp;" · ","")&amp;IF(AND(ObsObligatoria="Sí",ISNUMBER($AS194),$AS194&lt;FechaRef,IF($V194="Sub",1,N($M194))&lt;1,$Q194=""),"Vencida sin observación"&amp;" · ",""))-3)))</f>
        <v/>
      </c>
      <c r="S194" s="64">
        <f>IF(NOT((COUNTA($B194:$D194)+COUNTA($G194:$H194)+COUNTA($Q194))&gt;0),"",IF(AND($V194="Sub",N($U194)&gt;0),IF(ISNUMBER(INDEX($AR$5:$AR$1000,$U194-4)),DATE(YEAR(INDEX($AR$5:$AR$1000,$U194-4)),MONTH(INDEX($AR$5:$AR$1000,$U194-4)),1),IF(ISNUMBER(INDEX($AS$5:$AS$1000,$U194-4)),DATE(YEAR(INDEX($AS$5:$AS$1000,$U194-4)),MONTH(INDEX($AS$5:$AS$1000,$U194-4)),1),MesCiclo)),IF(ISNUMBER($AR194),DATE(YEAR($AR194),MONTH($AR194),1),IF(ISNUMBER($AS194),DATE(YEAR($AS194),MONTH($AS194),1),MesCiclo))))</f>
        <v/>
      </c>
      <c r="T194" s="62">
        <f>IF(OR($S194="",$S194&lt;&gt;MesCiclo,$V194&lt;&gt;"Macro"),"",COUNTIFS($S$5:$S194,MesCiclo,$V$5:$V194,"Macro"))</f>
        <v/>
      </c>
      <c r="U194" s="62">
        <f>IF($V194="","",IF($V194="Macro",ROW(),IFERROR(LOOKUP(2,1/($V$5:$V194="Macro"),ROW($V$5:$V194)),0)))</f>
        <v/>
      </c>
      <c r="V194" s="62">
        <f>IF(NOT((COUNTA($B194:$D194)+COUNTA($G194:$H194)+COUNTA($Q194))&gt;0),"",IF($B194="Subactividad","Sub","Macro"))</f>
        <v/>
      </c>
      <c r="W194" s="62">
        <f>IF($V194="Macro",COUNTIFS($U$5:$U$1000,ROW(),$V$5:$V$1000,"Sub"),"")</f>
        <v/>
      </c>
      <c r="X194" s="62">
        <f>IF($V194&lt;&gt;"Sub","",IF(AND(ISNUMBER($H194),N($H194)&gt;0),$H194,IFERROR(MAX(0,1-SUMIFS($H$5:$H$1000,$U$5:$U$1000,$U194,$V$5:$V$1000,"Sub"))/(COUNTIFS($U$5:$U$1000,$U194,$V$5:$V$1000,"Sub")-COUNTIFS($U$5:$U$1000,$U194,$V$5:$V$1000,"Sub",$H$5:$H$1000,"&gt;0")),0)))</f>
        <v/>
      </c>
      <c r="Y194" s="62">
        <f>IF($V194="","",IF($V194="Sub",N($X194)*IF(ISNUMBER($G194),1,MIN(1,MAX(0,IFERROR(LOOKUP(2,1/ISNUMBER($I194:$L194),$I194:$L194),0)))),IF(ISNUMBER($G194),1,IFERROR(LOOKUP(2,1/($I194:$L194&lt;&gt;""),$I194:$L194),0))))</f>
        <v/>
      </c>
      <c r="Z194" s="62">
        <f>IF($V194="","",IF(AND(ISNUMBER($G194),$G194&lt;=IF($S194=MesCiclo,InicioCiclo,$S194+MOD(2-WEEKDAY($S194),7))+6),1,IF(ISNUMBER($I194),$I194,0)))</f>
        <v/>
      </c>
      <c r="AA194" s="62">
        <f>IF($V194="","",IF(AND(ISNUMBER($G194),$G194&lt;=IF($S194=MesCiclo,InicioCiclo,$S194+MOD(2-WEEKDAY($S194),7))+13),1,IF(ISNUMBER($J194),$J194,$Z194)))</f>
        <v/>
      </c>
      <c r="AB194" s="62">
        <f>IF($V194="","",IF(AND(ISNUMBER($G194),$G194&lt;=IF($S194=MesCiclo,InicioCiclo,$S194+MOD(2-WEEKDAY($S194),7))+20),1,IF(ISNUMBER($K194),$K194,$AA194)))</f>
        <v/>
      </c>
      <c r="AC194" s="62">
        <f>IF($V194="","",IF(AND(ISNUMBER($G194),$G194&lt;=IF($S194=MesCiclo,InicioCiclo,$S194+MOD(2-WEEKDAY($S194),7))+27),1,IF(ISNUMBER($L194),$L194,$AB194)))</f>
        <v/>
      </c>
      <c r="AD194" s="62">
        <f>IF($V194&lt;&gt;"Sub","",N($X194)*IF(AND(ISNUMBER($G194),$G194&lt;=IF($S194=MesCiclo,InicioCiclo,$S194+MOD(2-WEEKDAY($S194),7))+6),1,MIN(1,MAX(0,IF(ISNUMBER(OFFSET($A$1,ROW()-1,8)),OFFSET($A$1,ROW()-1,8),0)))))</f>
        <v/>
      </c>
      <c r="AE194" s="62">
        <f>IF($V194&lt;&gt;"Sub","",N($X194)*IF(AND(ISNUMBER($G194),$G194&lt;=IF($S194=MesCiclo,InicioCiclo,$S194+MOD(2-WEEKDAY($S194),7))+13),1,MIN(1,MAX(0,IF(ISNUMBER(OFFSET($A$1,ROW()-1,9)),OFFSET($A$1,ROW()-1,9),IF(ISNUMBER(OFFSET($A$1,ROW()-1,8)),OFFSET($A$1,ROW()-1,8),0))))))</f>
        <v/>
      </c>
      <c r="AF194" s="62">
        <f>IF($V194&lt;&gt;"Sub","",N($X194)*IF(AND(ISNUMBER($G194),$G194&lt;=IF($S194=MesCiclo,InicioCiclo,$S194+MOD(2-WEEKDAY($S194),7))+20),1,MIN(1,MAX(0,IF(ISNUMBER(OFFSET($A$1,ROW()-1,10)),OFFSET($A$1,ROW()-1,10),IF(ISNUMBER(OFFSET($A$1,ROW()-1,9)),OFFSET($A$1,ROW()-1,9),IF(ISNUMBER(OFFSET($A$1,ROW()-1,8)),OFFSET($A$1,ROW()-1,8),0)))))))</f>
        <v/>
      </c>
      <c r="AG194" s="62">
        <f>IF($V194&lt;&gt;"Sub","",N($X194)*IF(AND(ISNUMBER($G194),$G194&lt;=IF($S194=MesCiclo,InicioCiclo,$S194+MOD(2-WEEKDAY($S194),7))+27),1,MIN(1,MAX(0,IF(ISNUMBER(OFFSET($A$1,ROW()-1,11)),OFFSET($A$1,ROW()-1,11),IF(ISNUMBER(OFFSET($A$1,ROW()-1,10)),OFFSET($A$1,ROW()-1,10),IF(ISNUMBER(OFFSET($A$1,ROW()-1,9)),OFFSET($A$1,ROW()-1,9),IF(ISNUMBER(OFFSET($A$1,ROW()-1,8)),OFFSET($A$1,ROW()-1,8),0))))))))</f>
        <v/>
      </c>
      <c r="AH194" s="62">
        <f>IF($V194="","",IF(AND(ISNUMBER($G194),$G194&lt;=IF($S194=MesCiclo,InicioCiclo,$S194+MOD(2-WEEKDAY($S194),7))+6),1,IF(N($W194)&gt;0,MIN(1,SUMIFS($AD$5:$AD$1000,$U$5:$U$1000,ROW(),$V$5:$V$1000,"Sub")),$Z194)))</f>
        <v/>
      </c>
      <c r="AI194" s="62">
        <f>IF($V194="","",IF(AND(ISNUMBER($G194),$G194&lt;=IF($S194=MesCiclo,InicioCiclo,$S194+MOD(2-WEEKDAY($S194),7))+13),1,IF(N($W194)&gt;0,MIN(1,SUMIFS($AE$5:$AE$1000,$U$5:$U$1000,ROW(),$V$5:$V$1000,"Sub")),$AA194)))</f>
        <v/>
      </c>
      <c r="AJ194" s="62">
        <f>IF($V194="","",IF(AND(ISNUMBER($G194),$G194&lt;=IF($S194=MesCiclo,InicioCiclo,$S194+MOD(2-WEEKDAY($S194),7))+20),1,IF(N($W194)&gt;0,MIN(1,SUMIFS($AF$5:$AF$1000,$U$5:$U$1000,ROW(),$V$5:$V$1000,"Sub")),$AB194)))</f>
        <v/>
      </c>
      <c r="AK194" s="62">
        <f>IF($V194="","",IF(AND(ISNUMBER($G194),$G194&lt;=IF($S194=MesCiclo,InicioCiclo,$S194+MOD(2-WEEKDAY($S194),7))+27),1,IF(N($W194)&gt;0,MIN(1,SUMIFS($AG$5:$AG$1000,$U$5:$U$1000,ROW(),$V$5:$V$1000,"Sub")),$AC194)))</f>
        <v/>
      </c>
      <c r="AL194" s="62">
        <f>IF($V194&lt;&gt;"Macro","",IF(COUNTIFS($S$5:$S$1000,$S194,$V$5:$V$1000,"Macro",$H$5:$H$1000,"&gt;0")=0,1/COUNTIFS($S$5:$S$1000,$S194,$V$5:$V$1000,"Macro"),IF(AND(ISNUMBER($H194),N($H194)&gt;0),$H194,SUMIFS($H$5:$H$1000,$S$5:$S$1000,$S194,$V$5:$V$1000,"Macro")/COUNTIFS($S$5:$S$1000,$S194,$V$5:$V$1000,"Macro",$H$5:$H$1000,"&gt;0"))/(COUNTIFS($S$5:$S$1000,$S194,$V$5:$V$1000,"Macro")*SUMIFS($H$5:$H$1000,$S$5:$S$1000,$S194,$V$5:$V$1000,"Macro")/COUNTIFS($S$5:$S$1000,$S194,$V$5:$V$1000,"Macro",$H$5:$H$1000,"&gt;0"))))</f>
        <v/>
      </c>
      <c r="AM194" s="62" t="n"/>
      <c r="AN194" s="62" t="n"/>
      <c r="AO194" s="62" t="n"/>
      <c r="AP194" s="62" t="n"/>
      <c r="AQ194" s="62">
        <f>IF(LEFT($C194,11)="[Jefatura] ",IFERROR(MATCH("Asistente Técnico de Riesgo|"&amp;MID($C194,12,500),rDname_ADM,0),0),"")</f>
        <v/>
      </c>
      <c r="AR194" s="62">
        <f>IF(N($AQ194)&gt;0,INDEX(rIni_ADM,$AQ194),IF(ISNUMBER($E194),$E194,""))</f>
        <v/>
      </c>
      <c r="AS194" s="62">
        <f>IF(N($AQ194)&gt;0,INDEX(rLim_ADM,$AQ194),IF(ISNUMBER($F194),$F194,""))</f>
        <v/>
      </c>
    </row>
    <row r="195">
      <c r="A195" s="56">
        <f>IF(NOT((COUNTA($B195:$D195)+COUNTA($G195:$H195)+COUNTA($Q195))&gt;0),"",IF($V195="Macro",COUNTIFS($V$5:$V195,"Macro",$S$5:$S195,$S195),IF(N($U195)=0,"?",COUNTIFS(INDEX($V$5:$V$1000,1):INDEX($V$5:$V$1000,$U195-4),"Macro",INDEX($S$5:$S$1000,1):INDEX($S$5:$S$1000,$U195-4),INDEX($S$5:$S$1000,$U195-4))&amp;"."&amp;COUNTIFS($U$5:$U195,$U195,$V$5:$V195,"Sub"))))</f>
        <v/>
      </c>
      <c r="B195" s="57" t="n"/>
      <c r="C195" s="58" t="n"/>
      <c r="D195" s="58" t="n"/>
      <c r="E195" s="59">
        <f>IF(N($AQ195)&gt;0,INDEX(rIni_ADM,$AQ195),"")</f>
        <v/>
      </c>
      <c r="F195" s="59">
        <f>IF(N($AQ195)&gt;0,INDEX(rLim_ADM,$AQ195),"")</f>
        <v/>
      </c>
      <c r="G195" s="59" t="n"/>
      <c r="H195" s="60" t="n"/>
      <c r="I195" s="60">
        <f>IF(N($W195)=0,"",IF(AND($S195=MesCiclo,1&gt;SemanaActual),"",MIN(1,SUMIFS(OFFSET($A$1,ROW(),29,1000-ROW(),1),OFFSET($A$1,ROW(),20,1000-ROW(),1),ROW(),OFFSET($A$1,ROW(),21,1000-ROW(),1),"Sub"))))</f>
        <v/>
      </c>
      <c r="J195" s="60">
        <f>IF(N($W195)=0,"",IF(AND($S195=MesCiclo,2&gt;SemanaActual),"",MIN(1,SUMIFS(OFFSET($A$1,ROW(),30,1000-ROW(),1),OFFSET($A$1,ROW(),20,1000-ROW(),1),ROW(),OFFSET($A$1,ROW(),21,1000-ROW(),1),"Sub"))))</f>
        <v/>
      </c>
      <c r="K195" s="60">
        <f>IF(N($W195)=0,"",IF(AND($S195=MesCiclo,3&gt;SemanaActual),"",MIN(1,SUMIFS(OFFSET($A$1,ROW(),31,1000-ROW(),1),OFFSET($A$1,ROW(),20,1000-ROW(),1),ROW(),OFFSET($A$1,ROW(),21,1000-ROW(),1),"Sub"))))</f>
        <v/>
      </c>
      <c r="L195" s="60">
        <f>IF(N($W195)=0,"",IF(AND($S195=MesCiclo,4&gt;SemanaActual),"",MIN(1,SUMIFS(OFFSET($A$1,ROW(),32,1000-ROW(),1),OFFSET($A$1,ROW(),20,1000-ROW(),1),ROW(),OFFSET($A$1,ROW(),21,1000-ROW(),1),"Sub"))))</f>
        <v/>
      </c>
      <c r="M195" s="61">
        <f>IF(OR(NOT((COUNTA($B195:$D195)+COUNTA($G195:$H195)+COUNTA($Q195))&gt;0),$V195="Sub"),"",IF(ISNUMBER($G195),1,IF(N($W195)&gt;0,MIN(1,SUMIFS($Y$5:$Y$1000,$U$5:$U$1000,ROW(),$V$5:$V$1000,"Sub")),$Y195)))</f>
        <v/>
      </c>
      <c r="N195" s="56">
        <f>IF(OR($M195="",$V195="Sub"),"",IF($M195&gt;=1,"Completado",IF($M195&gt;0,"En curso","Pendiente")))</f>
        <v/>
      </c>
      <c r="O195" s="56">
        <f>IF(OR(NOT((COUNTA($B195:$D195)+COUNTA($G195:$H195)+COUNTA($Q195))&gt;0),$V195="Sub"),"",IF(ISNUMBER($G195),IF(AND(ISNUMBER($AS195),$G195&gt;$AS195),"Cumplida con "&amp;($G195-$AS195)&amp;IF($G195-$AS195=1," día"," días")&amp;" de retraso","Cumplida"),IF(N($M195)&gt;=1,"Cumplida",IF(NOT(ISNUMBER($AS195)),"Sin fecha límite",IF($AS195&lt;FechaRef,"Vencida hace "&amp;(FechaRef-$AS195)&amp;IF(FechaRef-$AS195=1," día"," días"),IF($AS195=FechaRef,"Vence hoy",IF($AS195-FechaRef&lt;=DiasAlerta,"Vence en "&amp;($AS195-FechaRef)&amp;IF($AS195-FechaRef=1," día"," días"),"En plazo")))))))</f>
        <v/>
      </c>
      <c r="P195" s="62" t="n"/>
      <c r="Q195" s="58" t="n"/>
      <c r="R195" s="63">
        <f>IF(NOT((COUNTA($B195:$D195)+COUNTA($G195:$H195)+COUNTA($Q195))&gt;0),"",IF((IF($C195="","Falta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 OK","⚠ "&amp;LEFT(IF($C195="","Falta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",""),LEN(IF($C195="","Falta el nombre de la actividad"&amp;" · ","")&amp;IF(AND($V195="Sub",N($U195)=0),"Subactividad sin macroactividad arriba"&amp;" · ","")&amp;IF(AND($V195="Macro",$AR195=""),"Sin fecha de inicio"&amp;" · ","")&amp;IF(AND($V195="Macro",$AS195=""),"Sin fecha límite"&amp;" · ","")&amp;IF(AND(LEFT($C195,11)="[Jefatura] ",N($AQ195)=0),"No se encuentra en la hoja de la jefatura (elíjala de nuevo en la lista)"&amp;" · ","")&amp;IF(OR(AND($E195&lt;&gt;"",NOT(ISNUMBER($E195))),AND($F195&lt;&gt;"",NOT(ISNUMBER($F195))),AND($G195&lt;&gt;"",NOT(ISNUMBER($G195)))),"Fecha no válida"&amp;" · ","")&amp;IF(AND(ISNUMBER($AR195),ISNUMBER($AS195),$AR195&gt;$AS195),"Inicio posterior a fecha límite"&amp;" · ","")&amp;IF(AND($V195="Macro",$H195&lt;&gt;"",OR(NOT(ISNUMBER($H195)),$H195&lt;0,$H195&gt;1)),"Peso fuera de rango"&amp;" · ","")&amp;IF(AND($V195="Sub",$H195&lt;&gt;"",OR(NOT(ISNUMBER($H195)),$H195&lt;0,$H195&gt;1)),"% de la subactividad fuera de rango 0-100%"&amp;" · ","")&amp;IF(AND(N($W195)&gt;0,SUMIFS($H$5:$H$1000,$U$5:$U$1000,ROW(),$V$5:$V$1000,"Sub")&gt;1.0001),"Las subactividades suman más de 100%"&amp;" · ","")&amp;IF(AND(N($W195)&gt;0,OR(IF(ISNUMBER($I195),ROUND($I195,6)&lt;&gt;ROUND(MIN(1,SUMIFS($AD$5:$AD$1000,$U$5:$U$1000,ROW(),$V$5:$V$1000,"Sub")),6),FALSE),IF(ISNUMBER($J195),ROUND($J195,6)&lt;&gt;ROUND(MIN(1,SUMIFS($AE$5:$AE$1000,$U$5:$U$1000,ROW(),$V$5:$V$1000,"Sub")),6),FALSE),IF(ISNUMBER($K195),ROUND($K195,6)&lt;&gt;ROUND(MIN(1,SUMIFS($AF$5:$AF$1000,$U$5:$U$1000,ROW(),$V$5:$V$1000,"Sub")),6),FALSE),IF(ISNUMBER($L195),ROUND($L195,6)&lt;&gt;ROUND(MIN(1,SUMIFS($AG$5:$AG$1000,$U$5:$U$1000,ROW(),$V$5:$V$1000,"Sub")),6),FALSE))),"Con subactividades: no escriba en las semanas (se llenan solas)"&amp;" · ","")&amp;IF((COUNTIF($I195:$L195,"&gt;1")+COUNTIF($I195:$L195,"&lt;0")+SUMPRODUCT((LEN($I195:$L195)&gt;0)*NOT(ISNUMBER($I195:$L195))))&gt;0,"Avance fuera de rango 0-100%"&amp;" · ","")&amp;IF(OR(AND(ISNUMBER($J195),$J195&lt;N($I195)),AND(ISNUMBER($K195),$K195&lt;MAX($I195:$J195)),AND(ISNUMBER($L195),$L195&lt;MAX($I195:$K195))),"Avance semanal decreciente"&amp;" · ","")&amp;IF(AND(ISNUMBER($AS195),$AS195&lt;FechaRef,IF($V195="Sub",1,N($M195))&lt;1),"Vencida"&amp;" · ","")&amp;IF(AND(ObsObligatoria="Sí",ISNUMBER($AS195),$AS195&lt;FechaRef,IF($V195="Sub",1,N($M195))&lt;1,$Q195=""),"Vencida sin observación"&amp;" · ",""))-3)))</f>
        <v/>
      </c>
      <c r="S195" s="64">
        <f>IF(NOT((COUNTA($B195:$D195)+COUNTA($G195:$H195)+COUNTA($Q195))&gt;0),"",IF(AND($V195="Sub",N($U195)&gt;0),IF(ISNUMBER(INDEX($AR$5:$AR$1000,$U195-4)),DATE(YEAR(INDEX($AR$5:$AR$1000,$U195-4)),MONTH(INDEX($AR$5:$AR$1000,$U195-4)),1),IF(ISNUMBER(INDEX($AS$5:$AS$1000,$U195-4)),DATE(YEAR(INDEX($AS$5:$AS$1000,$U195-4)),MONTH(INDEX($AS$5:$AS$1000,$U195-4)),1),MesCiclo)),IF(ISNUMBER($AR195),DATE(YEAR($AR195),MONTH($AR195),1),IF(ISNUMBER($AS195),DATE(YEAR($AS195),MONTH($AS195),1),MesCiclo))))</f>
        <v/>
      </c>
      <c r="T195" s="62">
        <f>IF(OR($S195="",$S195&lt;&gt;MesCiclo,$V195&lt;&gt;"Macro"),"",COUNTIFS($S$5:$S195,MesCiclo,$V$5:$V195,"Macro"))</f>
        <v/>
      </c>
      <c r="U195" s="62">
        <f>IF($V195="","",IF($V195="Macro",ROW(),IFERROR(LOOKUP(2,1/($V$5:$V195="Macro"),ROW($V$5:$V195)),0)))</f>
        <v/>
      </c>
      <c r="V195" s="62">
        <f>IF(NOT((COUNTA($B195:$D195)+COUNTA($G195:$H195)+COUNTA($Q195))&gt;0),"",IF($B195="Subactividad","Sub","Macro"))</f>
        <v/>
      </c>
      <c r="W195" s="62">
        <f>IF($V195="Macro",COUNTIFS($U$5:$U$1000,ROW(),$V$5:$V$1000,"Sub"),"")</f>
        <v/>
      </c>
      <c r="X195" s="62">
        <f>IF($V195&lt;&gt;"Sub","",IF(AND(ISNUMBER($H195),N($H195)&gt;0),$H195,IFERROR(MAX(0,1-SUMIFS($H$5:$H$1000,$U$5:$U$1000,$U195,$V$5:$V$1000,"Sub"))/(COUNTIFS($U$5:$U$1000,$U195,$V$5:$V$1000,"Sub")-COUNTIFS($U$5:$U$1000,$U195,$V$5:$V$1000,"Sub",$H$5:$H$1000,"&gt;0")),0)))</f>
        <v/>
      </c>
      <c r="Y195" s="62">
        <f>IF($V195="","",IF($V195="Sub",N($X195)*IF(ISNUMBER($G195),1,MIN(1,MAX(0,IFERROR(LOOKUP(2,1/ISNUMBER($I195:$L195),$I195:$L195),0)))),IF(ISNUMBER($G195),1,IFERROR(LOOKUP(2,1/($I195:$L195&lt;&gt;""),$I195:$L195),0))))</f>
        <v/>
      </c>
      <c r="Z195" s="62">
        <f>IF($V195="","",IF(AND(ISNUMBER($G195),$G195&lt;=IF($S195=MesCiclo,InicioCiclo,$S195+MOD(2-WEEKDAY($S195),7))+6),1,IF(ISNUMBER($I195),$I195,0)))</f>
        <v/>
      </c>
      <c r="AA195" s="62">
        <f>IF($V195="","",IF(AND(ISNUMBER($G195),$G195&lt;=IF($S195=MesCiclo,InicioCiclo,$S195+MOD(2-WEEKDAY($S195),7))+13),1,IF(ISNUMBER($J195),$J195,$Z195)))</f>
        <v/>
      </c>
      <c r="AB195" s="62">
        <f>IF($V195="","",IF(AND(ISNUMBER($G195),$G195&lt;=IF($S195=MesCiclo,InicioCiclo,$S195+MOD(2-WEEKDAY($S195),7))+20),1,IF(ISNUMBER($K195),$K195,$AA195)))</f>
        <v/>
      </c>
      <c r="AC195" s="62">
        <f>IF($V195="","",IF(AND(ISNUMBER($G195),$G195&lt;=IF($S195=MesCiclo,InicioCiclo,$S195+MOD(2-WEEKDAY($S195),7))+27),1,IF(ISNUMBER($L195),$L195,$AB195)))</f>
        <v/>
      </c>
      <c r="AD195" s="62">
        <f>IF($V195&lt;&gt;"Sub","",N($X195)*IF(AND(ISNUMBER($G195),$G195&lt;=IF($S195=MesCiclo,InicioCiclo,$S195+MOD(2-WEEKDAY($S195),7))+6),1,MIN(1,MAX(0,IF(ISNUMBER(OFFSET($A$1,ROW()-1,8)),OFFSET($A$1,ROW()-1,8),0)))))</f>
        <v/>
      </c>
      <c r="AE195" s="62">
        <f>IF($V195&lt;&gt;"Sub","",N($X195)*IF(AND(ISNUMBER($G195),$G195&lt;=IF($S195=MesCiclo,InicioCiclo,$S195+MOD(2-WEEKDAY($S195),7))+13),1,MIN(1,MAX(0,IF(ISNUMBER(OFFSET($A$1,ROW()-1,9)),OFFSET($A$1,ROW()-1,9),IF(ISNUMBER(OFFSET($A$1,ROW()-1,8)),OFFSET($A$1,ROW()-1,8),0))))))</f>
        <v/>
      </c>
      <c r="AF195" s="62">
        <f>IF($V195&lt;&gt;"Sub","",N($X195)*IF(AND(ISNUMBER($G195),$G195&lt;=IF($S195=MesCiclo,InicioCiclo,$S195+MOD(2-WEEKDAY($S195),7))+20),1,MIN(1,MAX(0,IF(ISNUMBER(OFFSET($A$1,ROW()-1,10)),OFFSET($A$1,ROW()-1,10),IF(ISNUMBER(OFFSET($A$1,ROW()-1,9)),OFFSET($A$1,ROW()-1,9),IF(ISNUMBER(OFFSET($A$1,ROW()-1,8)),OFFSET($A$1,ROW()-1,8),0)))))))</f>
        <v/>
      </c>
      <c r="AG195" s="62">
        <f>IF($V195&lt;&gt;"Sub","",N($X195)*IF(AND(ISNUMBER($G195),$G195&lt;=IF($S195=MesCiclo,InicioCiclo,$S195+MOD(2-WEEKDAY($S195),7))+27),1,MIN(1,MAX(0,IF(ISNUMBER(OFFSET($A$1,ROW()-1,11)),OFFSET($A$1,ROW()-1,11),IF(ISNUMBER(OFFSET($A$1,ROW()-1,10)),OFFSET($A$1,ROW()-1,10),IF(ISNUMBER(OFFSET($A$1,ROW()-1,9)),OFFSET($A$1,ROW()-1,9),IF(ISNUMBER(OFFSET($A$1,ROW()-1,8)),OFFSET($A$1,ROW()-1,8),0))))))))</f>
        <v/>
      </c>
      <c r="AH195" s="62">
        <f>IF($V195="","",IF(AND(ISNUMBER($G195),$G195&lt;=IF($S195=MesCiclo,InicioCiclo,$S195+MOD(2-WEEKDAY($S195),7))+6),1,IF(N($W195)&gt;0,MIN(1,SUMIFS($AD$5:$AD$1000,$U$5:$U$1000,ROW(),$V$5:$V$1000,"Sub")),$Z195)))</f>
        <v/>
      </c>
      <c r="AI195" s="62">
        <f>IF($V195="","",IF(AND(ISNUMBER($G195),$G195&lt;=IF($S195=MesCiclo,InicioCiclo,$S195+MOD(2-WEEKDAY($S195),7))+13),1,IF(N($W195)&gt;0,MIN(1,SUMIFS($AE$5:$AE$1000,$U$5:$U$1000,ROW(),$V$5:$V$1000,"Sub")),$AA195)))</f>
        <v/>
      </c>
      <c r="AJ195" s="62">
        <f>IF($V195="","",IF(AND(ISNUMBER($G195),$G195&lt;=IF($S195=MesCiclo,InicioCiclo,$S195+MOD(2-WEEKDAY($S195),7))+20),1,IF(N($W195)&gt;0,MIN(1,SUMIFS($AF$5:$AF$1000,$U$5:$U$1000,ROW(),$V$5:$V$1000,"Sub")),$AB195)))</f>
        <v/>
      </c>
      <c r="AK195" s="62">
        <f>IF($V195="","",IF(AND(ISNUMBER($G195),$G195&lt;=IF($S195=MesCiclo,InicioCiclo,$S195+MOD(2-WEEKDAY($S195),7))+27),1,IF(N($W195)&gt;0,MIN(1,SUMIFS($AG$5:$AG$1000,$U$5:$U$1000,ROW(),$V$5:$V$1000,"Sub")),$AC195)))</f>
        <v/>
      </c>
      <c r="AL195" s="62">
        <f>IF($V195&lt;&gt;"Macro","",IF(COUNTIFS($S$5:$S$1000,$S195,$V$5:$V$1000,"Macro",$H$5:$H$1000,"&gt;0")=0,1/COUNTIFS($S$5:$S$1000,$S195,$V$5:$V$1000,"Macro"),IF(AND(ISNUMBER($H195),N($H195)&gt;0),$H195,SUMIFS($H$5:$H$1000,$S$5:$S$1000,$S195,$V$5:$V$1000,"Macro")/COUNTIFS($S$5:$S$1000,$S195,$V$5:$V$1000,"Macro",$H$5:$H$1000,"&gt;0"))/(COUNTIFS($S$5:$S$1000,$S195,$V$5:$V$1000,"Macro")*SUMIFS($H$5:$H$1000,$S$5:$S$1000,$S195,$V$5:$V$1000,"Macro")/COUNTIFS($S$5:$S$1000,$S195,$V$5:$V$1000,"Macro",$H$5:$H$1000,"&gt;0"))))</f>
        <v/>
      </c>
      <c r="AM195" s="62" t="n"/>
      <c r="AN195" s="62" t="n"/>
      <c r="AO195" s="62" t="n"/>
      <c r="AP195" s="62" t="n"/>
      <c r="AQ195" s="62">
        <f>IF(LEFT($C195,11)="[Jefatura] ",IFERROR(MATCH("Asistente Técnico de Riesgo|"&amp;MID($C195,12,500),rDname_ADM,0),0),"")</f>
        <v/>
      </c>
      <c r="AR195" s="62">
        <f>IF(N($AQ195)&gt;0,INDEX(rIni_ADM,$AQ195),IF(ISNUMBER($E195),$E195,""))</f>
        <v/>
      </c>
      <c r="AS195" s="62">
        <f>IF(N($AQ195)&gt;0,INDEX(rLim_ADM,$AQ195),IF(ISNUMBER($F195),$F195,""))</f>
        <v/>
      </c>
    </row>
    <row r="196">
      <c r="A196" s="56">
        <f>IF(NOT((COUNTA($B196:$D196)+COUNTA($G196:$H196)+COUNTA($Q196))&gt;0),"",IF($V196="Macro",COUNTIFS($V$5:$V196,"Macro",$S$5:$S196,$S196),IF(N($U196)=0,"?",COUNTIFS(INDEX($V$5:$V$1000,1):INDEX($V$5:$V$1000,$U196-4),"Macro",INDEX($S$5:$S$1000,1):INDEX($S$5:$S$1000,$U196-4),INDEX($S$5:$S$1000,$U196-4))&amp;"."&amp;COUNTIFS($U$5:$U196,$U196,$V$5:$V196,"Sub"))))</f>
        <v/>
      </c>
      <c r="B196" s="57" t="n"/>
      <c r="C196" s="58" t="n"/>
      <c r="D196" s="58" t="n"/>
      <c r="E196" s="59">
        <f>IF(N($AQ196)&gt;0,INDEX(rIni_ADM,$AQ196),"")</f>
        <v/>
      </c>
      <c r="F196" s="59">
        <f>IF(N($AQ196)&gt;0,INDEX(rLim_ADM,$AQ196),"")</f>
        <v/>
      </c>
      <c r="G196" s="59" t="n"/>
      <c r="H196" s="60" t="n"/>
      <c r="I196" s="60">
        <f>IF(N($W196)=0,"",IF(AND($S196=MesCiclo,1&gt;SemanaActual),"",MIN(1,SUMIFS(OFFSET($A$1,ROW(),29,1000-ROW(),1),OFFSET($A$1,ROW(),20,1000-ROW(),1),ROW(),OFFSET($A$1,ROW(),21,1000-ROW(),1),"Sub"))))</f>
        <v/>
      </c>
      <c r="J196" s="60">
        <f>IF(N($W196)=0,"",IF(AND($S196=MesCiclo,2&gt;SemanaActual),"",MIN(1,SUMIFS(OFFSET($A$1,ROW(),30,1000-ROW(),1),OFFSET($A$1,ROW(),20,1000-ROW(),1),ROW(),OFFSET($A$1,ROW(),21,1000-ROW(),1),"Sub"))))</f>
        <v/>
      </c>
      <c r="K196" s="60">
        <f>IF(N($W196)=0,"",IF(AND($S196=MesCiclo,3&gt;SemanaActual),"",MIN(1,SUMIFS(OFFSET($A$1,ROW(),31,1000-ROW(),1),OFFSET($A$1,ROW(),20,1000-ROW(),1),ROW(),OFFSET($A$1,ROW(),21,1000-ROW(),1),"Sub"))))</f>
        <v/>
      </c>
      <c r="L196" s="60">
        <f>IF(N($W196)=0,"",IF(AND($S196=MesCiclo,4&gt;SemanaActual),"",MIN(1,SUMIFS(OFFSET($A$1,ROW(),32,1000-ROW(),1),OFFSET($A$1,ROW(),20,1000-ROW(),1),ROW(),OFFSET($A$1,ROW(),21,1000-ROW(),1),"Sub"))))</f>
        <v/>
      </c>
      <c r="M196" s="61">
        <f>IF(OR(NOT((COUNTA($B196:$D196)+COUNTA($G196:$H196)+COUNTA($Q196))&gt;0),$V196="Sub"),"",IF(ISNUMBER($G196),1,IF(N($W196)&gt;0,MIN(1,SUMIFS($Y$5:$Y$1000,$U$5:$U$1000,ROW(),$V$5:$V$1000,"Sub")),$Y196)))</f>
        <v/>
      </c>
      <c r="N196" s="56">
        <f>IF(OR($M196="",$V196="Sub"),"",IF($M196&gt;=1,"Completado",IF($M196&gt;0,"En curso","Pendiente")))</f>
        <v/>
      </c>
      <c r="O196" s="56">
        <f>IF(OR(NOT((COUNTA($B196:$D196)+COUNTA($G196:$H196)+COUNTA($Q196))&gt;0),$V196="Sub"),"",IF(ISNUMBER($G196),IF(AND(ISNUMBER($AS196),$G196&gt;$AS196),"Cumplida con "&amp;($G196-$AS196)&amp;IF($G196-$AS196=1," día"," días")&amp;" de retraso","Cumplida"),IF(N($M196)&gt;=1,"Cumplida",IF(NOT(ISNUMBER($AS196)),"Sin fecha límite",IF($AS196&lt;FechaRef,"Vencida hace "&amp;(FechaRef-$AS196)&amp;IF(FechaRef-$AS196=1," día"," días"),IF($AS196=FechaRef,"Vence hoy",IF($AS196-FechaRef&lt;=DiasAlerta,"Vence en "&amp;($AS196-FechaRef)&amp;IF($AS196-FechaRef=1," día"," días"),"En plazo")))))))</f>
        <v/>
      </c>
      <c r="P196" s="62" t="n"/>
      <c r="Q196" s="58" t="n"/>
      <c r="R196" s="63">
        <f>IF(NOT((COUNTA($B196:$D196)+COUNTA($G196:$H196)+COUNTA($Q196))&gt;0),"",IF((IF($C196="","Falta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 OK","⚠ "&amp;LEFT(IF($C196="","Falta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",""),LEN(IF($C196="","Falta el nombre de la actividad"&amp;" · ","")&amp;IF(AND($V196="Sub",N($U196)=0),"Subactividad sin macroactividad arriba"&amp;" · ","")&amp;IF(AND($V196="Macro",$AR196=""),"Sin fecha de inicio"&amp;" · ","")&amp;IF(AND($V196="Macro",$AS196=""),"Sin fecha límite"&amp;" · ","")&amp;IF(AND(LEFT($C196,11)="[Jefatura] ",N($AQ196)=0),"No se encuentra en la hoja de la jefatura (elíjala de nuevo en la lista)"&amp;" · ","")&amp;IF(OR(AND($E196&lt;&gt;"",NOT(ISNUMBER($E196))),AND($F196&lt;&gt;"",NOT(ISNUMBER($F196))),AND($G196&lt;&gt;"",NOT(ISNUMBER($G196)))),"Fecha no válida"&amp;" · ","")&amp;IF(AND(ISNUMBER($AR196),ISNUMBER($AS196),$AR196&gt;$AS196),"Inicio posterior a fecha límite"&amp;" · ","")&amp;IF(AND($V196="Macro",$H196&lt;&gt;"",OR(NOT(ISNUMBER($H196)),$H196&lt;0,$H196&gt;1)),"Peso fuera de rango"&amp;" · ","")&amp;IF(AND($V196="Sub",$H196&lt;&gt;"",OR(NOT(ISNUMBER($H196)),$H196&lt;0,$H196&gt;1)),"% de la subactividad fuera de rango 0-100%"&amp;" · ","")&amp;IF(AND(N($W196)&gt;0,SUMIFS($H$5:$H$1000,$U$5:$U$1000,ROW(),$V$5:$V$1000,"Sub")&gt;1.0001),"Las subactividades suman más de 100%"&amp;" · ","")&amp;IF(AND(N($W196)&gt;0,OR(IF(ISNUMBER($I196),ROUND($I196,6)&lt;&gt;ROUND(MIN(1,SUMIFS($AD$5:$AD$1000,$U$5:$U$1000,ROW(),$V$5:$V$1000,"Sub")),6),FALSE),IF(ISNUMBER($J196),ROUND($J196,6)&lt;&gt;ROUND(MIN(1,SUMIFS($AE$5:$AE$1000,$U$5:$U$1000,ROW(),$V$5:$V$1000,"Sub")),6),FALSE),IF(ISNUMBER($K196),ROUND($K196,6)&lt;&gt;ROUND(MIN(1,SUMIFS($AF$5:$AF$1000,$U$5:$U$1000,ROW(),$V$5:$V$1000,"Sub")),6),FALSE),IF(ISNUMBER($L196),ROUND($L196,6)&lt;&gt;ROUND(MIN(1,SUMIFS($AG$5:$AG$1000,$U$5:$U$1000,ROW(),$V$5:$V$1000,"Sub")),6),FALSE))),"Con subactividades: no escriba en las semanas (se llenan solas)"&amp;" · ","")&amp;IF((COUNTIF($I196:$L196,"&gt;1")+COUNTIF($I196:$L196,"&lt;0")+SUMPRODUCT((LEN($I196:$L196)&gt;0)*NOT(ISNUMBER($I196:$L196))))&gt;0,"Avance fuera de rango 0-100%"&amp;" · ","")&amp;IF(OR(AND(ISNUMBER($J196),$J196&lt;N($I196)),AND(ISNUMBER($K196),$K196&lt;MAX($I196:$J196)),AND(ISNUMBER($L196),$L196&lt;MAX($I196:$K196))),"Avance semanal decreciente"&amp;" · ","")&amp;IF(AND(ISNUMBER($AS196),$AS196&lt;FechaRef,IF($V196="Sub",1,N($M196))&lt;1),"Vencida"&amp;" · ","")&amp;IF(AND(ObsObligatoria="Sí",ISNUMBER($AS196),$AS196&lt;FechaRef,IF($V196="Sub",1,N($M196))&lt;1,$Q196=""),"Vencida sin observación"&amp;" · ",""))-3)))</f>
        <v/>
      </c>
      <c r="S196" s="64">
        <f>IF(NOT((COUNTA($B196:$D196)+COUNTA($G196:$H196)+COUNTA($Q196))&gt;0),"",IF(AND($V196="Sub",N($U196)&gt;0),IF(ISNUMBER(INDEX($AR$5:$AR$1000,$U196-4)),DATE(YEAR(INDEX($AR$5:$AR$1000,$U196-4)),MONTH(INDEX($AR$5:$AR$1000,$U196-4)),1),IF(ISNUMBER(INDEX($AS$5:$AS$1000,$U196-4)),DATE(YEAR(INDEX($AS$5:$AS$1000,$U196-4)),MONTH(INDEX($AS$5:$AS$1000,$U196-4)),1),MesCiclo)),IF(ISNUMBER($AR196),DATE(YEAR($AR196),MONTH($AR196),1),IF(ISNUMBER($AS196),DATE(YEAR($AS196),MONTH($AS196),1),MesCiclo))))</f>
        <v/>
      </c>
      <c r="T196" s="62">
        <f>IF(OR($S196="",$S196&lt;&gt;MesCiclo,$V196&lt;&gt;"Macro"),"",COUNTIFS($S$5:$S196,MesCiclo,$V$5:$V196,"Macro"))</f>
        <v/>
      </c>
      <c r="U196" s="62">
        <f>IF($V196="","",IF($V196="Macro",ROW(),IFERROR(LOOKUP(2,1/($V$5:$V196="Macro"),ROW($V$5:$V196)),0)))</f>
        <v/>
      </c>
      <c r="V196" s="62">
        <f>IF(NOT((COUNTA($B196:$D196)+COUNTA($G196:$H196)+COUNTA($Q196))&gt;0),"",IF($B196="Subactividad","Sub","Macro"))</f>
        <v/>
      </c>
      <c r="W196" s="62">
        <f>IF($V196="Macro",COUNTIFS($U$5:$U$1000,ROW(),$V$5:$V$1000,"Sub"),"")</f>
        <v/>
      </c>
      <c r="X196" s="62">
        <f>IF($V196&lt;&gt;"Sub","",IF(AND(ISNUMBER($H196),N($H196)&gt;0),$H196,IFERROR(MAX(0,1-SUMIFS($H$5:$H$1000,$U$5:$U$1000,$U196,$V$5:$V$1000,"Sub"))/(COUNTIFS($U$5:$U$1000,$U196,$V$5:$V$1000,"Sub")-COUNTIFS($U$5:$U$1000,$U196,$V$5:$V$1000,"Sub",$H$5:$H$1000,"&gt;0")),0)))</f>
        <v/>
      </c>
      <c r="Y196" s="62">
        <f>IF($V196="","",IF($V196="Sub",N($X196)*IF(ISNUMBER($G196),1,MIN(1,MAX(0,IFERROR(LOOKUP(2,1/ISNUMBER($I196:$L196),$I196:$L196),0)))),IF(ISNUMBER($G196),1,IFERROR(LOOKUP(2,1/($I196:$L196&lt;&gt;""),$I196:$L196),0))))</f>
        <v/>
      </c>
      <c r="Z196" s="62">
        <f>IF($V196="","",IF(AND(ISNUMBER($G196),$G196&lt;=IF($S196=MesCiclo,InicioCiclo,$S196+MOD(2-WEEKDAY($S196),7))+6),1,IF(ISNUMBER($I196),$I196,0)))</f>
        <v/>
      </c>
      <c r="AA196" s="62">
        <f>IF($V196="","",IF(AND(ISNUMBER($G196),$G196&lt;=IF($S196=MesCiclo,InicioCiclo,$S196+MOD(2-WEEKDAY($S196),7))+13),1,IF(ISNUMBER($J196),$J196,$Z196)))</f>
        <v/>
      </c>
      <c r="AB196" s="62">
        <f>IF($V196="","",IF(AND(ISNUMBER($G196),$G196&lt;=IF($S196=MesCiclo,InicioCiclo,$S196+MOD(2-WEEKDAY($S196),7))+20),1,IF(ISNUMBER($K196),$K196,$AA196)))</f>
        <v/>
      </c>
      <c r="AC196" s="62">
        <f>IF($V196="","",IF(AND(ISNUMBER($G196),$G196&lt;=IF($S196=MesCiclo,InicioCiclo,$S196+MOD(2-WEEKDAY($S196),7))+27),1,IF(ISNUMBER($L196),$L196,$AB196)))</f>
        <v/>
      </c>
      <c r="AD196" s="62">
        <f>IF($V196&lt;&gt;"Sub","",N($X196)*IF(AND(ISNUMBER($G196),$G196&lt;=IF($S196=MesCiclo,InicioCiclo,$S196+MOD(2-WEEKDAY($S196),7))+6),1,MIN(1,MAX(0,IF(ISNUMBER(OFFSET($A$1,ROW()-1,8)),OFFSET($A$1,ROW()-1,8),0)))))</f>
        <v/>
      </c>
      <c r="AE196" s="62">
        <f>IF($V196&lt;&gt;"Sub","",N($X196)*IF(AND(ISNUMBER($G196),$G196&lt;=IF($S196=MesCiclo,InicioCiclo,$S196+MOD(2-WEEKDAY($S196),7))+13),1,MIN(1,MAX(0,IF(ISNUMBER(OFFSET($A$1,ROW()-1,9)),OFFSET($A$1,ROW()-1,9),IF(ISNUMBER(OFFSET($A$1,ROW()-1,8)),OFFSET($A$1,ROW()-1,8),0))))))</f>
        <v/>
      </c>
      <c r="AF196" s="62">
        <f>IF($V196&lt;&gt;"Sub","",N($X196)*IF(AND(ISNUMBER($G196),$G196&lt;=IF($S196=MesCiclo,InicioCiclo,$S196+MOD(2-WEEKDAY($S196),7))+20),1,MIN(1,MAX(0,IF(ISNUMBER(OFFSET($A$1,ROW()-1,10)),OFFSET($A$1,ROW()-1,10),IF(ISNUMBER(OFFSET($A$1,ROW()-1,9)),OFFSET($A$1,ROW()-1,9),IF(ISNUMBER(OFFSET($A$1,ROW()-1,8)),OFFSET($A$1,ROW()-1,8),0)))))))</f>
        <v/>
      </c>
      <c r="AG196" s="62">
        <f>IF($V196&lt;&gt;"Sub","",N($X196)*IF(AND(ISNUMBER($G196),$G196&lt;=IF($S196=MesCiclo,InicioCiclo,$S196+MOD(2-WEEKDAY($S196),7))+27),1,MIN(1,MAX(0,IF(ISNUMBER(OFFSET($A$1,ROW()-1,11)),OFFSET($A$1,ROW()-1,11),IF(ISNUMBER(OFFSET($A$1,ROW()-1,10)),OFFSET($A$1,ROW()-1,10),IF(ISNUMBER(OFFSET($A$1,ROW()-1,9)),OFFSET($A$1,ROW()-1,9),IF(ISNUMBER(OFFSET($A$1,ROW()-1,8)),OFFSET($A$1,ROW()-1,8),0))))))))</f>
        <v/>
      </c>
      <c r="AH196" s="62">
        <f>IF($V196="","",IF(AND(ISNUMBER($G196),$G196&lt;=IF($S196=MesCiclo,InicioCiclo,$S196+MOD(2-WEEKDAY($S196),7))+6),1,IF(N($W196)&gt;0,MIN(1,SUMIFS($AD$5:$AD$1000,$U$5:$U$1000,ROW(),$V$5:$V$1000,"Sub")),$Z196)))</f>
        <v/>
      </c>
      <c r="AI196" s="62">
        <f>IF($V196="","",IF(AND(ISNUMBER($G196),$G196&lt;=IF($S196=MesCiclo,InicioCiclo,$S196+MOD(2-WEEKDAY($S196),7))+13),1,IF(N($W196)&gt;0,MIN(1,SUMIFS($AE$5:$AE$1000,$U$5:$U$1000,ROW(),$V$5:$V$1000,"Sub")),$AA196)))</f>
        <v/>
      </c>
      <c r="AJ196" s="62">
        <f>IF($V196="","",IF(AND(ISNUMBER($G196),$G196&lt;=IF($S196=MesCiclo,InicioCiclo,$S196+MOD(2-WEEKDAY($S196),7))+20),1,IF(N($W196)&gt;0,MIN(1,SUMIFS($AF$5:$AF$1000,$U$5:$U$1000,ROW(),$V$5:$V$1000,"Sub")),$AB196)))</f>
        <v/>
      </c>
      <c r="AK196" s="62">
        <f>IF($V196="","",IF(AND(ISNUMBER($G196),$G196&lt;=IF($S196=MesCiclo,InicioCiclo,$S196+MOD(2-WEEKDAY($S196),7))+27),1,IF(N($W196)&gt;0,MIN(1,SUMIFS($AG$5:$AG$1000,$U$5:$U$1000,ROW(),$V$5:$V$1000,"Sub")),$AC196)))</f>
        <v/>
      </c>
      <c r="AL196" s="62">
        <f>IF($V196&lt;&gt;"Macro","",IF(COUNTIFS($S$5:$S$1000,$S196,$V$5:$V$1000,"Macro",$H$5:$H$1000,"&gt;0")=0,1/COUNTIFS($S$5:$S$1000,$S196,$V$5:$V$1000,"Macro"),IF(AND(ISNUMBER($H196),N($H196)&gt;0),$H196,SUMIFS($H$5:$H$1000,$S$5:$S$1000,$S196,$V$5:$V$1000,"Macro")/COUNTIFS($S$5:$S$1000,$S196,$V$5:$V$1000,"Macro",$H$5:$H$1000,"&gt;0"))/(COUNTIFS($S$5:$S$1000,$S196,$V$5:$V$1000,"Macro")*SUMIFS($H$5:$H$1000,$S$5:$S$1000,$S196,$V$5:$V$1000,"Macro")/COUNTIFS($S$5:$S$1000,$S196,$V$5:$V$1000,"Macro",$H$5:$H$1000,"&gt;0"))))</f>
        <v/>
      </c>
      <c r="AM196" s="62" t="n"/>
      <c r="AN196" s="62" t="n"/>
      <c r="AO196" s="62" t="n"/>
      <c r="AP196" s="62" t="n"/>
      <c r="AQ196" s="62">
        <f>IF(LEFT($C196,11)="[Jefatura] ",IFERROR(MATCH("Asistente Técnico de Riesgo|"&amp;MID($C196,12,500),rDname_ADM,0),0),"")</f>
        <v/>
      </c>
      <c r="AR196" s="62">
        <f>IF(N($AQ196)&gt;0,INDEX(rIni_ADM,$AQ196),IF(ISNUMBER($E196),$E196,""))</f>
        <v/>
      </c>
      <c r="AS196" s="62">
        <f>IF(N($AQ196)&gt;0,INDEX(rLim_ADM,$AQ196),IF(ISNUMBER($F196),$F196,""))</f>
        <v/>
      </c>
    </row>
    <row r="197">
      <c r="A197" s="56">
        <f>IF(NOT((COUNTA($B197:$D197)+COUNTA($G197:$H197)+COUNTA($Q197))&gt;0),"",IF($V197="Macro",COUNTIFS($V$5:$V197,"Macro",$S$5:$S197,$S197),IF(N($U197)=0,"?",COUNTIFS(INDEX($V$5:$V$1000,1):INDEX($V$5:$V$1000,$U197-4),"Macro",INDEX($S$5:$S$1000,1):INDEX($S$5:$S$1000,$U197-4),INDEX($S$5:$S$1000,$U197-4))&amp;"."&amp;COUNTIFS($U$5:$U197,$U197,$V$5:$V197,"Sub"))))</f>
        <v/>
      </c>
      <c r="B197" s="57" t="n"/>
      <c r="C197" s="58" t="n"/>
      <c r="D197" s="58" t="n"/>
      <c r="E197" s="59">
        <f>IF(N($AQ197)&gt;0,INDEX(rIni_ADM,$AQ197),"")</f>
        <v/>
      </c>
      <c r="F197" s="59">
        <f>IF(N($AQ197)&gt;0,INDEX(rLim_ADM,$AQ197),"")</f>
        <v/>
      </c>
      <c r="G197" s="59" t="n"/>
      <c r="H197" s="60" t="n"/>
      <c r="I197" s="60">
        <f>IF(N($W197)=0,"",IF(AND($S197=MesCiclo,1&gt;SemanaActual),"",MIN(1,SUMIFS(OFFSET($A$1,ROW(),29,1000-ROW(),1),OFFSET($A$1,ROW(),20,1000-ROW(),1),ROW(),OFFSET($A$1,ROW(),21,1000-ROW(),1),"Sub"))))</f>
        <v/>
      </c>
      <c r="J197" s="60">
        <f>IF(N($W197)=0,"",IF(AND($S197=MesCiclo,2&gt;SemanaActual),"",MIN(1,SUMIFS(OFFSET($A$1,ROW(),30,1000-ROW(),1),OFFSET($A$1,ROW(),20,1000-ROW(),1),ROW(),OFFSET($A$1,ROW(),21,1000-ROW(),1),"Sub"))))</f>
        <v/>
      </c>
      <c r="K197" s="60">
        <f>IF(N($W197)=0,"",IF(AND($S197=MesCiclo,3&gt;SemanaActual),"",MIN(1,SUMIFS(OFFSET($A$1,ROW(),31,1000-ROW(),1),OFFSET($A$1,ROW(),20,1000-ROW(),1),ROW(),OFFSET($A$1,ROW(),21,1000-ROW(),1),"Sub"))))</f>
        <v/>
      </c>
      <c r="L197" s="60">
        <f>IF(N($W197)=0,"",IF(AND($S197=MesCiclo,4&gt;SemanaActual),"",MIN(1,SUMIFS(OFFSET($A$1,ROW(),32,1000-ROW(),1),OFFSET($A$1,ROW(),20,1000-ROW(),1),ROW(),OFFSET($A$1,ROW(),21,1000-ROW(),1),"Sub"))))</f>
        <v/>
      </c>
      <c r="M197" s="61">
        <f>IF(OR(NOT((COUNTA($B197:$D197)+COUNTA($G197:$H197)+COUNTA($Q197))&gt;0),$V197="Sub"),"",IF(ISNUMBER($G197),1,IF(N($W197)&gt;0,MIN(1,SUMIFS($Y$5:$Y$1000,$U$5:$U$1000,ROW(),$V$5:$V$1000,"Sub")),$Y197)))</f>
        <v/>
      </c>
      <c r="N197" s="56">
        <f>IF(OR($M197="",$V197="Sub"),"",IF($M197&gt;=1,"Completado",IF($M197&gt;0,"En curso","Pendiente")))</f>
        <v/>
      </c>
      <c r="O197" s="56">
        <f>IF(OR(NOT((COUNTA($B197:$D197)+COUNTA($G197:$H197)+COUNTA($Q197))&gt;0),$V197="Sub"),"",IF(ISNUMBER($G197),IF(AND(ISNUMBER($AS197),$G197&gt;$AS197),"Cumplida con "&amp;($G197-$AS197)&amp;IF($G197-$AS197=1," día"," días")&amp;" de retraso","Cumplida"),IF(N($M197)&gt;=1,"Cumplida",IF(NOT(ISNUMBER($AS197)),"Sin fecha límite",IF($AS197&lt;FechaRef,"Vencida hace "&amp;(FechaRef-$AS197)&amp;IF(FechaRef-$AS197=1," día"," días"),IF($AS197=FechaRef,"Vence hoy",IF($AS197-FechaRef&lt;=DiasAlerta,"Vence en "&amp;($AS197-FechaRef)&amp;IF($AS197-FechaRef=1," día"," días"),"En plazo")))))))</f>
        <v/>
      </c>
      <c r="P197" s="62" t="n"/>
      <c r="Q197" s="58" t="n"/>
      <c r="R197" s="63">
        <f>IF(NOT((COUNTA($B197:$D197)+COUNTA($G197:$H197)+COUNTA($Q197))&gt;0),"",IF((IF($C197="","Falta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 OK","⚠ "&amp;LEFT(IF($C197="","Falta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",""),LEN(IF($C197="","Falta el nombre de la actividad"&amp;" · ","")&amp;IF(AND($V197="Sub",N($U197)=0),"Subactividad sin macroactividad arriba"&amp;" · ","")&amp;IF(AND($V197="Macro",$AR197=""),"Sin fecha de inicio"&amp;" · ","")&amp;IF(AND($V197="Macro",$AS197=""),"Sin fecha límite"&amp;" · ","")&amp;IF(AND(LEFT($C197,11)="[Jefatura] ",N($AQ197)=0),"No se encuentra en la hoja de la jefatura (elíjala de nuevo en la lista)"&amp;" · ","")&amp;IF(OR(AND($E197&lt;&gt;"",NOT(ISNUMBER($E197))),AND($F197&lt;&gt;"",NOT(ISNUMBER($F197))),AND($G197&lt;&gt;"",NOT(ISNUMBER($G197)))),"Fecha no válida"&amp;" · ","")&amp;IF(AND(ISNUMBER($AR197),ISNUMBER($AS197),$AR197&gt;$AS197),"Inicio posterior a fecha límite"&amp;" · ","")&amp;IF(AND($V197="Macro",$H197&lt;&gt;"",OR(NOT(ISNUMBER($H197)),$H197&lt;0,$H197&gt;1)),"Peso fuera de rango"&amp;" · ","")&amp;IF(AND($V197="Sub",$H197&lt;&gt;"",OR(NOT(ISNUMBER($H197)),$H197&lt;0,$H197&gt;1)),"% de la subactividad fuera de rango 0-100%"&amp;" · ","")&amp;IF(AND(N($W197)&gt;0,SUMIFS($H$5:$H$1000,$U$5:$U$1000,ROW(),$V$5:$V$1000,"Sub")&gt;1.0001),"Las subactividades suman más de 100%"&amp;" · ","")&amp;IF(AND(N($W197)&gt;0,OR(IF(ISNUMBER($I197),ROUND($I197,6)&lt;&gt;ROUND(MIN(1,SUMIFS($AD$5:$AD$1000,$U$5:$U$1000,ROW(),$V$5:$V$1000,"Sub")),6),FALSE),IF(ISNUMBER($J197),ROUND($J197,6)&lt;&gt;ROUND(MIN(1,SUMIFS($AE$5:$AE$1000,$U$5:$U$1000,ROW(),$V$5:$V$1000,"Sub")),6),FALSE),IF(ISNUMBER($K197),ROUND($K197,6)&lt;&gt;ROUND(MIN(1,SUMIFS($AF$5:$AF$1000,$U$5:$U$1000,ROW(),$V$5:$V$1000,"Sub")),6),FALSE),IF(ISNUMBER($L197),ROUND($L197,6)&lt;&gt;ROUND(MIN(1,SUMIFS($AG$5:$AG$1000,$U$5:$U$1000,ROW(),$V$5:$V$1000,"Sub")),6),FALSE))),"Con subactividades: no escriba en las semanas (se llenan solas)"&amp;" · ","")&amp;IF((COUNTIF($I197:$L197,"&gt;1")+COUNTIF($I197:$L197,"&lt;0")+SUMPRODUCT((LEN($I197:$L197)&gt;0)*NOT(ISNUMBER($I197:$L197))))&gt;0,"Avance fuera de rango 0-100%"&amp;" · ","")&amp;IF(OR(AND(ISNUMBER($J197),$J197&lt;N($I197)),AND(ISNUMBER($K197),$K197&lt;MAX($I197:$J197)),AND(ISNUMBER($L197),$L197&lt;MAX($I197:$K197))),"Avance semanal decreciente"&amp;" · ","")&amp;IF(AND(ISNUMBER($AS197),$AS197&lt;FechaRef,IF($V197="Sub",1,N($M197))&lt;1),"Vencida"&amp;" · ","")&amp;IF(AND(ObsObligatoria="Sí",ISNUMBER($AS197),$AS197&lt;FechaRef,IF($V197="Sub",1,N($M197))&lt;1,$Q197=""),"Vencida sin observación"&amp;" · ",""))-3)))</f>
        <v/>
      </c>
      <c r="S197" s="64">
        <f>IF(NOT((COUNTA($B197:$D197)+COUNTA($G197:$H197)+COUNTA($Q197))&gt;0),"",IF(AND($V197="Sub",N($U197)&gt;0),IF(ISNUMBER(INDEX($AR$5:$AR$1000,$U197-4)),DATE(YEAR(INDEX($AR$5:$AR$1000,$U197-4)),MONTH(INDEX($AR$5:$AR$1000,$U197-4)),1),IF(ISNUMBER(INDEX($AS$5:$AS$1000,$U197-4)),DATE(YEAR(INDEX($AS$5:$AS$1000,$U197-4)),MONTH(INDEX($AS$5:$AS$1000,$U197-4)),1),MesCiclo)),IF(ISNUMBER($AR197),DATE(YEAR($AR197),MONTH($AR197),1),IF(ISNUMBER($AS197),DATE(YEAR($AS197),MONTH($AS197),1),MesCiclo))))</f>
        <v/>
      </c>
      <c r="T197" s="62">
        <f>IF(OR($S197="",$S197&lt;&gt;MesCiclo,$V197&lt;&gt;"Macro"),"",COUNTIFS($S$5:$S197,MesCiclo,$V$5:$V197,"Macro"))</f>
        <v/>
      </c>
      <c r="U197" s="62">
        <f>IF($V197="","",IF($V197="Macro",ROW(),IFERROR(LOOKUP(2,1/($V$5:$V197="Macro"),ROW($V$5:$V197)),0)))</f>
        <v/>
      </c>
      <c r="V197" s="62">
        <f>IF(NOT((COUNTA($B197:$D197)+COUNTA($G197:$H197)+COUNTA($Q197))&gt;0),"",IF($B197="Subactividad","Sub","Macro"))</f>
        <v/>
      </c>
      <c r="W197" s="62">
        <f>IF($V197="Macro",COUNTIFS($U$5:$U$1000,ROW(),$V$5:$V$1000,"Sub"),"")</f>
        <v/>
      </c>
      <c r="X197" s="62">
        <f>IF($V197&lt;&gt;"Sub","",IF(AND(ISNUMBER($H197),N($H197)&gt;0),$H197,IFERROR(MAX(0,1-SUMIFS($H$5:$H$1000,$U$5:$U$1000,$U197,$V$5:$V$1000,"Sub"))/(COUNTIFS($U$5:$U$1000,$U197,$V$5:$V$1000,"Sub")-COUNTIFS($U$5:$U$1000,$U197,$V$5:$V$1000,"Sub",$H$5:$H$1000,"&gt;0")),0)))</f>
        <v/>
      </c>
      <c r="Y197" s="62">
        <f>IF($V197="","",IF($V197="Sub",N($X197)*IF(ISNUMBER($G197),1,MIN(1,MAX(0,IFERROR(LOOKUP(2,1/ISNUMBER($I197:$L197),$I197:$L197),0)))),IF(ISNUMBER($G197),1,IFERROR(LOOKUP(2,1/($I197:$L197&lt;&gt;""),$I197:$L197),0))))</f>
        <v/>
      </c>
      <c r="Z197" s="62">
        <f>IF($V197="","",IF(AND(ISNUMBER($G197),$G197&lt;=IF($S197=MesCiclo,InicioCiclo,$S197+MOD(2-WEEKDAY($S197),7))+6),1,IF(ISNUMBER($I197),$I197,0)))</f>
        <v/>
      </c>
      <c r="AA197" s="62">
        <f>IF($V197="","",IF(AND(ISNUMBER($G197),$G197&lt;=IF($S197=MesCiclo,InicioCiclo,$S197+MOD(2-WEEKDAY($S197),7))+13),1,IF(ISNUMBER($J197),$J197,$Z197)))</f>
        <v/>
      </c>
      <c r="AB197" s="62">
        <f>IF($V197="","",IF(AND(ISNUMBER($G197),$G197&lt;=IF($S197=MesCiclo,InicioCiclo,$S197+MOD(2-WEEKDAY($S197),7))+20),1,IF(ISNUMBER($K197),$K197,$AA197)))</f>
        <v/>
      </c>
      <c r="AC197" s="62">
        <f>IF($V197="","",IF(AND(ISNUMBER($G197),$G197&lt;=IF($S197=MesCiclo,InicioCiclo,$S197+MOD(2-WEEKDAY($S197),7))+27),1,IF(ISNUMBER($L197),$L197,$AB197)))</f>
        <v/>
      </c>
      <c r="AD197" s="62">
        <f>IF($V197&lt;&gt;"Sub","",N($X197)*IF(AND(ISNUMBER($G197),$G197&lt;=IF($S197=MesCiclo,InicioCiclo,$S197+MOD(2-WEEKDAY($S197),7))+6),1,MIN(1,MAX(0,IF(ISNUMBER(OFFSET($A$1,ROW()-1,8)),OFFSET($A$1,ROW()-1,8),0)))))</f>
        <v/>
      </c>
      <c r="AE197" s="62">
        <f>IF($V197&lt;&gt;"Sub","",N($X197)*IF(AND(ISNUMBER($G197),$G197&lt;=IF($S197=MesCiclo,InicioCiclo,$S197+MOD(2-WEEKDAY($S197),7))+13),1,MIN(1,MAX(0,IF(ISNUMBER(OFFSET($A$1,ROW()-1,9)),OFFSET($A$1,ROW()-1,9),IF(ISNUMBER(OFFSET($A$1,ROW()-1,8)),OFFSET($A$1,ROW()-1,8),0))))))</f>
        <v/>
      </c>
      <c r="AF197" s="62">
        <f>IF($V197&lt;&gt;"Sub","",N($X197)*IF(AND(ISNUMBER($G197),$G197&lt;=IF($S197=MesCiclo,InicioCiclo,$S197+MOD(2-WEEKDAY($S197),7))+20),1,MIN(1,MAX(0,IF(ISNUMBER(OFFSET($A$1,ROW()-1,10)),OFFSET($A$1,ROW()-1,10),IF(ISNUMBER(OFFSET($A$1,ROW()-1,9)),OFFSET($A$1,ROW()-1,9),IF(ISNUMBER(OFFSET($A$1,ROW()-1,8)),OFFSET($A$1,ROW()-1,8),0)))))))</f>
        <v/>
      </c>
      <c r="AG197" s="62">
        <f>IF($V197&lt;&gt;"Sub","",N($X197)*IF(AND(ISNUMBER($G197),$G197&lt;=IF($S197=MesCiclo,InicioCiclo,$S197+MOD(2-WEEKDAY($S197),7))+27),1,MIN(1,MAX(0,IF(ISNUMBER(OFFSET($A$1,ROW()-1,11)),OFFSET($A$1,ROW()-1,11),IF(ISNUMBER(OFFSET($A$1,ROW()-1,10)),OFFSET($A$1,ROW()-1,10),IF(ISNUMBER(OFFSET($A$1,ROW()-1,9)),OFFSET($A$1,ROW()-1,9),IF(ISNUMBER(OFFSET($A$1,ROW()-1,8)),OFFSET($A$1,ROW()-1,8),0))))))))</f>
        <v/>
      </c>
      <c r="AH197" s="62">
        <f>IF($V197="","",IF(AND(ISNUMBER($G197),$G197&lt;=IF($S197=MesCiclo,InicioCiclo,$S197+MOD(2-WEEKDAY($S197),7))+6),1,IF(N($W197)&gt;0,MIN(1,SUMIFS($AD$5:$AD$1000,$U$5:$U$1000,ROW(),$V$5:$V$1000,"Sub")),$Z197)))</f>
        <v/>
      </c>
      <c r="AI197" s="62">
        <f>IF($V197="","",IF(AND(ISNUMBER($G197),$G197&lt;=IF($S197=MesCiclo,InicioCiclo,$S197+MOD(2-WEEKDAY($S197),7))+13),1,IF(N($W197)&gt;0,MIN(1,SUMIFS($AE$5:$AE$1000,$U$5:$U$1000,ROW(),$V$5:$V$1000,"Sub")),$AA197)))</f>
        <v/>
      </c>
      <c r="AJ197" s="62">
        <f>IF($V197="","",IF(AND(ISNUMBER($G197),$G197&lt;=IF($S197=MesCiclo,InicioCiclo,$S197+MOD(2-WEEKDAY($S197),7))+20),1,IF(N($W197)&gt;0,MIN(1,SUMIFS($AF$5:$AF$1000,$U$5:$U$1000,ROW(),$V$5:$V$1000,"Sub")),$AB197)))</f>
        <v/>
      </c>
      <c r="AK197" s="62">
        <f>IF($V197="","",IF(AND(ISNUMBER($G197),$G197&lt;=IF($S197=MesCiclo,InicioCiclo,$S197+MOD(2-WEEKDAY($S197),7))+27),1,IF(N($W197)&gt;0,MIN(1,SUMIFS($AG$5:$AG$1000,$U$5:$U$1000,ROW(),$V$5:$V$1000,"Sub")),$AC197)))</f>
        <v/>
      </c>
      <c r="AL197" s="62">
        <f>IF($V197&lt;&gt;"Macro","",IF(COUNTIFS($S$5:$S$1000,$S197,$V$5:$V$1000,"Macro",$H$5:$H$1000,"&gt;0")=0,1/COUNTIFS($S$5:$S$1000,$S197,$V$5:$V$1000,"Macro"),IF(AND(ISNUMBER($H197),N($H197)&gt;0),$H197,SUMIFS($H$5:$H$1000,$S$5:$S$1000,$S197,$V$5:$V$1000,"Macro")/COUNTIFS($S$5:$S$1000,$S197,$V$5:$V$1000,"Macro",$H$5:$H$1000,"&gt;0"))/(COUNTIFS($S$5:$S$1000,$S197,$V$5:$V$1000,"Macro")*SUMIFS($H$5:$H$1000,$S$5:$S$1000,$S197,$V$5:$V$1000,"Macro")/COUNTIFS($S$5:$S$1000,$S197,$V$5:$V$1000,"Macro",$H$5:$H$1000,"&gt;0"))))</f>
        <v/>
      </c>
      <c r="AM197" s="62" t="n"/>
      <c r="AN197" s="62" t="n"/>
      <c r="AO197" s="62" t="n"/>
      <c r="AP197" s="62" t="n"/>
      <c r="AQ197" s="62">
        <f>IF(LEFT($C197,11)="[Jefatura] ",IFERROR(MATCH("Asistente Técnico de Riesgo|"&amp;MID($C197,12,500),rDname_ADM,0),0),"")</f>
        <v/>
      </c>
      <c r="AR197" s="62">
        <f>IF(N($AQ197)&gt;0,INDEX(rIni_ADM,$AQ197),IF(ISNUMBER($E197),$E197,""))</f>
        <v/>
      </c>
      <c r="AS197" s="62">
        <f>IF(N($AQ197)&gt;0,INDEX(rLim_ADM,$AQ197),IF(ISNUMBER($F197),$F197,""))</f>
        <v/>
      </c>
    </row>
    <row r="198">
      <c r="A198" s="56">
        <f>IF(NOT((COUNTA($B198:$D198)+COUNTA($G198:$H198)+COUNTA($Q198))&gt;0),"",IF($V198="Macro",COUNTIFS($V$5:$V198,"Macro",$S$5:$S198,$S198),IF(N($U198)=0,"?",COUNTIFS(INDEX($V$5:$V$1000,1):INDEX($V$5:$V$1000,$U198-4),"Macro",INDEX($S$5:$S$1000,1):INDEX($S$5:$S$1000,$U198-4),INDEX($S$5:$S$1000,$U198-4))&amp;"."&amp;COUNTIFS($U$5:$U198,$U198,$V$5:$V198,"Sub"))))</f>
        <v/>
      </c>
      <c r="B198" s="57" t="n"/>
      <c r="C198" s="58" t="n"/>
      <c r="D198" s="58" t="n"/>
      <c r="E198" s="59">
        <f>IF(N($AQ198)&gt;0,INDEX(rIni_ADM,$AQ198),"")</f>
        <v/>
      </c>
      <c r="F198" s="59">
        <f>IF(N($AQ198)&gt;0,INDEX(rLim_ADM,$AQ198),"")</f>
        <v/>
      </c>
      <c r="G198" s="59" t="n"/>
      <c r="H198" s="60" t="n"/>
      <c r="I198" s="60">
        <f>IF(N($W198)=0,"",IF(AND($S198=MesCiclo,1&gt;SemanaActual),"",MIN(1,SUMIFS(OFFSET($A$1,ROW(),29,1000-ROW(),1),OFFSET($A$1,ROW(),20,1000-ROW(),1),ROW(),OFFSET($A$1,ROW(),21,1000-ROW(),1),"Sub"))))</f>
        <v/>
      </c>
      <c r="J198" s="60">
        <f>IF(N($W198)=0,"",IF(AND($S198=MesCiclo,2&gt;SemanaActual),"",MIN(1,SUMIFS(OFFSET($A$1,ROW(),30,1000-ROW(),1),OFFSET($A$1,ROW(),20,1000-ROW(),1),ROW(),OFFSET($A$1,ROW(),21,1000-ROW(),1),"Sub"))))</f>
        <v/>
      </c>
      <c r="K198" s="60">
        <f>IF(N($W198)=0,"",IF(AND($S198=MesCiclo,3&gt;SemanaActual),"",MIN(1,SUMIFS(OFFSET($A$1,ROW(),31,1000-ROW(),1),OFFSET($A$1,ROW(),20,1000-ROW(),1),ROW(),OFFSET($A$1,ROW(),21,1000-ROW(),1),"Sub"))))</f>
        <v/>
      </c>
      <c r="L198" s="60">
        <f>IF(N($W198)=0,"",IF(AND($S198=MesCiclo,4&gt;SemanaActual),"",MIN(1,SUMIFS(OFFSET($A$1,ROW(),32,1000-ROW(),1),OFFSET($A$1,ROW(),20,1000-ROW(),1),ROW(),OFFSET($A$1,ROW(),21,1000-ROW(),1),"Sub"))))</f>
        <v/>
      </c>
      <c r="M198" s="61">
        <f>IF(OR(NOT((COUNTA($B198:$D198)+COUNTA($G198:$H198)+COUNTA($Q198))&gt;0),$V198="Sub"),"",IF(ISNUMBER($G198),1,IF(N($W198)&gt;0,MIN(1,SUMIFS($Y$5:$Y$1000,$U$5:$U$1000,ROW(),$V$5:$V$1000,"Sub")),$Y198)))</f>
        <v/>
      </c>
      <c r="N198" s="56">
        <f>IF(OR($M198="",$V198="Sub"),"",IF($M198&gt;=1,"Completado",IF($M198&gt;0,"En curso","Pendiente")))</f>
        <v/>
      </c>
      <c r="O198" s="56">
        <f>IF(OR(NOT((COUNTA($B198:$D198)+COUNTA($G198:$H198)+COUNTA($Q198))&gt;0),$V198="Sub"),"",IF(ISNUMBER($G198),IF(AND(ISNUMBER($AS198),$G198&gt;$AS198),"Cumplida con "&amp;($G198-$AS198)&amp;IF($G198-$AS198=1," día"," días")&amp;" de retraso","Cumplida"),IF(N($M198)&gt;=1,"Cumplida",IF(NOT(ISNUMBER($AS198)),"Sin fecha límite",IF($AS198&lt;FechaRef,"Vencida hace "&amp;(FechaRef-$AS198)&amp;IF(FechaRef-$AS198=1," día"," días"),IF($AS198=FechaRef,"Vence hoy",IF($AS198-FechaRef&lt;=DiasAlerta,"Vence en "&amp;($AS198-FechaRef)&amp;IF($AS198-FechaRef=1," día"," días"),"En plazo")))))))</f>
        <v/>
      </c>
      <c r="P198" s="62" t="n"/>
      <c r="Q198" s="58" t="n"/>
      <c r="R198" s="63">
        <f>IF(NOT((COUNTA($B198:$D198)+COUNTA($G198:$H198)+COUNTA($Q198))&gt;0),"",IF((IF($C198="","Falta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 OK","⚠ "&amp;LEFT(IF($C198="","Falta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",""),LEN(IF($C198="","Falta el nombre de la actividad"&amp;" · ","")&amp;IF(AND($V198="Sub",N($U198)=0),"Subactividad sin macroactividad arriba"&amp;" · ","")&amp;IF(AND($V198="Macro",$AR198=""),"Sin fecha de inicio"&amp;" · ","")&amp;IF(AND($V198="Macro",$AS198=""),"Sin fecha límite"&amp;" · ","")&amp;IF(AND(LEFT($C198,11)="[Jefatura] ",N($AQ198)=0),"No se encuentra en la hoja de la jefatura (elíjala de nuevo en la lista)"&amp;" · ","")&amp;IF(OR(AND($E198&lt;&gt;"",NOT(ISNUMBER($E198))),AND($F198&lt;&gt;"",NOT(ISNUMBER($F198))),AND($G198&lt;&gt;"",NOT(ISNUMBER($G198)))),"Fecha no válida"&amp;" · ","")&amp;IF(AND(ISNUMBER($AR198),ISNUMBER($AS198),$AR198&gt;$AS198),"Inicio posterior a fecha límite"&amp;" · ","")&amp;IF(AND($V198="Macro",$H198&lt;&gt;"",OR(NOT(ISNUMBER($H198)),$H198&lt;0,$H198&gt;1)),"Peso fuera de rango"&amp;" · ","")&amp;IF(AND($V198="Sub",$H198&lt;&gt;"",OR(NOT(ISNUMBER($H198)),$H198&lt;0,$H198&gt;1)),"% de la subactividad fuera de rango 0-100%"&amp;" · ","")&amp;IF(AND(N($W198)&gt;0,SUMIFS($H$5:$H$1000,$U$5:$U$1000,ROW(),$V$5:$V$1000,"Sub")&gt;1.0001),"Las subactividades suman más de 100%"&amp;" · ","")&amp;IF(AND(N($W198)&gt;0,OR(IF(ISNUMBER($I198),ROUND($I198,6)&lt;&gt;ROUND(MIN(1,SUMIFS($AD$5:$AD$1000,$U$5:$U$1000,ROW(),$V$5:$V$1000,"Sub")),6),FALSE),IF(ISNUMBER($J198),ROUND($J198,6)&lt;&gt;ROUND(MIN(1,SUMIFS($AE$5:$AE$1000,$U$5:$U$1000,ROW(),$V$5:$V$1000,"Sub")),6),FALSE),IF(ISNUMBER($K198),ROUND($K198,6)&lt;&gt;ROUND(MIN(1,SUMIFS($AF$5:$AF$1000,$U$5:$U$1000,ROW(),$V$5:$V$1000,"Sub")),6),FALSE),IF(ISNUMBER($L198),ROUND($L198,6)&lt;&gt;ROUND(MIN(1,SUMIFS($AG$5:$AG$1000,$U$5:$U$1000,ROW(),$V$5:$V$1000,"Sub")),6),FALSE))),"Con subactividades: no escriba en las semanas (se llenan solas)"&amp;" · ","")&amp;IF((COUNTIF($I198:$L198,"&gt;1")+COUNTIF($I198:$L198,"&lt;0")+SUMPRODUCT((LEN($I198:$L198)&gt;0)*NOT(ISNUMBER($I198:$L198))))&gt;0,"Avance fuera de rango 0-100%"&amp;" · ","")&amp;IF(OR(AND(ISNUMBER($J198),$J198&lt;N($I198)),AND(ISNUMBER($K198),$K198&lt;MAX($I198:$J198)),AND(ISNUMBER($L198),$L198&lt;MAX($I198:$K198))),"Avance semanal decreciente"&amp;" · ","")&amp;IF(AND(ISNUMBER($AS198),$AS198&lt;FechaRef,IF($V198="Sub",1,N($M198))&lt;1),"Vencida"&amp;" · ","")&amp;IF(AND(ObsObligatoria="Sí",ISNUMBER($AS198),$AS198&lt;FechaRef,IF($V198="Sub",1,N($M198))&lt;1,$Q198=""),"Vencida sin observación"&amp;" · ",""))-3)))</f>
        <v/>
      </c>
      <c r="S198" s="64">
        <f>IF(NOT((COUNTA($B198:$D198)+COUNTA($G198:$H198)+COUNTA($Q198))&gt;0),"",IF(AND($V198="Sub",N($U198)&gt;0),IF(ISNUMBER(INDEX($AR$5:$AR$1000,$U198-4)),DATE(YEAR(INDEX($AR$5:$AR$1000,$U198-4)),MONTH(INDEX($AR$5:$AR$1000,$U198-4)),1),IF(ISNUMBER(INDEX($AS$5:$AS$1000,$U198-4)),DATE(YEAR(INDEX($AS$5:$AS$1000,$U198-4)),MONTH(INDEX($AS$5:$AS$1000,$U198-4)),1),MesCiclo)),IF(ISNUMBER($AR198),DATE(YEAR($AR198),MONTH($AR198),1),IF(ISNUMBER($AS198),DATE(YEAR($AS198),MONTH($AS198),1),MesCiclo))))</f>
        <v/>
      </c>
      <c r="T198" s="62">
        <f>IF(OR($S198="",$S198&lt;&gt;MesCiclo,$V198&lt;&gt;"Macro"),"",COUNTIFS($S$5:$S198,MesCiclo,$V$5:$V198,"Macro"))</f>
        <v/>
      </c>
      <c r="U198" s="62">
        <f>IF($V198="","",IF($V198="Macro",ROW(),IFERROR(LOOKUP(2,1/($V$5:$V198="Macro"),ROW($V$5:$V198)),0)))</f>
        <v/>
      </c>
      <c r="V198" s="62">
        <f>IF(NOT((COUNTA($B198:$D198)+COUNTA($G198:$H198)+COUNTA($Q198))&gt;0),"",IF($B198="Subactividad","Sub","Macro"))</f>
        <v/>
      </c>
      <c r="W198" s="62">
        <f>IF($V198="Macro",COUNTIFS($U$5:$U$1000,ROW(),$V$5:$V$1000,"Sub"),"")</f>
        <v/>
      </c>
      <c r="X198" s="62">
        <f>IF($V198&lt;&gt;"Sub","",IF(AND(ISNUMBER($H198),N($H198)&gt;0),$H198,IFERROR(MAX(0,1-SUMIFS($H$5:$H$1000,$U$5:$U$1000,$U198,$V$5:$V$1000,"Sub"))/(COUNTIFS($U$5:$U$1000,$U198,$V$5:$V$1000,"Sub")-COUNTIFS($U$5:$U$1000,$U198,$V$5:$V$1000,"Sub",$H$5:$H$1000,"&gt;0")),0)))</f>
        <v/>
      </c>
      <c r="Y198" s="62">
        <f>IF($V198="","",IF($V198="Sub",N($X198)*IF(ISNUMBER($G198),1,MIN(1,MAX(0,IFERROR(LOOKUP(2,1/ISNUMBER($I198:$L198),$I198:$L198),0)))),IF(ISNUMBER($G198),1,IFERROR(LOOKUP(2,1/($I198:$L198&lt;&gt;""),$I198:$L198),0))))</f>
        <v/>
      </c>
      <c r="Z198" s="62">
        <f>IF($V198="","",IF(AND(ISNUMBER($G198),$G198&lt;=IF($S198=MesCiclo,InicioCiclo,$S198+MOD(2-WEEKDAY($S198),7))+6),1,IF(ISNUMBER($I198),$I198,0)))</f>
        <v/>
      </c>
      <c r="AA198" s="62">
        <f>IF($V198="","",IF(AND(ISNUMBER($G198),$G198&lt;=IF($S198=MesCiclo,InicioCiclo,$S198+MOD(2-WEEKDAY($S198),7))+13),1,IF(ISNUMBER($J198),$J198,$Z198)))</f>
        <v/>
      </c>
      <c r="AB198" s="62">
        <f>IF($V198="","",IF(AND(ISNUMBER($G198),$G198&lt;=IF($S198=MesCiclo,InicioCiclo,$S198+MOD(2-WEEKDAY($S198),7))+20),1,IF(ISNUMBER($K198),$K198,$AA198)))</f>
        <v/>
      </c>
      <c r="AC198" s="62">
        <f>IF($V198="","",IF(AND(ISNUMBER($G198),$G198&lt;=IF($S198=MesCiclo,InicioCiclo,$S198+MOD(2-WEEKDAY($S198),7))+27),1,IF(ISNUMBER($L198),$L198,$AB198)))</f>
        <v/>
      </c>
      <c r="AD198" s="62">
        <f>IF($V198&lt;&gt;"Sub","",N($X198)*IF(AND(ISNUMBER($G198),$G198&lt;=IF($S198=MesCiclo,InicioCiclo,$S198+MOD(2-WEEKDAY($S198),7))+6),1,MIN(1,MAX(0,IF(ISNUMBER(OFFSET($A$1,ROW()-1,8)),OFFSET($A$1,ROW()-1,8),0)))))</f>
        <v/>
      </c>
      <c r="AE198" s="62">
        <f>IF($V198&lt;&gt;"Sub","",N($X198)*IF(AND(ISNUMBER($G198),$G198&lt;=IF($S198=MesCiclo,InicioCiclo,$S198+MOD(2-WEEKDAY($S198),7))+13),1,MIN(1,MAX(0,IF(ISNUMBER(OFFSET($A$1,ROW()-1,9)),OFFSET($A$1,ROW()-1,9),IF(ISNUMBER(OFFSET($A$1,ROW()-1,8)),OFFSET($A$1,ROW()-1,8),0))))))</f>
        <v/>
      </c>
      <c r="AF198" s="62">
        <f>IF($V198&lt;&gt;"Sub","",N($X198)*IF(AND(ISNUMBER($G198),$G198&lt;=IF($S198=MesCiclo,InicioCiclo,$S198+MOD(2-WEEKDAY($S198),7))+20),1,MIN(1,MAX(0,IF(ISNUMBER(OFFSET($A$1,ROW()-1,10)),OFFSET($A$1,ROW()-1,10),IF(ISNUMBER(OFFSET($A$1,ROW()-1,9)),OFFSET($A$1,ROW()-1,9),IF(ISNUMBER(OFFSET($A$1,ROW()-1,8)),OFFSET($A$1,ROW()-1,8),0)))))))</f>
        <v/>
      </c>
      <c r="AG198" s="62">
        <f>IF($V198&lt;&gt;"Sub","",N($X198)*IF(AND(ISNUMBER($G198),$G198&lt;=IF($S198=MesCiclo,InicioCiclo,$S198+MOD(2-WEEKDAY($S198),7))+27),1,MIN(1,MAX(0,IF(ISNUMBER(OFFSET($A$1,ROW()-1,11)),OFFSET($A$1,ROW()-1,11),IF(ISNUMBER(OFFSET($A$1,ROW()-1,10)),OFFSET($A$1,ROW()-1,10),IF(ISNUMBER(OFFSET($A$1,ROW()-1,9)),OFFSET($A$1,ROW()-1,9),IF(ISNUMBER(OFFSET($A$1,ROW()-1,8)),OFFSET($A$1,ROW()-1,8),0))))))))</f>
        <v/>
      </c>
      <c r="AH198" s="62">
        <f>IF($V198="","",IF(AND(ISNUMBER($G198),$G198&lt;=IF($S198=MesCiclo,InicioCiclo,$S198+MOD(2-WEEKDAY($S198),7))+6),1,IF(N($W198)&gt;0,MIN(1,SUMIFS($AD$5:$AD$1000,$U$5:$U$1000,ROW(),$V$5:$V$1000,"Sub")),$Z198)))</f>
        <v/>
      </c>
      <c r="AI198" s="62">
        <f>IF($V198="","",IF(AND(ISNUMBER($G198),$G198&lt;=IF($S198=MesCiclo,InicioCiclo,$S198+MOD(2-WEEKDAY($S198),7))+13),1,IF(N($W198)&gt;0,MIN(1,SUMIFS($AE$5:$AE$1000,$U$5:$U$1000,ROW(),$V$5:$V$1000,"Sub")),$AA198)))</f>
        <v/>
      </c>
      <c r="AJ198" s="62">
        <f>IF($V198="","",IF(AND(ISNUMBER($G198),$G198&lt;=IF($S198=MesCiclo,InicioCiclo,$S198+MOD(2-WEEKDAY($S198),7))+20),1,IF(N($W198)&gt;0,MIN(1,SUMIFS($AF$5:$AF$1000,$U$5:$U$1000,ROW(),$V$5:$V$1000,"Sub")),$AB198)))</f>
        <v/>
      </c>
      <c r="AK198" s="62">
        <f>IF($V198="","",IF(AND(ISNUMBER($G198),$G198&lt;=IF($S198=MesCiclo,InicioCiclo,$S198+MOD(2-WEEKDAY($S198),7))+27),1,IF(N($W198)&gt;0,MIN(1,SUMIFS($AG$5:$AG$1000,$U$5:$U$1000,ROW(),$V$5:$V$1000,"Sub")),$AC198)))</f>
        <v/>
      </c>
      <c r="AL198" s="62">
        <f>IF($V198&lt;&gt;"Macro","",IF(COUNTIFS($S$5:$S$1000,$S198,$V$5:$V$1000,"Macro",$H$5:$H$1000,"&gt;0")=0,1/COUNTIFS($S$5:$S$1000,$S198,$V$5:$V$1000,"Macro"),IF(AND(ISNUMBER($H198),N($H198)&gt;0),$H198,SUMIFS($H$5:$H$1000,$S$5:$S$1000,$S198,$V$5:$V$1000,"Macro")/COUNTIFS($S$5:$S$1000,$S198,$V$5:$V$1000,"Macro",$H$5:$H$1000,"&gt;0"))/(COUNTIFS($S$5:$S$1000,$S198,$V$5:$V$1000,"Macro")*SUMIFS($H$5:$H$1000,$S$5:$S$1000,$S198,$V$5:$V$1000,"Macro")/COUNTIFS($S$5:$S$1000,$S198,$V$5:$V$1000,"Macro",$H$5:$H$1000,"&gt;0"))))</f>
        <v/>
      </c>
      <c r="AM198" s="62" t="n"/>
      <c r="AN198" s="62" t="n"/>
      <c r="AO198" s="62" t="n"/>
      <c r="AP198" s="62" t="n"/>
      <c r="AQ198" s="62">
        <f>IF(LEFT($C198,11)="[Jefatura] ",IFERROR(MATCH("Asistente Técnico de Riesgo|"&amp;MID($C198,12,500),rDname_ADM,0),0),"")</f>
        <v/>
      </c>
      <c r="AR198" s="62">
        <f>IF(N($AQ198)&gt;0,INDEX(rIni_ADM,$AQ198),IF(ISNUMBER($E198),$E198,""))</f>
        <v/>
      </c>
      <c r="AS198" s="62">
        <f>IF(N($AQ198)&gt;0,INDEX(rLim_ADM,$AQ198),IF(ISNUMBER($F198),$F198,""))</f>
        <v/>
      </c>
    </row>
    <row r="199">
      <c r="A199" s="56">
        <f>IF(NOT((COUNTA($B199:$D199)+COUNTA($G199:$H199)+COUNTA($Q199))&gt;0),"",IF($V199="Macro",COUNTIFS($V$5:$V199,"Macro",$S$5:$S199,$S199),IF(N($U199)=0,"?",COUNTIFS(INDEX($V$5:$V$1000,1):INDEX($V$5:$V$1000,$U199-4),"Macro",INDEX($S$5:$S$1000,1):INDEX($S$5:$S$1000,$U199-4),INDEX($S$5:$S$1000,$U199-4))&amp;"."&amp;COUNTIFS($U$5:$U199,$U199,$V$5:$V199,"Sub"))))</f>
        <v/>
      </c>
      <c r="B199" s="57" t="n"/>
      <c r="C199" s="58" t="n"/>
      <c r="D199" s="58" t="n"/>
      <c r="E199" s="59">
        <f>IF(N($AQ199)&gt;0,INDEX(rIni_ADM,$AQ199),"")</f>
        <v/>
      </c>
      <c r="F199" s="59">
        <f>IF(N($AQ199)&gt;0,INDEX(rLim_ADM,$AQ199),"")</f>
        <v/>
      </c>
      <c r="G199" s="59" t="n"/>
      <c r="H199" s="60" t="n"/>
      <c r="I199" s="60">
        <f>IF(N($W199)=0,"",IF(AND($S199=MesCiclo,1&gt;SemanaActual),"",MIN(1,SUMIFS(OFFSET($A$1,ROW(),29,1000-ROW(),1),OFFSET($A$1,ROW(),20,1000-ROW(),1),ROW(),OFFSET($A$1,ROW(),21,1000-ROW(),1),"Sub"))))</f>
        <v/>
      </c>
      <c r="J199" s="60">
        <f>IF(N($W199)=0,"",IF(AND($S199=MesCiclo,2&gt;SemanaActual),"",MIN(1,SUMIFS(OFFSET($A$1,ROW(),30,1000-ROW(),1),OFFSET($A$1,ROW(),20,1000-ROW(),1),ROW(),OFFSET($A$1,ROW(),21,1000-ROW(),1),"Sub"))))</f>
        <v/>
      </c>
      <c r="K199" s="60">
        <f>IF(N($W199)=0,"",IF(AND($S199=MesCiclo,3&gt;SemanaActual),"",MIN(1,SUMIFS(OFFSET($A$1,ROW(),31,1000-ROW(),1),OFFSET($A$1,ROW(),20,1000-ROW(),1),ROW(),OFFSET($A$1,ROW(),21,1000-ROW(),1),"Sub"))))</f>
        <v/>
      </c>
      <c r="L199" s="60">
        <f>IF(N($W199)=0,"",IF(AND($S199=MesCiclo,4&gt;SemanaActual),"",MIN(1,SUMIFS(OFFSET($A$1,ROW(),32,1000-ROW(),1),OFFSET($A$1,ROW(),20,1000-ROW(),1),ROW(),OFFSET($A$1,ROW(),21,1000-ROW(),1),"Sub"))))</f>
        <v/>
      </c>
      <c r="M199" s="61">
        <f>IF(OR(NOT((COUNTA($B199:$D199)+COUNTA($G199:$H199)+COUNTA($Q199))&gt;0),$V199="Sub"),"",IF(ISNUMBER($G199),1,IF(N($W199)&gt;0,MIN(1,SUMIFS($Y$5:$Y$1000,$U$5:$U$1000,ROW(),$V$5:$V$1000,"Sub")),$Y199)))</f>
        <v/>
      </c>
      <c r="N199" s="56">
        <f>IF(OR($M199="",$V199="Sub"),"",IF($M199&gt;=1,"Completado",IF($M199&gt;0,"En curso","Pendiente")))</f>
        <v/>
      </c>
      <c r="O199" s="56">
        <f>IF(OR(NOT((COUNTA($B199:$D199)+COUNTA($G199:$H199)+COUNTA($Q199))&gt;0),$V199="Sub"),"",IF(ISNUMBER($G199),IF(AND(ISNUMBER($AS199),$G199&gt;$AS199),"Cumplida con "&amp;($G199-$AS199)&amp;IF($G199-$AS199=1," día"," días")&amp;" de retraso","Cumplida"),IF(N($M199)&gt;=1,"Cumplida",IF(NOT(ISNUMBER($AS199)),"Sin fecha límite",IF($AS199&lt;FechaRef,"Vencida hace "&amp;(FechaRef-$AS199)&amp;IF(FechaRef-$AS199=1," día"," días"),IF($AS199=FechaRef,"Vence hoy",IF($AS199-FechaRef&lt;=DiasAlerta,"Vence en "&amp;($AS199-FechaRef)&amp;IF($AS199-FechaRef=1," día"," días"),"En plazo")))))))</f>
        <v/>
      </c>
      <c r="P199" s="62" t="n"/>
      <c r="Q199" s="58" t="n"/>
      <c r="R199" s="63">
        <f>IF(NOT((COUNTA($B199:$D199)+COUNTA($G199:$H199)+COUNTA($Q199))&gt;0),"",IF((IF($C199="","Falta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 OK","⚠ "&amp;LEFT(IF($C199="","Falta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",""),LEN(IF($C199="","Falta el nombre de la actividad"&amp;" · ","")&amp;IF(AND($V199="Sub",N($U199)=0),"Subactividad sin macroactividad arriba"&amp;" · ","")&amp;IF(AND($V199="Macro",$AR199=""),"Sin fecha de inicio"&amp;" · ","")&amp;IF(AND($V199="Macro",$AS199=""),"Sin fecha límite"&amp;" · ","")&amp;IF(AND(LEFT($C199,11)="[Jefatura] ",N($AQ199)=0),"No se encuentra en la hoja de la jefatura (elíjala de nuevo en la lista)"&amp;" · ","")&amp;IF(OR(AND($E199&lt;&gt;"",NOT(ISNUMBER($E199))),AND($F199&lt;&gt;"",NOT(ISNUMBER($F199))),AND($G199&lt;&gt;"",NOT(ISNUMBER($G199)))),"Fecha no válida"&amp;" · ","")&amp;IF(AND(ISNUMBER($AR199),ISNUMBER($AS199),$AR199&gt;$AS199),"Inicio posterior a fecha límite"&amp;" · ","")&amp;IF(AND($V199="Macro",$H199&lt;&gt;"",OR(NOT(ISNUMBER($H199)),$H199&lt;0,$H199&gt;1)),"Peso fuera de rango"&amp;" · ","")&amp;IF(AND($V199="Sub",$H199&lt;&gt;"",OR(NOT(ISNUMBER($H199)),$H199&lt;0,$H199&gt;1)),"% de la subactividad fuera de rango 0-100%"&amp;" · ","")&amp;IF(AND(N($W199)&gt;0,SUMIFS($H$5:$H$1000,$U$5:$U$1000,ROW(),$V$5:$V$1000,"Sub")&gt;1.0001),"Las subactividades suman más de 100%"&amp;" · ","")&amp;IF(AND(N($W199)&gt;0,OR(IF(ISNUMBER($I199),ROUND($I199,6)&lt;&gt;ROUND(MIN(1,SUMIFS($AD$5:$AD$1000,$U$5:$U$1000,ROW(),$V$5:$V$1000,"Sub")),6),FALSE),IF(ISNUMBER($J199),ROUND($J199,6)&lt;&gt;ROUND(MIN(1,SUMIFS($AE$5:$AE$1000,$U$5:$U$1000,ROW(),$V$5:$V$1000,"Sub")),6),FALSE),IF(ISNUMBER($K199),ROUND($K199,6)&lt;&gt;ROUND(MIN(1,SUMIFS($AF$5:$AF$1000,$U$5:$U$1000,ROW(),$V$5:$V$1000,"Sub")),6),FALSE),IF(ISNUMBER($L199),ROUND($L199,6)&lt;&gt;ROUND(MIN(1,SUMIFS($AG$5:$AG$1000,$U$5:$U$1000,ROW(),$V$5:$V$1000,"Sub")),6),FALSE))),"Con subactividades: no escriba en las semanas (se llenan solas)"&amp;" · ","")&amp;IF((COUNTIF($I199:$L199,"&gt;1")+COUNTIF($I199:$L199,"&lt;0")+SUMPRODUCT((LEN($I199:$L199)&gt;0)*NOT(ISNUMBER($I199:$L199))))&gt;0,"Avance fuera de rango 0-100%"&amp;" · ","")&amp;IF(OR(AND(ISNUMBER($J199),$J199&lt;N($I199)),AND(ISNUMBER($K199),$K199&lt;MAX($I199:$J199)),AND(ISNUMBER($L199),$L199&lt;MAX($I199:$K199))),"Avance semanal decreciente"&amp;" · ","")&amp;IF(AND(ISNUMBER($AS199),$AS199&lt;FechaRef,IF($V199="Sub",1,N($M199))&lt;1),"Vencida"&amp;" · ","")&amp;IF(AND(ObsObligatoria="Sí",ISNUMBER($AS199),$AS199&lt;FechaRef,IF($V199="Sub",1,N($M199))&lt;1,$Q199=""),"Vencida sin observación"&amp;" · ",""))-3)))</f>
        <v/>
      </c>
      <c r="S199" s="64">
        <f>IF(NOT((COUNTA($B199:$D199)+COUNTA($G199:$H199)+COUNTA($Q199))&gt;0),"",IF(AND($V199="Sub",N($U199)&gt;0),IF(ISNUMBER(INDEX($AR$5:$AR$1000,$U199-4)),DATE(YEAR(INDEX($AR$5:$AR$1000,$U199-4)),MONTH(INDEX($AR$5:$AR$1000,$U199-4)),1),IF(ISNUMBER(INDEX($AS$5:$AS$1000,$U199-4)),DATE(YEAR(INDEX($AS$5:$AS$1000,$U199-4)),MONTH(INDEX($AS$5:$AS$1000,$U199-4)),1),MesCiclo)),IF(ISNUMBER($AR199),DATE(YEAR($AR199),MONTH($AR199),1),IF(ISNUMBER($AS199),DATE(YEAR($AS199),MONTH($AS199),1),MesCiclo))))</f>
        <v/>
      </c>
      <c r="T199" s="62">
        <f>IF(OR($S199="",$S199&lt;&gt;MesCiclo,$V199&lt;&gt;"Macro"),"",COUNTIFS($S$5:$S199,MesCiclo,$V$5:$V199,"Macro"))</f>
        <v/>
      </c>
      <c r="U199" s="62">
        <f>IF($V199="","",IF($V199="Macro",ROW(),IFERROR(LOOKUP(2,1/($V$5:$V199="Macro"),ROW($V$5:$V199)),0)))</f>
        <v/>
      </c>
      <c r="V199" s="62">
        <f>IF(NOT((COUNTA($B199:$D199)+COUNTA($G199:$H199)+COUNTA($Q199))&gt;0),"",IF($B199="Subactividad","Sub","Macro"))</f>
        <v/>
      </c>
      <c r="W199" s="62">
        <f>IF($V199="Macro",COUNTIFS($U$5:$U$1000,ROW(),$V$5:$V$1000,"Sub"),"")</f>
        <v/>
      </c>
      <c r="X199" s="62">
        <f>IF($V199&lt;&gt;"Sub","",IF(AND(ISNUMBER($H199),N($H199)&gt;0),$H199,IFERROR(MAX(0,1-SUMIFS($H$5:$H$1000,$U$5:$U$1000,$U199,$V$5:$V$1000,"Sub"))/(COUNTIFS($U$5:$U$1000,$U199,$V$5:$V$1000,"Sub")-COUNTIFS($U$5:$U$1000,$U199,$V$5:$V$1000,"Sub",$H$5:$H$1000,"&gt;0")),0)))</f>
        <v/>
      </c>
      <c r="Y199" s="62">
        <f>IF($V199="","",IF($V199="Sub",N($X199)*IF(ISNUMBER($G199),1,MIN(1,MAX(0,IFERROR(LOOKUP(2,1/ISNUMBER($I199:$L199),$I199:$L199),0)))),IF(ISNUMBER($G199),1,IFERROR(LOOKUP(2,1/($I199:$L199&lt;&gt;""),$I199:$L199),0))))</f>
        <v/>
      </c>
      <c r="Z199" s="62">
        <f>IF($V199="","",IF(AND(ISNUMBER($G199),$G199&lt;=IF($S199=MesCiclo,InicioCiclo,$S199+MOD(2-WEEKDAY($S199),7))+6),1,IF(ISNUMBER($I199),$I199,0)))</f>
        <v/>
      </c>
      <c r="AA199" s="62">
        <f>IF($V199="","",IF(AND(ISNUMBER($G199),$G199&lt;=IF($S199=MesCiclo,InicioCiclo,$S199+MOD(2-WEEKDAY($S199),7))+13),1,IF(ISNUMBER($J199),$J199,$Z199)))</f>
        <v/>
      </c>
      <c r="AB199" s="62">
        <f>IF($V199="","",IF(AND(ISNUMBER($G199),$G199&lt;=IF($S199=MesCiclo,InicioCiclo,$S199+MOD(2-WEEKDAY($S199),7))+20),1,IF(ISNUMBER($K199),$K199,$AA199)))</f>
        <v/>
      </c>
      <c r="AC199" s="62">
        <f>IF($V199="","",IF(AND(ISNUMBER($G199),$G199&lt;=IF($S199=MesCiclo,InicioCiclo,$S199+MOD(2-WEEKDAY($S199),7))+27),1,IF(ISNUMBER($L199),$L199,$AB199)))</f>
        <v/>
      </c>
      <c r="AD199" s="62">
        <f>IF($V199&lt;&gt;"Sub","",N($X199)*IF(AND(ISNUMBER($G199),$G199&lt;=IF($S199=MesCiclo,InicioCiclo,$S199+MOD(2-WEEKDAY($S199),7))+6),1,MIN(1,MAX(0,IF(ISNUMBER(OFFSET($A$1,ROW()-1,8)),OFFSET($A$1,ROW()-1,8),0)))))</f>
        <v/>
      </c>
      <c r="AE199" s="62">
        <f>IF($V199&lt;&gt;"Sub","",N($X199)*IF(AND(ISNUMBER($G199),$G199&lt;=IF($S199=MesCiclo,InicioCiclo,$S199+MOD(2-WEEKDAY($S199),7))+13),1,MIN(1,MAX(0,IF(ISNUMBER(OFFSET($A$1,ROW()-1,9)),OFFSET($A$1,ROW()-1,9),IF(ISNUMBER(OFFSET($A$1,ROW()-1,8)),OFFSET($A$1,ROW()-1,8),0))))))</f>
        <v/>
      </c>
      <c r="AF199" s="62">
        <f>IF($V199&lt;&gt;"Sub","",N($X199)*IF(AND(ISNUMBER($G199),$G199&lt;=IF($S199=MesCiclo,InicioCiclo,$S199+MOD(2-WEEKDAY($S199),7))+20),1,MIN(1,MAX(0,IF(ISNUMBER(OFFSET($A$1,ROW()-1,10)),OFFSET($A$1,ROW()-1,10),IF(ISNUMBER(OFFSET($A$1,ROW()-1,9)),OFFSET($A$1,ROW()-1,9),IF(ISNUMBER(OFFSET($A$1,ROW()-1,8)),OFFSET($A$1,ROW()-1,8),0)))))))</f>
        <v/>
      </c>
      <c r="AG199" s="62">
        <f>IF($V199&lt;&gt;"Sub","",N($X199)*IF(AND(ISNUMBER($G199),$G199&lt;=IF($S199=MesCiclo,InicioCiclo,$S199+MOD(2-WEEKDAY($S199),7))+27),1,MIN(1,MAX(0,IF(ISNUMBER(OFFSET($A$1,ROW()-1,11)),OFFSET($A$1,ROW()-1,11),IF(ISNUMBER(OFFSET($A$1,ROW()-1,10)),OFFSET($A$1,ROW()-1,10),IF(ISNUMBER(OFFSET($A$1,ROW()-1,9)),OFFSET($A$1,ROW()-1,9),IF(ISNUMBER(OFFSET($A$1,ROW()-1,8)),OFFSET($A$1,ROW()-1,8),0))))))))</f>
        <v/>
      </c>
      <c r="AH199" s="62">
        <f>IF($V199="","",IF(AND(ISNUMBER($G199),$G199&lt;=IF($S199=MesCiclo,InicioCiclo,$S199+MOD(2-WEEKDAY($S199),7))+6),1,IF(N($W199)&gt;0,MIN(1,SUMIFS($AD$5:$AD$1000,$U$5:$U$1000,ROW(),$V$5:$V$1000,"Sub")),$Z199)))</f>
        <v/>
      </c>
      <c r="AI199" s="62">
        <f>IF($V199="","",IF(AND(ISNUMBER($G199),$G199&lt;=IF($S199=MesCiclo,InicioCiclo,$S199+MOD(2-WEEKDAY($S199),7))+13),1,IF(N($W199)&gt;0,MIN(1,SUMIFS($AE$5:$AE$1000,$U$5:$U$1000,ROW(),$V$5:$V$1000,"Sub")),$AA199)))</f>
        <v/>
      </c>
      <c r="AJ199" s="62">
        <f>IF($V199="","",IF(AND(ISNUMBER($G199),$G199&lt;=IF($S199=MesCiclo,InicioCiclo,$S199+MOD(2-WEEKDAY($S199),7))+20),1,IF(N($W199)&gt;0,MIN(1,SUMIFS($AF$5:$AF$1000,$U$5:$U$1000,ROW(),$V$5:$V$1000,"Sub")),$AB199)))</f>
        <v/>
      </c>
      <c r="AK199" s="62">
        <f>IF($V199="","",IF(AND(ISNUMBER($G199),$G199&lt;=IF($S199=MesCiclo,InicioCiclo,$S199+MOD(2-WEEKDAY($S199),7))+27),1,IF(N($W199)&gt;0,MIN(1,SUMIFS($AG$5:$AG$1000,$U$5:$U$1000,ROW(),$V$5:$V$1000,"Sub")),$AC199)))</f>
        <v/>
      </c>
      <c r="AL199" s="62">
        <f>IF($V199&lt;&gt;"Macro","",IF(COUNTIFS($S$5:$S$1000,$S199,$V$5:$V$1000,"Macro",$H$5:$H$1000,"&gt;0")=0,1/COUNTIFS($S$5:$S$1000,$S199,$V$5:$V$1000,"Macro"),IF(AND(ISNUMBER($H199),N($H199)&gt;0),$H199,SUMIFS($H$5:$H$1000,$S$5:$S$1000,$S199,$V$5:$V$1000,"Macro")/COUNTIFS($S$5:$S$1000,$S199,$V$5:$V$1000,"Macro",$H$5:$H$1000,"&gt;0"))/(COUNTIFS($S$5:$S$1000,$S199,$V$5:$V$1000,"Macro")*SUMIFS($H$5:$H$1000,$S$5:$S$1000,$S199,$V$5:$V$1000,"Macro")/COUNTIFS($S$5:$S$1000,$S199,$V$5:$V$1000,"Macro",$H$5:$H$1000,"&gt;0"))))</f>
        <v/>
      </c>
      <c r="AM199" s="62" t="n"/>
      <c r="AN199" s="62" t="n"/>
      <c r="AO199" s="62" t="n"/>
      <c r="AP199" s="62" t="n"/>
      <c r="AQ199" s="62">
        <f>IF(LEFT($C199,11)="[Jefatura] ",IFERROR(MATCH("Asistente Técnico de Riesgo|"&amp;MID($C199,12,500),rDname_ADM,0),0),"")</f>
        <v/>
      </c>
      <c r="AR199" s="62">
        <f>IF(N($AQ199)&gt;0,INDEX(rIni_ADM,$AQ199),IF(ISNUMBER($E199),$E199,""))</f>
        <v/>
      </c>
      <c r="AS199" s="62">
        <f>IF(N($AQ199)&gt;0,INDEX(rLim_ADM,$AQ199),IF(ISNUMBER($F199),$F199,""))</f>
        <v/>
      </c>
    </row>
    <row r="200">
      <c r="A200" s="56">
        <f>IF(NOT((COUNTA($B200:$D200)+COUNTA($G200:$H200)+COUNTA($Q200))&gt;0),"",IF($V200="Macro",COUNTIFS($V$5:$V200,"Macro",$S$5:$S200,$S200),IF(N($U200)=0,"?",COUNTIFS(INDEX($V$5:$V$1000,1):INDEX($V$5:$V$1000,$U200-4),"Macro",INDEX($S$5:$S$1000,1):INDEX($S$5:$S$1000,$U200-4),INDEX($S$5:$S$1000,$U200-4))&amp;"."&amp;COUNTIFS($U$5:$U200,$U200,$V$5:$V200,"Sub"))))</f>
        <v/>
      </c>
      <c r="B200" s="57" t="n"/>
      <c r="C200" s="58" t="n"/>
      <c r="D200" s="58" t="n"/>
      <c r="E200" s="59">
        <f>IF(N($AQ200)&gt;0,INDEX(rIni_ADM,$AQ200),"")</f>
        <v/>
      </c>
      <c r="F200" s="59">
        <f>IF(N($AQ200)&gt;0,INDEX(rLim_ADM,$AQ200),"")</f>
        <v/>
      </c>
      <c r="G200" s="59" t="n"/>
      <c r="H200" s="60" t="n"/>
      <c r="I200" s="60">
        <f>IF(N($W200)=0,"",IF(AND($S200=MesCiclo,1&gt;SemanaActual),"",MIN(1,SUMIFS(OFFSET($A$1,ROW(),29,1000-ROW(),1),OFFSET($A$1,ROW(),20,1000-ROW(),1),ROW(),OFFSET($A$1,ROW(),21,1000-ROW(),1),"Sub"))))</f>
        <v/>
      </c>
      <c r="J200" s="60">
        <f>IF(N($W200)=0,"",IF(AND($S200=MesCiclo,2&gt;SemanaActual),"",MIN(1,SUMIFS(OFFSET($A$1,ROW(),30,1000-ROW(),1),OFFSET($A$1,ROW(),20,1000-ROW(),1),ROW(),OFFSET($A$1,ROW(),21,1000-ROW(),1),"Sub"))))</f>
        <v/>
      </c>
      <c r="K200" s="60">
        <f>IF(N($W200)=0,"",IF(AND($S200=MesCiclo,3&gt;SemanaActual),"",MIN(1,SUMIFS(OFFSET($A$1,ROW(),31,1000-ROW(),1),OFFSET($A$1,ROW(),20,1000-ROW(),1),ROW(),OFFSET($A$1,ROW(),21,1000-ROW(),1),"Sub"))))</f>
        <v/>
      </c>
      <c r="L200" s="60">
        <f>IF(N($W200)=0,"",IF(AND($S200=MesCiclo,4&gt;SemanaActual),"",MIN(1,SUMIFS(OFFSET($A$1,ROW(),32,1000-ROW(),1),OFFSET($A$1,ROW(),20,1000-ROW(),1),ROW(),OFFSET($A$1,ROW(),21,1000-ROW(),1),"Sub"))))</f>
        <v/>
      </c>
      <c r="M200" s="61">
        <f>IF(OR(NOT((COUNTA($B200:$D200)+COUNTA($G200:$H200)+COUNTA($Q200))&gt;0),$V200="Sub"),"",IF(ISNUMBER($G200),1,IF(N($W200)&gt;0,MIN(1,SUMIFS($Y$5:$Y$1000,$U$5:$U$1000,ROW(),$V$5:$V$1000,"Sub")),$Y200)))</f>
        <v/>
      </c>
      <c r="N200" s="56">
        <f>IF(OR($M200="",$V200="Sub"),"",IF($M200&gt;=1,"Completado",IF($M200&gt;0,"En curso","Pendiente")))</f>
        <v/>
      </c>
      <c r="O200" s="56">
        <f>IF(OR(NOT((COUNTA($B200:$D200)+COUNTA($G200:$H200)+COUNTA($Q200))&gt;0),$V200="Sub"),"",IF(ISNUMBER($G200),IF(AND(ISNUMBER($AS200),$G200&gt;$AS200),"Cumplida con "&amp;($G200-$AS200)&amp;IF($G200-$AS200=1," día"," días")&amp;" de retraso","Cumplida"),IF(N($M200)&gt;=1,"Cumplida",IF(NOT(ISNUMBER($AS200)),"Sin fecha límite",IF($AS200&lt;FechaRef,"Vencida hace "&amp;(FechaRef-$AS200)&amp;IF(FechaRef-$AS200=1," día"," días"),IF($AS200=FechaRef,"Vence hoy",IF($AS200-FechaRef&lt;=DiasAlerta,"Vence en "&amp;($AS200-FechaRef)&amp;IF($AS200-FechaRef=1," día"," días"),"En plazo")))))))</f>
        <v/>
      </c>
      <c r="P200" s="62" t="n"/>
      <c r="Q200" s="58" t="n"/>
      <c r="R200" s="63">
        <f>IF(NOT((COUNTA($B200:$D200)+COUNTA($G200:$H200)+COUNTA($Q200))&gt;0),"",IF((IF($C200="","Falta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 OK","⚠ "&amp;LEFT(IF($C200="","Falta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",""),LEN(IF($C200="","Falta el nombre de la actividad"&amp;" · ","")&amp;IF(AND($V200="Sub",N($U200)=0),"Subactividad sin macroactividad arriba"&amp;" · ","")&amp;IF(AND($V200="Macro",$AR200=""),"Sin fecha de inicio"&amp;" · ","")&amp;IF(AND($V200="Macro",$AS200=""),"Sin fecha límite"&amp;" · ","")&amp;IF(AND(LEFT($C200,11)="[Jefatura] ",N($AQ200)=0),"No se encuentra en la hoja de la jefatura (elíjala de nuevo en la lista)"&amp;" · ","")&amp;IF(OR(AND($E200&lt;&gt;"",NOT(ISNUMBER($E200))),AND($F200&lt;&gt;"",NOT(ISNUMBER($F200))),AND($G200&lt;&gt;"",NOT(ISNUMBER($G200)))),"Fecha no válida"&amp;" · ","")&amp;IF(AND(ISNUMBER($AR200),ISNUMBER($AS200),$AR200&gt;$AS200),"Inicio posterior a fecha límite"&amp;" · ","")&amp;IF(AND($V200="Macro",$H200&lt;&gt;"",OR(NOT(ISNUMBER($H200)),$H200&lt;0,$H200&gt;1)),"Peso fuera de rango"&amp;" · ","")&amp;IF(AND($V200="Sub",$H200&lt;&gt;"",OR(NOT(ISNUMBER($H200)),$H200&lt;0,$H200&gt;1)),"% de la subactividad fuera de rango 0-100%"&amp;" · ","")&amp;IF(AND(N($W200)&gt;0,SUMIFS($H$5:$H$1000,$U$5:$U$1000,ROW(),$V$5:$V$1000,"Sub")&gt;1.0001),"Las subactividades suman más de 100%"&amp;" · ","")&amp;IF(AND(N($W200)&gt;0,OR(IF(ISNUMBER($I200),ROUND($I200,6)&lt;&gt;ROUND(MIN(1,SUMIFS($AD$5:$AD$1000,$U$5:$U$1000,ROW(),$V$5:$V$1000,"Sub")),6),FALSE),IF(ISNUMBER($J200),ROUND($J200,6)&lt;&gt;ROUND(MIN(1,SUMIFS($AE$5:$AE$1000,$U$5:$U$1000,ROW(),$V$5:$V$1000,"Sub")),6),FALSE),IF(ISNUMBER($K200),ROUND($K200,6)&lt;&gt;ROUND(MIN(1,SUMIFS($AF$5:$AF$1000,$U$5:$U$1000,ROW(),$V$5:$V$1000,"Sub")),6),FALSE),IF(ISNUMBER($L200),ROUND($L200,6)&lt;&gt;ROUND(MIN(1,SUMIFS($AG$5:$AG$1000,$U$5:$U$1000,ROW(),$V$5:$V$1000,"Sub")),6),FALSE))),"Con subactividades: no escriba en las semanas (se llenan solas)"&amp;" · ","")&amp;IF((COUNTIF($I200:$L200,"&gt;1")+COUNTIF($I200:$L200,"&lt;0")+SUMPRODUCT((LEN($I200:$L200)&gt;0)*NOT(ISNUMBER($I200:$L200))))&gt;0,"Avance fuera de rango 0-100%"&amp;" · ","")&amp;IF(OR(AND(ISNUMBER($J200),$J200&lt;N($I200)),AND(ISNUMBER($K200),$K200&lt;MAX($I200:$J200)),AND(ISNUMBER($L200),$L200&lt;MAX($I200:$K200))),"Avance semanal decreciente"&amp;" · ","")&amp;IF(AND(ISNUMBER($AS200),$AS200&lt;FechaRef,IF($V200="Sub",1,N($M200))&lt;1),"Vencida"&amp;" · ","")&amp;IF(AND(ObsObligatoria="Sí",ISNUMBER($AS200),$AS200&lt;FechaRef,IF($V200="Sub",1,N($M200))&lt;1,$Q200=""),"Vencida sin observación"&amp;" · ",""))-3)))</f>
        <v/>
      </c>
      <c r="S200" s="64">
        <f>IF(NOT((COUNTA($B200:$D200)+COUNTA($G200:$H200)+COUNTA($Q200))&gt;0),"",IF(AND($V200="Sub",N($U200)&gt;0),IF(ISNUMBER(INDEX($AR$5:$AR$1000,$U200-4)),DATE(YEAR(INDEX($AR$5:$AR$1000,$U200-4)),MONTH(INDEX($AR$5:$AR$1000,$U200-4)),1),IF(ISNUMBER(INDEX($AS$5:$AS$1000,$U200-4)),DATE(YEAR(INDEX($AS$5:$AS$1000,$U200-4)),MONTH(INDEX($AS$5:$AS$1000,$U200-4)),1),MesCiclo)),IF(ISNUMBER($AR200),DATE(YEAR($AR200),MONTH($AR200),1),IF(ISNUMBER($AS200),DATE(YEAR($AS200),MONTH($AS200),1),MesCiclo))))</f>
        <v/>
      </c>
      <c r="T200" s="62">
        <f>IF(OR($S200="",$S200&lt;&gt;MesCiclo,$V200&lt;&gt;"Macro"),"",COUNTIFS($S$5:$S200,MesCiclo,$V$5:$V200,"Macro"))</f>
        <v/>
      </c>
      <c r="U200" s="62">
        <f>IF($V200="","",IF($V200="Macro",ROW(),IFERROR(LOOKUP(2,1/($V$5:$V200="Macro"),ROW($V$5:$V200)),0)))</f>
        <v/>
      </c>
      <c r="V200" s="62">
        <f>IF(NOT((COUNTA($B200:$D200)+COUNTA($G200:$H200)+COUNTA($Q200))&gt;0),"",IF($B200="Subactividad","Sub","Macro"))</f>
        <v/>
      </c>
      <c r="W200" s="62">
        <f>IF($V200="Macro",COUNTIFS($U$5:$U$1000,ROW(),$V$5:$V$1000,"Sub"),"")</f>
        <v/>
      </c>
      <c r="X200" s="62">
        <f>IF($V200&lt;&gt;"Sub","",IF(AND(ISNUMBER($H200),N($H200)&gt;0),$H200,IFERROR(MAX(0,1-SUMIFS($H$5:$H$1000,$U$5:$U$1000,$U200,$V$5:$V$1000,"Sub"))/(COUNTIFS($U$5:$U$1000,$U200,$V$5:$V$1000,"Sub")-COUNTIFS($U$5:$U$1000,$U200,$V$5:$V$1000,"Sub",$H$5:$H$1000,"&gt;0")),0)))</f>
        <v/>
      </c>
      <c r="Y200" s="62">
        <f>IF($V200="","",IF($V200="Sub",N($X200)*IF(ISNUMBER($G200),1,MIN(1,MAX(0,IFERROR(LOOKUP(2,1/ISNUMBER($I200:$L200),$I200:$L200),0)))),IF(ISNUMBER($G200),1,IFERROR(LOOKUP(2,1/($I200:$L200&lt;&gt;""),$I200:$L200),0))))</f>
        <v/>
      </c>
      <c r="Z200" s="62">
        <f>IF($V200="","",IF(AND(ISNUMBER($G200),$G200&lt;=IF($S200=MesCiclo,InicioCiclo,$S200+MOD(2-WEEKDAY($S200),7))+6),1,IF(ISNUMBER($I200),$I200,0)))</f>
        <v/>
      </c>
      <c r="AA200" s="62">
        <f>IF($V200="","",IF(AND(ISNUMBER($G200),$G200&lt;=IF($S200=MesCiclo,InicioCiclo,$S200+MOD(2-WEEKDAY($S200),7))+13),1,IF(ISNUMBER($J200),$J200,$Z200)))</f>
        <v/>
      </c>
      <c r="AB200" s="62">
        <f>IF($V200="","",IF(AND(ISNUMBER($G200),$G200&lt;=IF($S200=MesCiclo,InicioCiclo,$S200+MOD(2-WEEKDAY($S200),7))+20),1,IF(ISNUMBER($K200),$K200,$AA200)))</f>
        <v/>
      </c>
      <c r="AC200" s="62">
        <f>IF($V200="","",IF(AND(ISNUMBER($G200),$G200&lt;=IF($S200=MesCiclo,InicioCiclo,$S200+MOD(2-WEEKDAY($S200),7))+27),1,IF(ISNUMBER($L200),$L200,$AB200)))</f>
        <v/>
      </c>
      <c r="AD200" s="62">
        <f>IF($V200&lt;&gt;"Sub","",N($X200)*IF(AND(ISNUMBER($G200),$G200&lt;=IF($S200=MesCiclo,InicioCiclo,$S200+MOD(2-WEEKDAY($S200),7))+6),1,MIN(1,MAX(0,IF(ISNUMBER(OFFSET($A$1,ROW()-1,8)),OFFSET($A$1,ROW()-1,8),0)))))</f>
        <v/>
      </c>
      <c r="AE200" s="62">
        <f>IF($V200&lt;&gt;"Sub","",N($X200)*IF(AND(ISNUMBER($G200),$G200&lt;=IF($S200=MesCiclo,InicioCiclo,$S200+MOD(2-WEEKDAY($S200),7))+13),1,MIN(1,MAX(0,IF(ISNUMBER(OFFSET($A$1,ROW()-1,9)),OFFSET($A$1,ROW()-1,9),IF(ISNUMBER(OFFSET($A$1,ROW()-1,8)),OFFSET($A$1,ROW()-1,8),0))))))</f>
        <v/>
      </c>
      <c r="AF200" s="62">
        <f>IF($V200&lt;&gt;"Sub","",N($X200)*IF(AND(ISNUMBER($G200),$G200&lt;=IF($S200=MesCiclo,InicioCiclo,$S200+MOD(2-WEEKDAY($S200),7))+20),1,MIN(1,MAX(0,IF(ISNUMBER(OFFSET($A$1,ROW()-1,10)),OFFSET($A$1,ROW()-1,10),IF(ISNUMBER(OFFSET($A$1,ROW()-1,9)),OFFSET($A$1,ROW()-1,9),IF(ISNUMBER(OFFSET($A$1,ROW()-1,8)),OFFSET($A$1,ROW()-1,8),0)))))))</f>
        <v/>
      </c>
      <c r="AG200" s="62">
        <f>IF($V200&lt;&gt;"Sub","",N($X200)*IF(AND(ISNUMBER($G200),$G200&lt;=IF($S200=MesCiclo,InicioCiclo,$S200+MOD(2-WEEKDAY($S200),7))+27),1,MIN(1,MAX(0,IF(ISNUMBER(OFFSET($A$1,ROW()-1,11)),OFFSET($A$1,ROW()-1,11),IF(ISNUMBER(OFFSET($A$1,ROW()-1,10)),OFFSET($A$1,ROW()-1,10),IF(ISNUMBER(OFFSET($A$1,ROW()-1,9)),OFFSET($A$1,ROW()-1,9),IF(ISNUMBER(OFFSET($A$1,ROW()-1,8)),OFFSET($A$1,ROW()-1,8),0))))))))</f>
        <v/>
      </c>
      <c r="AH200" s="62">
        <f>IF($V200="","",IF(AND(ISNUMBER($G200),$G200&lt;=IF($S200=MesCiclo,InicioCiclo,$S200+MOD(2-WEEKDAY($S200),7))+6),1,IF(N($W200)&gt;0,MIN(1,SUMIFS($AD$5:$AD$1000,$U$5:$U$1000,ROW(),$V$5:$V$1000,"Sub")),$Z200)))</f>
        <v/>
      </c>
      <c r="AI200" s="62">
        <f>IF($V200="","",IF(AND(ISNUMBER($G200),$G200&lt;=IF($S200=MesCiclo,InicioCiclo,$S200+MOD(2-WEEKDAY($S200),7))+13),1,IF(N($W200)&gt;0,MIN(1,SUMIFS($AE$5:$AE$1000,$U$5:$U$1000,ROW(),$V$5:$V$1000,"Sub")),$AA200)))</f>
        <v/>
      </c>
      <c r="AJ200" s="62">
        <f>IF($V200="","",IF(AND(ISNUMBER($G200),$G200&lt;=IF($S200=MesCiclo,InicioCiclo,$S200+MOD(2-WEEKDAY($S200),7))+20),1,IF(N($W200)&gt;0,MIN(1,SUMIFS($AF$5:$AF$1000,$U$5:$U$1000,ROW(),$V$5:$V$1000,"Sub")),$AB200)))</f>
        <v/>
      </c>
      <c r="AK200" s="62">
        <f>IF($V200="","",IF(AND(ISNUMBER($G200),$G200&lt;=IF($S200=MesCiclo,InicioCiclo,$S200+MOD(2-WEEKDAY($S200),7))+27),1,IF(N($W200)&gt;0,MIN(1,SUMIFS($AG$5:$AG$1000,$U$5:$U$1000,ROW(),$V$5:$V$1000,"Sub")),$AC200)))</f>
        <v/>
      </c>
      <c r="AL200" s="62">
        <f>IF($V200&lt;&gt;"Macro","",IF(COUNTIFS($S$5:$S$1000,$S200,$V$5:$V$1000,"Macro",$H$5:$H$1000,"&gt;0")=0,1/COUNTIFS($S$5:$S$1000,$S200,$V$5:$V$1000,"Macro"),IF(AND(ISNUMBER($H200),N($H200)&gt;0),$H200,SUMIFS($H$5:$H$1000,$S$5:$S$1000,$S200,$V$5:$V$1000,"Macro")/COUNTIFS($S$5:$S$1000,$S200,$V$5:$V$1000,"Macro",$H$5:$H$1000,"&gt;0"))/(COUNTIFS($S$5:$S$1000,$S200,$V$5:$V$1000,"Macro")*SUMIFS($H$5:$H$1000,$S$5:$S$1000,$S200,$V$5:$V$1000,"Macro")/COUNTIFS($S$5:$S$1000,$S200,$V$5:$V$1000,"Macro",$H$5:$H$1000,"&gt;0"))))</f>
        <v/>
      </c>
      <c r="AM200" s="62" t="n"/>
      <c r="AN200" s="62" t="n"/>
      <c r="AO200" s="62" t="n"/>
      <c r="AP200" s="62" t="n"/>
      <c r="AQ200" s="62">
        <f>IF(LEFT($C200,11)="[Jefatura] ",IFERROR(MATCH("Asistente Técnico de Riesgo|"&amp;MID($C200,12,500),rDname_ADM,0),0),"")</f>
        <v/>
      </c>
      <c r="AR200" s="62">
        <f>IF(N($AQ200)&gt;0,INDEX(rIni_ADM,$AQ200),IF(ISNUMBER($E200),$E200,""))</f>
        <v/>
      </c>
      <c r="AS200" s="62">
        <f>IF(N($AQ200)&gt;0,INDEX(rLim_ADM,$AQ200),IF(ISNUMBER($F200),$F200,""))</f>
        <v/>
      </c>
    </row>
    <row r="201">
      <c r="A201" s="56">
        <f>IF(NOT((COUNTA($B201:$D201)+COUNTA($G201:$H201)+COUNTA($Q201))&gt;0),"",IF($V201="Macro",COUNTIFS($V$5:$V201,"Macro",$S$5:$S201,$S201),IF(N($U201)=0,"?",COUNTIFS(INDEX($V$5:$V$1000,1):INDEX($V$5:$V$1000,$U201-4),"Macro",INDEX($S$5:$S$1000,1):INDEX($S$5:$S$1000,$U201-4),INDEX($S$5:$S$1000,$U201-4))&amp;"."&amp;COUNTIFS($U$5:$U201,$U201,$V$5:$V201,"Sub"))))</f>
        <v/>
      </c>
      <c r="B201" s="57" t="n"/>
      <c r="C201" s="58" t="n"/>
      <c r="D201" s="58" t="n"/>
      <c r="E201" s="59">
        <f>IF(N($AQ201)&gt;0,INDEX(rIni_ADM,$AQ201),"")</f>
        <v/>
      </c>
      <c r="F201" s="59">
        <f>IF(N($AQ201)&gt;0,INDEX(rLim_ADM,$AQ201),"")</f>
        <v/>
      </c>
      <c r="G201" s="59" t="n"/>
      <c r="H201" s="60" t="n"/>
      <c r="I201" s="60">
        <f>IF(N($W201)=0,"",IF(AND($S201=MesCiclo,1&gt;SemanaActual),"",MIN(1,SUMIFS(OFFSET($A$1,ROW(),29,1000-ROW(),1),OFFSET($A$1,ROW(),20,1000-ROW(),1),ROW(),OFFSET($A$1,ROW(),21,1000-ROW(),1),"Sub"))))</f>
        <v/>
      </c>
      <c r="J201" s="60">
        <f>IF(N($W201)=0,"",IF(AND($S201=MesCiclo,2&gt;SemanaActual),"",MIN(1,SUMIFS(OFFSET($A$1,ROW(),30,1000-ROW(),1),OFFSET($A$1,ROW(),20,1000-ROW(),1),ROW(),OFFSET($A$1,ROW(),21,1000-ROW(),1),"Sub"))))</f>
        <v/>
      </c>
      <c r="K201" s="60">
        <f>IF(N($W201)=0,"",IF(AND($S201=MesCiclo,3&gt;SemanaActual),"",MIN(1,SUMIFS(OFFSET($A$1,ROW(),31,1000-ROW(),1),OFFSET($A$1,ROW(),20,1000-ROW(),1),ROW(),OFFSET($A$1,ROW(),21,1000-ROW(),1),"Sub"))))</f>
        <v/>
      </c>
      <c r="L201" s="60">
        <f>IF(N($W201)=0,"",IF(AND($S201=MesCiclo,4&gt;SemanaActual),"",MIN(1,SUMIFS(OFFSET($A$1,ROW(),32,1000-ROW(),1),OFFSET($A$1,ROW(),20,1000-ROW(),1),ROW(),OFFSET($A$1,ROW(),21,1000-ROW(),1),"Sub"))))</f>
        <v/>
      </c>
      <c r="M201" s="61">
        <f>IF(OR(NOT((COUNTA($B201:$D201)+COUNTA($G201:$H201)+COUNTA($Q201))&gt;0),$V201="Sub"),"",IF(ISNUMBER($G201),1,IF(N($W201)&gt;0,MIN(1,SUMIFS($Y$5:$Y$1000,$U$5:$U$1000,ROW(),$V$5:$V$1000,"Sub")),$Y201)))</f>
        <v/>
      </c>
      <c r="N201" s="56">
        <f>IF(OR($M201="",$V201="Sub"),"",IF($M201&gt;=1,"Completado",IF($M201&gt;0,"En curso","Pendiente")))</f>
        <v/>
      </c>
      <c r="O201" s="56">
        <f>IF(OR(NOT((COUNTA($B201:$D201)+COUNTA($G201:$H201)+COUNTA($Q201))&gt;0),$V201="Sub"),"",IF(ISNUMBER($G201),IF(AND(ISNUMBER($AS201),$G201&gt;$AS201),"Cumplida con "&amp;($G201-$AS201)&amp;IF($G201-$AS201=1," día"," días")&amp;" de retraso","Cumplida"),IF(N($M201)&gt;=1,"Cumplida",IF(NOT(ISNUMBER($AS201)),"Sin fecha límite",IF($AS201&lt;FechaRef,"Vencida hace "&amp;(FechaRef-$AS201)&amp;IF(FechaRef-$AS201=1," día"," días"),IF($AS201=FechaRef,"Vence hoy",IF($AS201-FechaRef&lt;=DiasAlerta,"Vence en "&amp;($AS201-FechaRef)&amp;IF($AS201-FechaRef=1," día"," días"),"En plazo")))))))</f>
        <v/>
      </c>
      <c r="P201" s="62" t="n"/>
      <c r="Q201" s="58" t="n"/>
      <c r="R201" s="63">
        <f>IF(NOT((COUNTA($B201:$D201)+COUNTA($G201:$H201)+COUNTA($Q201))&gt;0),"",IF((IF($C201="","Falta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 OK","⚠ "&amp;LEFT(IF($C201="","Falta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",""),LEN(IF($C201="","Falta el nombre de la actividad"&amp;" · ","")&amp;IF(AND($V201="Sub",N($U201)=0),"Subactividad sin macroactividad arriba"&amp;" · ","")&amp;IF(AND($V201="Macro",$AR201=""),"Sin fecha de inicio"&amp;" · ","")&amp;IF(AND($V201="Macro",$AS201=""),"Sin fecha límite"&amp;" · ","")&amp;IF(AND(LEFT($C201,11)="[Jefatura] ",N($AQ201)=0),"No se encuentra en la hoja de la jefatura (elíjala de nuevo en la lista)"&amp;" · ","")&amp;IF(OR(AND($E201&lt;&gt;"",NOT(ISNUMBER($E201))),AND($F201&lt;&gt;"",NOT(ISNUMBER($F201))),AND($G201&lt;&gt;"",NOT(ISNUMBER($G201)))),"Fecha no válida"&amp;" · ","")&amp;IF(AND(ISNUMBER($AR201),ISNUMBER($AS201),$AR201&gt;$AS201),"Inicio posterior a fecha límite"&amp;" · ","")&amp;IF(AND($V201="Macro",$H201&lt;&gt;"",OR(NOT(ISNUMBER($H201)),$H201&lt;0,$H201&gt;1)),"Peso fuera de rango"&amp;" · ","")&amp;IF(AND($V201="Sub",$H201&lt;&gt;"",OR(NOT(ISNUMBER($H201)),$H201&lt;0,$H201&gt;1)),"% de la subactividad fuera de rango 0-100%"&amp;" · ","")&amp;IF(AND(N($W201)&gt;0,SUMIFS($H$5:$H$1000,$U$5:$U$1000,ROW(),$V$5:$V$1000,"Sub")&gt;1.0001),"Las subactividades suman más de 100%"&amp;" · ","")&amp;IF(AND(N($W201)&gt;0,OR(IF(ISNUMBER($I201),ROUND($I201,6)&lt;&gt;ROUND(MIN(1,SUMIFS($AD$5:$AD$1000,$U$5:$U$1000,ROW(),$V$5:$V$1000,"Sub")),6),FALSE),IF(ISNUMBER($J201),ROUND($J201,6)&lt;&gt;ROUND(MIN(1,SUMIFS($AE$5:$AE$1000,$U$5:$U$1000,ROW(),$V$5:$V$1000,"Sub")),6),FALSE),IF(ISNUMBER($K201),ROUND($K201,6)&lt;&gt;ROUND(MIN(1,SUMIFS($AF$5:$AF$1000,$U$5:$U$1000,ROW(),$V$5:$V$1000,"Sub")),6),FALSE),IF(ISNUMBER($L201),ROUND($L201,6)&lt;&gt;ROUND(MIN(1,SUMIFS($AG$5:$AG$1000,$U$5:$U$1000,ROW(),$V$5:$V$1000,"Sub")),6),FALSE))),"Con subactividades: no escriba en las semanas (se llenan solas)"&amp;" · ","")&amp;IF((COUNTIF($I201:$L201,"&gt;1")+COUNTIF($I201:$L201,"&lt;0")+SUMPRODUCT((LEN($I201:$L201)&gt;0)*NOT(ISNUMBER($I201:$L201))))&gt;0,"Avance fuera de rango 0-100%"&amp;" · ","")&amp;IF(OR(AND(ISNUMBER($J201),$J201&lt;N($I201)),AND(ISNUMBER($K201),$K201&lt;MAX($I201:$J201)),AND(ISNUMBER($L201),$L201&lt;MAX($I201:$K201))),"Avance semanal decreciente"&amp;" · ","")&amp;IF(AND(ISNUMBER($AS201),$AS201&lt;FechaRef,IF($V201="Sub",1,N($M201))&lt;1),"Vencida"&amp;" · ","")&amp;IF(AND(ObsObligatoria="Sí",ISNUMBER($AS201),$AS201&lt;FechaRef,IF($V201="Sub",1,N($M201))&lt;1,$Q201=""),"Vencida sin observación"&amp;" · ",""))-3)))</f>
        <v/>
      </c>
      <c r="S201" s="64">
        <f>IF(NOT((COUNTA($B201:$D201)+COUNTA($G201:$H201)+COUNTA($Q201))&gt;0),"",IF(AND($V201="Sub",N($U201)&gt;0),IF(ISNUMBER(INDEX($AR$5:$AR$1000,$U201-4)),DATE(YEAR(INDEX($AR$5:$AR$1000,$U201-4)),MONTH(INDEX($AR$5:$AR$1000,$U201-4)),1),IF(ISNUMBER(INDEX($AS$5:$AS$1000,$U201-4)),DATE(YEAR(INDEX($AS$5:$AS$1000,$U201-4)),MONTH(INDEX($AS$5:$AS$1000,$U201-4)),1),MesCiclo)),IF(ISNUMBER($AR201),DATE(YEAR($AR201),MONTH($AR201),1),IF(ISNUMBER($AS201),DATE(YEAR($AS201),MONTH($AS201),1),MesCiclo))))</f>
        <v/>
      </c>
      <c r="T201" s="62">
        <f>IF(OR($S201="",$S201&lt;&gt;MesCiclo,$V201&lt;&gt;"Macro"),"",COUNTIFS($S$5:$S201,MesCiclo,$V$5:$V201,"Macro"))</f>
        <v/>
      </c>
      <c r="U201" s="62">
        <f>IF($V201="","",IF($V201="Macro",ROW(),IFERROR(LOOKUP(2,1/($V$5:$V201="Macro"),ROW($V$5:$V201)),0)))</f>
        <v/>
      </c>
      <c r="V201" s="62">
        <f>IF(NOT((COUNTA($B201:$D201)+COUNTA($G201:$H201)+COUNTA($Q201))&gt;0),"",IF($B201="Subactividad","Sub","Macro"))</f>
        <v/>
      </c>
      <c r="W201" s="62">
        <f>IF($V201="Macro",COUNTIFS($U$5:$U$1000,ROW(),$V$5:$V$1000,"Sub"),"")</f>
        <v/>
      </c>
      <c r="X201" s="62">
        <f>IF($V201&lt;&gt;"Sub","",IF(AND(ISNUMBER($H201),N($H201)&gt;0),$H201,IFERROR(MAX(0,1-SUMIFS($H$5:$H$1000,$U$5:$U$1000,$U201,$V$5:$V$1000,"Sub"))/(COUNTIFS($U$5:$U$1000,$U201,$V$5:$V$1000,"Sub")-COUNTIFS($U$5:$U$1000,$U201,$V$5:$V$1000,"Sub",$H$5:$H$1000,"&gt;0")),0)))</f>
        <v/>
      </c>
      <c r="Y201" s="62">
        <f>IF($V201="","",IF($V201="Sub",N($X201)*IF(ISNUMBER($G201),1,MIN(1,MAX(0,IFERROR(LOOKUP(2,1/ISNUMBER($I201:$L201),$I201:$L201),0)))),IF(ISNUMBER($G201),1,IFERROR(LOOKUP(2,1/($I201:$L201&lt;&gt;""),$I201:$L201),0))))</f>
        <v/>
      </c>
      <c r="Z201" s="62">
        <f>IF($V201="","",IF(AND(ISNUMBER($G201),$G201&lt;=IF($S201=MesCiclo,InicioCiclo,$S201+MOD(2-WEEKDAY($S201),7))+6),1,IF(ISNUMBER($I201),$I201,0)))</f>
        <v/>
      </c>
      <c r="AA201" s="62">
        <f>IF($V201="","",IF(AND(ISNUMBER($G201),$G201&lt;=IF($S201=MesCiclo,InicioCiclo,$S201+MOD(2-WEEKDAY($S201),7))+13),1,IF(ISNUMBER($J201),$J201,$Z201)))</f>
        <v/>
      </c>
      <c r="AB201" s="62">
        <f>IF($V201="","",IF(AND(ISNUMBER($G201),$G201&lt;=IF($S201=MesCiclo,InicioCiclo,$S201+MOD(2-WEEKDAY($S201),7))+20),1,IF(ISNUMBER($K201),$K201,$AA201)))</f>
        <v/>
      </c>
      <c r="AC201" s="62">
        <f>IF($V201="","",IF(AND(ISNUMBER($G201),$G201&lt;=IF($S201=MesCiclo,InicioCiclo,$S201+MOD(2-WEEKDAY($S201),7))+27),1,IF(ISNUMBER($L201),$L201,$AB201)))</f>
        <v/>
      </c>
      <c r="AD201" s="62">
        <f>IF($V201&lt;&gt;"Sub","",N($X201)*IF(AND(ISNUMBER($G201),$G201&lt;=IF($S201=MesCiclo,InicioCiclo,$S201+MOD(2-WEEKDAY($S201),7))+6),1,MIN(1,MAX(0,IF(ISNUMBER(OFFSET($A$1,ROW()-1,8)),OFFSET($A$1,ROW()-1,8),0)))))</f>
        <v/>
      </c>
      <c r="AE201" s="62">
        <f>IF($V201&lt;&gt;"Sub","",N($X201)*IF(AND(ISNUMBER($G201),$G201&lt;=IF($S201=MesCiclo,InicioCiclo,$S201+MOD(2-WEEKDAY($S201),7))+13),1,MIN(1,MAX(0,IF(ISNUMBER(OFFSET($A$1,ROW()-1,9)),OFFSET($A$1,ROW()-1,9),IF(ISNUMBER(OFFSET($A$1,ROW()-1,8)),OFFSET($A$1,ROW()-1,8),0))))))</f>
        <v/>
      </c>
      <c r="AF201" s="62">
        <f>IF($V201&lt;&gt;"Sub","",N($X201)*IF(AND(ISNUMBER($G201),$G201&lt;=IF($S201=MesCiclo,InicioCiclo,$S201+MOD(2-WEEKDAY($S201),7))+20),1,MIN(1,MAX(0,IF(ISNUMBER(OFFSET($A$1,ROW()-1,10)),OFFSET($A$1,ROW()-1,10),IF(ISNUMBER(OFFSET($A$1,ROW()-1,9)),OFFSET($A$1,ROW()-1,9),IF(ISNUMBER(OFFSET($A$1,ROW()-1,8)),OFFSET($A$1,ROW()-1,8),0)))))))</f>
        <v/>
      </c>
      <c r="AG201" s="62">
        <f>IF($V201&lt;&gt;"Sub","",N($X201)*IF(AND(ISNUMBER($G201),$G201&lt;=IF($S201=MesCiclo,InicioCiclo,$S201+MOD(2-WEEKDAY($S201),7))+27),1,MIN(1,MAX(0,IF(ISNUMBER(OFFSET($A$1,ROW()-1,11)),OFFSET($A$1,ROW()-1,11),IF(ISNUMBER(OFFSET($A$1,ROW()-1,10)),OFFSET($A$1,ROW()-1,10),IF(ISNUMBER(OFFSET($A$1,ROW()-1,9)),OFFSET($A$1,ROW()-1,9),IF(ISNUMBER(OFFSET($A$1,ROW()-1,8)),OFFSET($A$1,ROW()-1,8),0))))))))</f>
        <v/>
      </c>
      <c r="AH201" s="62">
        <f>IF($V201="","",IF(AND(ISNUMBER($G201),$G201&lt;=IF($S201=MesCiclo,InicioCiclo,$S201+MOD(2-WEEKDAY($S201),7))+6),1,IF(N($W201)&gt;0,MIN(1,SUMIFS($AD$5:$AD$1000,$U$5:$U$1000,ROW(),$V$5:$V$1000,"Sub")),$Z201)))</f>
        <v/>
      </c>
      <c r="AI201" s="62">
        <f>IF($V201="","",IF(AND(ISNUMBER($G201),$G201&lt;=IF($S201=MesCiclo,InicioCiclo,$S201+MOD(2-WEEKDAY($S201),7))+13),1,IF(N($W201)&gt;0,MIN(1,SUMIFS($AE$5:$AE$1000,$U$5:$U$1000,ROW(),$V$5:$V$1000,"Sub")),$AA201)))</f>
        <v/>
      </c>
      <c r="AJ201" s="62">
        <f>IF($V201="","",IF(AND(ISNUMBER($G201),$G201&lt;=IF($S201=MesCiclo,InicioCiclo,$S201+MOD(2-WEEKDAY($S201),7))+20),1,IF(N($W201)&gt;0,MIN(1,SUMIFS($AF$5:$AF$1000,$U$5:$U$1000,ROW(),$V$5:$V$1000,"Sub")),$AB201)))</f>
        <v/>
      </c>
      <c r="AK201" s="62">
        <f>IF($V201="","",IF(AND(ISNUMBER($G201),$G201&lt;=IF($S201=MesCiclo,InicioCiclo,$S201+MOD(2-WEEKDAY($S201),7))+27),1,IF(N($W201)&gt;0,MIN(1,SUMIFS($AG$5:$AG$1000,$U$5:$U$1000,ROW(),$V$5:$V$1000,"Sub")),$AC201)))</f>
        <v/>
      </c>
      <c r="AL201" s="62">
        <f>IF($V201&lt;&gt;"Macro","",IF(COUNTIFS($S$5:$S$1000,$S201,$V$5:$V$1000,"Macro",$H$5:$H$1000,"&gt;0")=0,1/COUNTIFS($S$5:$S$1000,$S201,$V$5:$V$1000,"Macro"),IF(AND(ISNUMBER($H201),N($H201)&gt;0),$H201,SUMIFS($H$5:$H$1000,$S$5:$S$1000,$S201,$V$5:$V$1000,"Macro")/COUNTIFS($S$5:$S$1000,$S201,$V$5:$V$1000,"Macro",$H$5:$H$1000,"&gt;0"))/(COUNTIFS($S$5:$S$1000,$S201,$V$5:$V$1000,"Macro")*SUMIFS($H$5:$H$1000,$S$5:$S$1000,$S201,$V$5:$V$1000,"Macro")/COUNTIFS($S$5:$S$1000,$S201,$V$5:$V$1000,"Macro",$H$5:$H$1000,"&gt;0"))))</f>
        <v/>
      </c>
      <c r="AM201" s="62" t="n"/>
      <c r="AN201" s="62" t="n"/>
      <c r="AO201" s="62" t="n"/>
      <c r="AP201" s="62" t="n"/>
      <c r="AQ201" s="62">
        <f>IF(LEFT($C201,11)="[Jefatura] ",IFERROR(MATCH("Asistente Técnico de Riesgo|"&amp;MID($C201,12,500),rDname_ADM,0),0),"")</f>
        <v/>
      </c>
      <c r="AR201" s="62">
        <f>IF(N($AQ201)&gt;0,INDEX(rIni_ADM,$AQ201),IF(ISNUMBER($E201),$E201,""))</f>
        <v/>
      </c>
      <c r="AS201" s="62">
        <f>IF(N($AQ201)&gt;0,INDEX(rLim_ADM,$AQ201),IF(ISNUMBER($F201),$F201,""))</f>
        <v/>
      </c>
    </row>
    <row r="202">
      <c r="A202" s="56">
        <f>IF(NOT((COUNTA($B202:$D202)+COUNTA($G202:$H202)+COUNTA($Q202))&gt;0),"",IF($V202="Macro",COUNTIFS($V$5:$V202,"Macro",$S$5:$S202,$S202),IF(N($U202)=0,"?",COUNTIFS(INDEX($V$5:$V$1000,1):INDEX($V$5:$V$1000,$U202-4),"Macro",INDEX($S$5:$S$1000,1):INDEX($S$5:$S$1000,$U202-4),INDEX($S$5:$S$1000,$U202-4))&amp;"."&amp;COUNTIFS($U$5:$U202,$U202,$V$5:$V202,"Sub"))))</f>
        <v/>
      </c>
      <c r="B202" s="57" t="n"/>
      <c r="C202" s="58" t="n"/>
      <c r="D202" s="58" t="n"/>
      <c r="E202" s="59">
        <f>IF(N($AQ202)&gt;0,INDEX(rIni_ADM,$AQ202),"")</f>
        <v/>
      </c>
      <c r="F202" s="59">
        <f>IF(N($AQ202)&gt;0,INDEX(rLim_ADM,$AQ202),"")</f>
        <v/>
      </c>
      <c r="G202" s="59" t="n"/>
      <c r="H202" s="60" t="n"/>
      <c r="I202" s="60">
        <f>IF(N($W202)=0,"",IF(AND($S202=MesCiclo,1&gt;SemanaActual),"",MIN(1,SUMIFS(OFFSET($A$1,ROW(),29,1000-ROW(),1),OFFSET($A$1,ROW(),20,1000-ROW(),1),ROW(),OFFSET($A$1,ROW(),21,1000-ROW(),1),"Sub"))))</f>
        <v/>
      </c>
      <c r="J202" s="60">
        <f>IF(N($W202)=0,"",IF(AND($S202=MesCiclo,2&gt;SemanaActual),"",MIN(1,SUMIFS(OFFSET($A$1,ROW(),30,1000-ROW(),1),OFFSET($A$1,ROW(),20,1000-ROW(),1),ROW(),OFFSET($A$1,ROW(),21,1000-ROW(),1),"Sub"))))</f>
        <v/>
      </c>
      <c r="K202" s="60">
        <f>IF(N($W202)=0,"",IF(AND($S202=MesCiclo,3&gt;SemanaActual),"",MIN(1,SUMIFS(OFFSET($A$1,ROW(),31,1000-ROW(),1),OFFSET($A$1,ROW(),20,1000-ROW(),1),ROW(),OFFSET($A$1,ROW(),21,1000-ROW(),1),"Sub"))))</f>
        <v/>
      </c>
      <c r="L202" s="60">
        <f>IF(N($W202)=0,"",IF(AND($S202=MesCiclo,4&gt;SemanaActual),"",MIN(1,SUMIFS(OFFSET($A$1,ROW(),32,1000-ROW(),1),OFFSET($A$1,ROW(),20,1000-ROW(),1),ROW(),OFFSET($A$1,ROW(),21,1000-ROW(),1),"Sub"))))</f>
        <v/>
      </c>
      <c r="M202" s="61">
        <f>IF(OR(NOT((COUNTA($B202:$D202)+COUNTA($G202:$H202)+COUNTA($Q202))&gt;0),$V202="Sub"),"",IF(ISNUMBER($G202),1,IF(N($W202)&gt;0,MIN(1,SUMIFS($Y$5:$Y$1000,$U$5:$U$1000,ROW(),$V$5:$V$1000,"Sub")),$Y202)))</f>
        <v/>
      </c>
      <c r="N202" s="56">
        <f>IF(OR($M202="",$V202="Sub"),"",IF($M202&gt;=1,"Completado",IF($M202&gt;0,"En curso","Pendiente")))</f>
        <v/>
      </c>
      <c r="O202" s="56">
        <f>IF(OR(NOT((COUNTA($B202:$D202)+COUNTA($G202:$H202)+COUNTA($Q202))&gt;0),$V202="Sub"),"",IF(ISNUMBER($G202),IF(AND(ISNUMBER($AS202),$G202&gt;$AS202),"Cumplida con "&amp;($G202-$AS202)&amp;IF($G202-$AS202=1," día"," días")&amp;" de retraso","Cumplida"),IF(N($M202)&gt;=1,"Cumplida",IF(NOT(ISNUMBER($AS202)),"Sin fecha límite",IF($AS202&lt;FechaRef,"Vencida hace "&amp;(FechaRef-$AS202)&amp;IF(FechaRef-$AS202=1," día"," días"),IF($AS202=FechaRef,"Vence hoy",IF($AS202-FechaRef&lt;=DiasAlerta,"Vence en "&amp;($AS202-FechaRef)&amp;IF($AS202-FechaRef=1," día"," días"),"En plazo")))))))</f>
        <v/>
      </c>
      <c r="P202" s="62" t="n"/>
      <c r="Q202" s="58" t="n"/>
      <c r="R202" s="63">
        <f>IF(NOT((COUNTA($B202:$D202)+COUNTA($G202:$H202)+COUNTA($Q202))&gt;0),"",IF((IF($C202="","Falta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 OK","⚠ "&amp;LEFT(IF($C202="","Falta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",""),LEN(IF($C202="","Falta el nombre de la actividad"&amp;" · ","")&amp;IF(AND($V202="Sub",N($U202)=0),"Subactividad sin macroactividad arriba"&amp;" · ","")&amp;IF(AND($V202="Macro",$AR202=""),"Sin fecha de inicio"&amp;" · ","")&amp;IF(AND($V202="Macro",$AS202=""),"Sin fecha límite"&amp;" · ","")&amp;IF(AND(LEFT($C202,11)="[Jefatura] ",N($AQ202)=0),"No se encuentra en la hoja de la jefatura (elíjala de nuevo en la lista)"&amp;" · ","")&amp;IF(OR(AND($E202&lt;&gt;"",NOT(ISNUMBER($E202))),AND($F202&lt;&gt;"",NOT(ISNUMBER($F202))),AND($G202&lt;&gt;"",NOT(ISNUMBER($G202)))),"Fecha no válida"&amp;" · ","")&amp;IF(AND(ISNUMBER($AR202),ISNUMBER($AS202),$AR202&gt;$AS202),"Inicio posterior a fecha límite"&amp;" · ","")&amp;IF(AND($V202="Macro",$H202&lt;&gt;"",OR(NOT(ISNUMBER($H202)),$H202&lt;0,$H202&gt;1)),"Peso fuera de rango"&amp;" · ","")&amp;IF(AND($V202="Sub",$H202&lt;&gt;"",OR(NOT(ISNUMBER($H202)),$H202&lt;0,$H202&gt;1)),"% de la subactividad fuera de rango 0-100%"&amp;" · ","")&amp;IF(AND(N($W202)&gt;0,SUMIFS($H$5:$H$1000,$U$5:$U$1000,ROW(),$V$5:$V$1000,"Sub")&gt;1.0001),"Las subactividades suman más de 100%"&amp;" · ","")&amp;IF(AND(N($W202)&gt;0,OR(IF(ISNUMBER($I202),ROUND($I202,6)&lt;&gt;ROUND(MIN(1,SUMIFS($AD$5:$AD$1000,$U$5:$U$1000,ROW(),$V$5:$V$1000,"Sub")),6),FALSE),IF(ISNUMBER($J202),ROUND($J202,6)&lt;&gt;ROUND(MIN(1,SUMIFS($AE$5:$AE$1000,$U$5:$U$1000,ROW(),$V$5:$V$1000,"Sub")),6),FALSE),IF(ISNUMBER($K202),ROUND($K202,6)&lt;&gt;ROUND(MIN(1,SUMIFS($AF$5:$AF$1000,$U$5:$U$1000,ROW(),$V$5:$V$1000,"Sub")),6),FALSE),IF(ISNUMBER($L202),ROUND($L202,6)&lt;&gt;ROUND(MIN(1,SUMIFS($AG$5:$AG$1000,$U$5:$U$1000,ROW(),$V$5:$V$1000,"Sub")),6),FALSE))),"Con subactividades: no escriba en las semanas (se llenan solas)"&amp;" · ","")&amp;IF((COUNTIF($I202:$L202,"&gt;1")+COUNTIF($I202:$L202,"&lt;0")+SUMPRODUCT((LEN($I202:$L202)&gt;0)*NOT(ISNUMBER($I202:$L202))))&gt;0,"Avance fuera de rango 0-100%"&amp;" · ","")&amp;IF(OR(AND(ISNUMBER($J202),$J202&lt;N($I202)),AND(ISNUMBER($K202),$K202&lt;MAX($I202:$J202)),AND(ISNUMBER($L202),$L202&lt;MAX($I202:$K202))),"Avance semanal decreciente"&amp;" · ","")&amp;IF(AND(ISNUMBER($AS202),$AS202&lt;FechaRef,IF($V202="Sub",1,N($M202))&lt;1),"Vencida"&amp;" · ","")&amp;IF(AND(ObsObligatoria="Sí",ISNUMBER($AS202),$AS202&lt;FechaRef,IF($V202="Sub",1,N($M202))&lt;1,$Q202=""),"Vencida sin observación"&amp;" · ",""))-3)))</f>
        <v/>
      </c>
      <c r="S202" s="64">
        <f>IF(NOT((COUNTA($B202:$D202)+COUNTA($G202:$H202)+COUNTA($Q202))&gt;0),"",IF(AND($V202="Sub",N($U202)&gt;0),IF(ISNUMBER(INDEX($AR$5:$AR$1000,$U202-4)),DATE(YEAR(INDEX($AR$5:$AR$1000,$U202-4)),MONTH(INDEX($AR$5:$AR$1000,$U202-4)),1),IF(ISNUMBER(INDEX($AS$5:$AS$1000,$U202-4)),DATE(YEAR(INDEX($AS$5:$AS$1000,$U202-4)),MONTH(INDEX($AS$5:$AS$1000,$U202-4)),1),MesCiclo)),IF(ISNUMBER($AR202),DATE(YEAR($AR202),MONTH($AR202),1),IF(ISNUMBER($AS202),DATE(YEAR($AS202),MONTH($AS202),1),MesCiclo))))</f>
        <v/>
      </c>
      <c r="T202" s="62">
        <f>IF(OR($S202="",$S202&lt;&gt;MesCiclo,$V202&lt;&gt;"Macro"),"",COUNTIFS($S$5:$S202,MesCiclo,$V$5:$V202,"Macro"))</f>
        <v/>
      </c>
      <c r="U202" s="62">
        <f>IF($V202="","",IF($V202="Macro",ROW(),IFERROR(LOOKUP(2,1/($V$5:$V202="Macro"),ROW($V$5:$V202)),0)))</f>
        <v/>
      </c>
      <c r="V202" s="62">
        <f>IF(NOT((COUNTA($B202:$D202)+COUNTA($G202:$H202)+COUNTA($Q202))&gt;0),"",IF($B202="Subactividad","Sub","Macro"))</f>
        <v/>
      </c>
      <c r="W202" s="62">
        <f>IF($V202="Macro",COUNTIFS($U$5:$U$1000,ROW(),$V$5:$V$1000,"Sub"),"")</f>
        <v/>
      </c>
      <c r="X202" s="62">
        <f>IF($V202&lt;&gt;"Sub","",IF(AND(ISNUMBER($H202),N($H202)&gt;0),$H202,IFERROR(MAX(0,1-SUMIFS($H$5:$H$1000,$U$5:$U$1000,$U202,$V$5:$V$1000,"Sub"))/(COUNTIFS($U$5:$U$1000,$U202,$V$5:$V$1000,"Sub")-COUNTIFS($U$5:$U$1000,$U202,$V$5:$V$1000,"Sub",$H$5:$H$1000,"&gt;0")),0)))</f>
        <v/>
      </c>
      <c r="Y202" s="62">
        <f>IF($V202="","",IF($V202="Sub",N($X202)*IF(ISNUMBER($G202),1,MIN(1,MAX(0,IFERROR(LOOKUP(2,1/ISNUMBER($I202:$L202),$I202:$L202),0)))),IF(ISNUMBER($G202),1,IFERROR(LOOKUP(2,1/($I202:$L202&lt;&gt;""),$I202:$L202),0))))</f>
        <v/>
      </c>
      <c r="Z202" s="62">
        <f>IF($V202="","",IF(AND(ISNUMBER($G202),$G202&lt;=IF($S202=MesCiclo,InicioCiclo,$S202+MOD(2-WEEKDAY($S202),7))+6),1,IF(ISNUMBER($I202),$I202,0)))</f>
        <v/>
      </c>
      <c r="AA202" s="62">
        <f>IF($V202="","",IF(AND(ISNUMBER($G202),$G202&lt;=IF($S202=MesCiclo,InicioCiclo,$S202+MOD(2-WEEKDAY($S202),7))+13),1,IF(ISNUMBER($J202),$J202,$Z202)))</f>
        <v/>
      </c>
      <c r="AB202" s="62">
        <f>IF($V202="","",IF(AND(ISNUMBER($G202),$G202&lt;=IF($S202=MesCiclo,InicioCiclo,$S202+MOD(2-WEEKDAY($S202),7))+20),1,IF(ISNUMBER($K202),$K202,$AA202)))</f>
        <v/>
      </c>
      <c r="AC202" s="62">
        <f>IF($V202="","",IF(AND(ISNUMBER($G202),$G202&lt;=IF($S202=MesCiclo,InicioCiclo,$S202+MOD(2-WEEKDAY($S202),7))+27),1,IF(ISNUMBER($L202),$L202,$AB202)))</f>
        <v/>
      </c>
      <c r="AD202" s="62">
        <f>IF($V202&lt;&gt;"Sub","",N($X202)*IF(AND(ISNUMBER($G202),$G202&lt;=IF($S202=MesCiclo,InicioCiclo,$S202+MOD(2-WEEKDAY($S202),7))+6),1,MIN(1,MAX(0,IF(ISNUMBER(OFFSET($A$1,ROW()-1,8)),OFFSET($A$1,ROW()-1,8),0)))))</f>
        <v/>
      </c>
      <c r="AE202" s="62">
        <f>IF($V202&lt;&gt;"Sub","",N($X202)*IF(AND(ISNUMBER($G202),$G202&lt;=IF($S202=MesCiclo,InicioCiclo,$S202+MOD(2-WEEKDAY($S202),7))+13),1,MIN(1,MAX(0,IF(ISNUMBER(OFFSET($A$1,ROW()-1,9)),OFFSET($A$1,ROW()-1,9),IF(ISNUMBER(OFFSET($A$1,ROW()-1,8)),OFFSET($A$1,ROW()-1,8),0))))))</f>
        <v/>
      </c>
      <c r="AF202" s="62">
        <f>IF($V202&lt;&gt;"Sub","",N($X202)*IF(AND(ISNUMBER($G202),$G202&lt;=IF($S202=MesCiclo,InicioCiclo,$S202+MOD(2-WEEKDAY($S202),7))+20),1,MIN(1,MAX(0,IF(ISNUMBER(OFFSET($A$1,ROW()-1,10)),OFFSET($A$1,ROW()-1,10),IF(ISNUMBER(OFFSET($A$1,ROW()-1,9)),OFFSET($A$1,ROW()-1,9),IF(ISNUMBER(OFFSET($A$1,ROW()-1,8)),OFFSET($A$1,ROW()-1,8),0)))))))</f>
        <v/>
      </c>
      <c r="AG202" s="62">
        <f>IF($V202&lt;&gt;"Sub","",N($X202)*IF(AND(ISNUMBER($G202),$G202&lt;=IF($S202=MesCiclo,InicioCiclo,$S202+MOD(2-WEEKDAY($S202),7))+27),1,MIN(1,MAX(0,IF(ISNUMBER(OFFSET($A$1,ROW()-1,11)),OFFSET($A$1,ROW()-1,11),IF(ISNUMBER(OFFSET($A$1,ROW()-1,10)),OFFSET($A$1,ROW()-1,10),IF(ISNUMBER(OFFSET($A$1,ROW()-1,9)),OFFSET($A$1,ROW()-1,9),IF(ISNUMBER(OFFSET($A$1,ROW()-1,8)),OFFSET($A$1,ROW()-1,8),0))))))))</f>
        <v/>
      </c>
      <c r="AH202" s="62">
        <f>IF($V202="","",IF(AND(ISNUMBER($G202),$G202&lt;=IF($S202=MesCiclo,InicioCiclo,$S202+MOD(2-WEEKDAY($S202),7))+6),1,IF(N($W202)&gt;0,MIN(1,SUMIFS($AD$5:$AD$1000,$U$5:$U$1000,ROW(),$V$5:$V$1000,"Sub")),$Z202)))</f>
        <v/>
      </c>
      <c r="AI202" s="62">
        <f>IF($V202="","",IF(AND(ISNUMBER($G202),$G202&lt;=IF($S202=MesCiclo,InicioCiclo,$S202+MOD(2-WEEKDAY($S202),7))+13),1,IF(N($W202)&gt;0,MIN(1,SUMIFS($AE$5:$AE$1000,$U$5:$U$1000,ROW(),$V$5:$V$1000,"Sub")),$AA202)))</f>
        <v/>
      </c>
      <c r="AJ202" s="62">
        <f>IF($V202="","",IF(AND(ISNUMBER($G202),$G202&lt;=IF($S202=MesCiclo,InicioCiclo,$S202+MOD(2-WEEKDAY($S202),7))+20),1,IF(N($W202)&gt;0,MIN(1,SUMIFS($AF$5:$AF$1000,$U$5:$U$1000,ROW(),$V$5:$V$1000,"Sub")),$AB202)))</f>
        <v/>
      </c>
      <c r="AK202" s="62">
        <f>IF($V202="","",IF(AND(ISNUMBER($G202),$G202&lt;=IF($S202=MesCiclo,InicioCiclo,$S202+MOD(2-WEEKDAY($S202),7))+27),1,IF(N($W202)&gt;0,MIN(1,SUMIFS($AG$5:$AG$1000,$U$5:$U$1000,ROW(),$V$5:$V$1000,"Sub")),$AC202)))</f>
        <v/>
      </c>
      <c r="AL202" s="62">
        <f>IF($V202&lt;&gt;"Macro","",IF(COUNTIFS($S$5:$S$1000,$S202,$V$5:$V$1000,"Macro",$H$5:$H$1000,"&gt;0")=0,1/COUNTIFS($S$5:$S$1000,$S202,$V$5:$V$1000,"Macro"),IF(AND(ISNUMBER($H202),N($H202)&gt;0),$H202,SUMIFS($H$5:$H$1000,$S$5:$S$1000,$S202,$V$5:$V$1000,"Macro")/COUNTIFS($S$5:$S$1000,$S202,$V$5:$V$1000,"Macro",$H$5:$H$1000,"&gt;0"))/(COUNTIFS($S$5:$S$1000,$S202,$V$5:$V$1000,"Macro")*SUMIFS($H$5:$H$1000,$S$5:$S$1000,$S202,$V$5:$V$1000,"Macro")/COUNTIFS($S$5:$S$1000,$S202,$V$5:$V$1000,"Macro",$H$5:$H$1000,"&gt;0"))))</f>
        <v/>
      </c>
      <c r="AM202" s="62" t="n"/>
      <c r="AN202" s="62" t="n"/>
      <c r="AO202" s="62" t="n"/>
      <c r="AP202" s="62" t="n"/>
      <c r="AQ202" s="62">
        <f>IF(LEFT($C202,11)="[Jefatura] ",IFERROR(MATCH("Asistente Técnico de Riesgo|"&amp;MID($C202,12,500),rDname_ADM,0),0),"")</f>
        <v/>
      </c>
      <c r="AR202" s="62">
        <f>IF(N($AQ202)&gt;0,INDEX(rIni_ADM,$AQ202),IF(ISNUMBER($E202),$E202,""))</f>
        <v/>
      </c>
      <c r="AS202" s="62">
        <f>IF(N($AQ202)&gt;0,INDEX(rLim_ADM,$AQ202),IF(ISNUMBER($F202),$F202,""))</f>
        <v/>
      </c>
    </row>
    <row r="203">
      <c r="A203" s="56">
        <f>IF(NOT((COUNTA($B203:$D203)+COUNTA($G203:$H203)+COUNTA($Q203))&gt;0),"",IF($V203="Macro",COUNTIFS($V$5:$V203,"Macro",$S$5:$S203,$S203),IF(N($U203)=0,"?",COUNTIFS(INDEX($V$5:$V$1000,1):INDEX($V$5:$V$1000,$U203-4),"Macro",INDEX($S$5:$S$1000,1):INDEX($S$5:$S$1000,$U203-4),INDEX($S$5:$S$1000,$U203-4))&amp;"."&amp;COUNTIFS($U$5:$U203,$U203,$V$5:$V203,"Sub"))))</f>
        <v/>
      </c>
      <c r="B203" s="57" t="n"/>
      <c r="C203" s="58" t="n"/>
      <c r="D203" s="58" t="n"/>
      <c r="E203" s="59">
        <f>IF(N($AQ203)&gt;0,INDEX(rIni_ADM,$AQ203),"")</f>
        <v/>
      </c>
      <c r="F203" s="59">
        <f>IF(N($AQ203)&gt;0,INDEX(rLim_ADM,$AQ203),"")</f>
        <v/>
      </c>
      <c r="G203" s="59" t="n"/>
      <c r="H203" s="60" t="n"/>
      <c r="I203" s="60">
        <f>IF(N($W203)=0,"",IF(AND($S203=MesCiclo,1&gt;SemanaActual),"",MIN(1,SUMIFS(OFFSET($A$1,ROW(),29,1000-ROW(),1),OFFSET($A$1,ROW(),20,1000-ROW(),1),ROW(),OFFSET($A$1,ROW(),21,1000-ROW(),1),"Sub"))))</f>
        <v/>
      </c>
      <c r="J203" s="60">
        <f>IF(N($W203)=0,"",IF(AND($S203=MesCiclo,2&gt;SemanaActual),"",MIN(1,SUMIFS(OFFSET($A$1,ROW(),30,1000-ROW(),1),OFFSET($A$1,ROW(),20,1000-ROW(),1),ROW(),OFFSET($A$1,ROW(),21,1000-ROW(),1),"Sub"))))</f>
        <v/>
      </c>
      <c r="K203" s="60">
        <f>IF(N($W203)=0,"",IF(AND($S203=MesCiclo,3&gt;SemanaActual),"",MIN(1,SUMIFS(OFFSET($A$1,ROW(),31,1000-ROW(),1),OFFSET($A$1,ROW(),20,1000-ROW(),1),ROW(),OFFSET($A$1,ROW(),21,1000-ROW(),1),"Sub"))))</f>
        <v/>
      </c>
      <c r="L203" s="60">
        <f>IF(N($W203)=0,"",IF(AND($S203=MesCiclo,4&gt;SemanaActual),"",MIN(1,SUMIFS(OFFSET($A$1,ROW(),32,1000-ROW(),1),OFFSET($A$1,ROW(),20,1000-ROW(),1),ROW(),OFFSET($A$1,ROW(),21,1000-ROW(),1),"Sub"))))</f>
        <v/>
      </c>
      <c r="M203" s="61">
        <f>IF(OR(NOT((COUNTA($B203:$D203)+COUNTA($G203:$H203)+COUNTA($Q203))&gt;0),$V203="Sub"),"",IF(ISNUMBER($G203),1,IF(N($W203)&gt;0,MIN(1,SUMIFS($Y$5:$Y$1000,$U$5:$U$1000,ROW(),$V$5:$V$1000,"Sub")),$Y203)))</f>
        <v/>
      </c>
      <c r="N203" s="56">
        <f>IF(OR($M203="",$V203="Sub"),"",IF($M203&gt;=1,"Completado",IF($M203&gt;0,"En curso","Pendiente")))</f>
        <v/>
      </c>
      <c r="O203" s="56">
        <f>IF(OR(NOT((COUNTA($B203:$D203)+COUNTA($G203:$H203)+COUNTA($Q203))&gt;0),$V203="Sub"),"",IF(ISNUMBER($G203),IF(AND(ISNUMBER($AS203),$G203&gt;$AS203),"Cumplida con "&amp;($G203-$AS203)&amp;IF($G203-$AS203=1," día"," días")&amp;" de retraso","Cumplida"),IF(N($M203)&gt;=1,"Cumplida",IF(NOT(ISNUMBER($AS203)),"Sin fecha límite",IF($AS203&lt;FechaRef,"Vencida hace "&amp;(FechaRef-$AS203)&amp;IF(FechaRef-$AS203=1," día"," días"),IF($AS203=FechaRef,"Vence hoy",IF($AS203-FechaRef&lt;=DiasAlerta,"Vence en "&amp;($AS203-FechaRef)&amp;IF($AS203-FechaRef=1," día"," días"),"En plazo")))))))</f>
        <v/>
      </c>
      <c r="P203" s="62" t="n"/>
      <c r="Q203" s="58" t="n"/>
      <c r="R203" s="63">
        <f>IF(NOT((COUNTA($B203:$D203)+COUNTA($G203:$H203)+COUNTA($Q203))&gt;0),"",IF((IF($C203="","Falta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 OK","⚠ "&amp;LEFT(IF($C203="","Falta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",""),LEN(IF($C203="","Falta el nombre de la actividad"&amp;" · ","")&amp;IF(AND($V203="Sub",N($U203)=0),"Subactividad sin macroactividad arriba"&amp;" · ","")&amp;IF(AND($V203="Macro",$AR203=""),"Sin fecha de inicio"&amp;" · ","")&amp;IF(AND($V203="Macro",$AS203=""),"Sin fecha límite"&amp;" · ","")&amp;IF(AND(LEFT($C203,11)="[Jefatura] ",N($AQ203)=0),"No se encuentra en la hoja de la jefatura (elíjala de nuevo en la lista)"&amp;" · ","")&amp;IF(OR(AND($E203&lt;&gt;"",NOT(ISNUMBER($E203))),AND($F203&lt;&gt;"",NOT(ISNUMBER($F203))),AND($G203&lt;&gt;"",NOT(ISNUMBER($G203)))),"Fecha no válida"&amp;" · ","")&amp;IF(AND(ISNUMBER($AR203),ISNUMBER($AS203),$AR203&gt;$AS203),"Inicio posterior a fecha límite"&amp;" · ","")&amp;IF(AND($V203="Macro",$H203&lt;&gt;"",OR(NOT(ISNUMBER($H203)),$H203&lt;0,$H203&gt;1)),"Peso fuera de rango"&amp;" · ","")&amp;IF(AND($V203="Sub",$H203&lt;&gt;"",OR(NOT(ISNUMBER($H203)),$H203&lt;0,$H203&gt;1)),"% de la subactividad fuera de rango 0-100%"&amp;" · ","")&amp;IF(AND(N($W203)&gt;0,SUMIFS($H$5:$H$1000,$U$5:$U$1000,ROW(),$V$5:$V$1000,"Sub")&gt;1.0001),"Las subactividades suman más de 100%"&amp;" · ","")&amp;IF(AND(N($W203)&gt;0,OR(IF(ISNUMBER($I203),ROUND($I203,6)&lt;&gt;ROUND(MIN(1,SUMIFS($AD$5:$AD$1000,$U$5:$U$1000,ROW(),$V$5:$V$1000,"Sub")),6),FALSE),IF(ISNUMBER($J203),ROUND($J203,6)&lt;&gt;ROUND(MIN(1,SUMIFS($AE$5:$AE$1000,$U$5:$U$1000,ROW(),$V$5:$V$1000,"Sub")),6),FALSE),IF(ISNUMBER($K203),ROUND($K203,6)&lt;&gt;ROUND(MIN(1,SUMIFS($AF$5:$AF$1000,$U$5:$U$1000,ROW(),$V$5:$V$1000,"Sub")),6),FALSE),IF(ISNUMBER($L203),ROUND($L203,6)&lt;&gt;ROUND(MIN(1,SUMIFS($AG$5:$AG$1000,$U$5:$U$1000,ROW(),$V$5:$V$1000,"Sub")),6),FALSE))),"Con subactividades: no escriba en las semanas (se llenan solas)"&amp;" · ","")&amp;IF((COUNTIF($I203:$L203,"&gt;1")+COUNTIF($I203:$L203,"&lt;0")+SUMPRODUCT((LEN($I203:$L203)&gt;0)*NOT(ISNUMBER($I203:$L203))))&gt;0,"Avance fuera de rango 0-100%"&amp;" · ","")&amp;IF(OR(AND(ISNUMBER($J203),$J203&lt;N($I203)),AND(ISNUMBER($K203),$K203&lt;MAX($I203:$J203)),AND(ISNUMBER($L203),$L203&lt;MAX($I203:$K203))),"Avance semanal decreciente"&amp;" · ","")&amp;IF(AND(ISNUMBER($AS203),$AS203&lt;FechaRef,IF($V203="Sub",1,N($M203))&lt;1),"Vencida"&amp;" · ","")&amp;IF(AND(ObsObligatoria="Sí",ISNUMBER($AS203),$AS203&lt;FechaRef,IF($V203="Sub",1,N($M203))&lt;1,$Q203=""),"Vencida sin observación"&amp;" · ",""))-3)))</f>
        <v/>
      </c>
      <c r="S203" s="64">
        <f>IF(NOT((COUNTA($B203:$D203)+COUNTA($G203:$H203)+COUNTA($Q203))&gt;0),"",IF(AND($V203="Sub",N($U203)&gt;0),IF(ISNUMBER(INDEX($AR$5:$AR$1000,$U203-4)),DATE(YEAR(INDEX($AR$5:$AR$1000,$U203-4)),MONTH(INDEX($AR$5:$AR$1000,$U203-4)),1),IF(ISNUMBER(INDEX($AS$5:$AS$1000,$U203-4)),DATE(YEAR(INDEX($AS$5:$AS$1000,$U203-4)),MONTH(INDEX($AS$5:$AS$1000,$U203-4)),1),MesCiclo)),IF(ISNUMBER($AR203),DATE(YEAR($AR203),MONTH($AR203),1),IF(ISNUMBER($AS203),DATE(YEAR($AS203),MONTH($AS203),1),MesCiclo))))</f>
        <v/>
      </c>
      <c r="T203" s="62">
        <f>IF(OR($S203="",$S203&lt;&gt;MesCiclo,$V203&lt;&gt;"Macro"),"",COUNTIFS($S$5:$S203,MesCiclo,$V$5:$V203,"Macro"))</f>
        <v/>
      </c>
      <c r="U203" s="62">
        <f>IF($V203="","",IF($V203="Macro",ROW(),IFERROR(LOOKUP(2,1/($V$5:$V203="Macro"),ROW($V$5:$V203)),0)))</f>
        <v/>
      </c>
      <c r="V203" s="62">
        <f>IF(NOT((COUNTA($B203:$D203)+COUNTA($G203:$H203)+COUNTA($Q203))&gt;0),"",IF($B203="Subactividad","Sub","Macro"))</f>
        <v/>
      </c>
      <c r="W203" s="62">
        <f>IF($V203="Macro",COUNTIFS($U$5:$U$1000,ROW(),$V$5:$V$1000,"Sub"),"")</f>
        <v/>
      </c>
      <c r="X203" s="62">
        <f>IF($V203&lt;&gt;"Sub","",IF(AND(ISNUMBER($H203),N($H203)&gt;0),$H203,IFERROR(MAX(0,1-SUMIFS($H$5:$H$1000,$U$5:$U$1000,$U203,$V$5:$V$1000,"Sub"))/(COUNTIFS($U$5:$U$1000,$U203,$V$5:$V$1000,"Sub")-COUNTIFS($U$5:$U$1000,$U203,$V$5:$V$1000,"Sub",$H$5:$H$1000,"&gt;0")),0)))</f>
        <v/>
      </c>
      <c r="Y203" s="62">
        <f>IF($V203="","",IF($V203="Sub",N($X203)*IF(ISNUMBER($G203),1,MIN(1,MAX(0,IFERROR(LOOKUP(2,1/ISNUMBER($I203:$L203),$I203:$L203),0)))),IF(ISNUMBER($G203),1,IFERROR(LOOKUP(2,1/($I203:$L203&lt;&gt;""),$I203:$L203),0))))</f>
        <v/>
      </c>
      <c r="Z203" s="62">
        <f>IF($V203="","",IF(AND(ISNUMBER($G203),$G203&lt;=IF($S203=MesCiclo,InicioCiclo,$S203+MOD(2-WEEKDAY($S203),7))+6),1,IF(ISNUMBER($I203),$I203,0)))</f>
        <v/>
      </c>
      <c r="AA203" s="62">
        <f>IF($V203="","",IF(AND(ISNUMBER($G203),$G203&lt;=IF($S203=MesCiclo,InicioCiclo,$S203+MOD(2-WEEKDAY($S203),7))+13),1,IF(ISNUMBER($J203),$J203,$Z203)))</f>
        <v/>
      </c>
      <c r="AB203" s="62">
        <f>IF($V203="","",IF(AND(ISNUMBER($G203),$G203&lt;=IF($S203=MesCiclo,InicioCiclo,$S203+MOD(2-WEEKDAY($S203),7))+20),1,IF(ISNUMBER($K203),$K203,$AA203)))</f>
        <v/>
      </c>
      <c r="AC203" s="62">
        <f>IF($V203="","",IF(AND(ISNUMBER($G203),$G203&lt;=IF($S203=MesCiclo,InicioCiclo,$S203+MOD(2-WEEKDAY($S203),7))+27),1,IF(ISNUMBER($L203),$L203,$AB203)))</f>
        <v/>
      </c>
      <c r="AD203" s="62">
        <f>IF($V203&lt;&gt;"Sub","",N($X203)*IF(AND(ISNUMBER($G203),$G203&lt;=IF($S203=MesCiclo,InicioCiclo,$S203+MOD(2-WEEKDAY($S203),7))+6),1,MIN(1,MAX(0,IF(ISNUMBER(OFFSET($A$1,ROW()-1,8)),OFFSET($A$1,ROW()-1,8),0)))))</f>
        <v/>
      </c>
      <c r="AE203" s="62">
        <f>IF($V203&lt;&gt;"Sub","",N($X203)*IF(AND(ISNUMBER($G203),$G203&lt;=IF($S203=MesCiclo,InicioCiclo,$S203+MOD(2-WEEKDAY($S203),7))+13),1,MIN(1,MAX(0,IF(ISNUMBER(OFFSET($A$1,ROW()-1,9)),OFFSET($A$1,ROW()-1,9),IF(ISNUMBER(OFFSET($A$1,ROW()-1,8)),OFFSET($A$1,ROW()-1,8),0))))))</f>
        <v/>
      </c>
      <c r="AF203" s="62">
        <f>IF($V203&lt;&gt;"Sub","",N($X203)*IF(AND(ISNUMBER($G203),$G203&lt;=IF($S203=MesCiclo,InicioCiclo,$S203+MOD(2-WEEKDAY($S203),7))+20),1,MIN(1,MAX(0,IF(ISNUMBER(OFFSET($A$1,ROW()-1,10)),OFFSET($A$1,ROW()-1,10),IF(ISNUMBER(OFFSET($A$1,ROW()-1,9)),OFFSET($A$1,ROW()-1,9),IF(ISNUMBER(OFFSET($A$1,ROW()-1,8)),OFFSET($A$1,ROW()-1,8),0)))))))</f>
        <v/>
      </c>
      <c r="AG203" s="62">
        <f>IF($V203&lt;&gt;"Sub","",N($X203)*IF(AND(ISNUMBER($G203),$G203&lt;=IF($S203=MesCiclo,InicioCiclo,$S203+MOD(2-WEEKDAY($S203),7))+27),1,MIN(1,MAX(0,IF(ISNUMBER(OFFSET($A$1,ROW()-1,11)),OFFSET($A$1,ROW()-1,11),IF(ISNUMBER(OFFSET($A$1,ROW()-1,10)),OFFSET($A$1,ROW()-1,10),IF(ISNUMBER(OFFSET($A$1,ROW()-1,9)),OFFSET($A$1,ROW()-1,9),IF(ISNUMBER(OFFSET($A$1,ROW()-1,8)),OFFSET($A$1,ROW()-1,8),0))))))))</f>
        <v/>
      </c>
      <c r="AH203" s="62">
        <f>IF($V203="","",IF(AND(ISNUMBER($G203),$G203&lt;=IF($S203=MesCiclo,InicioCiclo,$S203+MOD(2-WEEKDAY($S203),7))+6),1,IF(N($W203)&gt;0,MIN(1,SUMIFS($AD$5:$AD$1000,$U$5:$U$1000,ROW(),$V$5:$V$1000,"Sub")),$Z203)))</f>
        <v/>
      </c>
      <c r="AI203" s="62">
        <f>IF($V203="","",IF(AND(ISNUMBER($G203),$G203&lt;=IF($S203=MesCiclo,InicioCiclo,$S203+MOD(2-WEEKDAY($S203),7))+13),1,IF(N($W203)&gt;0,MIN(1,SUMIFS($AE$5:$AE$1000,$U$5:$U$1000,ROW(),$V$5:$V$1000,"Sub")),$AA203)))</f>
        <v/>
      </c>
      <c r="AJ203" s="62">
        <f>IF($V203="","",IF(AND(ISNUMBER($G203),$G203&lt;=IF($S203=MesCiclo,InicioCiclo,$S203+MOD(2-WEEKDAY($S203),7))+20),1,IF(N($W203)&gt;0,MIN(1,SUMIFS($AF$5:$AF$1000,$U$5:$U$1000,ROW(),$V$5:$V$1000,"Sub")),$AB203)))</f>
        <v/>
      </c>
      <c r="AK203" s="62">
        <f>IF($V203="","",IF(AND(ISNUMBER($G203),$G203&lt;=IF($S203=MesCiclo,InicioCiclo,$S203+MOD(2-WEEKDAY($S203),7))+27),1,IF(N($W203)&gt;0,MIN(1,SUMIFS($AG$5:$AG$1000,$U$5:$U$1000,ROW(),$V$5:$V$1000,"Sub")),$AC203)))</f>
        <v/>
      </c>
      <c r="AL203" s="62">
        <f>IF($V203&lt;&gt;"Macro","",IF(COUNTIFS($S$5:$S$1000,$S203,$V$5:$V$1000,"Macro",$H$5:$H$1000,"&gt;0")=0,1/COUNTIFS($S$5:$S$1000,$S203,$V$5:$V$1000,"Macro"),IF(AND(ISNUMBER($H203),N($H203)&gt;0),$H203,SUMIFS($H$5:$H$1000,$S$5:$S$1000,$S203,$V$5:$V$1000,"Macro")/COUNTIFS($S$5:$S$1000,$S203,$V$5:$V$1000,"Macro",$H$5:$H$1000,"&gt;0"))/(COUNTIFS($S$5:$S$1000,$S203,$V$5:$V$1000,"Macro")*SUMIFS($H$5:$H$1000,$S$5:$S$1000,$S203,$V$5:$V$1000,"Macro")/COUNTIFS($S$5:$S$1000,$S203,$V$5:$V$1000,"Macro",$H$5:$H$1000,"&gt;0"))))</f>
        <v/>
      </c>
      <c r="AM203" s="62" t="n"/>
      <c r="AN203" s="62" t="n"/>
      <c r="AO203" s="62" t="n"/>
      <c r="AP203" s="62" t="n"/>
      <c r="AQ203" s="62">
        <f>IF(LEFT($C203,11)="[Jefatura] ",IFERROR(MATCH("Asistente Técnico de Riesgo|"&amp;MID($C203,12,500),rDname_ADM,0),0),"")</f>
        <v/>
      </c>
      <c r="AR203" s="62">
        <f>IF(N($AQ203)&gt;0,INDEX(rIni_ADM,$AQ203),IF(ISNUMBER($E203),$E203,""))</f>
        <v/>
      </c>
      <c r="AS203" s="62">
        <f>IF(N($AQ203)&gt;0,INDEX(rLim_ADM,$AQ203),IF(ISNUMBER($F203),$F203,""))</f>
        <v/>
      </c>
    </row>
    <row r="204">
      <c r="A204" s="56">
        <f>IF(NOT((COUNTA($B204:$D204)+COUNTA($G204:$H204)+COUNTA($Q204))&gt;0),"",IF($V204="Macro",COUNTIFS($V$5:$V204,"Macro",$S$5:$S204,$S204),IF(N($U204)=0,"?",COUNTIFS(INDEX($V$5:$V$1000,1):INDEX($V$5:$V$1000,$U204-4),"Macro",INDEX($S$5:$S$1000,1):INDEX($S$5:$S$1000,$U204-4),INDEX($S$5:$S$1000,$U204-4))&amp;"."&amp;COUNTIFS($U$5:$U204,$U204,$V$5:$V204,"Sub"))))</f>
        <v/>
      </c>
      <c r="B204" s="57" t="n"/>
      <c r="C204" s="58" t="n"/>
      <c r="D204" s="58" t="n"/>
      <c r="E204" s="59">
        <f>IF(N($AQ204)&gt;0,INDEX(rIni_ADM,$AQ204),"")</f>
        <v/>
      </c>
      <c r="F204" s="59">
        <f>IF(N($AQ204)&gt;0,INDEX(rLim_ADM,$AQ204),"")</f>
        <v/>
      </c>
      <c r="G204" s="59" t="n"/>
      <c r="H204" s="60" t="n"/>
      <c r="I204" s="60">
        <f>IF(N($W204)=0,"",IF(AND($S204=MesCiclo,1&gt;SemanaActual),"",MIN(1,SUMIFS(OFFSET($A$1,ROW(),29,1000-ROW(),1),OFFSET($A$1,ROW(),20,1000-ROW(),1),ROW(),OFFSET($A$1,ROW(),21,1000-ROW(),1),"Sub"))))</f>
        <v/>
      </c>
      <c r="J204" s="60">
        <f>IF(N($W204)=0,"",IF(AND($S204=MesCiclo,2&gt;SemanaActual),"",MIN(1,SUMIFS(OFFSET($A$1,ROW(),30,1000-ROW(),1),OFFSET($A$1,ROW(),20,1000-ROW(),1),ROW(),OFFSET($A$1,ROW(),21,1000-ROW(),1),"Sub"))))</f>
        <v/>
      </c>
      <c r="K204" s="60">
        <f>IF(N($W204)=0,"",IF(AND($S204=MesCiclo,3&gt;SemanaActual),"",MIN(1,SUMIFS(OFFSET($A$1,ROW(),31,1000-ROW(),1),OFFSET($A$1,ROW(),20,1000-ROW(),1),ROW(),OFFSET($A$1,ROW(),21,1000-ROW(),1),"Sub"))))</f>
        <v/>
      </c>
      <c r="L204" s="60">
        <f>IF(N($W204)=0,"",IF(AND($S204=MesCiclo,4&gt;SemanaActual),"",MIN(1,SUMIFS(OFFSET($A$1,ROW(),32,1000-ROW(),1),OFFSET($A$1,ROW(),20,1000-ROW(),1),ROW(),OFFSET($A$1,ROW(),21,1000-ROW(),1),"Sub"))))</f>
        <v/>
      </c>
      <c r="M204" s="61">
        <f>IF(OR(NOT((COUNTA($B204:$D204)+COUNTA($G204:$H204)+COUNTA($Q204))&gt;0),$V204="Sub"),"",IF(ISNUMBER($G204),1,IF(N($W204)&gt;0,MIN(1,SUMIFS($Y$5:$Y$1000,$U$5:$U$1000,ROW(),$V$5:$V$1000,"Sub")),$Y204)))</f>
        <v/>
      </c>
      <c r="N204" s="56">
        <f>IF(OR($M204="",$V204="Sub"),"",IF($M204&gt;=1,"Completado",IF($M204&gt;0,"En curso","Pendiente")))</f>
        <v/>
      </c>
      <c r="O204" s="56">
        <f>IF(OR(NOT((COUNTA($B204:$D204)+COUNTA($G204:$H204)+COUNTA($Q204))&gt;0),$V204="Sub"),"",IF(ISNUMBER($G204),IF(AND(ISNUMBER($AS204),$G204&gt;$AS204),"Cumplida con "&amp;($G204-$AS204)&amp;IF($G204-$AS204=1," día"," días")&amp;" de retraso","Cumplida"),IF(N($M204)&gt;=1,"Cumplida",IF(NOT(ISNUMBER($AS204)),"Sin fecha límite",IF($AS204&lt;FechaRef,"Vencida hace "&amp;(FechaRef-$AS204)&amp;IF(FechaRef-$AS204=1," día"," días"),IF($AS204=FechaRef,"Vence hoy",IF($AS204-FechaRef&lt;=DiasAlerta,"Vence en "&amp;($AS204-FechaRef)&amp;IF($AS204-FechaRef=1," día"," días"),"En plazo")))))))</f>
        <v/>
      </c>
      <c r="P204" s="62" t="n"/>
      <c r="Q204" s="58" t="n"/>
      <c r="R204" s="63">
        <f>IF(NOT((COUNTA($B204:$D204)+COUNTA($G204:$H204)+COUNTA($Q204))&gt;0),"",IF((IF($C204="","Falta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 OK","⚠ "&amp;LEFT(IF($C204="","Falta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",""),LEN(IF($C204="","Falta el nombre de la actividad"&amp;" · ","")&amp;IF(AND($V204="Sub",N($U204)=0),"Subactividad sin macroactividad arriba"&amp;" · ","")&amp;IF(AND($V204="Macro",$AR204=""),"Sin fecha de inicio"&amp;" · ","")&amp;IF(AND($V204="Macro",$AS204=""),"Sin fecha límite"&amp;" · ","")&amp;IF(AND(LEFT($C204,11)="[Jefatura] ",N($AQ204)=0),"No se encuentra en la hoja de la jefatura (elíjala de nuevo en la lista)"&amp;" · ","")&amp;IF(OR(AND($E204&lt;&gt;"",NOT(ISNUMBER($E204))),AND($F204&lt;&gt;"",NOT(ISNUMBER($F204))),AND($G204&lt;&gt;"",NOT(ISNUMBER($G204)))),"Fecha no válida"&amp;" · ","")&amp;IF(AND(ISNUMBER($AR204),ISNUMBER($AS204),$AR204&gt;$AS204),"Inicio posterior a fecha límite"&amp;" · ","")&amp;IF(AND($V204="Macro",$H204&lt;&gt;"",OR(NOT(ISNUMBER($H204)),$H204&lt;0,$H204&gt;1)),"Peso fuera de rango"&amp;" · ","")&amp;IF(AND($V204="Sub",$H204&lt;&gt;"",OR(NOT(ISNUMBER($H204)),$H204&lt;0,$H204&gt;1)),"% de la subactividad fuera de rango 0-100%"&amp;" · ","")&amp;IF(AND(N($W204)&gt;0,SUMIFS($H$5:$H$1000,$U$5:$U$1000,ROW(),$V$5:$V$1000,"Sub")&gt;1.0001),"Las subactividades suman más de 100%"&amp;" · ","")&amp;IF(AND(N($W204)&gt;0,OR(IF(ISNUMBER($I204),ROUND($I204,6)&lt;&gt;ROUND(MIN(1,SUMIFS($AD$5:$AD$1000,$U$5:$U$1000,ROW(),$V$5:$V$1000,"Sub")),6),FALSE),IF(ISNUMBER($J204),ROUND($J204,6)&lt;&gt;ROUND(MIN(1,SUMIFS($AE$5:$AE$1000,$U$5:$U$1000,ROW(),$V$5:$V$1000,"Sub")),6),FALSE),IF(ISNUMBER($K204),ROUND($K204,6)&lt;&gt;ROUND(MIN(1,SUMIFS($AF$5:$AF$1000,$U$5:$U$1000,ROW(),$V$5:$V$1000,"Sub")),6),FALSE),IF(ISNUMBER($L204),ROUND($L204,6)&lt;&gt;ROUND(MIN(1,SUMIFS($AG$5:$AG$1000,$U$5:$U$1000,ROW(),$V$5:$V$1000,"Sub")),6),FALSE))),"Con subactividades: no escriba en las semanas (se llenan solas)"&amp;" · ","")&amp;IF((COUNTIF($I204:$L204,"&gt;1")+COUNTIF($I204:$L204,"&lt;0")+SUMPRODUCT((LEN($I204:$L204)&gt;0)*NOT(ISNUMBER($I204:$L204))))&gt;0,"Avance fuera de rango 0-100%"&amp;" · ","")&amp;IF(OR(AND(ISNUMBER($J204),$J204&lt;N($I204)),AND(ISNUMBER($K204),$K204&lt;MAX($I204:$J204)),AND(ISNUMBER($L204),$L204&lt;MAX($I204:$K204))),"Avance semanal decreciente"&amp;" · ","")&amp;IF(AND(ISNUMBER($AS204),$AS204&lt;FechaRef,IF($V204="Sub",1,N($M204))&lt;1),"Vencida"&amp;" · ","")&amp;IF(AND(ObsObligatoria="Sí",ISNUMBER($AS204),$AS204&lt;FechaRef,IF($V204="Sub",1,N($M204))&lt;1,$Q204=""),"Vencida sin observación"&amp;" · ",""))-3)))</f>
        <v/>
      </c>
      <c r="S204" s="64">
        <f>IF(NOT((COUNTA($B204:$D204)+COUNTA($G204:$H204)+COUNTA($Q204))&gt;0),"",IF(AND($V204="Sub",N($U204)&gt;0),IF(ISNUMBER(INDEX($AR$5:$AR$1000,$U204-4)),DATE(YEAR(INDEX($AR$5:$AR$1000,$U204-4)),MONTH(INDEX($AR$5:$AR$1000,$U204-4)),1),IF(ISNUMBER(INDEX($AS$5:$AS$1000,$U204-4)),DATE(YEAR(INDEX($AS$5:$AS$1000,$U204-4)),MONTH(INDEX($AS$5:$AS$1000,$U204-4)),1),MesCiclo)),IF(ISNUMBER($AR204),DATE(YEAR($AR204),MONTH($AR204),1),IF(ISNUMBER($AS204),DATE(YEAR($AS204),MONTH($AS204),1),MesCiclo))))</f>
        <v/>
      </c>
      <c r="T204" s="62">
        <f>IF(OR($S204="",$S204&lt;&gt;MesCiclo,$V204&lt;&gt;"Macro"),"",COUNTIFS($S$5:$S204,MesCiclo,$V$5:$V204,"Macro"))</f>
        <v/>
      </c>
      <c r="U204" s="62">
        <f>IF($V204="","",IF($V204="Macro",ROW(),IFERROR(LOOKUP(2,1/($V$5:$V204="Macro"),ROW($V$5:$V204)),0)))</f>
        <v/>
      </c>
      <c r="V204" s="62">
        <f>IF(NOT((COUNTA($B204:$D204)+COUNTA($G204:$H204)+COUNTA($Q204))&gt;0),"",IF($B204="Subactividad","Sub","Macro"))</f>
        <v/>
      </c>
      <c r="W204" s="62">
        <f>IF($V204="Macro",COUNTIFS($U$5:$U$1000,ROW(),$V$5:$V$1000,"Sub"),"")</f>
        <v/>
      </c>
      <c r="X204" s="62">
        <f>IF($V204&lt;&gt;"Sub","",IF(AND(ISNUMBER($H204),N($H204)&gt;0),$H204,IFERROR(MAX(0,1-SUMIFS($H$5:$H$1000,$U$5:$U$1000,$U204,$V$5:$V$1000,"Sub"))/(COUNTIFS($U$5:$U$1000,$U204,$V$5:$V$1000,"Sub")-COUNTIFS($U$5:$U$1000,$U204,$V$5:$V$1000,"Sub",$H$5:$H$1000,"&gt;0")),0)))</f>
        <v/>
      </c>
      <c r="Y204" s="62">
        <f>IF($V204="","",IF($V204="Sub",N($X204)*IF(ISNUMBER($G204),1,MIN(1,MAX(0,IFERROR(LOOKUP(2,1/ISNUMBER($I204:$L204),$I204:$L204),0)))),IF(ISNUMBER($G204),1,IFERROR(LOOKUP(2,1/($I204:$L204&lt;&gt;""),$I204:$L204),0))))</f>
        <v/>
      </c>
      <c r="Z204" s="62">
        <f>IF($V204="","",IF(AND(ISNUMBER($G204),$G204&lt;=IF($S204=MesCiclo,InicioCiclo,$S204+MOD(2-WEEKDAY($S204),7))+6),1,IF(ISNUMBER($I204),$I204,0)))</f>
        <v/>
      </c>
      <c r="AA204" s="62">
        <f>IF($V204="","",IF(AND(ISNUMBER($G204),$G204&lt;=IF($S204=MesCiclo,InicioCiclo,$S204+MOD(2-WEEKDAY($S204),7))+13),1,IF(ISNUMBER($J204),$J204,$Z204)))</f>
        <v/>
      </c>
      <c r="AB204" s="62">
        <f>IF($V204="","",IF(AND(ISNUMBER($G204),$G204&lt;=IF($S204=MesCiclo,InicioCiclo,$S204+MOD(2-WEEKDAY($S204),7))+20),1,IF(ISNUMBER($K204),$K204,$AA204)))</f>
        <v/>
      </c>
      <c r="AC204" s="62">
        <f>IF($V204="","",IF(AND(ISNUMBER($G204),$G204&lt;=IF($S204=MesCiclo,InicioCiclo,$S204+MOD(2-WEEKDAY($S204),7))+27),1,IF(ISNUMBER($L204),$L204,$AB204)))</f>
        <v/>
      </c>
      <c r="AD204" s="62">
        <f>IF($V204&lt;&gt;"Sub","",N($X204)*IF(AND(ISNUMBER($G204),$G204&lt;=IF($S204=MesCiclo,InicioCiclo,$S204+MOD(2-WEEKDAY($S204),7))+6),1,MIN(1,MAX(0,IF(ISNUMBER(OFFSET($A$1,ROW()-1,8)),OFFSET($A$1,ROW()-1,8),0)))))</f>
        <v/>
      </c>
      <c r="AE204" s="62">
        <f>IF($V204&lt;&gt;"Sub","",N($X204)*IF(AND(ISNUMBER($G204),$G204&lt;=IF($S204=MesCiclo,InicioCiclo,$S204+MOD(2-WEEKDAY($S204),7))+13),1,MIN(1,MAX(0,IF(ISNUMBER(OFFSET($A$1,ROW()-1,9)),OFFSET($A$1,ROW()-1,9),IF(ISNUMBER(OFFSET($A$1,ROW()-1,8)),OFFSET($A$1,ROW()-1,8),0))))))</f>
        <v/>
      </c>
      <c r="AF204" s="62">
        <f>IF($V204&lt;&gt;"Sub","",N($X204)*IF(AND(ISNUMBER($G204),$G204&lt;=IF($S204=MesCiclo,InicioCiclo,$S204+MOD(2-WEEKDAY($S204),7))+20),1,MIN(1,MAX(0,IF(ISNUMBER(OFFSET($A$1,ROW()-1,10)),OFFSET($A$1,ROW()-1,10),IF(ISNUMBER(OFFSET($A$1,ROW()-1,9)),OFFSET($A$1,ROW()-1,9),IF(ISNUMBER(OFFSET($A$1,ROW()-1,8)),OFFSET($A$1,ROW()-1,8),0)))))))</f>
        <v/>
      </c>
      <c r="AG204" s="62">
        <f>IF($V204&lt;&gt;"Sub","",N($X204)*IF(AND(ISNUMBER($G204),$G204&lt;=IF($S204=MesCiclo,InicioCiclo,$S204+MOD(2-WEEKDAY($S204),7))+27),1,MIN(1,MAX(0,IF(ISNUMBER(OFFSET($A$1,ROW()-1,11)),OFFSET($A$1,ROW()-1,11),IF(ISNUMBER(OFFSET($A$1,ROW()-1,10)),OFFSET($A$1,ROW()-1,10),IF(ISNUMBER(OFFSET($A$1,ROW()-1,9)),OFFSET($A$1,ROW()-1,9),IF(ISNUMBER(OFFSET($A$1,ROW()-1,8)),OFFSET($A$1,ROW()-1,8),0))))))))</f>
        <v/>
      </c>
      <c r="AH204" s="62">
        <f>IF($V204="","",IF(AND(ISNUMBER($G204),$G204&lt;=IF($S204=MesCiclo,InicioCiclo,$S204+MOD(2-WEEKDAY($S204),7))+6),1,IF(N($W204)&gt;0,MIN(1,SUMIFS($AD$5:$AD$1000,$U$5:$U$1000,ROW(),$V$5:$V$1000,"Sub")),$Z204)))</f>
        <v/>
      </c>
      <c r="AI204" s="62">
        <f>IF($V204="","",IF(AND(ISNUMBER($G204),$G204&lt;=IF($S204=MesCiclo,InicioCiclo,$S204+MOD(2-WEEKDAY($S204),7))+13),1,IF(N($W204)&gt;0,MIN(1,SUMIFS($AE$5:$AE$1000,$U$5:$U$1000,ROW(),$V$5:$V$1000,"Sub")),$AA204)))</f>
        <v/>
      </c>
      <c r="AJ204" s="62">
        <f>IF($V204="","",IF(AND(ISNUMBER($G204),$G204&lt;=IF($S204=MesCiclo,InicioCiclo,$S204+MOD(2-WEEKDAY($S204),7))+20),1,IF(N($W204)&gt;0,MIN(1,SUMIFS($AF$5:$AF$1000,$U$5:$U$1000,ROW(),$V$5:$V$1000,"Sub")),$AB204)))</f>
        <v/>
      </c>
      <c r="AK204" s="62">
        <f>IF($V204="","",IF(AND(ISNUMBER($G204),$G204&lt;=IF($S204=MesCiclo,InicioCiclo,$S204+MOD(2-WEEKDAY($S204),7))+27),1,IF(N($W204)&gt;0,MIN(1,SUMIFS($AG$5:$AG$1000,$U$5:$U$1000,ROW(),$V$5:$V$1000,"Sub")),$AC204)))</f>
        <v/>
      </c>
      <c r="AL204" s="62">
        <f>IF($V204&lt;&gt;"Macro","",IF(COUNTIFS($S$5:$S$1000,$S204,$V$5:$V$1000,"Macro",$H$5:$H$1000,"&gt;0")=0,1/COUNTIFS($S$5:$S$1000,$S204,$V$5:$V$1000,"Macro"),IF(AND(ISNUMBER($H204),N($H204)&gt;0),$H204,SUMIFS($H$5:$H$1000,$S$5:$S$1000,$S204,$V$5:$V$1000,"Macro")/COUNTIFS($S$5:$S$1000,$S204,$V$5:$V$1000,"Macro",$H$5:$H$1000,"&gt;0"))/(COUNTIFS($S$5:$S$1000,$S204,$V$5:$V$1000,"Macro")*SUMIFS($H$5:$H$1000,$S$5:$S$1000,$S204,$V$5:$V$1000,"Macro")/COUNTIFS($S$5:$S$1000,$S204,$V$5:$V$1000,"Macro",$H$5:$H$1000,"&gt;0"))))</f>
        <v/>
      </c>
      <c r="AM204" s="62" t="n"/>
      <c r="AN204" s="62" t="n"/>
      <c r="AO204" s="62" t="n"/>
      <c r="AP204" s="62" t="n"/>
      <c r="AQ204" s="62">
        <f>IF(LEFT($C204,11)="[Jefatura] ",IFERROR(MATCH("Asistente Técnico de Riesgo|"&amp;MID($C204,12,500),rDname_ADM,0),0),"")</f>
        <v/>
      </c>
      <c r="AR204" s="62">
        <f>IF(N($AQ204)&gt;0,INDEX(rIni_ADM,$AQ204),IF(ISNUMBER($E204),$E204,""))</f>
        <v/>
      </c>
      <c r="AS204" s="62">
        <f>IF(N($AQ204)&gt;0,INDEX(rLim_ADM,$AQ204),IF(ISNUMBER($F204),$F204,""))</f>
        <v/>
      </c>
    </row>
    <row r="205">
      <c r="A205" s="56">
        <f>IF(NOT((COUNTA($B205:$D205)+COUNTA($G205:$H205)+COUNTA($Q205))&gt;0),"",IF($V205="Macro",COUNTIFS($V$5:$V205,"Macro",$S$5:$S205,$S205),IF(N($U205)=0,"?",COUNTIFS(INDEX($V$5:$V$1000,1):INDEX($V$5:$V$1000,$U205-4),"Macro",INDEX($S$5:$S$1000,1):INDEX($S$5:$S$1000,$U205-4),INDEX($S$5:$S$1000,$U205-4))&amp;"."&amp;COUNTIFS($U$5:$U205,$U205,$V$5:$V205,"Sub"))))</f>
        <v/>
      </c>
      <c r="B205" s="57" t="n"/>
      <c r="C205" s="58" t="n"/>
      <c r="D205" s="58" t="n"/>
      <c r="E205" s="59">
        <f>IF(N($AQ205)&gt;0,INDEX(rIni_ADM,$AQ205),"")</f>
        <v/>
      </c>
      <c r="F205" s="59">
        <f>IF(N($AQ205)&gt;0,INDEX(rLim_ADM,$AQ205),"")</f>
        <v/>
      </c>
      <c r="G205" s="59" t="n"/>
      <c r="H205" s="60" t="n"/>
      <c r="I205" s="60">
        <f>IF(N($W205)=0,"",IF(AND($S205=MesCiclo,1&gt;SemanaActual),"",MIN(1,SUMIFS(OFFSET($A$1,ROW(),29,1000-ROW(),1),OFFSET($A$1,ROW(),20,1000-ROW(),1),ROW(),OFFSET($A$1,ROW(),21,1000-ROW(),1),"Sub"))))</f>
        <v/>
      </c>
      <c r="J205" s="60">
        <f>IF(N($W205)=0,"",IF(AND($S205=MesCiclo,2&gt;SemanaActual),"",MIN(1,SUMIFS(OFFSET($A$1,ROW(),30,1000-ROW(),1),OFFSET($A$1,ROW(),20,1000-ROW(),1),ROW(),OFFSET($A$1,ROW(),21,1000-ROW(),1),"Sub"))))</f>
        <v/>
      </c>
      <c r="K205" s="60">
        <f>IF(N($W205)=0,"",IF(AND($S205=MesCiclo,3&gt;SemanaActual),"",MIN(1,SUMIFS(OFFSET($A$1,ROW(),31,1000-ROW(),1),OFFSET($A$1,ROW(),20,1000-ROW(),1),ROW(),OFFSET($A$1,ROW(),21,1000-ROW(),1),"Sub"))))</f>
        <v/>
      </c>
      <c r="L205" s="60">
        <f>IF(N($W205)=0,"",IF(AND($S205=MesCiclo,4&gt;SemanaActual),"",MIN(1,SUMIFS(OFFSET($A$1,ROW(),32,1000-ROW(),1),OFFSET($A$1,ROW(),20,1000-ROW(),1),ROW(),OFFSET($A$1,ROW(),21,1000-ROW(),1),"Sub"))))</f>
        <v/>
      </c>
      <c r="M205" s="61">
        <f>IF(OR(NOT((COUNTA($B205:$D205)+COUNTA($G205:$H205)+COUNTA($Q205))&gt;0),$V205="Sub"),"",IF(ISNUMBER($G205),1,IF(N($W205)&gt;0,MIN(1,SUMIFS($Y$5:$Y$1000,$U$5:$U$1000,ROW(),$V$5:$V$1000,"Sub")),$Y205)))</f>
        <v/>
      </c>
      <c r="N205" s="56">
        <f>IF(OR($M205="",$V205="Sub"),"",IF($M205&gt;=1,"Completado",IF($M205&gt;0,"En curso","Pendiente")))</f>
        <v/>
      </c>
      <c r="O205" s="56">
        <f>IF(OR(NOT((COUNTA($B205:$D205)+COUNTA($G205:$H205)+COUNTA($Q205))&gt;0),$V205="Sub"),"",IF(ISNUMBER($G205),IF(AND(ISNUMBER($AS205),$G205&gt;$AS205),"Cumplida con "&amp;($G205-$AS205)&amp;IF($G205-$AS205=1," día"," días")&amp;" de retraso","Cumplida"),IF(N($M205)&gt;=1,"Cumplida",IF(NOT(ISNUMBER($AS205)),"Sin fecha límite",IF($AS205&lt;FechaRef,"Vencida hace "&amp;(FechaRef-$AS205)&amp;IF(FechaRef-$AS205=1," día"," días"),IF($AS205=FechaRef,"Vence hoy",IF($AS205-FechaRef&lt;=DiasAlerta,"Vence en "&amp;($AS205-FechaRef)&amp;IF($AS205-FechaRef=1," día"," días"),"En plazo")))))))</f>
        <v/>
      </c>
      <c r="P205" s="62" t="n"/>
      <c r="Q205" s="58" t="n"/>
      <c r="R205" s="63">
        <f>IF(NOT((COUNTA($B205:$D205)+COUNTA($G205:$H205)+COUNTA($Q205))&gt;0),"",IF((IF($C205="","Falta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 OK","⚠ "&amp;LEFT(IF($C205="","Falta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",""),LEN(IF($C205="","Falta el nombre de la actividad"&amp;" · ","")&amp;IF(AND($V205="Sub",N($U205)=0),"Subactividad sin macroactividad arriba"&amp;" · ","")&amp;IF(AND($V205="Macro",$AR205=""),"Sin fecha de inicio"&amp;" · ","")&amp;IF(AND($V205="Macro",$AS205=""),"Sin fecha límite"&amp;" · ","")&amp;IF(AND(LEFT($C205,11)="[Jefatura] ",N($AQ205)=0),"No se encuentra en la hoja de la jefatura (elíjala de nuevo en la lista)"&amp;" · ","")&amp;IF(OR(AND($E205&lt;&gt;"",NOT(ISNUMBER($E205))),AND($F205&lt;&gt;"",NOT(ISNUMBER($F205))),AND($G205&lt;&gt;"",NOT(ISNUMBER($G205)))),"Fecha no válida"&amp;" · ","")&amp;IF(AND(ISNUMBER($AR205),ISNUMBER($AS205),$AR205&gt;$AS205),"Inicio posterior a fecha límite"&amp;" · ","")&amp;IF(AND($V205="Macro",$H205&lt;&gt;"",OR(NOT(ISNUMBER($H205)),$H205&lt;0,$H205&gt;1)),"Peso fuera de rango"&amp;" · ","")&amp;IF(AND($V205="Sub",$H205&lt;&gt;"",OR(NOT(ISNUMBER($H205)),$H205&lt;0,$H205&gt;1)),"% de la subactividad fuera de rango 0-100%"&amp;" · ","")&amp;IF(AND(N($W205)&gt;0,SUMIFS($H$5:$H$1000,$U$5:$U$1000,ROW(),$V$5:$V$1000,"Sub")&gt;1.0001),"Las subactividades suman más de 100%"&amp;" · ","")&amp;IF(AND(N($W205)&gt;0,OR(IF(ISNUMBER($I205),ROUND($I205,6)&lt;&gt;ROUND(MIN(1,SUMIFS($AD$5:$AD$1000,$U$5:$U$1000,ROW(),$V$5:$V$1000,"Sub")),6),FALSE),IF(ISNUMBER($J205),ROUND($J205,6)&lt;&gt;ROUND(MIN(1,SUMIFS($AE$5:$AE$1000,$U$5:$U$1000,ROW(),$V$5:$V$1000,"Sub")),6),FALSE),IF(ISNUMBER($K205),ROUND($K205,6)&lt;&gt;ROUND(MIN(1,SUMIFS($AF$5:$AF$1000,$U$5:$U$1000,ROW(),$V$5:$V$1000,"Sub")),6),FALSE),IF(ISNUMBER($L205),ROUND($L205,6)&lt;&gt;ROUND(MIN(1,SUMIFS($AG$5:$AG$1000,$U$5:$U$1000,ROW(),$V$5:$V$1000,"Sub")),6),FALSE))),"Con subactividades: no escriba en las semanas (se llenan solas)"&amp;" · ","")&amp;IF((COUNTIF($I205:$L205,"&gt;1")+COUNTIF($I205:$L205,"&lt;0")+SUMPRODUCT((LEN($I205:$L205)&gt;0)*NOT(ISNUMBER($I205:$L205))))&gt;0,"Avance fuera de rango 0-100%"&amp;" · ","")&amp;IF(OR(AND(ISNUMBER($J205),$J205&lt;N($I205)),AND(ISNUMBER($K205),$K205&lt;MAX($I205:$J205)),AND(ISNUMBER($L205),$L205&lt;MAX($I205:$K205))),"Avance semanal decreciente"&amp;" · ","")&amp;IF(AND(ISNUMBER($AS205),$AS205&lt;FechaRef,IF($V205="Sub",1,N($M205))&lt;1),"Vencida"&amp;" · ","")&amp;IF(AND(ObsObligatoria="Sí",ISNUMBER($AS205),$AS205&lt;FechaRef,IF($V205="Sub",1,N($M205))&lt;1,$Q205=""),"Vencida sin observación"&amp;" · ",""))-3)))</f>
        <v/>
      </c>
      <c r="S205" s="64">
        <f>IF(NOT((COUNTA($B205:$D205)+COUNTA($G205:$H205)+COUNTA($Q205))&gt;0),"",IF(AND($V205="Sub",N($U205)&gt;0),IF(ISNUMBER(INDEX($AR$5:$AR$1000,$U205-4)),DATE(YEAR(INDEX($AR$5:$AR$1000,$U205-4)),MONTH(INDEX($AR$5:$AR$1000,$U205-4)),1),IF(ISNUMBER(INDEX($AS$5:$AS$1000,$U205-4)),DATE(YEAR(INDEX($AS$5:$AS$1000,$U205-4)),MONTH(INDEX($AS$5:$AS$1000,$U205-4)),1),MesCiclo)),IF(ISNUMBER($AR205),DATE(YEAR($AR205),MONTH($AR205),1),IF(ISNUMBER($AS205),DATE(YEAR($AS205),MONTH($AS205),1),MesCiclo))))</f>
        <v/>
      </c>
      <c r="T205" s="62">
        <f>IF(OR($S205="",$S205&lt;&gt;MesCiclo,$V205&lt;&gt;"Macro"),"",COUNTIFS($S$5:$S205,MesCiclo,$V$5:$V205,"Macro"))</f>
        <v/>
      </c>
      <c r="U205" s="62">
        <f>IF($V205="","",IF($V205="Macro",ROW(),IFERROR(LOOKUP(2,1/($V$5:$V205="Macro"),ROW($V$5:$V205)),0)))</f>
        <v/>
      </c>
      <c r="V205" s="62">
        <f>IF(NOT((COUNTA($B205:$D205)+COUNTA($G205:$H205)+COUNTA($Q205))&gt;0),"",IF($B205="Subactividad","Sub","Macro"))</f>
        <v/>
      </c>
      <c r="W205" s="62">
        <f>IF($V205="Macro",COUNTIFS($U$5:$U$1000,ROW(),$V$5:$V$1000,"Sub"),"")</f>
        <v/>
      </c>
      <c r="X205" s="62">
        <f>IF($V205&lt;&gt;"Sub","",IF(AND(ISNUMBER($H205),N($H205)&gt;0),$H205,IFERROR(MAX(0,1-SUMIFS($H$5:$H$1000,$U$5:$U$1000,$U205,$V$5:$V$1000,"Sub"))/(COUNTIFS($U$5:$U$1000,$U205,$V$5:$V$1000,"Sub")-COUNTIFS($U$5:$U$1000,$U205,$V$5:$V$1000,"Sub",$H$5:$H$1000,"&gt;0")),0)))</f>
        <v/>
      </c>
      <c r="Y205" s="62">
        <f>IF($V205="","",IF($V205="Sub",N($X205)*IF(ISNUMBER($G205),1,MIN(1,MAX(0,IFERROR(LOOKUP(2,1/ISNUMBER($I205:$L205),$I205:$L205),0)))),IF(ISNUMBER($G205),1,IFERROR(LOOKUP(2,1/($I205:$L205&lt;&gt;""),$I205:$L205),0))))</f>
        <v/>
      </c>
      <c r="Z205" s="62">
        <f>IF($V205="","",IF(AND(ISNUMBER($G205),$G205&lt;=IF($S205=MesCiclo,InicioCiclo,$S205+MOD(2-WEEKDAY($S205),7))+6),1,IF(ISNUMBER($I205),$I205,0)))</f>
        <v/>
      </c>
      <c r="AA205" s="62">
        <f>IF($V205="","",IF(AND(ISNUMBER($G205),$G205&lt;=IF($S205=MesCiclo,InicioCiclo,$S205+MOD(2-WEEKDAY($S205),7))+13),1,IF(ISNUMBER($J205),$J205,$Z205)))</f>
        <v/>
      </c>
      <c r="AB205" s="62">
        <f>IF($V205="","",IF(AND(ISNUMBER($G205),$G205&lt;=IF($S205=MesCiclo,InicioCiclo,$S205+MOD(2-WEEKDAY($S205),7))+20),1,IF(ISNUMBER($K205),$K205,$AA205)))</f>
        <v/>
      </c>
      <c r="AC205" s="62">
        <f>IF($V205="","",IF(AND(ISNUMBER($G205),$G205&lt;=IF($S205=MesCiclo,InicioCiclo,$S205+MOD(2-WEEKDAY($S205),7))+27),1,IF(ISNUMBER($L205),$L205,$AB205)))</f>
        <v/>
      </c>
      <c r="AD205" s="62">
        <f>IF($V205&lt;&gt;"Sub","",N($X205)*IF(AND(ISNUMBER($G205),$G205&lt;=IF($S205=MesCiclo,InicioCiclo,$S205+MOD(2-WEEKDAY($S205),7))+6),1,MIN(1,MAX(0,IF(ISNUMBER(OFFSET($A$1,ROW()-1,8)),OFFSET($A$1,ROW()-1,8),0)))))</f>
        <v/>
      </c>
      <c r="AE205" s="62">
        <f>IF($V205&lt;&gt;"Sub","",N($X205)*IF(AND(ISNUMBER($G205),$G205&lt;=IF($S205=MesCiclo,InicioCiclo,$S205+MOD(2-WEEKDAY($S205),7))+13),1,MIN(1,MAX(0,IF(ISNUMBER(OFFSET($A$1,ROW()-1,9)),OFFSET($A$1,ROW()-1,9),IF(ISNUMBER(OFFSET($A$1,ROW()-1,8)),OFFSET($A$1,ROW()-1,8),0))))))</f>
        <v/>
      </c>
      <c r="AF205" s="62">
        <f>IF($V205&lt;&gt;"Sub","",N($X205)*IF(AND(ISNUMBER($G205),$G205&lt;=IF($S205=MesCiclo,InicioCiclo,$S205+MOD(2-WEEKDAY($S205),7))+20),1,MIN(1,MAX(0,IF(ISNUMBER(OFFSET($A$1,ROW()-1,10)),OFFSET($A$1,ROW()-1,10),IF(ISNUMBER(OFFSET($A$1,ROW()-1,9)),OFFSET($A$1,ROW()-1,9),IF(ISNUMBER(OFFSET($A$1,ROW()-1,8)),OFFSET($A$1,ROW()-1,8),0)))))))</f>
        <v/>
      </c>
      <c r="AG205" s="62">
        <f>IF($V205&lt;&gt;"Sub","",N($X205)*IF(AND(ISNUMBER($G205),$G205&lt;=IF($S205=MesCiclo,InicioCiclo,$S205+MOD(2-WEEKDAY($S205),7))+27),1,MIN(1,MAX(0,IF(ISNUMBER(OFFSET($A$1,ROW()-1,11)),OFFSET($A$1,ROW()-1,11),IF(ISNUMBER(OFFSET($A$1,ROW()-1,10)),OFFSET($A$1,ROW()-1,10),IF(ISNUMBER(OFFSET($A$1,ROW()-1,9)),OFFSET($A$1,ROW()-1,9),IF(ISNUMBER(OFFSET($A$1,ROW()-1,8)),OFFSET($A$1,ROW()-1,8),0))))))))</f>
        <v/>
      </c>
      <c r="AH205" s="62">
        <f>IF($V205="","",IF(AND(ISNUMBER($G205),$G205&lt;=IF($S205=MesCiclo,InicioCiclo,$S205+MOD(2-WEEKDAY($S205),7))+6),1,IF(N($W205)&gt;0,MIN(1,SUMIFS($AD$5:$AD$1000,$U$5:$U$1000,ROW(),$V$5:$V$1000,"Sub")),$Z205)))</f>
        <v/>
      </c>
      <c r="AI205" s="62">
        <f>IF($V205="","",IF(AND(ISNUMBER($G205),$G205&lt;=IF($S205=MesCiclo,InicioCiclo,$S205+MOD(2-WEEKDAY($S205),7))+13),1,IF(N($W205)&gt;0,MIN(1,SUMIFS($AE$5:$AE$1000,$U$5:$U$1000,ROW(),$V$5:$V$1000,"Sub")),$AA205)))</f>
        <v/>
      </c>
      <c r="AJ205" s="62">
        <f>IF($V205="","",IF(AND(ISNUMBER($G205),$G205&lt;=IF($S205=MesCiclo,InicioCiclo,$S205+MOD(2-WEEKDAY($S205),7))+20),1,IF(N($W205)&gt;0,MIN(1,SUMIFS($AF$5:$AF$1000,$U$5:$U$1000,ROW(),$V$5:$V$1000,"Sub")),$AB205)))</f>
        <v/>
      </c>
      <c r="AK205" s="62">
        <f>IF($V205="","",IF(AND(ISNUMBER($G205),$G205&lt;=IF($S205=MesCiclo,InicioCiclo,$S205+MOD(2-WEEKDAY($S205),7))+27),1,IF(N($W205)&gt;0,MIN(1,SUMIFS($AG$5:$AG$1000,$U$5:$U$1000,ROW(),$V$5:$V$1000,"Sub")),$AC205)))</f>
        <v/>
      </c>
      <c r="AL205" s="62">
        <f>IF($V205&lt;&gt;"Macro","",IF(COUNTIFS($S$5:$S$1000,$S205,$V$5:$V$1000,"Macro",$H$5:$H$1000,"&gt;0")=0,1/COUNTIFS($S$5:$S$1000,$S205,$V$5:$V$1000,"Macro"),IF(AND(ISNUMBER($H205),N($H205)&gt;0),$H205,SUMIFS($H$5:$H$1000,$S$5:$S$1000,$S205,$V$5:$V$1000,"Macro")/COUNTIFS($S$5:$S$1000,$S205,$V$5:$V$1000,"Macro",$H$5:$H$1000,"&gt;0"))/(COUNTIFS($S$5:$S$1000,$S205,$V$5:$V$1000,"Macro")*SUMIFS($H$5:$H$1000,$S$5:$S$1000,$S205,$V$5:$V$1000,"Macro")/COUNTIFS($S$5:$S$1000,$S205,$V$5:$V$1000,"Macro",$H$5:$H$1000,"&gt;0"))))</f>
        <v/>
      </c>
      <c r="AM205" s="62" t="n"/>
      <c r="AN205" s="62" t="n"/>
      <c r="AO205" s="62" t="n"/>
      <c r="AP205" s="62" t="n"/>
      <c r="AQ205" s="62">
        <f>IF(LEFT($C205,11)="[Jefatura] ",IFERROR(MATCH("Asistente Técnico de Riesgo|"&amp;MID($C205,12,500),rDname_ADM,0),0),"")</f>
        <v/>
      </c>
      <c r="AR205" s="62">
        <f>IF(N($AQ205)&gt;0,INDEX(rIni_ADM,$AQ205),IF(ISNUMBER($E205),$E205,""))</f>
        <v/>
      </c>
      <c r="AS205" s="62">
        <f>IF(N($AQ205)&gt;0,INDEX(rLim_ADM,$AQ205),IF(ISNUMBER($F205),$F205,""))</f>
        <v/>
      </c>
    </row>
    <row r="206">
      <c r="A206" s="56">
        <f>IF(NOT((COUNTA($B206:$D206)+COUNTA($G206:$H206)+COUNTA($Q206))&gt;0),"",IF($V206="Macro",COUNTIFS($V$5:$V206,"Macro",$S$5:$S206,$S206),IF(N($U206)=0,"?",COUNTIFS(INDEX($V$5:$V$1000,1):INDEX($V$5:$V$1000,$U206-4),"Macro",INDEX($S$5:$S$1000,1):INDEX($S$5:$S$1000,$U206-4),INDEX($S$5:$S$1000,$U206-4))&amp;"."&amp;COUNTIFS($U$5:$U206,$U206,$V$5:$V206,"Sub"))))</f>
        <v/>
      </c>
      <c r="B206" s="57" t="n"/>
      <c r="C206" s="58" t="n"/>
      <c r="D206" s="58" t="n"/>
      <c r="E206" s="59">
        <f>IF(N($AQ206)&gt;0,INDEX(rIni_ADM,$AQ206),"")</f>
        <v/>
      </c>
      <c r="F206" s="59">
        <f>IF(N($AQ206)&gt;0,INDEX(rLim_ADM,$AQ206),"")</f>
        <v/>
      </c>
      <c r="G206" s="59" t="n"/>
      <c r="H206" s="60" t="n"/>
      <c r="I206" s="60">
        <f>IF(N($W206)=0,"",IF(AND($S206=MesCiclo,1&gt;SemanaActual),"",MIN(1,SUMIFS(OFFSET($A$1,ROW(),29,1000-ROW(),1),OFFSET($A$1,ROW(),20,1000-ROW(),1),ROW(),OFFSET($A$1,ROW(),21,1000-ROW(),1),"Sub"))))</f>
        <v/>
      </c>
      <c r="J206" s="60">
        <f>IF(N($W206)=0,"",IF(AND($S206=MesCiclo,2&gt;SemanaActual),"",MIN(1,SUMIFS(OFFSET($A$1,ROW(),30,1000-ROW(),1),OFFSET($A$1,ROW(),20,1000-ROW(),1),ROW(),OFFSET($A$1,ROW(),21,1000-ROW(),1),"Sub"))))</f>
        <v/>
      </c>
      <c r="K206" s="60">
        <f>IF(N($W206)=0,"",IF(AND($S206=MesCiclo,3&gt;SemanaActual),"",MIN(1,SUMIFS(OFFSET($A$1,ROW(),31,1000-ROW(),1),OFFSET($A$1,ROW(),20,1000-ROW(),1),ROW(),OFFSET($A$1,ROW(),21,1000-ROW(),1),"Sub"))))</f>
        <v/>
      </c>
      <c r="L206" s="60">
        <f>IF(N($W206)=0,"",IF(AND($S206=MesCiclo,4&gt;SemanaActual),"",MIN(1,SUMIFS(OFFSET($A$1,ROW(),32,1000-ROW(),1),OFFSET($A$1,ROW(),20,1000-ROW(),1),ROW(),OFFSET($A$1,ROW(),21,1000-ROW(),1),"Sub"))))</f>
        <v/>
      </c>
      <c r="M206" s="61">
        <f>IF(OR(NOT((COUNTA($B206:$D206)+COUNTA($G206:$H206)+COUNTA($Q206))&gt;0),$V206="Sub"),"",IF(ISNUMBER($G206),1,IF(N($W206)&gt;0,MIN(1,SUMIFS($Y$5:$Y$1000,$U$5:$U$1000,ROW(),$V$5:$V$1000,"Sub")),$Y206)))</f>
        <v/>
      </c>
      <c r="N206" s="56">
        <f>IF(OR($M206="",$V206="Sub"),"",IF($M206&gt;=1,"Completado",IF($M206&gt;0,"En curso","Pendiente")))</f>
        <v/>
      </c>
      <c r="O206" s="56">
        <f>IF(OR(NOT((COUNTA($B206:$D206)+COUNTA($G206:$H206)+COUNTA($Q206))&gt;0),$V206="Sub"),"",IF(ISNUMBER($G206),IF(AND(ISNUMBER($AS206),$G206&gt;$AS206),"Cumplida con "&amp;($G206-$AS206)&amp;IF($G206-$AS206=1," día"," días")&amp;" de retraso","Cumplida"),IF(N($M206)&gt;=1,"Cumplida",IF(NOT(ISNUMBER($AS206)),"Sin fecha límite",IF($AS206&lt;FechaRef,"Vencida hace "&amp;(FechaRef-$AS206)&amp;IF(FechaRef-$AS206=1," día"," días"),IF($AS206=FechaRef,"Vence hoy",IF($AS206-FechaRef&lt;=DiasAlerta,"Vence en "&amp;($AS206-FechaRef)&amp;IF($AS206-FechaRef=1," día"," días"),"En plazo")))))))</f>
        <v/>
      </c>
      <c r="P206" s="62" t="n"/>
      <c r="Q206" s="58" t="n"/>
      <c r="R206" s="63">
        <f>IF(NOT((COUNTA($B206:$D206)+COUNTA($G206:$H206)+COUNTA($Q206))&gt;0),"",IF((IF($C206="","Falta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 OK","⚠ "&amp;LEFT(IF($C206="","Falta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",""),LEN(IF($C206="","Falta el nombre de la actividad"&amp;" · ","")&amp;IF(AND($V206="Sub",N($U206)=0),"Subactividad sin macroactividad arriba"&amp;" · ","")&amp;IF(AND($V206="Macro",$AR206=""),"Sin fecha de inicio"&amp;" · ","")&amp;IF(AND($V206="Macro",$AS206=""),"Sin fecha límite"&amp;" · ","")&amp;IF(AND(LEFT($C206,11)="[Jefatura] ",N($AQ206)=0),"No se encuentra en la hoja de la jefatura (elíjala de nuevo en la lista)"&amp;" · ","")&amp;IF(OR(AND($E206&lt;&gt;"",NOT(ISNUMBER($E206))),AND($F206&lt;&gt;"",NOT(ISNUMBER($F206))),AND($G206&lt;&gt;"",NOT(ISNUMBER($G206)))),"Fecha no válida"&amp;" · ","")&amp;IF(AND(ISNUMBER($AR206),ISNUMBER($AS206),$AR206&gt;$AS206),"Inicio posterior a fecha límite"&amp;" · ","")&amp;IF(AND($V206="Macro",$H206&lt;&gt;"",OR(NOT(ISNUMBER($H206)),$H206&lt;0,$H206&gt;1)),"Peso fuera de rango"&amp;" · ","")&amp;IF(AND($V206="Sub",$H206&lt;&gt;"",OR(NOT(ISNUMBER($H206)),$H206&lt;0,$H206&gt;1)),"% de la subactividad fuera de rango 0-100%"&amp;" · ","")&amp;IF(AND(N($W206)&gt;0,SUMIFS($H$5:$H$1000,$U$5:$U$1000,ROW(),$V$5:$V$1000,"Sub")&gt;1.0001),"Las subactividades suman más de 100%"&amp;" · ","")&amp;IF(AND(N($W206)&gt;0,OR(IF(ISNUMBER($I206),ROUND($I206,6)&lt;&gt;ROUND(MIN(1,SUMIFS($AD$5:$AD$1000,$U$5:$U$1000,ROW(),$V$5:$V$1000,"Sub")),6),FALSE),IF(ISNUMBER($J206),ROUND($J206,6)&lt;&gt;ROUND(MIN(1,SUMIFS($AE$5:$AE$1000,$U$5:$U$1000,ROW(),$V$5:$V$1000,"Sub")),6),FALSE),IF(ISNUMBER($K206),ROUND($K206,6)&lt;&gt;ROUND(MIN(1,SUMIFS($AF$5:$AF$1000,$U$5:$U$1000,ROW(),$V$5:$V$1000,"Sub")),6),FALSE),IF(ISNUMBER($L206),ROUND($L206,6)&lt;&gt;ROUND(MIN(1,SUMIFS($AG$5:$AG$1000,$U$5:$U$1000,ROW(),$V$5:$V$1000,"Sub")),6),FALSE))),"Con subactividades: no escriba en las semanas (se llenan solas)"&amp;" · ","")&amp;IF((COUNTIF($I206:$L206,"&gt;1")+COUNTIF($I206:$L206,"&lt;0")+SUMPRODUCT((LEN($I206:$L206)&gt;0)*NOT(ISNUMBER($I206:$L206))))&gt;0,"Avance fuera de rango 0-100%"&amp;" · ","")&amp;IF(OR(AND(ISNUMBER($J206),$J206&lt;N($I206)),AND(ISNUMBER($K206),$K206&lt;MAX($I206:$J206)),AND(ISNUMBER($L206),$L206&lt;MAX($I206:$K206))),"Avance semanal decreciente"&amp;" · ","")&amp;IF(AND(ISNUMBER($AS206),$AS206&lt;FechaRef,IF($V206="Sub",1,N($M206))&lt;1),"Vencida"&amp;" · ","")&amp;IF(AND(ObsObligatoria="Sí",ISNUMBER($AS206),$AS206&lt;FechaRef,IF($V206="Sub",1,N($M206))&lt;1,$Q206=""),"Vencida sin observación"&amp;" · ",""))-3)))</f>
        <v/>
      </c>
      <c r="S206" s="64">
        <f>IF(NOT((COUNTA($B206:$D206)+COUNTA($G206:$H206)+COUNTA($Q206))&gt;0),"",IF(AND($V206="Sub",N($U206)&gt;0),IF(ISNUMBER(INDEX($AR$5:$AR$1000,$U206-4)),DATE(YEAR(INDEX($AR$5:$AR$1000,$U206-4)),MONTH(INDEX($AR$5:$AR$1000,$U206-4)),1),IF(ISNUMBER(INDEX($AS$5:$AS$1000,$U206-4)),DATE(YEAR(INDEX($AS$5:$AS$1000,$U206-4)),MONTH(INDEX($AS$5:$AS$1000,$U206-4)),1),MesCiclo)),IF(ISNUMBER($AR206),DATE(YEAR($AR206),MONTH($AR206),1),IF(ISNUMBER($AS206),DATE(YEAR($AS206),MONTH($AS206),1),MesCiclo))))</f>
        <v/>
      </c>
      <c r="T206" s="62">
        <f>IF(OR($S206="",$S206&lt;&gt;MesCiclo,$V206&lt;&gt;"Macro"),"",COUNTIFS($S$5:$S206,MesCiclo,$V$5:$V206,"Macro"))</f>
        <v/>
      </c>
      <c r="U206" s="62">
        <f>IF($V206="","",IF($V206="Macro",ROW(),IFERROR(LOOKUP(2,1/($V$5:$V206="Macro"),ROW($V$5:$V206)),0)))</f>
        <v/>
      </c>
      <c r="V206" s="62">
        <f>IF(NOT((COUNTA($B206:$D206)+COUNTA($G206:$H206)+COUNTA($Q206))&gt;0),"",IF($B206="Subactividad","Sub","Macro"))</f>
        <v/>
      </c>
      <c r="W206" s="62">
        <f>IF($V206="Macro",COUNTIFS($U$5:$U$1000,ROW(),$V$5:$V$1000,"Sub"),"")</f>
        <v/>
      </c>
      <c r="X206" s="62">
        <f>IF($V206&lt;&gt;"Sub","",IF(AND(ISNUMBER($H206),N($H206)&gt;0),$H206,IFERROR(MAX(0,1-SUMIFS($H$5:$H$1000,$U$5:$U$1000,$U206,$V$5:$V$1000,"Sub"))/(COUNTIFS($U$5:$U$1000,$U206,$V$5:$V$1000,"Sub")-COUNTIFS($U$5:$U$1000,$U206,$V$5:$V$1000,"Sub",$H$5:$H$1000,"&gt;0")),0)))</f>
        <v/>
      </c>
      <c r="Y206" s="62">
        <f>IF($V206="","",IF($V206="Sub",N($X206)*IF(ISNUMBER($G206),1,MIN(1,MAX(0,IFERROR(LOOKUP(2,1/ISNUMBER($I206:$L206),$I206:$L206),0)))),IF(ISNUMBER($G206),1,IFERROR(LOOKUP(2,1/($I206:$L206&lt;&gt;""),$I206:$L206),0))))</f>
        <v/>
      </c>
      <c r="Z206" s="62">
        <f>IF($V206="","",IF(AND(ISNUMBER($G206),$G206&lt;=IF($S206=MesCiclo,InicioCiclo,$S206+MOD(2-WEEKDAY($S206),7))+6),1,IF(ISNUMBER($I206),$I206,0)))</f>
        <v/>
      </c>
      <c r="AA206" s="62">
        <f>IF($V206="","",IF(AND(ISNUMBER($G206),$G206&lt;=IF($S206=MesCiclo,InicioCiclo,$S206+MOD(2-WEEKDAY($S206),7))+13),1,IF(ISNUMBER($J206),$J206,$Z206)))</f>
        <v/>
      </c>
      <c r="AB206" s="62">
        <f>IF($V206="","",IF(AND(ISNUMBER($G206),$G206&lt;=IF($S206=MesCiclo,InicioCiclo,$S206+MOD(2-WEEKDAY($S206),7))+20),1,IF(ISNUMBER($K206),$K206,$AA206)))</f>
        <v/>
      </c>
      <c r="AC206" s="62">
        <f>IF($V206="","",IF(AND(ISNUMBER($G206),$G206&lt;=IF($S206=MesCiclo,InicioCiclo,$S206+MOD(2-WEEKDAY($S206),7))+27),1,IF(ISNUMBER($L206),$L206,$AB206)))</f>
        <v/>
      </c>
      <c r="AD206" s="62">
        <f>IF($V206&lt;&gt;"Sub","",N($X206)*IF(AND(ISNUMBER($G206),$G206&lt;=IF($S206=MesCiclo,InicioCiclo,$S206+MOD(2-WEEKDAY($S206),7))+6),1,MIN(1,MAX(0,IF(ISNUMBER(OFFSET($A$1,ROW()-1,8)),OFFSET($A$1,ROW()-1,8),0)))))</f>
        <v/>
      </c>
      <c r="AE206" s="62">
        <f>IF($V206&lt;&gt;"Sub","",N($X206)*IF(AND(ISNUMBER($G206),$G206&lt;=IF($S206=MesCiclo,InicioCiclo,$S206+MOD(2-WEEKDAY($S206),7))+13),1,MIN(1,MAX(0,IF(ISNUMBER(OFFSET($A$1,ROW()-1,9)),OFFSET($A$1,ROW()-1,9),IF(ISNUMBER(OFFSET($A$1,ROW()-1,8)),OFFSET($A$1,ROW()-1,8),0))))))</f>
        <v/>
      </c>
      <c r="AF206" s="62">
        <f>IF($V206&lt;&gt;"Sub","",N($X206)*IF(AND(ISNUMBER($G206),$G206&lt;=IF($S206=MesCiclo,InicioCiclo,$S206+MOD(2-WEEKDAY($S206),7))+20),1,MIN(1,MAX(0,IF(ISNUMBER(OFFSET($A$1,ROW()-1,10)),OFFSET($A$1,ROW()-1,10),IF(ISNUMBER(OFFSET($A$1,ROW()-1,9)),OFFSET($A$1,ROW()-1,9),IF(ISNUMBER(OFFSET($A$1,ROW()-1,8)),OFFSET($A$1,ROW()-1,8),0)))))))</f>
        <v/>
      </c>
      <c r="AG206" s="62">
        <f>IF($V206&lt;&gt;"Sub","",N($X206)*IF(AND(ISNUMBER($G206),$G206&lt;=IF($S206=MesCiclo,InicioCiclo,$S206+MOD(2-WEEKDAY($S206),7))+27),1,MIN(1,MAX(0,IF(ISNUMBER(OFFSET($A$1,ROW()-1,11)),OFFSET($A$1,ROW()-1,11),IF(ISNUMBER(OFFSET($A$1,ROW()-1,10)),OFFSET($A$1,ROW()-1,10),IF(ISNUMBER(OFFSET($A$1,ROW()-1,9)),OFFSET($A$1,ROW()-1,9),IF(ISNUMBER(OFFSET($A$1,ROW()-1,8)),OFFSET($A$1,ROW()-1,8),0))))))))</f>
        <v/>
      </c>
      <c r="AH206" s="62">
        <f>IF($V206="","",IF(AND(ISNUMBER($G206),$G206&lt;=IF($S206=MesCiclo,InicioCiclo,$S206+MOD(2-WEEKDAY($S206),7))+6),1,IF(N($W206)&gt;0,MIN(1,SUMIFS($AD$5:$AD$1000,$U$5:$U$1000,ROW(),$V$5:$V$1000,"Sub")),$Z206)))</f>
        <v/>
      </c>
      <c r="AI206" s="62">
        <f>IF($V206="","",IF(AND(ISNUMBER($G206),$G206&lt;=IF($S206=MesCiclo,InicioCiclo,$S206+MOD(2-WEEKDAY($S206),7))+13),1,IF(N($W206)&gt;0,MIN(1,SUMIFS($AE$5:$AE$1000,$U$5:$U$1000,ROW(),$V$5:$V$1000,"Sub")),$AA206)))</f>
        <v/>
      </c>
      <c r="AJ206" s="62">
        <f>IF($V206="","",IF(AND(ISNUMBER($G206),$G206&lt;=IF($S206=MesCiclo,InicioCiclo,$S206+MOD(2-WEEKDAY($S206),7))+20),1,IF(N($W206)&gt;0,MIN(1,SUMIFS($AF$5:$AF$1000,$U$5:$U$1000,ROW(),$V$5:$V$1000,"Sub")),$AB206)))</f>
        <v/>
      </c>
      <c r="AK206" s="62">
        <f>IF($V206="","",IF(AND(ISNUMBER($G206),$G206&lt;=IF($S206=MesCiclo,InicioCiclo,$S206+MOD(2-WEEKDAY($S206),7))+27),1,IF(N($W206)&gt;0,MIN(1,SUMIFS($AG$5:$AG$1000,$U$5:$U$1000,ROW(),$V$5:$V$1000,"Sub")),$AC206)))</f>
        <v/>
      </c>
      <c r="AL206" s="62">
        <f>IF($V206&lt;&gt;"Macro","",IF(COUNTIFS($S$5:$S$1000,$S206,$V$5:$V$1000,"Macro",$H$5:$H$1000,"&gt;0")=0,1/COUNTIFS($S$5:$S$1000,$S206,$V$5:$V$1000,"Macro"),IF(AND(ISNUMBER($H206),N($H206)&gt;0),$H206,SUMIFS($H$5:$H$1000,$S$5:$S$1000,$S206,$V$5:$V$1000,"Macro")/COUNTIFS($S$5:$S$1000,$S206,$V$5:$V$1000,"Macro",$H$5:$H$1000,"&gt;0"))/(COUNTIFS($S$5:$S$1000,$S206,$V$5:$V$1000,"Macro")*SUMIFS($H$5:$H$1000,$S$5:$S$1000,$S206,$V$5:$V$1000,"Macro")/COUNTIFS($S$5:$S$1000,$S206,$V$5:$V$1000,"Macro",$H$5:$H$1000,"&gt;0"))))</f>
        <v/>
      </c>
      <c r="AM206" s="62" t="n"/>
      <c r="AN206" s="62" t="n"/>
      <c r="AO206" s="62" t="n"/>
      <c r="AP206" s="62" t="n"/>
      <c r="AQ206" s="62">
        <f>IF(LEFT($C206,11)="[Jefatura] ",IFERROR(MATCH("Asistente Técnico de Riesgo|"&amp;MID($C206,12,500),rDname_ADM,0),0),"")</f>
        <v/>
      </c>
      <c r="AR206" s="62">
        <f>IF(N($AQ206)&gt;0,INDEX(rIni_ADM,$AQ206),IF(ISNUMBER($E206),$E206,""))</f>
        <v/>
      </c>
      <c r="AS206" s="62">
        <f>IF(N($AQ206)&gt;0,INDEX(rLim_ADM,$AQ206),IF(ISNUMBER($F206),$F206,""))</f>
        <v/>
      </c>
    </row>
    <row r="207">
      <c r="A207" s="56">
        <f>IF(NOT((COUNTA($B207:$D207)+COUNTA($G207:$H207)+COUNTA($Q207))&gt;0),"",IF($V207="Macro",COUNTIFS($V$5:$V207,"Macro",$S$5:$S207,$S207),IF(N($U207)=0,"?",COUNTIFS(INDEX($V$5:$V$1000,1):INDEX($V$5:$V$1000,$U207-4),"Macro",INDEX($S$5:$S$1000,1):INDEX($S$5:$S$1000,$U207-4),INDEX($S$5:$S$1000,$U207-4))&amp;"."&amp;COUNTIFS($U$5:$U207,$U207,$V$5:$V207,"Sub"))))</f>
        <v/>
      </c>
      <c r="B207" s="57" t="n"/>
      <c r="C207" s="58" t="n"/>
      <c r="D207" s="58" t="n"/>
      <c r="E207" s="59">
        <f>IF(N($AQ207)&gt;0,INDEX(rIni_ADM,$AQ207),"")</f>
        <v/>
      </c>
      <c r="F207" s="59">
        <f>IF(N($AQ207)&gt;0,INDEX(rLim_ADM,$AQ207),"")</f>
        <v/>
      </c>
      <c r="G207" s="59" t="n"/>
      <c r="H207" s="60" t="n"/>
      <c r="I207" s="60">
        <f>IF(N($W207)=0,"",IF(AND($S207=MesCiclo,1&gt;SemanaActual),"",MIN(1,SUMIFS(OFFSET($A$1,ROW(),29,1000-ROW(),1),OFFSET($A$1,ROW(),20,1000-ROW(),1),ROW(),OFFSET($A$1,ROW(),21,1000-ROW(),1),"Sub"))))</f>
        <v/>
      </c>
      <c r="J207" s="60">
        <f>IF(N($W207)=0,"",IF(AND($S207=MesCiclo,2&gt;SemanaActual),"",MIN(1,SUMIFS(OFFSET($A$1,ROW(),30,1000-ROW(),1),OFFSET($A$1,ROW(),20,1000-ROW(),1),ROW(),OFFSET($A$1,ROW(),21,1000-ROW(),1),"Sub"))))</f>
        <v/>
      </c>
      <c r="K207" s="60">
        <f>IF(N($W207)=0,"",IF(AND($S207=MesCiclo,3&gt;SemanaActual),"",MIN(1,SUMIFS(OFFSET($A$1,ROW(),31,1000-ROW(),1),OFFSET($A$1,ROW(),20,1000-ROW(),1),ROW(),OFFSET($A$1,ROW(),21,1000-ROW(),1),"Sub"))))</f>
        <v/>
      </c>
      <c r="L207" s="60">
        <f>IF(N($W207)=0,"",IF(AND($S207=MesCiclo,4&gt;SemanaActual),"",MIN(1,SUMIFS(OFFSET($A$1,ROW(),32,1000-ROW(),1),OFFSET($A$1,ROW(),20,1000-ROW(),1),ROW(),OFFSET($A$1,ROW(),21,1000-ROW(),1),"Sub"))))</f>
        <v/>
      </c>
      <c r="M207" s="61">
        <f>IF(OR(NOT((COUNTA($B207:$D207)+COUNTA($G207:$H207)+COUNTA($Q207))&gt;0),$V207="Sub"),"",IF(ISNUMBER($G207),1,IF(N($W207)&gt;0,MIN(1,SUMIFS($Y$5:$Y$1000,$U$5:$U$1000,ROW(),$V$5:$V$1000,"Sub")),$Y207)))</f>
        <v/>
      </c>
      <c r="N207" s="56">
        <f>IF(OR($M207="",$V207="Sub"),"",IF($M207&gt;=1,"Completado",IF($M207&gt;0,"En curso","Pendiente")))</f>
        <v/>
      </c>
      <c r="O207" s="56">
        <f>IF(OR(NOT((COUNTA($B207:$D207)+COUNTA($G207:$H207)+COUNTA($Q207))&gt;0),$V207="Sub"),"",IF(ISNUMBER($G207),IF(AND(ISNUMBER($AS207),$G207&gt;$AS207),"Cumplida con "&amp;($G207-$AS207)&amp;IF($G207-$AS207=1," día"," días")&amp;" de retraso","Cumplida"),IF(N($M207)&gt;=1,"Cumplida",IF(NOT(ISNUMBER($AS207)),"Sin fecha límite",IF($AS207&lt;FechaRef,"Vencida hace "&amp;(FechaRef-$AS207)&amp;IF(FechaRef-$AS207=1," día"," días"),IF($AS207=FechaRef,"Vence hoy",IF($AS207-FechaRef&lt;=DiasAlerta,"Vence en "&amp;($AS207-FechaRef)&amp;IF($AS207-FechaRef=1," día"," días"),"En plazo")))))))</f>
        <v/>
      </c>
      <c r="P207" s="62" t="n"/>
      <c r="Q207" s="58" t="n"/>
      <c r="R207" s="63">
        <f>IF(NOT((COUNTA($B207:$D207)+COUNTA($G207:$H207)+COUNTA($Q207))&gt;0),"",IF((IF($C207="","Falta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 OK","⚠ "&amp;LEFT(IF($C207="","Falta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",""),LEN(IF($C207="","Falta el nombre de la actividad"&amp;" · ","")&amp;IF(AND($V207="Sub",N($U207)=0),"Subactividad sin macroactividad arriba"&amp;" · ","")&amp;IF(AND($V207="Macro",$AR207=""),"Sin fecha de inicio"&amp;" · ","")&amp;IF(AND($V207="Macro",$AS207=""),"Sin fecha límite"&amp;" · ","")&amp;IF(AND(LEFT($C207,11)="[Jefatura] ",N($AQ207)=0),"No se encuentra en la hoja de la jefatura (elíjala de nuevo en la lista)"&amp;" · ","")&amp;IF(OR(AND($E207&lt;&gt;"",NOT(ISNUMBER($E207))),AND($F207&lt;&gt;"",NOT(ISNUMBER($F207))),AND($G207&lt;&gt;"",NOT(ISNUMBER($G207)))),"Fecha no válida"&amp;" · ","")&amp;IF(AND(ISNUMBER($AR207),ISNUMBER($AS207),$AR207&gt;$AS207),"Inicio posterior a fecha límite"&amp;" · ","")&amp;IF(AND($V207="Macro",$H207&lt;&gt;"",OR(NOT(ISNUMBER($H207)),$H207&lt;0,$H207&gt;1)),"Peso fuera de rango"&amp;" · ","")&amp;IF(AND($V207="Sub",$H207&lt;&gt;"",OR(NOT(ISNUMBER($H207)),$H207&lt;0,$H207&gt;1)),"% de la subactividad fuera de rango 0-100%"&amp;" · ","")&amp;IF(AND(N($W207)&gt;0,SUMIFS($H$5:$H$1000,$U$5:$U$1000,ROW(),$V$5:$V$1000,"Sub")&gt;1.0001),"Las subactividades suman más de 100%"&amp;" · ","")&amp;IF(AND(N($W207)&gt;0,OR(IF(ISNUMBER($I207),ROUND($I207,6)&lt;&gt;ROUND(MIN(1,SUMIFS($AD$5:$AD$1000,$U$5:$U$1000,ROW(),$V$5:$V$1000,"Sub")),6),FALSE),IF(ISNUMBER($J207),ROUND($J207,6)&lt;&gt;ROUND(MIN(1,SUMIFS($AE$5:$AE$1000,$U$5:$U$1000,ROW(),$V$5:$V$1000,"Sub")),6),FALSE),IF(ISNUMBER($K207),ROUND($K207,6)&lt;&gt;ROUND(MIN(1,SUMIFS($AF$5:$AF$1000,$U$5:$U$1000,ROW(),$V$5:$V$1000,"Sub")),6),FALSE),IF(ISNUMBER($L207),ROUND($L207,6)&lt;&gt;ROUND(MIN(1,SUMIFS($AG$5:$AG$1000,$U$5:$U$1000,ROW(),$V$5:$V$1000,"Sub")),6),FALSE))),"Con subactividades: no escriba en las semanas (se llenan solas)"&amp;" · ","")&amp;IF((COUNTIF($I207:$L207,"&gt;1")+COUNTIF($I207:$L207,"&lt;0")+SUMPRODUCT((LEN($I207:$L207)&gt;0)*NOT(ISNUMBER($I207:$L207))))&gt;0,"Avance fuera de rango 0-100%"&amp;" · ","")&amp;IF(OR(AND(ISNUMBER($J207),$J207&lt;N($I207)),AND(ISNUMBER($K207),$K207&lt;MAX($I207:$J207)),AND(ISNUMBER($L207),$L207&lt;MAX($I207:$K207))),"Avance semanal decreciente"&amp;" · ","")&amp;IF(AND(ISNUMBER($AS207),$AS207&lt;FechaRef,IF($V207="Sub",1,N($M207))&lt;1),"Vencida"&amp;" · ","")&amp;IF(AND(ObsObligatoria="Sí",ISNUMBER($AS207),$AS207&lt;FechaRef,IF($V207="Sub",1,N($M207))&lt;1,$Q207=""),"Vencida sin observación"&amp;" · ",""))-3)))</f>
        <v/>
      </c>
      <c r="S207" s="64">
        <f>IF(NOT((COUNTA($B207:$D207)+COUNTA($G207:$H207)+COUNTA($Q207))&gt;0),"",IF(AND($V207="Sub",N($U207)&gt;0),IF(ISNUMBER(INDEX($AR$5:$AR$1000,$U207-4)),DATE(YEAR(INDEX($AR$5:$AR$1000,$U207-4)),MONTH(INDEX($AR$5:$AR$1000,$U207-4)),1),IF(ISNUMBER(INDEX($AS$5:$AS$1000,$U207-4)),DATE(YEAR(INDEX($AS$5:$AS$1000,$U207-4)),MONTH(INDEX($AS$5:$AS$1000,$U207-4)),1),MesCiclo)),IF(ISNUMBER($AR207),DATE(YEAR($AR207),MONTH($AR207),1),IF(ISNUMBER($AS207),DATE(YEAR($AS207),MONTH($AS207),1),MesCiclo))))</f>
        <v/>
      </c>
      <c r="T207" s="62">
        <f>IF(OR($S207="",$S207&lt;&gt;MesCiclo,$V207&lt;&gt;"Macro"),"",COUNTIFS($S$5:$S207,MesCiclo,$V$5:$V207,"Macro"))</f>
        <v/>
      </c>
      <c r="U207" s="62">
        <f>IF($V207="","",IF($V207="Macro",ROW(),IFERROR(LOOKUP(2,1/($V$5:$V207="Macro"),ROW($V$5:$V207)),0)))</f>
        <v/>
      </c>
      <c r="V207" s="62">
        <f>IF(NOT((COUNTA($B207:$D207)+COUNTA($G207:$H207)+COUNTA($Q207))&gt;0),"",IF($B207="Subactividad","Sub","Macro"))</f>
        <v/>
      </c>
      <c r="W207" s="62">
        <f>IF($V207="Macro",COUNTIFS($U$5:$U$1000,ROW(),$V$5:$V$1000,"Sub"),"")</f>
        <v/>
      </c>
      <c r="X207" s="62">
        <f>IF($V207&lt;&gt;"Sub","",IF(AND(ISNUMBER($H207),N($H207)&gt;0),$H207,IFERROR(MAX(0,1-SUMIFS($H$5:$H$1000,$U$5:$U$1000,$U207,$V$5:$V$1000,"Sub"))/(COUNTIFS($U$5:$U$1000,$U207,$V$5:$V$1000,"Sub")-COUNTIFS($U$5:$U$1000,$U207,$V$5:$V$1000,"Sub",$H$5:$H$1000,"&gt;0")),0)))</f>
        <v/>
      </c>
      <c r="Y207" s="62">
        <f>IF($V207="","",IF($V207="Sub",N($X207)*IF(ISNUMBER($G207),1,MIN(1,MAX(0,IFERROR(LOOKUP(2,1/ISNUMBER($I207:$L207),$I207:$L207),0)))),IF(ISNUMBER($G207),1,IFERROR(LOOKUP(2,1/($I207:$L207&lt;&gt;""),$I207:$L207),0))))</f>
        <v/>
      </c>
      <c r="Z207" s="62">
        <f>IF($V207="","",IF(AND(ISNUMBER($G207),$G207&lt;=IF($S207=MesCiclo,InicioCiclo,$S207+MOD(2-WEEKDAY($S207),7))+6),1,IF(ISNUMBER($I207),$I207,0)))</f>
        <v/>
      </c>
      <c r="AA207" s="62">
        <f>IF($V207="","",IF(AND(ISNUMBER($G207),$G207&lt;=IF($S207=MesCiclo,InicioCiclo,$S207+MOD(2-WEEKDAY($S207),7))+13),1,IF(ISNUMBER($J207),$J207,$Z207)))</f>
        <v/>
      </c>
      <c r="AB207" s="62">
        <f>IF($V207="","",IF(AND(ISNUMBER($G207),$G207&lt;=IF($S207=MesCiclo,InicioCiclo,$S207+MOD(2-WEEKDAY($S207),7))+20),1,IF(ISNUMBER($K207),$K207,$AA207)))</f>
        <v/>
      </c>
      <c r="AC207" s="62">
        <f>IF($V207="","",IF(AND(ISNUMBER($G207),$G207&lt;=IF($S207=MesCiclo,InicioCiclo,$S207+MOD(2-WEEKDAY($S207),7))+27),1,IF(ISNUMBER($L207),$L207,$AB207)))</f>
        <v/>
      </c>
      <c r="AD207" s="62">
        <f>IF($V207&lt;&gt;"Sub","",N($X207)*IF(AND(ISNUMBER($G207),$G207&lt;=IF($S207=MesCiclo,InicioCiclo,$S207+MOD(2-WEEKDAY($S207),7))+6),1,MIN(1,MAX(0,IF(ISNUMBER(OFFSET($A$1,ROW()-1,8)),OFFSET($A$1,ROW()-1,8),0)))))</f>
        <v/>
      </c>
      <c r="AE207" s="62">
        <f>IF($V207&lt;&gt;"Sub","",N($X207)*IF(AND(ISNUMBER($G207),$G207&lt;=IF($S207=MesCiclo,InicioCiclo,$S207+MOD(2-WEEKDAY($S207),7))+13),1,MIN(1,MAX(0,IF(ISNUMBER(OFFSET($A$1,ROW()-1,9)),OFFSET($A$1,ROW()-1,9),IF(ISNUMBER(OFFSET($A$1,ROW()-1,8)),OFFSET($A$1,ROW()-1,8),0))))))</f>
        <v/>
      </c>
      <c r="AF207" s="62">
        <f>IF($V207&lt;&gt;"Sub","",N($X207)*IF(AND(ISNUMBER($G207),$G207&lt;=IF($S207=MesCiclo,InicioCiclo,$S207+MOD(2-WEEKDAY($S207),7))+20),1,MIN(1,MAX(0,IF(ISNUMBER(OFFSET($A$1,ROW()-1,10)),OFFSET($A$1,ROW()-1,10),IF(ISNUMBER(OFFSET($A$1,ROW()-1,9)),OFFSET($A$1,ROW()-1,9),IF(ISNUMBER(OFFSET($A$1,ROW()-1,8)),OFFSET($A$1,ROW()-1,8),0)))))))</f>
        <v/>
      </c>
      <c r="AG207" s="62">
        <f>IF($V207&lt;&gt;"Sub","",N($X207)*IF(AND(ISNUMBER($G207),$G207&lt;=IF($S207=MesCiclo,InicioCiclo,$S207+MOD(2-WEEKDAY($S207),7))+27),1,MIN(1,MAX(0,IF(ISNUMBER(OFFSET($A$1,ROW()-1,11)),OFFSET($A$1,ROW()-1,11),IF(ISNUMBER(OFFSET($A$1,ROW()-1,10)),OFFSET($A$1,ROW()-1,10),IF(ISNUMBER(OFFSET($A$1,ROW()-1,9)),OFFSET($A$1,ROW()-1,9),IF(ISNUMBER(OFFSET($A$1,ROW()-1,8)),OFFSET($A$1,ROW()-1,8),0))))))))</f>
        <v/>
      </c>
      <c r="AH207" s="62">
        <f>IF($V207="","",IF(AND(ISNUMBER($G207),$G207&lt;=IF($S207=MesCiclo,InicioCiclo,$S207+MOD(2-WEEKDAY($S207),7))+6),1,IF(N($W207)&gt;0,MIN(1,SUMIFS($AD$5:$AD$1000,$U$5:$U$1000,ROW(),$V$5:$V$1000,"Sub")),$Z207)))</f>
        <v/>
      </c>
      <c r="AI207" s="62">
        <f>IF($V207="","",IF(AND(ISNUMBER($G207),$G207&lt;=IF($S207=MesCiclo,InicioCiclo,$S207+MOD(2-WEEKDAY($S207),7))+13),1,IF(N($W207)&gt;0,MIN(1,SUMIFS($AE$5:$AE$1000,$U$5:$U$1000,ROW(),$V$5:$V$1000,"Sub")),$AA207)))</f>
        <v/>
      </c>
      <c r="AJ207" s="62">
        <f>IF($V207="","",IF(AND(ISNUMBER($G207),$G207&lt;=IF($S207=MesCiclo,InicioCiclo,$S207+MOD(2-WEEKDAY($S207),7))+20),1,IF(N($W207)&gt;0,MIN(1,SUMIFS($AF$5:$AF$1000,$U$5:$U$1000,ROW(),$V$5:$V$1000,"Sub")),$AB207)))</f>
        <v/>
      </c>
      <c r="AK207" s="62">
        <f>IF($V207="","",IF(AND(ISNUMBER($G207),$G207&lt;=IF($S207=MesCiclo,InicioCiclo,$S207+MOD(2-WEEKDAY($S207),7))+27),1,IF(N($W207)&gt;0,MIN(1,SUMIFS($AG$5:$AG$1000,$U$5:$U$1000,ROW(),$V$5:$V$1000,"Sub")),$AC207)))</f>
        <v/>
      </c>
      <c r="AL207" s="62">
        <f>IF($V207&lt;&gt;"Macro","",IF(COUNTIFS($S$5:$S$1000,$S207,$V$5:$V$1000,"Macro",$H$5:$H$1000,"&gt;0")=0,1/COUNTIFS($S$5:$S$1000,$S207,$V$5:$V$1000,"Macro"),IF(AND(ISNUMBER($H207),N($H207)&gt;0),$H207,SUMIFS($H$5:$H$1000,$S$5:$S$1000,$S207,$V$5:$V$1000,"Macro")/COUNTIFS($S$5:$S$1000,$S207,$V$5:$V$1000,"Macro",$H$5:$H$1000,"&gt;0"))/(COUNTIFS($S$5:$S$1000,$S207,$V$5:$V$1000,"Macro")*SUMIFS($H$5:$H$1000,$S$5:$S$1000,$S207,$V$5:$V$1000,"Macro")/COUNTIFS($S$5:$S$1000,$S207,$V$5:$V$1000,"Macro",$H$5:$H$1000,"&gt;0"))))</f>
        <v/>
      </c>
      <c r="AM207" s="62" t="n"/>
      <c r="AN207" s="62" t="n"/>
      <c r="AO207" s="62" t="n"/>
      <c r="AP207" s="62" t="n"/>
      <c r="AQ207" s="62">
        <f>IF(LEFT($C207,11)="[Jefatura] ",IFERROR(MATCH("Asistente Técnico de Riesgo|"&amp;MID($C207,12,500),rDname_ADM,0),0),"")</f>
        <v/>
      </c>
      <c r="AR207" s="62">
        <f>IF(N($AQ207)&gt;0,INDEX(rIni_ADM,$AQ207),IF(ISNUMBER($E207),$E207,""))</f>
        <v/>
      </c>
      <c r="AS207" s="62">
        <f>IF(N($AQ207)&gt;0,INDEX(rLim_ADM,$AQ207),IF(ISNUMBER($F207),$F207,""))</f>
        <v/>
      </c>
    </row>
    <row r="208">
      <c r="A208" s="56">
        <f>IF(NOT((COUNTA($B208:$D208)+COUNTA($G208:$H208)+COUNTA($Q208))&gt;0),"",IF($V208="Macro",COUNTIFS($V$5:$V208,"Macro",$S$5:$S208,$S208),IF(N($U208)=0,"?",COUNTIFS(INDEX($V$5:$V$1000,1):INDEX($V$5:$V$1000,$U208-4),"Macro",INDEX($S$5:$S$1000,1):INDEX($S$5:$S$1000,$U208-4),INDEX($S$5:$S$1000,$U208-4))&amp;"."&amp;COUNTIFS($U$5:$U208,$U208,$V$5:$V208,"Sub"))))</f>
        <v/>
      </c>
      <c r="B208" s="57" t="n"/>
      <c r="C208" s="58" t="n"/>
      <c r="D208" s="58" t="n"/>
      <c r="E208" s="59">
        <f>IF(N($AQ208)&gt;0,INDEX(rIni_ADM,$AQ208),"")</f>
        <v/>
      </c>
      <c r="F208" s="59">
        <f>IF(N($AQ208)&gt;0,INDEX(rLim_ADM,$AQ208),"")</f>
        <v/>
      </c>
      <c r="G208" s="59" t="n"/>
      <c r="H208" s="60" t="n"/>
      <c r="I208" s="60">
        <f>IF(N($W208)=0,"",IF(AND($S208=MesCiclo,1&gt;SemanaActual),"",MIN(1,SUMIFS(OFFSET($A$1,ROW(),29,1000-ROW(),1),OFFSET($A$1,ROW(),20,1000-ROW(),1),ROW(),OFFSET($A$1,ROW(),21,1000-ROW(),1),"Sub"))))</f>
        <v/>
      </c>
      <c r="J208" s="60">
        <f>IF(N($W208)=0,"",IF(AND($S208=MesCiclo,2&gt;SemanaActual),"",MIN(1,SUMIFS(OFFSET($A$1,ROW(),30,1000-ROW(),1),OFFSET($A$1,ROW(),20,1000-ROW(),1),ROW(),OFFSET($A$1,ROW(),21,1000-ROW(),1),"Sub"))))</f>
        <v/>
      </c>
      <c r="K208" s="60">
        <f>IF(N($W208)=0,"",IF(AND($S208=MesCiclo,3&gt;SemanaActual),"",MIN(1,SUMIFS(OFFSET($A$1,ROW(),31,1000-ROW(),1),OFFSET($A$1,ROW(),20,1000-ROW(),1),ROW(),OFFSET($A$1,ROW(),21,1000-ROW(),1),"Sub"))))</f>
        <v/>
      </c>
      <c r="L208" s="60">
        <f>IF(N($W208)=0,"",IF(AND($S208=MesCiclo,4&gt;SemanaActual),"",MIN(1,SUMIFS(OFFSET($A$1,ROW(),32,1000-ROW(),1),OFFSET($A$1,ROW(),20,1000-ROW(),1),ROW(),OFFSET($A$1,ROW(),21,1000-ROW(),1),"Sub"))))</f>
        <v/>
      </c>
      <c r="M208" s="61">
        <f>IF(OR(NOT((COUNTA($B208:$D208)+COUNTA($G208:$H208)+COUNTA($Q208))&gt;0),$V208="Sub"),"",IF(ISNUMBER($G208),1,IF(N($W208)&gt;0,MIN(1,SUMIFS($Y$5:$Y$1000,$U$5:$U$1000,ROW(),$V$5:$V$1000,"Sub")),$Y208)))</f>
        <v/>
      </c>
      <c r="N208" s="56">
        <f>IF(OR($M208="",$V208="Sub"),"",IF($M208&gt;=1,"Completado",IF($M208&gt;0,"En curso","Pendiente")))</f>
        <v/>
      </c>
      <c r="O208" s="56">
        <f>IF(OR(NOT((COUNTA($B208:$D208)+COUNTA($G208:$H208)+COUNTA($Q208))&gt;0),$V208="Sub"),"",IF(ISNUMBER($G208),IF(AND(ISNUMBER($AS208),$G208&gt;$AS208),"Cumplida con "&amp;($G208-$AS208)&amp;IF($G208-$AS208=1," día"," días")&amp;" de retraso","Cumplida"),IF(N($M208)&gt;=1,"Cumplida",IF(NOT(ISNUMBER($AS208)),"Sin fecha límite",IF($AS208&lt;FechaRef,"Vencida hace "&amp;(FechaRef-$AS208)&amp;IF(FechaRef-$AS208=1," día"," días"),IF($AS208=FechaRef,"Vence hoy",IF($AS208-FechaRef&lt;=DiasAlerta,"Vence en "&amp;($AS208-FechaRef)&amp;IF($AS208-FechaRef=1," día"," días"),"En plazo")))))))</f>
        <v/>
      </c>
      <c r="P208" s="62" t="n"/>
      <c r="Q208" s="58" t="n"/>
      <c r="R208" s="63">
        <f>IF(NOT((COUNTA($B208:$D208)+COUNTA($G208:$H208)+COUNTA($Q208))&gt;0),"",IF((IF($C208="","Falta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 OK","⚠ "&amp;LEFT(IF($C208="","Falta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",""),LEN(IF($C208="","Falta el nombre de la actividad"&amp;" · ","")&amp;IF(AND($V208="Sub",N($U208)=0),"Subactividad sin macroactividad arriba"&amp;" · ","")&amp;IF(AND($V208="Macro",$AR208=""),"Sin fecha de inicio"&amp;" · ","")&amp;IF(AND($V208="Macro",$AS208=""),"Sin fecha límite"&amp;" · ","")&amp;IF(AND(LEFT($C208,11)="[Jefatura] ",N($AQ208)=0),"No se encuentra en la hoja de la jefatura (elíjala de nuevo en la lista)"&amp;" · ","")&amp;IF(OR(AND($E208&lt;&gt;"",NOT(ISNUMBER($E208))),AND($F208&lt;&gt;"",NOT(ISNUMBER($F208))),AND($G208&lt;&gt;"",NOT(ISNUMBER($G208)))),"Fecha no válida"&amp;" · ","")&amp;IF(AND(ISNUMBER($AR208),ISNUMBER($AS208),$AR208&gt;$AS208),"Inicio posterior a fecha límite"&amp;" · ","")&amp;IF(AND($V208="Macro",$H208&lt;&gt;"",OR(NOT(ISNUMBER($H208)),$H208&lt;0,$H208&gt;1)),"Peso fuera de rango"&amp;" · ","")&amp;IF(AND($V208="Sub",$H208&lt;&gt;"",OR(NOT(ISNUMBER($H208)),$H208&lt;0,$H208&gt;1)),"% de la subactividad fuera de rango 0-100%"&amp;" · ","")&amp;IF(AND(N($W208)&gt;0,SUMIFS($H$5:$H$1000,$U$5:$U$1000,ROW(),$V$5:$V$1000,"Sub")&gt;1.0001),"Las subactividades suman más de 100%"&amp;" · ","")&amp;IF(AND(N($W208)&gt;0,OR(IF(ISNUMBER($I208),ROUND($I208,6)&lt;&gt;ROUND(MIN(1,SUMIFS($AD$5:$AD$1000,$U$5:$U$1000,ROW(),$V$5:$V$1000,"Sub")),6),FALSE),IF(ISNUMBER($J208),ROUND($J208,6)&lt;&gt;ROUND(MIN(1,SUMIFS($AE$5:$AE$1000,$U$5:$U$1000,ROW(),$V$5:$V$1000,"Sub")),6),FALSE),IF(ISNUMBER($K208),ROUND($K208,6)&lt;&gt;ROUND(MIN(1,SUMIFS($AF$5:$AF$1000,$U$5:$U$1000,ROW(),$V$5:$V$1000,"Sub")),6),FALSE),IF(ISNUMBER($L208),ROUND($L208,6)&lt;&gt;ROUND(MIN(1,SUMIFS($AG$5:$AG$1000,$U$5:$U$1000,ROW(),$V$5:$V$1000,"Sub")),6),FALSE))),"Con subactividades: no escriba en las semanas (se llenan solas)"&amp;" · ","")&amp;IF((COUNTIF($I208:$L208,"&gt;1")+COUNTIF($I208:$L208,"&lt;0")+SUMPRODUCT((LEN($I208:$L208)&gt;0)*NOT(ISNUMBER($I208:$L208))))&gt;0,"Avance fuera de rango 0-100%"&amp;" · ","")&amp;IF(OR(AND(ISNUMBER($J208),$J208&lt;N($I208)),AND(ISNUMBER($K208),$K208&lt;MAX($I208:$J208)),AND(ISNUMBER($L208),$L208&lt;MAX($I208:$K208))),"Avance semanal decreciente"&amp;" · ","")&amp;IF(AND(ISNUMBER($AS208),$AS208&lt;FechaRef,IF($V208="Sub",1,N($M208))&lt;1),"Vencida"&amp;" · ","")&amp;IF(AND(ObsObligatoria="Sí",ISNUMBER($AS208),$AS208&lt;FechaRef,IF($V208="Sub",1,N($M208))&lt;1,$Q208=""),"Vencida sin observación"&amp;" · ",""))-3)))</f>
        <v/>
      </c>
      <c r="S208" s="64">
        <f>IF(NOT((COUNTA($B208:$D208)+COUNTA($G208:$H208)+COUNTA($Q208))&gt;0),"",IF(AND($V208="Sub",N($U208)&gt;0),IF(ISNUMBER(INDEX($AR$5:$AR$1000,$U208-4)),DATE(YEAR(INDEX($AR$5:$AR$1000,$U208-4)),MONTH(INDEX($AR$5:$AR$1000,$U208-4)),1),IF(ISNUMBER(INDEX($AS$5:$AS$1000,$U208-4)),DATE(YEAR(INDEX($AS$5:$AS$1000,$U208-4)),MONTH(INDEX($AS$5:$AS$1000,$U208-4)),1),MesCiclo)),IF(ISNUMBER($AR208),DATE(YEAR($AR208),MONTH($AR208),1),IF(ISNUMBER($AS208),DATE(YEAR($AS208),MONTH($AS208),1),MesCiclo))))</f>
        <v/>
      </c>
      <c r="T208" s="62">
        <f>IF(OR($S208="",$S208&lt;&gt;MesCiclo,$V208&lt;&gt;"Macro"),"",COUNTIFS($S$5:$S208,MesCiclo,$V$5:$V208,"Macro"))</f>
        <v/>
      </c>
      <c r="U208" s="62">
        <f>IF($V208="","",IF($V208="Macro",ROW(),IFERROR(LOOKUP(2,1/($V$5:$V208="Macro"),ROW($V$5:$V208)),0)))</f>
        <v/>
      </c>
      <c r="V208" s="62">
        <f>IF(NOT((COUNTA($B208:$D208)+COUNTA($G208:$H208)+COUNTA($Q208))&gt;0),"",IF($B208="Subactividad","Sub","Macro"))</f>
        <v/>
      </c>
      <c r="W208" s="62">
        <f>IF($V208="Macro",COUNTIFS($U$5:$U$1000,ROW(),$V$5:$V$1000,"Sub"),"")</f>
        <v/>
      </c>
      <c r="X208" s="62">
        <f>IF($V208&lt;&gt;"Sub","",IF(AND(ISNUMBER($H208),N($H208)&gt;0),$H208,IFERROR(MAX(0,1-SUMIFS($H$5:$H$1000,$U$5:$U$1000,$U208,$V$5:$V$1000,"Sub"))/(COUNTIFS($U$5:$U$1000,$U208,$V$5:$V$1000,"Sub")-COUNTIFS($U$5:$U$1000,$U208,$V$5:$V$1000,"Sub",$H$5:$H$1000,"&gt;0")),0)))</f>
        <v/>
      </c>
      <c r="Y208" s="62">
        <f>IF($V208="","",IF($V208="Sub",N($X208)*IF(ISNUMBER($G208),1,MIN(1,MAX(0,IFERROR(LOOKUP(2,1/ISNUMBER($I208:$L208),$I208:$L208),0)))),IF(ISNUMBER($G208),1,IFERROR(LOOKUP(2,1/($I208:$L208&lt;&gt;""),$I208:$L208),0))))</f>
        <v/>
      </c>
      <c r="Z208" s="62">
        <f>IF($V208="","",IF(AND(ISNUMBER($G208),$G208&lt;=IF($S208=MesCiclo,InicioCiclo,$S208+MOD(2-WEEKDAY($S208),7))+6),1,IF(ISNUMBER($I208),$I208,0)))</f>
        <v/>
      </c>
      <c r="AA208" s="62">
        <f>IF($V208="","",IF(AND(ISNUMBER($G208),$G208&lt;=IF($S208=MesCiclo,InicioCiclo,$S208+MOD(2-WEEKDAY($S208),7))+13),1,IF(ISNUMBER($J208),$J208,$Z208)))</f>
        <v/>
      </c>
      <c r="AB208" s="62">
        <f>IF($V208="","",IF(AND(ISNUMBER($G208),$G208&lt;=IF($S208=MesCiclo,InicioCiclo,$S208+MOD(2-WEEKDAY($S208),7))+20),1,IF(ISNUMBER($K208),$K208,$AA208)))</f>
        <v/>
      </c>
      <c r="AC208" s="62">
        <f>IF($V208="","",IF(AND(ISNUMBER($G208),$G208&lt;=IF($S208=MesCiclo,InicioCiclo,$S208+MOD(2-WEEKDAY($S208),7))+27),1,IF(ISNUMBER($L208),$L208,$AB208)))</f>
        <v/>
      </c>
      <c r="AD208" s="62">
        <f>IF($V208&lt;&gt;"Sub","",N($X208)*IF(AND(ISNUMBER($G208),$G208&lt;=IF($S208=MesCiclo,InicioCiclo,$S208+MOD(2-WEEKDAY($S208),7))+6),1,MIN(1,MAX(0,IF(ISNUMBER(OFFSET($A$1,ROW()-1,8)),OFFSET($A$1,ROW()-1,8),0)))))</f>
        <v/>
      </c>
      <c r="AE208" s="62">
        <f>IF($V208&lt;&gt;"Sub","",N($X208)*IF(AND(ISNUMBER($G208),$G208&lt;=IF($S208=MesCiclo,InicioCiclo,$S208+MOD(2-WEEKDAY($S208),7))+13),1,MIN(1,MAX(0,IF(ISNUMBER(OFFSET($A$1,ROW()-1,9)),OFFSET($A$1,ROW()-1,9),IF(ISNUMBER(OFFSET($A$1,ROW()-1,8)),OFFSET($A$1,ROW()-1,8),0))))))</f>
        <v/>
      </c>
      <c r="AF208" s="62">
        <f>IF($V208&lt;&gt;"Sub","",N($X208)*IF(AND(ISNUMBER($G208),$G208&lt;=IF($S208=MesCiclo,InicioCiclo,$S208+MOD(2-WEEKDAY($S208),7))+20),1,MIN(1,MAX(0,IF(ISNUMBER(OFFSET($A$1,ROW()-1,10)),OFFSET($A$1,ROW()-1,10),IF(ISNUMBER(OFFSET($A$1,ROW()-1,9)),OFFSET($A$1,ROW()-1,9),IF(ISNUMBER(OFFSET($A$1,ROW()-1,8)),OFFSET($A$1,ROW()-1,8),0)))))))</f>
        <v/>
      </c>
      <c r="AG208" s="62">
        <f>IF($V208&lt;&gt;"Sub","",N($X208)*IF(AND(ISNUMBER($G208),$G208&lt;=IF($S208=MesCiclo,InicioCiclo,$S208+MOD(2-WEEKDAY($S208),7))+27),1,MIN(1,MAX(0,IF(ISNUMBER(OFFSET($A$1,ROW()-1,11)),OFFSET($A$1,ROW()-1,11),IF(ISNUMBER(OFFSET($A$1,ROW()-1,10)),OFFSET($A$1,ROW()-1,10),IF(ISNUMBER(OFFSET($A$1,ROW()-1,9)),OFFSET($A$1,ROW()-1,9),IF(ISNUMBER(OFFSET($A$1,ROW()-1,8)),OFFSET($A$1,ROW()-1,8),0))))))))</f>
        <v/>
      </c>
      <c r="AH208" s="62">
        <f>IF($V208="","",IF(AND(ISNUMBER($G208),$G208&lt;=IF($S208=MesCiclo,InicioCiclo,$S208+MOD(2-WEEKDAY($S208),7))+6),1,IF(N($W208)&gt;0,MIN(1,SUMIFS($AD$5:$AD$1000,$U$5:$U$1000,ROW(),$V$5:$V$1000,"Sub")),$Z208)))</f>
        <v/>
      </c>
      <c r="AI208" s="62">
        <f>IF($V208="","",IF(AND(ISNUMBER($G208),$G208&lt;=IF($S208=MesCiclo,InicioCiclo,$S208+MOD(2-WEEKDAY($S208),7))+13),1,IF(N($W208)&gt;0,MIN(1,SUMIFS($AE$5:$AE$1000,$U$5:$U$1000,ROW(),$V$5:$V$1000,"Sub")),$AA208)))</f>
        <v/>
      </c>
      <c r="AJ208" s="62">
        <f>IF($V208="","",IF(AND(ISNUMBER($G208),$G208&lt;=IF($S208=MesCiclo,InicioCiclo,$S208+MOD(2-WEEKDAY($S208),7))+20),1,IF(N($W208)&gt;0,MIN(1,SUMIFS($AF$5:$AF$1000,$U$5:$U$1000,ROW(),$V$5:$V$1000,"Sub")),$AB208)))</f>
        <v/>
      </c>
      <c r="AK208" s="62">
        <f>IF($V208="","",IF(AND(ISNUMBER($G208),$G208&lt;=IF($S208=MesCiclo,InicioCiclo,$S208+MOD(2-WEEKDAY($S208),7))+27),1,IF(N($W208)&gt;0,MIN(1,SUMIFS($AG$5:$AG$1000,$U$5:$U$1000,ROW(),$V$5:$V$1000,"Sub")),$AC208)))</f>
        <v/>
      </c>
      <c r="AL208" s="62">
        <f>IF($V208&lt;&gt;"Macro","",IF(COUNTIFS($S$5:$S$1000,$S208,$V$5:$V$1000,"Macro",$H$5:$H$1000,"&gt;0")=0,1/COUNTIFS($S$5:$S$1000,$S208,$V$5:$V$1000,"Macro"),IF(AND(ISNUMBER($H208),N($H208)&gt;0),$H208,SUMIFS($H$5:$H$1000,$S$5:$S$1000,$S208,$V$5:$V$1000,"Macro")/COUNTIFS($S$5:$S$1000,$S208,$V$5:$V$1000,"Macro",$H$5:$H$1000,"&gt;0"))/(COUNTIFS($S$5:$S$1000,$S208,$V$5:$V$1000,"Macro")*SUMIFS($H$5:$H$1000,$S$5:$S$1000,$S208,$V$5:$V$1000,"Macro")/COUNTIFS($S$5:$S$1000,$S208,$V$5:$V$1000,"Macro",$H$5:$H$1000,"&gt;0"))))</f>
        <v/>
      </c>
      <c r="AM208" s="62" t="n"/>
      <c r="AN208" s="62" t="n"/>
      <c r="AO208" s="62" t="n"/>
      <c r="AP208" s="62" t="n"/>
      <c r="AQ208" s="62">
        <f>IF(LEFT($C208,11)="[Jefatura] ",IFERROR(MATCH("Asistente Técnico de Riesgo|"&amp;MID($C208,12,500),rDname_ADM,0),0),"")</f>
        <v/>
      </c>
      <c r="AR208" s="62">
        <f>IF(N($AQ208)&gt;0,INDEX(rIni_ADM,$AQ208),IF(ISNUMBER($E208),$E208,""))</f>
        <v/>
      </c>
      <c r="AS208" s="62">
        <f>IF(N($AQ208)&gt;0,INDEX(rLim_ADM,$AQ208),IF(ISNUMBER($F208),$F208,""))</f>
        <v/>
      </c>
    </row>
    <row r="209">
      <c r="A209" s="56">
        <f>IF(NOT((COUNTA($B209:$D209)+COUNTA($G209:$H209)+COUNTA($Q209))&gt;0),"",IF($V209="Macro",COUNTIFS($V$5:$V209,"Macro",$S$5:$S209,$S209),IF(N($U209)=0,"?",COUNTIFS(INDEX($V$5:$V$1000,1):INDEX($V$5:$V$1000,$U209-4),"Macro",INDEX($S$5:$S$1000,1):INDEX($S$5:$S$1000,$U209-4),INDEX($S$5:$S$1000,$U209-4))&amp;"."&amp;COUNTIFS($U$5:$U209,$U209,$V$5:$V209,"Sub"))))</f>
        <v/>
      </c>
      <c r="B209" s="57" t="n"/>
      <c r="C209" s="58" t="n"/>
      <c r="D209" s="58" t="n"/>
      <c r="E209" s="59">
        <f>IF(N($AQ209)&gt;0,INDEX(rIni_ADM,$AQ209),"")</f>
        <v/>
      </c>
      <c r="F209" s="59">
        <f>IF(N($AQ209)&gt;0,INDEX(rLim_ADM,$AQ209),"")</f>
        <v/>
      </c>
      <c r="G209" s="59" t="n"/>
      <c r="H209" s="60" t="n"/>
      <c r="I209" s="60">
        <f>IF(N($W209)=0,"",IF(AND($S209=MesCiclo,1&gt;SemanaActual),"",MIN(1,SUMIFS(OFFSET($A$1,ROW(),29,1000-ROW(),1),OFFSET($A$1,ROW(),20,1000-ROW(),1),ROW(),OFFSET($A$1,ROW(),21,1000-ROW(),1),"Sub"))))</f>
        <v/>
      </c>
      <c r="J209" s="60">
        <f>IF(N($W209)=0,"",IF(AND($S209=MesCiclo,2&gt;SemanaActual),"",MIN(1,SUMIFS(OFFSET($A$1,ROW(),30,1000-ROW(),1),OFFSET($A$1,ROW(),20,1000-ROW(),1),ROW(),OFFSET($A$1,ROW(),21,1000-ROW(),1),"Sub"))))</f>
        <v/>
      </c>
      <c r="K209" s="60">
        <f>IF(N($W209)=0,"",IF(AND($S209=MesCiclo,3&gt;SemanaActual),"",MIN(1,SUMIFS(OFFSET($A$1,ROW(),31,1000-ROW(),1),OFFSET($A$1,ROW(),20,1000-ROW(),1),ROW(),OFFSET($A$1,ROW(),21,1000-ROW(),1),"Sub"))))</f>
        <v/>
      </c>
      <c r="L209" s="60">
        <f>IF(N($W209)=0,"",IF(AND($S209=MesCiclo,4&gt;SemanaActual),"",MIN(1,SUMIFS(OFFSET($A$1,ROW(),32,1000-ROW(),1),OFFSET($A$1,ROW(),20,1000-ROW(),1),ROW(),OFFSET($A$1,ROW(),21,1000-ROW(),1),"Sub"))))</f>
        <v/>
      </c>
      <c r="M209" s="61">
        <f>IF(OR(NOT((COUNTA($B209:$D209)+COUNTA($G209:$H209)+COUNTA($Q209))&gt;0),$V209="Sub"),"",IF(ISNUMBER($G209),1,IF(N($W209)&gt;0,MIN(1,SUMIFS($Y$5:$Y$1000,$U$5:$U$1000,ROW(),$V$5:$V$1000,"Sub")),$Y209)))</f>
        <v/>
      </c>
      <c r="N209" s="56">
        <f>IF(OR($M209="",$V209="Sub"),"",IF($M209&gt;=1,"Completado",IF($M209&gt;0,"En curso","Pendiente")))</f>
        <v/>
      </c>
      <c r="O209" s="56">
        <f>IF(OR(NOT((COUNTA($B209:$D209)+COUNTA($G209:$H209)+COUNTA($Q209))&gt;0),$V209="Sub"),"",IF(ISNUMBER($G209),IF(AND(ISNUMBER($AS209),$G209&gt;$AS209),"Cumplida con "&amp;($G209-$AS209)&amp;IF($G209-$AS209=1," día"," días")&amp;" de retraso","Cumplida"),IF(N($M209)&gt;=1,"Cumplida",IF(NOT(ISNUMBER($AS209)),"Sin fecha límite",IF($AS209&lt;FechaRef,"Vencida hace "&amp;(FechaRef-$AS209)&amp;IF(FechaRef-$AS209=1," día"," días"),IF($AS209=FechaRef,"Vence hoy",IF($AS209-FechaRef&lt;=DiasAlerta,"Vence en "&amp;($AS209-FechaRef)&amp;IF($AS209-FechaRef=1," día"," días"),"En plazo")))))))</f>
        <v/>
      </c>
      <c r="P209" s="62" t="n"/>
      <c r="Q209" s="58" t="n"/>
      <c r="R209" s="63">
        <f>IF(NOT((COUNTA($B209:$D209)+COUNTA($G209:$H209)+COUNTA($Q209))&gt;0),"",IF((IF($C209="","Falta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 OK","⚠ "&amp;LEFT(IF($C209="","Falta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",""),LEN(IF($C209="","Falta el nombre de la actividad"&amp;" · ","")&amp;IF(AND($V209="Sub",N($U209)=0),"Subactividad sin macroactividad arriba"&amp;" · ","")&amp;IF(AND($V209="Macro",$AR209=""),"Sin fecha de inicio"&amp;" · ","")&amp;IF(AND($V209="Macro",$AS209=""),"Sin fecha límite"&amp;" · ","")&amp;IF(AND(LEFT($C209,11)="[Jefatura] ",N($AQ209)=0),"No se encuentra en la hoja de la jefatura (elíjala de nuevo en la lista)"&amp;" · ","")&amp;IF(OR(AND($E209&lt;&gt;"",NOT(ISNUMBER($E209))),AND($F209&lt;&gt;"",NOT(ISNUMBER($F209))),AND($G209&lt;&gt;"",NOT(ISNUMBER($G209)))),"Fecha no válida"&amp;" · ","")&amp;IF(AND(ISNUMBER($AR209),ISNUMBER($AS209),$AR209&gt;$AS209),"Inicio posterior a fecha límite"&amp;" · ","")&amp;IF(AND($V209="Macro",$H209&lt;&gt;"",OR(NOT(ISNUMBER($H209)),$H209&lt;0,$H209&gt;1)),"Peso fuera de rango"&amp;" · ","")&amp;IF(AND($V209="Sub",$H209&lt;&gt;"",OR(NOT(ISNUMBER($H209)),$H209&lt;0,$H209&gt;1)),"% de la subactividad fuera de rango 0-100%"&amp;" · ","")&amp;IF(AND(N($W209)&gt;0,SUMIFS($H$5:$H$1000,$U$5:$U$1000,ROW(),$V$5:$V$1000,"Sub")&gt;1.0001),"Las subactividades suman más de 100%"&amp;" · ","")&amp;IF(AND(N($W209)&gt;0,OR(IF(ISNUMBER($I209),ROUND($I209,6)&lt;&gt;ROUND(MIN(1,SUMIFS($AD$5:$AD$1000,$U$5:$U$1000,ROW(),$V$5:$V$1000,"Sub")),6),FALSE),IF(ISNUMBER($J209),ROUND($J209,6)&lt;&gt;ROUND(MIN(1,SUMIFS($AE$5:$AE$1000,$U$5:$U$1000,ROW(),$V$5:$V$1000,"Sub")),6),FALSE),IF(ISNUMBER($K209),ROUND($K209,6)&lt;&gt;ROUND(MIN(1,SUMIFS($AF$5:$AF$1000,$U$5:$U$1000,ROW(),$V$5:$V$1000,"Sub")),6),FALSE),IF(ISNUMBER($L209),ROUND($L209,6)&lt;&gt;ROUND(MIN(1,SUMIFS($AG$5:$AG$1000,$U$5:$U$1000,ROW(),$V$5:$V$1000,"Sub")),6),FALSE))),"Con subactividades: no escriba en las semanas (se llenan solas)"&amp;" · ","")&amp;IF((COUNTIF($I209:$L209,"&gt;1")+COUNTIF($I209:$L209,"&lt;0")+SUMPRODUCT((LEN($I209:$L209)&gt;0)*NOT(ISNUMBER($I209:$L209))))&gt;0,"Avance fuera de rango 0-100%"&amp;" · ","")&amp;IF(OR(AND(ISNUMBER($J209),$J209&lt;N($I209)),AND(ISNUMBER($K209),$K209&lt;MAX($I209:$J209)),AND(ISNUMBER($L209),$L209&lt;MAX($I209:$K209))),"Avance semanal decreciente"&amp;" · ","")&amp;IF(AND(ISNUMBER($AS209),$AS209&lt;FechaRef,IF($V209="Sub",1,N($M209))&lt;1),"Vencida"&amp;" · ","")&amp;IF(AND(ObsObligatoria="Sí",ISNUMBER($AS209),$AS209&lt;FechaRef,IF($V209="Sub",1,N($M209))&lt;1,$Q209=""),"Vencida sin observación"&amp;" · ",""))-3)))</f>
        <v/>
      </c>
      <c r="S209" s="64">
        <f>IF(NOT((COUNTA($B209:$D209)+COUNTA($G209:$H209)+COUNTA($Q209))&gt;0),"",IF(AND($V209="Sub",N($U209)&gt;0),IF(ISNUMBER(INDEX($AR$5:$AR$1000,$U209-4)),DATE(YEAR(INDEX($AR$5:$AR$1000,$U209-4)),MONTH(INDEX($AR$5:$AR$1000,$U209-4)),1),IF(ISNUMBER(INDEX($AS$5:$AS$1000,$U209-4)),DATE(YEAR(INDEX($AS$5:$AS$1000,$U209-4)),MONTH(INDEX($AS$5:$AS$1000,$U209-4)),1),MesCiclo)),IF(ISNUMBER($AR209),DATE(YEAR($AR209),MONTH($AR209),1),IF(ISNUMBER($AS209),DATE(YEAR($AS209),MONTH($AS209),1),MesCiclo))))</f>
        <v/>
      </c>
      <c r="T209" s="62">
        <f>IF(OR($S209="",$S209&lt;&gt;MesCiclo,$V209&lt;&gt;"Macro"),"",COUNTIFS($S$5:$S209,MesCiclo,$V$5:$V209,"Macro"))</f>
        <v/>
      </c>
      <c r="U209" s="62">
        <f>IF($V209="","",IF($V209="Macro",ROW(),IFERROR(LOOKUP(2,1/($V$5:$V209="Macro"),ROW($V$5:$V209)),0)))</f>
        <v/>
      </c>
      <c r="V209" s="62">
        <f>IF(NOT((COUNTA($B209:$D209)+COUNTA($G209:$H209)+COUNTA($Q209))&gt;0),"",IF($B209="Subactividad","Sub","Macro"))</f>
        <v/>
      </c>
      <c r="W209" s="62">
        <f>IF($V209="Macro",COUNTIFS($U$5:$U$1000,ROW(),$V$5:$V$1000,"Sub"),"")</f>
        <v/>
      </c>
      <c r="X209" s="62">
        <f>IF($V209&lt;&gt;"Sub","",IF(AND(ISNUMBER($H209),N($H209)&gt;0),$H209,IFERROR(MAX(0,1-SUMIFS($H$5:$H$1000,$U$5:$U$1000,$U209,$V$5:$V$1000,"Sub"))/(COUNTIFS($U$5:$U$1000,$U209,$V$5:$V$1000,"Sub")-COUNTIFS($U$5:$U$1000,$U209,$V$5:$V$1000,"Sub",$H$5:$H$1000,"&gt;0")),0)))</f>
        <v/>
      </c>
      <c r="Y209" s="62">
        <f>IF($V209="","",IF($V209="Sub",N($X209)*IF(ISNUMBER($G209),1,MIN(1,MAX(0,IFERROR(LOOKUP(2,1/ISNUMBER($I209:$L209),$I209:$L209),0)))),IF(ISNUMBER($G209),1,IFERROR(LOOKUP(2,1/($I209:$L209&lt;&gt;""),$I209:$L209),0))))</f>
        <v/>
      </c>
      <c r="Z209" s="62">
        <f>IF($V209="","",IF(AND(ISNUMBER($G209),$G209&lt;=IF($S209=MesCiclo,InicioCiclo,$S209+MOD(2-WEEKDAY($S209),7))+6),1,IF(ISNUMBER($I209),$I209,0)))</f>
        <v/>
      </c>
      <c r="AA209" s="62">
        <f>IF($V209="","",IF(AND(ISNUMBER($G209),$G209&lt;=IF($S209=MesCiclo,InicioCiclo,$S209+MOD(2-WEEKDAY($S209),7))+13),1,IF(ISNUMBER($J209),$J209,$Z209)))</f>
        <v/>
      </c>
      <c r="AB209" s="62">
        <f>IF($V209="","",IF(AND(ISNUMBER($G209),$G209&lt;=IF($S209=MesCiclo,InicioCiclo,$S209+MOD(2-WEEKDAY($S209),7))+20),1,IF(ISNUMBER($K209),$K209,$AA209)))</f>
        <v/>
      </c>
      <c r="AC209" s="62">
        <f>IF($V209="","",IF(AND(ISNUMBER($G209),$G209&lt;=IF($S209=MesCiclo,InicioCiclo,$S209+MOD(2-WEEKDAY($S209),7))+27),1,IF(ISNUMBER($L209),$L209,$AB209)))</f>
        <v/>
      </c>
      <c r="AD209" s="62">
        <f>IF($V209&lt;&gt;"Sub","",N($X209)*IF(AND(ISNUMBER($G209),$G209&lt;=IF($S209=MesCiclo,InicioCiclo,$S209+MOD(2-WEEKDAY($S209),7))+6),1,MIN(1,MAX(0,IF(ISNUMBER(OFFSET($A$1,ROW()-1,8)),OFFSET($A$1,ROW()-1,8),0)))))</f>
        <v/>
      </c>
      <c r="AE209" s="62">
        <f>IF($V209&lt;&gt;"Sub","",N($X209)*IF(AND(ISNUMBER($G209),$G209&lt;=IF($S209=MesCiclo,InicioCiclo,$S209+MOD(2-WEEKDAY($S209),7))+13),1,MIN(1,MAX(0,IF(ISNUMBER(OFFSET($A$1,ROW()-1,9)),OFFSET($A$1,ROW()-1,9),IF(ISNUMBER(OFFSET($A$1,ROW()-1,8)),OFFSET($A$1,ROW()-1,8),0))))))</f>
        <v/>
      </c>
      <c r="AF209" s="62">
        <f>IF($V209&lt;&gt;"Sub","",N($X209)*IF(AND(ISNUMBER($G209),$G209&lt;=IF($S209=MesCiclo,InicioCiclo,$S209+MOD(2-WEEKDAY($S209),7))+20),1,MIN(1,MAX(0,IF(ISNUMBER(OFFSET($A$1,ROW()-1,10)),OFFSET($A$1,ROW()-1,10),IF(ISNUMBER(OFFSET($A$1,ROW()-1,9)),OFFSET($A$1,ROW()-1,9),IF(ISNUMBER(OFFSET($A$1,ROW()-1,8)),OFFSET($A$1,ROW()-1,8),0)))))))</f>
        <v/>
      </c>
      <c r="AG209" s="62">
        <f>IF($V209&lt;&gt;"Sub","",N($X209)*IF(AND(ISNUMBER($G209),$G209&lt;=IF($S209=MesCiclo,InicioCiclo,$S209+MOD(2-WEEKDAY($S209),7))+27),1,MIN(1,MAX(0,IF(ISNUMBER(OFFSET($A$1,ROW()-1,11)),OFFSET($A$1,ROW()-1,11),IF(ISNUMBER(OFFSET($A$1,ROW()-1,10)),OFFSET($A$1,ROW()-1,10),IF(ISNUMBER(OFFSET($A$1,ROW()-1,9)),OFFSET($A$1,ROW()-1,9),IF(ISNUMBER(OFFSET($A$1,ROW()-1,8)),OFFSET($A$1,ROW()-1,8),0))))))))</f>
        <v/>
      </c>
      <c r="AH209" s="62">
        <f>IF($V209="","",IF(AND(ISNUMBER($G209),$G209&lt;=IF($S209=MesCiclo,InicioCiclo,$S209+MOD(2-WEEKDAY($S209),7))+6),1,IF(N($W209)&gt;0,MIN(1,SUMIFS($AD$5:$AD$1000,$U$5:$U$1000,ROW(),$V$5:$V$1000,"Sub")),$Z209)))</f>
        <v/>
      </c>
      <c r="AI209" s="62">
        <f>IF($V209="","",IF(AND(ISNUMBER($G209),$G209&lt;=IF($S209=MesCiclo,InicioCiclo,$S209+MOD(2-WEEKDAY($S209),7))+13),1,IF(N($W209)&gt;0,MIN(1,SUMIFS($AE$5:$AE$1000,$U$5:$U$1000,ROW(),$V$5:$V$1000,"Sub")),$AA209)))</f>
        <v/>
      </c>
      <c r="AJ209" s="62">
        <f>IF($V209="","",IF(AND(ISNUMBER($G209),$G209&lt;=IF($S209=MesCiclo,InicioCiclo,$S209+MOD(2-WEEKDAY($S209),7))+20),1,IF(N($W209)&gt;0,MIN(1,SUMIFS($AF$5:$AF$1000,$U$5:$U$1000,ROW(),$V$5:$V$1000,"Sub")),$AB209)))</f>
        <v/>
      </c>
      <c r="AK209" s="62">
        <f>IF($V209="","",IF(AND(ISNUMBER($G209),$G209&lt;=IF($S209=MesCiclo,InicioCiclo,$S209+MOD(2-WEEKDAY($S209),7))+27),1,IF(N($W209)&gt;0,MIN(1,SUMIFS($AG$5:$AG$1000,$U$5:$U$1000,ROW(),$V$5:$V$1000,"Sub")),$AC209)))</f>
        <v/>
      </c>
      <c r="AL209" s="62">
        <f>IF($V209&lt;&gt;"Macro","",IF(COUNTIFS($S$5:$S$1000,$S209,$V$5:$V$1000,"Macro",$H$5:$H$1000,"&gt;0")=0,1/COUNTIFS($S$5:$S$1000,$S209,$V$5:$V$1000,"Macro"),IF(AND(ISNUMBER($H209),N($H209)&gt;0),$H209,SUMIFS($H$5:$H$1000,$S$5:$S$1000,$S209,$V$5:$V$1000,"Macro")/COUNTIFS($S$5:$S$1000,$S209,$V$5:$V$1000,"Macro",$H$5:$H$1000,"&gt;0"))/(COUNTIFS($S$5:$S$1000,$S209,$V$5:$V$1000,"Macro")*SUMIFS($H$5:$H$1000,$S$5:$S$1000,$S209,$V$5:$V$1000,"Macro")/COUNTIFS($S$5:$S$1000,$S209,$V$5:$V$1000,"Macro",$H$5:$H$1000,"&gt;0"))))</f>
        <v/>
      </c>
      <c r="AM209" s="62" t="n"/>
      <c r="AN209" s="62" t="n"/>
      <c r="AO209" s="62" t="n"/>
      <c r="AP209" s="62" t="n"/>
      <c r="AQ209" s="62">
        <f>IF(LEFT($C209,11)="[Jefatura] ",IFERROR(MATCH("Asistente Técnico de Riesgo|"&amp;MID($C209,12,500),rDname_ADM,0),0),"")</f>
        <v/>
      </c>
      <c r="AR209" s="62">
        <f>IF(N($AQ209)&gt;0,INDEX(rIni_ADM,$AQ209),IF(ISNUMBER($E209),$E209,""))</f>
        <v/>
      </c>
      <c r="AS209" s="62">
        <f>IF(N($AQ209)&gt;0,INDEX(rLim_ADM,$AQ209),IF(ISNUMBER($F209),$F209,""))</f>
        <v/>
      </c>
    </row>
    <row r="210">
      <c r="A210" s="56">
        <f>IF(NOT((COUNTA($B210:$D210)+COUNTA($G210:$H210)+COUNTA($Q210))&gt;0),"",IF($V210="Macro",COUNTIFS($V$5:$V210,"Macro",$S$5:$S210,$S210),IF(N($U210)=0,"?",COUNTIFS(INDEX($V$5:$V$1000,1):INDEX($V$5:$V$1000,$U210-4),"Macro",INDEX($S$5:$S$1000,1):INDEX($S$5:$S$1000,$U210-4),INDEX($S$5:$S$1000,$U210-4))&amp;"."&amp;COUNTIFS($U$5:$U210,$U210,$V$5:$V210,"Sub"))))</f>
        <v/>
      </c>
      <c r="B210" s="57" t="n"/>
      <c r="C210" s="58" t="n"/>
      <c r="D210" s="58" t="n"/>
      <c r="E210" s="59">
        <f>IF(N($AQ210)&gt;0,INDEX(rIni_ADM,$AQ210),"")</f>
        <v/>
      </c>
      <c r="F210" s="59">
        <f>IF(N($AQ210)&gt;0,INDEX(rLim_ADM,$AQ210),"")</f>
        <v/>
      </c>
      <c r="G210" s="59" t="n"/>
      <c r="H210" s="60" t="n"/>
      <c r="I210" s="60">
        <f>IF(N($W210)=0,"",IF(AND($S210=MesCiclo,1&gt;SemanaActual),"",MIN(1,SUMIFS(OFFSET($A$1,ROW(),29,1000-ROW(),1),OFFSET($A$1,ROW(),20,1000-ROW(),1),ROW(),OFFSET($A$1,ROW(),21,1000-ROW(),1),"Sub"))))</f>
        <v/>
      </c>
      <c r="J210" s="60">
        <f>IF(N($W210)=0,"",IF(AND($S210=MesCiclo,2&gt;SemanaActual),"",MIN(1,SUMIFS(OFFSET($A$1,ROW(),30,1000-ROW(),1),OFFSET($A$1,ROW(),20,1000-ROW(),1),ROW(),OFFSET($A$1,ROW(),21,1000-ROW(),1),"Sub"))))</f>
        <v/>
      </c>
      <c r="K210" s="60">
        <f>IF(N($W210)=0,"",IF(AND($S210=MesCiclo,3&gt;SemanaActual),"",MIN(1,SUMIFS(OFFSET($A$1,ROW(),31,1000-ROW(),1),OFFSET($A$1,ROW(),20,1000-ROW(),1),ROW(),OFFSET($A$1,ROW(),21,1000-ROW(),1),"Sub"))))</f>
        <v/>
      </c>
      <c r="L210" s="60">
        <f>IF(N($W210)=0,"",IF(AND($S210=MesCiclo,4&gt;SemanaActual),"",MIN(1,SUMIFS(OFFSET($A$1,ROW(),32,1000-ROW(),1),OFFSET($A$1,ROW(),20,1000-ROW(),1),ROW(),OFFSET($A$1,ROW(),21,1000-ROW(),1),"Sub"))))</f>
        <v/>
      </c>
      <c r="M210" s="61">
        <f>IF(OR(NOT((COUNTA($B210:$D210)+COUNTA($G210:$H210)+COUNTA($Q210))&gt;0),$V210="Sub"),"",IF(ISNUMBER($G210),1,IF(N($W210)&gt;0,MIN(1,SUMIFS($Y$5:$Y$1000,$U$5:$U$1000,ROW(),$V$5:$V$1000,"Sub")),$Y210)))</f>
        <v/>
      </c>
      <c r="N210" s="56">
        <f>IF(OR($M210="",$V210="Sub"),"",IF($M210&gt;=1,"Completado",IF($M210&gt;0,"En curso","Pendiente")))</f>
        <v/>
      </c>
      <c r="O210" s="56">
        <f>IF(OR(NOT((COUNTA($B210:$D210)+COUNTA($G210:$H210)+COUNTA($Q210))&gt;0),$V210="Sub"),"",IF(ISNUMBER($G210),IF(AND(ISNUMBER($AS210),$G210&gt;$AS210),"Cumplida con "&amp;($G210-$AS210)&amp;IF($G210-$AS210=1," día"," días")&amp;" de retraso","Cumplida"),IF(N($M210)&gt;=1,"Cumplida",IF(NOT(ISNUMBER($AS210)),"Sin fecha límite",IF($AS210&lt;FechaRef,"Vencida hace "&amp;(FechaRef-$AS210)&amp;IF(FechaRef-$AS210=1," día"," días"),IF($AS210=FechaRef,"Vence hoy",IF($AS210-FechaRef&lt;=DiasAlerta,"Vence en "&amp;($AS210-FechaRef)&amp;IF($AS210-FechaRef=1," día"," días"),"En plazo")))))))</f>
        <v/>
      </c>
      <c r="P210" s="62" t="n"/>
      <c r="Q210" s="58" t="n"/>
      <c r="R210" s="63">
        <f>IF(NOT((COUNTA($B210:$D210)+COUNTA($G210:$H210)+COUNTA($Q210))&gt;0),"",IF((IF($C210="","Falta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 OK","⚠ "&amp;LEFT(IF($C210="","Falta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",""),LEN(IF($C210="","Falta el nombre de la actividad"&amp;" · ","")&amp;IF(AND($V210="Sub",N($U210)=0),"Subactividad sin macroactividad arriba"&amp;" · ","")&amp;IF(AND($V210="Macro",$AR210=""),"Sin fecha de inicio"&amp;" · ","")&amp;IF(AND($V210="Macro",$AS210=""),"Sin fecha límite"&amp;" · ","")&amp;IF(AND(LEFT($C210,11)="[Jefatura] ",N($AQ210)=0),"No se encuentra en la hoja de la jefatura (elíjala de nuevo en la lista)"&amp;" · ","")&amp;IF(OR(AND($E210&lt;&gt;"",NOT(ISNUMBER($E210))),AND($F210&lt;&gt;"",NOT(ISNUMBER($F210))),AND($G210&lt;&gt;"",NOT(ISNUMBER($G210)))),"Fecha no válida"&amp;" · ","")&amp;IF(AND(ISNUMBER($AR210),ISNUMBER($AS210),$AR210&gt;$AS210),"Inicio posterior a fecha límite"&amp;" · ","")&amp;IF(AND($V210="Macro",$H210&lt;&gt;"",OR(NOT(ISNUMBER($H210)),$H210&lt;0,$H210&gt;1)),"Peso fuera de rango"&amp;" · ","")&amp;IF(AND($V210="Sub",$H210&lt;&gt;"",OR(NOT(ISNUMBER($H210)),$H210&lt;0,$H210&gt;1)),"% de la subactividad fuera de rango 0-100%"&amp;" · ","")&amp;IF(AND(N($W210)&gt;0,SUMIFS($H$5:$H$1000,$U$5:$U$1000,ROW(),$V$5:$V$1000,"Sub")&gt;1.0001),"Las subactividades suman más de 100%"&amp;" · ","")&amp;IF(AND(N($W210)&gt;0,OR(IF(ISNUMBER($I210),ROUND($I210,6)&lt;&gt;ROUND(MIN(1,SUMIFS($AD$5:$AD$1000,$U$5:$U$1000,ROW(),$V$5:$V$1000,"Sub")),6),FALSE),IF(ISNUMBER($J210),ROUND($J210,6)&lt;&gt;ROUND(MIN(1,SUMIFS($AE$5:$AE$1000,$U$5:$U$1000,ROW(),$V$5:$V$1000,"Sub")),6),FALSE),IF(ISNUMBER($K210),ROUND($K210,6)&lt;&gt;ROUND(MIN(1,SUMIFS($AF$5:$AF$1000,$U$5:$U$1000,ROW(),$V$5:$V$1000,"Sub")),6),FALSE),IF(ISNUMBER($L210),ROUND($L210,6)&lt;&gt;ROUND(MIN(1,SUMIFS($AG$5:$AG$1000,$U$5:$U$1000,ROW(),$V$5:$V$1000,"Sub")),6),FALSE))),"Con subactividades: no escriba en las semanas (se llenan solas)"&amp;" · ","")&amp;IF((COUNTIF($I210:$L210,"&gt;1")+COUNTIF($I210:$L210,"&lt;0")+SUMPRODUCT((LEN($I210:$L210)&gt;0)*NOT(ISNUMBER($I210:$L210))))&gt;0,"Avance fuera de rango 0-100%"&amp;" · ","")&amp;IF(OR(AND(ISNUMBER($J210),$J210&lt;N($I210)),AND(ISNUMBER($K210),$K210&lt;MAX($I210:$J210)),AND(ISNUMBER($L210),$L210&lt;MAX($I210:$K210))),"Avance semanal decreciente"&amp;" · ","")&amp;IF(AND(ISNUMBER($AS210),$AS210&lt;FechaRef,IF($V210="Sub",1,N($M210))&lt;1),"Vencida"&amp;" · ","")&amp;IF(AND(ObsObligatoria="Sí",ISNUMBER($AS210),$AS210&lt;FechaRef,IF($V210="Sub",1,N($M210))&lt;1,$Q210=""),"Vencida sin observación"&amp;" · ",""))-3)))</f>
        <v/>
      </c>
      <c r="S210" s="64">
        <f>IF(NOT((COUNTA($B210:$D210)+COUNTA($G210:$H210)+COUNTA($Q210))&gt;0),"",IF(AND($V210="Sub",N($U210)&gt;0),IF(ISNUMBER(INDEX($AR$5:$AR$1000,$U210-4)),DATE(YEAR(INDEX($AR$5:$AR$1000,$U210-4)),MONTH(INDEX($AR$5:$AR$1000,$U210-4)),1),IF(ISNUMBER(INDEX($AS$5:$AS$1000,$U210-4)),DATE(YEAR(INDEX($AS$5:$AS$1000,$U210-4)),MONTH(INDEX($AS$5:$AS$1000,$U210-4)),1),MesCiclo)),IF(ISNUMBER($AR210),DATE(YEAR($AR210),MONTH($AR210),1),IF(ISNUMBER($AS210),DATE(YEAR($AS210),MONTH($AS210),1),MesCiclo))))</f>
        <v/>
      </c>
      <c r="T210" s="62">
        <f>IF(OR($S210="",$S210&lt;&gt;MesCiclo,$V210&lt;&gt;"Macro"),"",COUNTIFS($S$5:$S210,MesCiclo,$V$5:$V210,"Macro"))</f>
        <v/>
      </c>
      <c r="U210" s="62">
        <f>IF($V210="","",IF($V210="Macro",ROW(),IFERROR(LOOKUP(2,1/($V$5:$V210="Macro"),ROW($V$5:$V210)),0)))</f>
        <v/>
      </c>
      <c r="V210" s="62">
        <f>IF(NOT((COUNTA($B210:$D210)+COUNTA($G210:$H210)+COUNTA($Q210))&gt;0),"",IF($B210="Subactividad","Sub","Macro"))</f>
        <v/>
      </c>
      <c r="W210" s="62">
        <f>IF($V210="Macro",COUNTIFS($U$5:$U$1000,ROW(),$V$5:$V$1000,"Sub"),"")</f>
        <v/>
      </c>
      <c r="X210" s="62">
        <f>IF($V210&lt;&gt;"Sub","",IF(AND(ISNUMBER($H210),N($H210)&gt;0),$H210,IFERROR(MAX(0,1-SUMIFS($H$5:$H$1000,$U$5:$U$1000,$U210,$V$5:$V$1000,"Sub"))/(COUNTIFS($U$5:$U$1000,$U210,$V$5:$V$1000,"Sub")-COUNTIFS($U$5:$U$1000,$U210,$V$5:$V$1000,"Sub",$H$5:$H$1000,"&gt;0")),0)))</f>
        <v/>
      </c>
      <c r="Y210" s="62">
        <f>IF($V210="","",IF($V210="Sub",N($X210)*IF(ISNUMBER($G210),1,MIN(1,MAX(0,IFERROR(LOOKUP(2,1/ISNUMBER($I210:$L210),$I210:$L210),0)))),IF(ISNUMBER($G210),1,IFERROR(LOOKUP(2,1/($I210:$L210&lt;&gt;""),$I210:$L210),0))))</f>
        <v/>
      </c>
      <c r="Z210" s="62">
        <f>IF($V210="","",IF(AND(ISNUMBER($G210),$G210&lt;=IF($S210=MesCiclo,InicioCiclo,$S210+MOD(2-WEEKDAY($S210),7))+6),1,IF(ISNUMBER($I210),$I210,0)))</f>
        <v/>
      </c>
      <c r="AA210" s="62">
        <f>IF($V210="","",IF(AND(ISNUMBER($G210),$G210&lt;=IF($S210=MesCiclo,InicioCiclo,$S210+MOD(2-WEEKDAY($S210),7))+13),1,IF(ISNUMBER($J210),$J210,$Z210)))</f>
        <v/>
      </c>
      <c r="AB210" s="62">
        <f>IF($V210="","",IF(AND(ISNUMBER($G210),$G210&lt;=IF($S210=MesCiclo,InicioCiclo,$S210+MOD(2-WEEKDAY($S210),7))+20),1,IF(ISNUMBER($K210),$K210,$AA210)))</f>
        <v/>
      </c>
      <c r="AC210" s="62">
        <f>IF($V210="","",IF(AND(ISNUMBER($G210),$G210&lt;=IF($S210=MesCiclo,InicioCiclo,$S210+MOD(2-WEEKDAY($S210),7))+27),1,IF(ISNUMBER($L210),$L210,$AB210)))</f>
        <v/>
      </c>
      <c r="AD210" s="62">
        <f>IF($V210&lt;&gt;"Sub","",N($X210)*IF(AND(ISNUMBER($G210),$G210&lt;=IF($S210=MesCiclo,InicioCiclo,$S210+MOD(2-WEEKDAY($S210),7))+6),1,MIN(1,MAX(0,IF(ISNUMBER(OFFSET($A$1,ROW()-1,8)),OFFSET($A$1,ROW()-1,8),0)))))</f>
        <v/>
      </c>
      <c r="AE210" s="62">
        <f>IF($V210&lt;&gt;"Sub","",N($X210)*IF(AND(ISNUMBER($G210),$G210&lt;=IF($S210=MesCiclo,InicioCiclo,$S210+MOD(2-WEEKDAY($S210),7))+13),1,MIN(1,MAX(0,IF(ISNUMBER(OFFSET($A$1,ROW()-1,9)),OFFSET($A$1,ROW()-1,9),IF(ISNUMBER(OFFSET($A$1,ROW()-1,8)),OFFSET($A$1,ROW()-1,8),0))))))</f>
        <v/>
      </c>
      <c r="AF210" s="62">
        <f>IF($V210&lt;&gt;"Sub","",N($X210)*IF(AND(ISNUMBER($G210),$G210&lt;=IF($S210=MesCiclo,InicioCiclo,$S210+MOD(2-WEEKDAY($S210),7))+20),1,MIN(1,MAX(0,IF(ISNUMBER(OFFSET($A$1,ROW()-1,10)),OFFSET($A$1,ROW()-1,10),IF(ISNUMBER(OFFSET($A$1,ROW()-1,9)),OFFSET($A$1,ROW()-1,9),IF(ISNUMBER(OFFSET($A$1,ROW()-1,8)),OFFSET($A$1,ROW()-1,8),0)))))))</f>
        <v/>
      </c>
      <c r="AG210" s="62">
        <f>IF($V210&lt;&gt;"Sub","",N($X210)*IF(AND(ISNUMBER($G210),$G210&lt;=IF($S210=MesCiclo,InicioCiclo,$S210+MOD(2-WEEKDAY($S210),7))+27),1,MIN(1,MAX(0,IF(ISNUMBER(OFFSET($A$1,ROW()-1,11)),OFFSET($A$1,ROW()-1,11),IF(ISNUMBER(OFFSET($A$1,ROW()-1,10)),OFFSET($A$1,ROW()-1,10),IF(ISNUMBER(OFFSET($A$1,ROW()-1,9)),OFFSET($A$1,ROW()-1,9),IF(ISNUMBER(OFFSET($A$1,ROW()-1,8)),OFFSET($A$1,ROW()-1,8),0))))))))</f>
        <v/>
      </c>
      <c r="AH210" s="62">
        <f>IF($V210="","",IF(AND(ISNUMBER($G210),$G210&lt;=IF($S210=MesCiclo,InicioCiclo,$S210+MOD(2-WEEKDAY($S210),7))+6),1,IF(N($W210)&gt;0,MIN(1,SUMIFS($AD$5:$AD$1000,$U$5:$U$1000,ROW(),$V$5:$V$1000,"Sub")),$Z210)))</f>
        <v/>
      </c>
      <c r="AI210" s="62">
        <f>IF($V210="","",IF(AND(ISNUMBER($G210),$G210&lt;=IF($S210=MesCiclo,InicioCiclo,$S210+MOD(2-WEEKDAY($S210),7))+13),1,IF(N($W210)&gt;0,MIN(1,SUMIFS($AE$5:$AE$1000,$U$5:$U$1000,ROW(),$V$5:$V$1000,"Sub")),$AA210)))</f>
        <v/>
      </c>
      <c r="AJ210" s="62">
        <f>IF($V210="","",IF(AND(ISNUMBER($G210),$G210&lt;=IF($S210=MesCiclo,InicioCiclo,$S210+MOD(2-WEEKDAY($S210),7))+20),1,IF(N($W210)&gt;0,MIN(1,SUMIFS($AF$5:$AF$1000,$U$5:$U$1000,ROW(),$V$5:$V$1000,"Sub")),$AB210)))</f>
        <v/>
      </c>
      <c r="AK210" s="62">
        <f>IF($V210="","",IF(AND(ISNUMBER($G210),$G210&lt;=IF($S210=MesCiclo,InicioCiclo,$S210+MOD(2-WEEKDAY($S210),7))+27),1,IF(N($W210)&gt;0,MIN(1,SUMIFS($AG$5:$AG$1000,$U$5:$U$1000,ROW(),$V$5:$V$1000,"Sub")),$AC210)))</f>
        <v/>
      </c>
      <c r="AL210" s="62">
        <f>IF($V210&lt;&gt;"Macro","",IF(COUNTIFS($S$5:$S$1000,$S210,$V$5:$V$1000,"Macro",$H$5:$H$1000,"&gt;0")=0,1/COUNTIFS($S$5:$S$1000,$S210,$V$5:$V$1000,"Macro"),IF(AND(ISNUMBER($H210),N($H210)&gt;0),$H210,SUMIFS($H$5:$H$1000,$S$5:$S$1000,$S210,$V$5:$V$1000,"Macro")/COUNTIFS($S$5:$S$1000,$S210,$V$5:$V$1000,"Macro",$H$5:$H$1000,"&gt;0"))/(COUNTIFS($S$5:$S$1000,$S210,$V$5:$V$1000,"Macro")*SUMIFS($H$5:$H$1000,$S$5:$S$1000,$S210,$V$5:$V$1000,"Macro")/COUNTIFS($S$5:$S$1000,$S210,$V$5:$V$1000,"Macro",$H$5:$H$1000,"&gt;0"))))</f>
        <v/>
      </c>
      <c r="AM210" s="62" t="n"/>
      <c r="AN210" s="62" t="n"/>
      <c r="AO210" s="62" t="n"/>
      <c r="AP210" s="62" t="n"/>
      <c r="AQ210" s="62">
        <f>IF(LEFT($C210,11)="[Jefatura] ",IFERROR(MATCH("Asistente Técnico de Riesgo|"&amp;MID($C210,12,500),rDname_ADM,0),0),"")</f>
        <v/>
      </c>
      <c r="AR210" s="62">
        <f>IF(N($AQ210)&gt;0,INDEX(rIni_ADM,$AQ210),IF(ISNUMBER($E210),$E210,""))</f>
        <v/>
      </c>
      <c r="AS210" s="62">
        <f>IF(N($AQ210)&gt;0,INDEX(rLim_ADM,$AQ210),IF(ISNUMBER($F210),$F210,""))</f>
        <v/>
      </c>
    </row>
    <row r="211">
      <c r="A211" s="56">
        <f>IF(NOT((COUNTA($B211:$D211)+COUNTA($G211:$H211)+COUNTA($Q211))&gt;0),"",IF($V211="Macro",COUNTIFS($V$5:$V211,"Macro",$S$5:$S211,$S211),IF(N($U211)=0,"?",COUNTIFS(INDEX($V$5:$V$1000,1):INDEX($V$5:$V$1000,$U211-4),"Macro",INDEX($S$5:$S$1000,1):INDEX($S$5:$S$1000,$U211-4),INDEX($S$5:$S$1000,$U211-4))&amp;"."&amp;COUNTIFS($U$5:$U211,$U211,$V$5:$V211,"Sub"))))</f>
        <v/>
      </c>
      <c r="B211" s="57" t="n"/>
      <c r="C211" s="58" t="n"/>
      <c r="D211" s="58" t="n"/>
      <c r="E211" s="59">
        <f>IF(N($AQ211)&gt;0,INDEX(rIni_ADM,$AQ211),"")</f>
        <v/>
      </c>
      <c r="F211" s="59">
        <f>IF(N($AQ211)&gt;0,INDEX(rLim_ADM,$AQ211),"")</f>
        <v/>
      </c>
      <c r="G211" s="59" t="n"/>
      <c r="H211" s="60" t="n"/>
      <c r="I211" s="60">
        <f>IF(N($W211)=0,"",IF(AND($S211=MesCiclo,1&gt;SemanaActual),"",MIN(1,SUMIFS(OFFSET($A$1,ROW(),29,1000-ROW(),1),OFFSET($A$1,ROW(),20,1000-ROW(),1),ROW(),OFFSET($A$1,ROW(),21,1000-ROW(),1),"Sub"))))</f>
        <v/>
      </c>
      <c r="J211" s="60">
        <f>IF(N($W211)=0,"",IF(AND($S211=MesCiclo,2&gt;SemanaActual),"",MIN(1,SUMIFS(OFFSET($A$1,ROW(),30,1000-ROW(),1),OFFSET($A$1,ROW(),20,1000-ROW(),1),ROW(),OFFSET($A$1,ROW(),21,1000-ROW(),1),"Sub"))))</f>
        <v/>
      </c>
      <c r="K211" s="60">
        <f>IF(N($W211)=0,"",IF(AND($S211=MesCiclo,3&gt;SemanaActual),"",MIN(1,SUMIFS(OFFSET($A$1,ROW(),31,1000-ROW(),1),OFFSET($A$1,ROW(),20,1000-ROW(),1),ROW(),OFFSET($A$1,ROW(),21,1000-ROW(),1),"Sub"))))</f>
        <v/>
      </c>
      <c r="L211" s="60">
        <f>IF(N($W211)=0,"",IF(AND($S211=MesCiclo,4&gt;SemanaActual),"",MIN(1,SUMIFS(OFFSET($A$1,ROW(),32,1000-ROW(),1),OFFSET($A$1,ROW(),20,1000-ROW(),1),ROW(),OFFSET($A$1,ROW(),21,1000-ROW(),1),"Sub"))))</f>
        <v/>
      </c>
      <c r="M211" s="61">
        <f>IF(OR(NOT((COUNTA($B211:$D211)+COUNTA($G211:$H211)+COUNTA($Q211))&gt;0),$V211="Sub"),"",IF(ISNUMBER($G211),1,IF(N($W211)&gt;0,MIN(1,SUMIFS($Y$5:$Y$1000,$U$5:$U$1000,ROW(),$V$5:$V$1000,"Sub")),$Y211)))</f>
        <v/>
      </c>
      <c r="N211" s="56">
        <f>IF(OR($M211="",$V211="Sub"),"",IF($M211&gt;=1,"Completado",IF($M211&gt;0,"En curso","Pendiente")))</f>
        <v/>
      </c>
      <c r="O211" s="56">
        <f>IF(OR(NOT((COUNTA($B211:$D211)+COUNTA($G211:$H211)+COUNTA($Q211))&gt;0),$V211="Sub"),"",IF(ISNUMBER($G211),IF(AND(ISNUMBER($AS211),$G211&gt;$AS211),"Cumplida con "&amp;($G211-$AS211)&amp;IF($G211-$AS211=1," día"," días")&amp;" de retraso","Cumplida"),IF(N($M211)&gt;=1,"Cumplida",IF(NOT(ISNUMBER($AS211)),"Sin fecha límite",IF($AS211&lt;FechaRef,"Vencida hace "&amp;(FechaRef-$AS211)&amp;IF(FechaRef-$AS211=1," día"," días"),IF($AS211=FechaRef,"Vence hoy",IF($AS211-FechaRef&lt;=DiasAlerta,"Vence en "&amp;($AS211-FechaRef)&amp;IF($AS211-FechaRef=1," día"," días"),"En plazo")))))))</f>
        <v/>
      </c>
      <c r="P211" s="62" t="n"/>
      <c r="Q211" s="58" t="n"/>
      <c r="R211" s="63">
        <f>IF(NOT((COUNTA($B211:$D211)+COUNTA($G211:$H211)+COUNTA($Q211))&gt;0),"",IF((IF($C211="","Falta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 OK","⚠ "&amp;LEFT(IF($C211="","Falta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",""),LEN(IF($C211="","Falta el nombre de la actividad"&amp;" · ","")&amp;IF(AND($V211="Sub",N($U211)=0),"Subactividad sin macroactividad arriba"&amp;" · ","")&amp;IF(AND($V211="Macro",$AR211=""),"Sin fecha de inicio"&amp;" · ","")&amp;IF(AND($V211="Macro",$AS211=""),"Sin fecha límite"&amp;" · ","")&amp;IF(AND(LEFT($C211,11)="[Jefatura] ",N($AQ211)=0),"No se encuentra en la hoja de la jefatura (elíjala de nuevo en la lista)"&amp;" · ","")&amp;IF(OR(AND($E211&lt;&gt;"",NOT(ISNUMBER($E211))),AND($F211&lt;&gt;"",NOT(ISNUMBER($F211))),AND($G211&lt;&gt;"",NOT(ISNUMBER($G211)))),"Fecha no válida"&amp;" · ","")&amp;IF(AND(ISNUMBER($AR211),ISNUMBER($AS211),$AR211&gt;$AS211),"Inicio posterior a fecha límite"&amp;" · ","")&amp;IF(AND($V211="Macro",$H211&lt;&gt;"",OR(NOT(ISNUMBER($H211)),$H211&lt;0,$H211&gt;1)),"Peso fuera de rango"&amp;" · ","")&amp;IF(AND($V211="Sub",$H211&lt;&gt;"",OR(NOT(ISNUMBER($H211)),$H211&lt;0,$H211&gt;1)),"% de la subactividad fuera de rango 0-100%"&amp;" · ","")&amp;IF(AND(N($W211)&gt;0,SUMIFS($H$5:$H$1000,$U$5:$U$1000,ROW(),$V$5:$V$1000,"Sub")&gt;1.0001),"Las subactividades suman más de 100%"&amp;" · ","")&amp;IF(AND(N($W211)&gt;0,OR(IF(ISNUMBER($I211),ROUND($I211,6)&lt;&gt;ROUND(MIN(1,SUMIFS($AD$5:$AD$1000,$U$5:$U$1000,ROW(),$V$5:$V$1000,"Sub")),6),FALSE),IF(ISNUMBER($J211),ROUND($J211,6)&lt;&gt;ROUND(MIN(1,SUMIFS($AE$5:$AE$1000,$U$5:$U$1000,ROW(),$V$5:$V$1000,"Sub")),6),FALSE),IF(ISNUMBER($K211),ROUND($K211,6)&lt;&gt;ROUND(MIN(1,SUMIFS($AF$5:$AF$1000,$U$5:$U$1000,ROW(),$V$5:$V$1000,"Sub")),6),FALSE),IF(ISNUMBER($L211),ROUND($L211,6)&lt;&gt;ROUND(MIN(1,SUMIFS($AG$5:$AG$1000,$U$5:$U$1000,ROW(),$V$5:$V$1000,"Sub")),6),FALSE))),"Con subactividades: no escriba en las semanas (se llenan solas)"&amp;" · ","")&amp;IF((COUNTIF($I211:$L211,"&gt;1")+COUNTIF($I211:$L211,"&lt;0")+SUMPRODUCT((LEN($I211:$L211)&gt;0)*NOT(ISNUMBER($I211:$L211))))&gt;0,"Avance fuera de rango 0-100%"&amp;" · ","")&amp;IF(OR(AND(ISNUMBER($J211),$J211&lt;N($I211)),AND(ISNUMBER($K211),$K211&lt;MAX($I211:$J211)),AND(ISNUMBER($L211),$L211&lt;MAX($I211:$K211))),"Avance semanal decreciente"&amp;" · ","")&amp;IF(AND(ISNUMBER($AS211),$AS211&lt;FechaRef,IF($V211="Sub",1,N($M211))&lt;1),"Vencida"&amp;" · ","")&amp;IF(AND(ObsObligatoria="Sí",ISNUMBER($AS211),$AS211&lt;FechaRef,IF($V211="Sub",1,N($M211))&lt;1,$Q211=""),"Vencida sin observación"&amp;" · ",""))-3)))</f>
        <v/>
      </c>
      <c r="S211" s="64">
        <f>IF(NOT((COUNTA($B211:$D211)+COUNTA($G211:$H211)+COUNTA($Q211))&gt;0),"",IF(AND($V211="Sub",N($U211)&gt;0),IF(ISNUMBER(INDEX($AR$5:$AR$1000,$U211-4)),DATE(YEAR(INDEX($AR$5:$AR$1000,$U211-4)),MONTH(INDEX($AR$5:$AR$1000,$U211-4)),1),IF(ISNUMBER(INDEX($AS$5:$AS$1000,$U211-4)),DATE(YEAR(INDEX($AS$5:$AS$1000,$U211-4)),MONTH(INDEX($AS$5:$AS$1000,$U211-4)),1),MesCiclo)),IF(ISNUMBER($AR211),DATE(YEAR($AR211),MONTH($AR211),1),IF(ISNUMBER($AS211),DATE(YEAR($AS211),MONTH($AS211),1),MesCiclo))))</f>
        <v/>
      </c>
      <c r="T211" s="62">
        <f>IF(OR($S211="",$S211&lt;&gt;MesCiclo,$V211&lt;&gt;"Macro"),"",COUNTIFS($S$5:$S211,MesCiclo,$V$5:$V211,"Macro"))</f>
        <v/>
      </c>
      <c r="U211" s="62">
        <f>IF($V211="","",IF($V211="Macro",ROW(),IFERROR(LOOKUP(2,1/($V$5:$V211="Macro"),ROW($V$5:$V211)),0)))</f>
        <v/>
      </c>
      <c r="V211" s="62">
        <f>IF(NOT((COUNTA($B211:$D211)+COUNTA($G211:$H211)+COUNTA($Q211))&gt;0),"",IF($B211="Subactividad","Sub","Macro"))</f>
        <v/>
      </c>
      <c r="W211" s="62">
        <f>IF($V211="Macro",COUNTIFS($U$5:$U$1000,ROW(),$V$5:$V$1000,"Sub"),"")</f>
        <v/>
      </c>
      <c r="X211" s="62">
        <f>IF($V211&lt;&gt;"Sub","",IF(AND(ISNUMBER($H211),N($H211)&gt;0),$H211,IFERROR(MAX(0,1-SUMIFS($H$5:$H$1000,$U$5:$U$1000,$U211,$V$5:$V$1000,"Sub"))/(COUNTIFS($U$5:$U$1000,$U211,$V$5:$V$1000,"Sub")-COUNTIFS($U$5:$U$1000,$U211,$V$5:$V$1000,"Sub",$H$5:$H$1000,"&gt;0")),0)))</f>
        <v/>
      </c>
      <c r="Y211" s="62">
        <f>IF($V211="","",IF($V211="Sub",N($X211)*IF(ISNUMBER($G211),1,MIN(1,MAX(0,IFERROR(LOOKUP(2,1/ISNUMBER($I211:$L211),$I211:$L211),0)))),IF(ISNUMBER($G211),1,IFERROR(LOOKUP(2,1/($I211:$L211&lt;&gt;""),$I211:$L211),0))))</f>
        <v/>
      </c>
      <c r="Z211" s="62">
        <f>IF($V211="","",IF(AND(ISNUMBER($G211),$G211&lt;=IF($S211=MesCiclo,InicioCiclo,$S211+MOD(2-WEEKDAY($S211),7))+6),1,IF(ISNUMBER($I211),$I211,0)))</f>
        <v/>
      </c>
      <c r="AA211" s="62">
        <f>IF($V211="","",IF(AND(ISNUMBER($G211),$G211&lt;=IF($S211=MesCiclo,InicioCiclo,$S211+MOD(2-WEEKDAY($S211),7))+13),1,IF(ISNUMBER($J211),$J211,$Z211)))</f>
        <v/>
      </c>
      <c r="AB211" s="62">
        <f>IF($V211="","",IF(AND(ISNUMBER($G211),$G211&lt;=IF($S211=MesCiclo,InicioCiclo,$S211+MOD(2-WEEKDAY($S211),7))+20),1,IF(ISNUMBER($K211),$K211,$AA211)))</f>
        <v/>
      </c>
      <c r="AC211" s="62">
        <f>IF($V211="","",IF(AND(ISNUMBER($G211),$G211&lt;=IF($S211=MesCiclo,InicioCiclo,$S211+MOD(2-WEEKDAY($S211),7))+27),1,IF(ISNUMBER($L211),$L211,$AB211)))</f>
        <v/>
      </c>
      <c r="AD211" s="62">
        <f>IF($V211&lt;&gt;"Sub","",N($X211)*IF(AND(ISNUMBER($G211),$G211&lt;=IF($S211=MesCiclo,InicioCiclo,$S211+MOD(2-WEEKDAY($S211),7))+6),1,MIN(1,MAX(0,IF(ISNUMBER(OFFSET($A$1,ROW()-1,8)),OFFSET($A$1,ROW()-1,8),0)))))</f>
        <v/>
      </c>
      <c r="AE211" s="62">
        <f>IF($V211&lt;&gt;"Sub","",N($X211)*IF(AND(ISNUMBER($G211),$G211&lt;=IF($S211=MesCiclo,InicioCiclo,$S211+MOD(2-WEEKDAY($S211),7))+13),1,MIN(1,MAX(0,IF(ISNUMBER(OFFSET($A$1,ROW()-1,9)),OFFSET($A$1,ROW()-1,9),IF(ISNUMBER(OFFSET($A$1,ROW()-1,8)),OFFSET($A$1,ROW()-1,8),0))))))</f>
        <v/>
      </c>
      <c r="AF211" s="62">
        <f>IF($V211&lt;&gt;"Sub","",N($X211)*IF(AND(ISNUMBER($G211),$G211&lt;=IF($S211=MesCiclo,InicioCiclo,$S211+MOD(2-WEEKDAY($S211),7))+20),1,MIN(1,MAX(0,IF(ISNUMBER(OFFSET($A$1,ROW()-1,10)),OFFSET($A$1,ROW()-1,10),IF(ISNUMBER(OFFSET($A$1,ROW()-1,9)),OFFSET($A$1,ROW()-1,9),IF(ISNUMBER(OFFSET($A$1,ROW()-1,8)),OFFSET($A$1,ROW()-1,8),0)))))))</f>
        <v/>
      </c>
      <c r="AG211" s="62">
        <f>IF($V211&lt;&gt;"Sub","",N($X211)*IF(AND(ISNUMBER($G211),$G211&lt;=IF($S211=MesCiclo,InicioCiclo,$S211+MOD(2-WEEKDAY($S211),7))+27),1,MIN(1,MAX(0,IF(ISNUMBER(OFFSET($A$1,ROW()-1,11)),OFFSET($A$1,ROW()-1,11),IF(ISNUMBER(OFFSET($A$1,ROW()-1,10)),OFFSET($A$1,ROW()-1,10),IF(ISNUMBER(OFFSET($A$1,ROW()-1,9)),OFFSET($A$1,ROW()-1,9),IF(ISNUMBER(OFFSET($A$1,ROW()-1,8)),OFFSET($A$1,ROW()-1,8),0))))))))</f>
        <v/>
      </c>
      <c r="AH211" s="62">
        <f>IF($V211="","",IF(AND(ISNUMBER($G211),$G211&lt;=IF($S211=MesCiclo,InicioCiclo,$S211+MOD(2-WEEKDAY($S211),7))+6),1,IF(N($W211)&gt;0,MIN(1,SUMIFS($AD$5:$AD$1000,$U$5:$U$1000,ROW(),$V$5:$V$1000,"Sub")),$Z211)))</f>
        <v/>
      </c>
      <c r="AI211" s="62">
        <f>IF($V211="","",IF(AND(ISNUMBER($G211),$G211&lt;=IF($S211=MesCiclo,InicioCiclo,$S211+MOD(2-WEEKDAY($S211),7))+13),1,IF(N($W211)&gt;0,MIN(1,SUMIFS($AE$5:$AE$1000,$U$5:$U$1000,ROW(),$V$5:$V$1000,"Sub")),$AA211)))</f>
        <v/>
      </c>
      <c r="AJ211" s="62">
        <f>IF($V211="","",IF(AND(ISNUMBER($G211),$G211&lt;=IF($S211=MesCiclo,InicioCiclo,$S211+MOD(2-WEEKDAY($S211),7))+20),1,IF(N($W211)&gt;0,MIN(1,SUMIFS($AF$5:$AF$1000,$U$5:$U$1000,ROW(),$V$5:$V$1000,"Sub")),$AB211)))</f>
        <v/>
      </c>
      <c r="AK211" s="62">
        <f>IF($V211="","",IF(AND(ISNUMBER($G211),$G211&lt;=IF($S211=MesCiclo,InicioCiclo,$S211+MOD(2-WEEKDAY($S211),7))+27),1,IF(N($W211)&gt;0,MIN(1,SUMIFS($AG$5:$AG$1000,$U$5:$U$1000,ROW(),$V$5:$V$1000,"Sub")),$AC211)))</f>
        <v/>
      </c>
      <c r="AL211" s="62">
        <f>IF($V211&lt;&gt;"Macro","",IF(COUNTIFS($S$5:$S$1000,$S211,$V$5:$V$1000,"Macro",$H$5:$H$1000,"&gt;0")=0,1/COUNTIFS($S$5:$S$1000,$S211,$V$5:$V$1000,"Macro"),IF(AND(ISNUMBER($H211),N($H211)&gt;0),$H211,SUMIFS($H$5:$H$1000,$S$5:$S$1000,$S211,$V$5:$V$1000,"Macro")/COUNTIFS($S$5:$S$1000,$S211,$V$5:$V$1000,"Macro",$H$5:$H$1000,"&gt;0"))/(COUNTIFS($S$5:$S$1000,$S211,$V$5:$V$1000,"Macro")*SUMIFS($H$5:$H$1000,$S$5:$S$1000,$S211,$V$5:$V$1000,"Macro")/COUNTIFS($S$5:$S$1000,$S211,$V$5:$V$1000,"Macro",$H$5:$H$1000,"&gt;0"))))</f>
        <v/>
      </c>
      <c r="AM211" s="62" t="n"/>
      <c r="AN211" s="62" t="n"/>
      <c r="AO211" s="62" t="n"/>
      <c r="AP211" s="62" t="n"/>
      <c r="AQ211" s="62">
        <f>IF(LEFT($C211,11)="[Jefatura] ",IFERROR(MATCH("Asistente Técnico de Riesgo|"&amp;MID($C211,12,500),rDname_ADM,0),0),"")</f>
        <v/>
      </c>
      <c r="AR211" s="62">
        <f>IF(N($AQ211)&gt;0,INDEX(rIni_ADM,$AQ211),IF(ISNUMBER($E211),$E211,""))</f>
        <v/>
      </c>
      <c r="AS211" s="62">
        <f>IF(N($AQ211)&gt;0,INDEX(rLim_ADM,$AQ211),IF(ISNUMBER($F211),$F211,""))</f>
        <v/>
      </c>
    </row>
    <row r="212">
      <c r="A212" s="56">
        <f>IF(NOT((COUNTA($B212:$D212)+COUNTA($G212:$H212)+COUNTA($Q212))&gt;0),"",IF($V212="Macro",COUNTIFS($V$5:$V212,"Macro",$S$5:$S212,$S212),IF(N($U212)=0,"?",COUNTIFS(INDEX($V$5:$V$1000,1):INDEX($V$5:$V$1000,$U212-4),"Macro",INDEX($S$5:$S$1000,1):INDEX($S$5:$S$1000,$U212-4),INDEX($S$5:$S$1000,$U212-4))&amp;"."&amp;COUNTIFS($U$5:$U212,$U212,$V$5:$V212,"Sub"))))</f>
        <v/>
      </c>
      <c r="B212" s="57" t="n"/>
      <c r="C212" s="58" t="n"/>
      <c r="D212" s="58" t="n"/>
      <c r="E212" s="59">
        <f>IF(N($AQ212)&gt;0,INDEX(rIni_ADM,$AQ212),"")</f>
        <v/>
      </c>
      <c r="F212" s="59">
        <f>IF(N($AQ212)&gt;0,INDEX(rLim_ADM,$AQ212),"")</f>
        <v/>
      </c>
      <c r="G212" s="59" t="n"/>
      <c r="H212" s="60" t="n"/>
      <c r="I212" s="60">
        <f>IF(N($W212)=0,"",IF(AND($S212=MesCiclo,1&gt;SemanaActual),"",MIN(1,SUMIFS(OFFSET($A$1,ROW(),29,1000-ROW(),1),OFFSET($A$1,ROW(),20,1000-ROW(),1),ROW(),OFFSET($A$1,ROW(),21,1000-ROW(),1),"Sub"))))</f>
        <v/>
      </c>
      <c r="J212" s="60">
        <f>IF(N($W212)=0,"",IF(AND($S212=MesCiclo,2&gt;SemanaActual),"",MIN(1,SUMIFS(OFFSET($A$1,ROW(),30,1000-ROW(),1),OFFSET($A$1,ROW(),20,1000-ROW(),1),ROW(),OFFSET($A$1,ROW(),21,1000-ROW(),1),"Sub"))))</f>
        <v/>
      </c>
      <c r="K212" s="60">
        <f>IF(N($W212)=0,"",IF(AND($S212=MesCiclo,3&gt;SemanaActual),"",MIN(1,SUMIFS(OFFSET($A$1,ROW(),31,1000-ROW(),1),OFFSET($A$1,ROW(),20,1000-ROW(),1),ROW(),OFFSET($A$1,ROW(),21,1000-ROW(),1),"Sub"))))</f>
        <v/>
      </c>
      <c r="L212" s="60">
        <f>IF(N($W212)=0,"",IF(AND($S212=MesCiclo,4&gt;SemanaActual),"",MIN(1,SUMIFS(OFFSET($A$1,ROW(),32,1000-ROW(),1),OFFSET($A$1,ROW(),20,1000-ROW(),1),ROW(),OFFSET($A$1,ROW(),21,1000-ROW(),1),"Sub"))))</f>
        <v/>
      </c>
      <c r="M212" s="61">
        <f>IF(OR(NOT((COUNTA($B212:$D212)+COUNTA($G212:$H212)+COUNTA($Q212))&gt;0),$V212="Sub"),"",IF(ISNUMBER($G212),1,IF(N($W212)&gt;0,MIN(1,SUMIFS($Y$5:$Y$1000,$U$5:$U$1000,ROW(),$V$5:$V$1000,"Sub")),$Y212)))</f>
        <v/>
      </c>
      <c r="N212" s="56">
        <f>IF(OR($M212="",$V212="Sub"),"",IF($M212&gt;=1,"Completado",IF($M212&gt;0,"En curso","Pendiente")))</f>
        <v/>
      </c>
      <c r="O212" s="56">
        <f>IF(OR(NOT((COUNTA($B212:$D212)+COUNTA($G212:$H212)+COUNTA($Q212))&gt;0),$V212="Sub"),"",IF(ISNUMBER($G212),IF(AND(ISNUMBER($AS212),$G212&gt;$AS212),"Cumplida con "&amp;($G212-$AS212)&amp;IF($G212-$AS212=1," día"," días")&amp;" de retraso","Cumplida"),IF(N($M212)&gt;=1,"Cumplida",IF(NOT(ISNUMBER($AS212)),"Sin fecha límite",IF($AS212&lt;FechaRef,"Vencida hace "&amp;(FechaRef-$AS212)&amp;IF(FechaRef-$AS212=1," día"," días"),IF($AS212=FechaRef,"Vence hoy",IF($AS212-FechaRef&lt;=DiasAlerta,"Vence en "&amp;($AS212-FechaRef)&amp;IF($AS212-FechaRef=1," día"," días"),"En plazo")))))))</f>
        <v/>
      </c>
      <c r="P212" s="62" t="n"/>
      <c r="Q212" s="58" t="n"/>
      <c r="R212" s="63">
        <f>IF(NOT((COUNTA($B212:$D212)+COUNTA($G212:$H212)+COUNTA($Q212))&gt;0),"",IF((IF($C212="","Falta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 OK","⚠ "&amp;LEFT(IF($C212="","Falta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",""),LEN(IF($C212="","Falta el nombre de la actividad"&amp;" · ","")&amp;IF(AND($V212="Sub",N($U212)=0),"Subactividad sin macroactividad arriba"&amp;" · ","")&amp;IF(AND($V212="Macro",$AR212=""),"Sin fecha de inicio"&amp;" · ","")&amp;IF(AND($V212="Macro",$AS212=""),"Sin fecha límite"&amp;" · ","")&amp;IF(AND(LEFT($C212,11)="[Jefatura] ",N($AQ212)=0),"No se encuentra en la hoja de la jefatura (elíjala de nuevo en la lista)"&amp;" · ","")&amp;IF(OR(AND($E212&lt;&gt;"",NOT(ISNUMBER($E212))),AND($F212&lt;&gt;"",NOT(ISNUMBER($F212))),AND($G212&lt;&gt;"",NOT(ISNUMBER($G212)))),"Fecha no válida"&amp;" · ","")&amp;IF(AND(ISNUMBER($AR212),ISNUMBER($AS212),$AR212&gt;$AS212),"Inicio posterior a fecha límite"&amp;" · ","")&amp;IF(AND($V212="Macro",$H212&lt;&gt;"",OR(NOT(ISNUMBER($H212)),$H212&lt;0,$H212&gt;1)),"Peso fuera de rango"&amp;" · ","")&amp;IF(AND($V212="Sub",$H212&lt;&gt;"",OR(NOT(ISNUMBER($H212)),$H212&lt;0,$H212&gt;1)),"% de la subactividad fuera de rango 0-100%"&amp;" · ","")&amp;IF(AND(N($W212)&gt;0,SUMIFS($H$5:$H$1000,$U$5:$U$1000,ROW(),$V$5:$V$1000,"Sub")&gt;1.0001),"Las subactividades suman más de 100%"&amp;" · ","")&amp;IF(AND(N($W212)&gt;0,OR(IF(ISNUMBER($I212),ROUND($I212,6)&lt;&gt;ROUND(MIN(1,SUMIFS($AD$5:$AD$1000,$U$5:$U$1000,ROW(),$V$5:$V$1000,"Sub")),6),FALSE),IF(ISNUMBER($J212),ROUND($J212,6)&lt;&gt;ROUND(MIN(1,SUMIFS($AE$5:$AE$1000,$U$5:$U$1000,ROW(),$V$5:$V$1000,"Sub")),6),FALSE),IF(ISNUMBER($K212),ROUND($K212,6)&lt;&gt;ROUND(MIN(1,SUMIFS($AF$5:$AF$1000,$U$5:$U$1000,ROW(),$V$5:$V$1000,"Sub")),6),FALSE),IF(ISNUMBER($L212),ROUND($L212,6)&lt;&gt;ROUND(MIN(1,SUMIFS($AG$5:$AG$1000,$U$5:$U$1000,ROW(),$V$5:$V$1000,"Sub")),6),FALSE))),"Con subactividades: no escriba en las semanas (se llenan solas)"&amp;" · ","")&amp;IF((COUNTIF($I212:$L212,"&gt;1")+COUNTIF($I212:$L212,"&lt;0")+SUMPRODUCT((LEN($I212:$L212)&gt;0)*NOT(ISNUMBER($I212:$L212))))&gt;0,"Avance fuera de rango 0-100%"&amp;" · ","")&amp;IF(OR(AND(ISNUMBER($J212),$J212&lt;N($I212)),AND(ISNUMBER($K212),$K212&lt;MAX($I212:$J212)),AND(ISNUMBER($L212),$L212&lt;MAX($I212:$K212))),"Avance semanal decreciente"&amp;" · ","")&amp;IF(AND(ISNUMBER($AS212),$AS212&lt;FechaRef,IF($V212="Sub",1,N($M212))&lt;1),"Vencida"&amp;" · ","")&amp;IF(AND(ObsObligatoria="Sí",ISNUMBER($AS212),$AS212&lt;FechaRef,IF($V212="Sub",1,N($M212))&lt;1,$Q212=""),"Vencida sin observación"&amp;" · ",""))-3)))</f>
        <v/>
      </c>
      <c r="S212" s="64">
        <f>IF(NOT((COUNTA($B212:$D212)+COUNTA($G212:$H212)+COUNTA($Q212))&gt;0),"",IF(AND($V212="Sub",N($U212)&gt;0),IF(ISNUMBER(INDEX($AR$5:$AR$1000,$U212-4)),DATE(YEAR(INDEX($AR$5:$AR$1000,$U212-4)),MONTH(INDEX($AR$5:$AR$1000,$U212-4)),1),IF(ISNUMBER(INDEX($AS$5:$AS$1000,$U212-4)),DATE(YEAR(INDEX($AS$5:$AS$1000,$U212-4)),MONTH(INDEX($AS$5:$AS$1000,$U212-4)),1),MesCiclo)),IF(ISNUMBER($AR212),DATE(YEAR($AR212),MONTH($AR212),1),IF(ISNUMBER($AS212),DATE(YEAR($AS212),MONTH($AS212),1),MesCiclo))))</f>
        <v/>
      </c>
      <c r="T212" s="62">
        <f>IF(OR($S212="",$S212&lt;&gt;MesCiclo,$V212&lt;&gt;"Macro"),"",COUNTIFS($S$5:$S212,MesCiclo,$V$5:$V212,"Macro"))</f>
        <v/>
      </c>
      <c r="U212" s="62">
        <f>IF($V212="","",IF($V212="Macro",ROW(),IFERROR(LOOKUP(2,1/($V$5:$V212="Macro"),ROW($V$5:$V212)),0)))</f>
        <v/>
      </c>
      <c r="V212" s="62">
        <f>IF(NOT((COUNTA($B212:$D212)+COUNTA($G212:$H212)+COUNTA($Q212))&gt;0),"",IF($B212="Subactividad","Sub","Macro"))</f>
        <v/>
      </c>
      <c r="W212" s="62">
        <f>IF($V212="Macro",COUNTIFS($U$5:$U$1000,ROW(),$V$5:$V$1000,"Sub"),"")</f>
        <v/>
      </c>
      <c r="X212" s="62">
        <f>IF($V212&lt;&gt;"Sub","",IF(AND(ISNUMBER($H212),N($H212)&gt;0),$H212,IFERROR(MAX(0,1-SUMIFS($H$5:$H$1000,$U$5:$U$1000,$U212,$V$5:$V$1000,"Sub"))/(COUNTIFS($U$5:$U$1000,$U212,$V$5:$V$1000,"Sub")-COUNTIFS($U$5:$U$1000,$U212,$V$5:$V$1000,"Sub",$H$5:$H$1000,"&gt;0")),0)))</f>
        <v/>
      </c>
      <c r="Y212" s="62">
        <f>IF($V212="","",IF($V212="Sub",N($X212)*IF(ISNUMBER($G212),1,MIN(1,MAX(0,IFERROR(LOOKUP(2,1/ISNUMBER($I212:$L212),$I212:$L212),0)))),IF(ISNUMBER($G212),1,IFERROR(LOOKUP(2,1/($I212:$L212&lt;&gt;""),$I212:$L212),0))))</f>
        <v/>
      </c>
      <c r="Z212" s="62">
        <f>IF($V212="","",IF(AND(ISNUMBER($G212),$G212&lt;=IF($S212=MesCiclo,InicioCiclo,$S212+MOD(2-WEEKDAY($S212),7))+6),1,IF(ISNUMBER($I212),$I212,0)))</f>
        <v/>
      </c>
      <c r="AA212" s="62">
        <f>IF($V212="","",IF(AND(ISNUMBER($G212),$G212&lt;=IF($S212=MesCiclo,InicioCiclo,$S212+MOD(2-WEEKDAY($S212),7))+13),1,IF(ISNUMBER($J212),$J212,$Z212)))</f>
        <v/>
      </c>
      <c r="AB212" s="62">
        <f>IF($V212="","",IF(AND(ISNUMBER($G212),$G212&lt;=IF($S212=MesCiclo,InicioCiclo,$S212+MOD(2-WEEKDAY($S212),7))+20),1,IF(ISNUMBER($K212),$K212,$AA212)))</f>
        <v/>
      </c>
      <c r="AC212" s="62">
        <f>IF($V212="","",IF(AND(ISNUMBER($G212),$G212&lt;=IF($S212=MesCiclo,InicioCiclo,$S212+MOD(2-WEEKDAY($S212),7))+27),1,IF(ISNUMBER($L212),$L212,$AB212)))</f>
        <v/>
      </c>
      <c r="AD212" s="62">
        <f>IF($V212&lt;&gt;"Sub","",N($X212)*IF(AND(ISNUMBER($G212),$G212&lt;=IF($S212=MesCiclo,InicioCiclo,$S212+MOD(2-WEEKDAY($S212),7))+6),1,MIN(1,MAX(0,IF(ISNUMBER(OFFSET($A$1,ROW()-1,8)),OFFSET($A$1,ROW()-1,8),0)))))</f>
        <v/>
      </c>
      <c r="AE212" s="62">
        <f>IF($V212&lt;&gt;"Sub","",N($X212)*IF(AND(ISNUMBER($G212),$G212&lt;=IF($S212=MesCiclo,InicioCiclo,$S212+MOD(2-WEEKDAY($S212),7))+13),1,MIN(1,MAX(0,IF(ISNUMBER(OFFSET($A$1,ROW()-1,9)),OFFSET($A$1,ROW()-1,9),IF(ISNUMBER(OFFSET($A$1,ROW()-1,8)),OFFSET($A$1,ROW()-1,8),0))))))</f>
        <v/>
      </c>
      <c r="AF212" s="62">
        <f>IF($V212&lt;&gt;"Sub","",N($X212)*IF(AND(ISNUMBER($G212),$G212&lt;=IF($S212=MesCiclo,InicioCiclo,$S212+MOD(2-WEEKDAY($S212),7))+20),1,MIN(1,MAX(0,IF(ISNUMBER(OFFSET($A$1,ROW()-1,10)),OFFSET($A$1,ROW()-1,10),IF(ISNUMBER(OFFSET($A$1,ROW()-1,9)),OFFSET($A$1,ROW()-1,9),IF(ISNUMBER(OFFSET($A$1,ROW()-1,8)),OFFSET($A$1,ROW()-1,8),0)))))))</f>
        <v/>
      </c>
      <c r="AG212" s="62">
        <f>IF($V212&lt;&gt;"Sub","",N($X212)*IF(AND(ISNUMBER($G212),$G212&lt;=IF($S212=MesCiclo,InicioCiclo,$S212+MOD(2-WEEKDAY($S212),7))+27),1,MIN(1,MAX(0,IF(ISNUMBER(OFFSET($A$1,ROW()-1,11)),OFFSET($A$1,ROW()-1,11),IF(ISNUMBER(OFFSET($A$1,ROW()-1,10)),OFFSET($A$1,ROW()-1,10),IF(ISNUMBER(OFFSET($A$1,ROW()-1,9)),OFFSET($A$1,ROW()-1,9),IF(ISNUMBER(OFFSET($A$1,ROW()-1,8)),OFFSET($A$1,ROW()-1,8),0))))))))</f>
        <v/>
      </c>
      <c r="AH212" s="62">
        <f>IF($V212="","",IF(AND(ISNUMBER($G212),$G212&lt;=IF($S212=MesCiclo,InicioCiclo,$S212+MOD(2-WEEKDAY($S212),7))+6),1,IF(N($W212)&gt;0,MIN(1,SUMIFS($AD$5:$AD$1000,$U$5:$U$1000,ROW(),$V$5:$V$1000,"Sub")),$Z212)))</f>
        <v/>
      </c>
      <c r="AI212" s="62">
        <f>IF($V212="","",IF(AND(ISNUMBER($G212),$G212&lt;=IF($S212=MesCiclo,InicioCiclo,$S212+MOD(2-WEEKDAY($S212),7))+13),1,IF(N($W212)&gt;0,MIN(1,SUMIFS($AE$5:$AE$1000,$U$5:$U$1000,ROW(),$V$5:$V$1000,"Sub")),$AA212)))</f>
        <v/>
      </c>
      <c r="AJ212" s="62">
        <f>IF($V212="","",IF(AND(ISNUMBER($G212),$G212&lt;=IF($S212=MesCiclo,InicioCiclo,$S212+MOD(2-WEEKDAY($S212),7))+20),1,IF(N($W212)&gt;0,MIN(1,SUMIFS($AF$5:$AF$1000,$U$5:$U$1000,ROW(),$V$5:$V$1000,"Sub")),$AB212)))</f>
        <v/>
      </c>
      <c r="AK212" s="62">
        <f>IF($V212="","",IF(AND(ISNUMBER($G212),$G212&lt;=IF($S212=MesCiclo,InicioCiclo,$S212+MOD(2-WEEKDAY($S212),7))+27),1,IF(N($W212)&gt;0,MIN(1,SUMIFS($AG$5:$AG$1000,$U$5:$U$1000,ROW(),$V$5:$V$1000,"Sub")),$AC212)))</f>
        <v/>
      </c>
      <c r="AL212" s="62">
        <f>IF($V212&lt;&gt;"Macro","",IF(COUNTIFS($S$5:$S$1000,$S212,$V$5:$V$1000,"Macro",$H$5:$H$1000,"&gt;0")=0,1/COUNTIFS($S$5:$S$1000,$S212,$V$5:$V$1000,"Macro"),IF(AND(ISNUMBER($H212),N($H212)&gt;0),$H212,SUMIFS($H$5:$H$1000,$S$5:$S$1000,$S212,$V$5:$V$1000,"Macro")/COUNTIFS($S$5:$S$1000,$S212,$V$5:$V$1000,"Macro",$H$5:$H$1000,"&gt;0"))/(COUNTIFS($S$5:$S$1000,$S212,$V$5:$V$1000,"Macro")*SUMIFS($H$5:$H$1000,$S$5:$S$1000,$S212,$V$5:$V$1000,"Macro")/COUNTIFS($S$5:$S$1000,$S212,$V$5:$V$1000,"Macro",$H$5:$H$1000,"&gt;0"))))</f>
        <v/>
      </c>
      <c r="AM212" s="62" t="n"/>
      <c r="AN212" s="62" t="n"/>
      <c r="AO212" s="62" t="n"/>
      <c r="AP212" s="62" t="n"/>
      <c r="AQ212" s="62">
        <f>IF(LEFT($C212,11)="[Jefatura] ",IFERROR(MATCH("Asistente Técnico de Riesgo|"&amp;MID($C212,12,500),rDname_ADM,0),0),"")</f>
        <v/>
      </c>
      <c r="AR212" s="62">
        <f>IF(N($AQ212)&gt;0,INDEX(rIni_ADM,$AQ212),IF(ISNUMBER($E212),$E212,""))</f>
        <v/>
      </c>
      <c r="AS212" s="62">
        <f>IF(N($AQ212)&gt;0,INDEX(rLim_ADM,$AQ212),IF(ISNUMBER($F212),$F212,""))</f>
        <v/>
      </c>
    </row>
    <row r="213">
      <c r="A213" s="56">
        <f>IF(NOT((COUNTA($B213:$D213)+COUNTA($G213:$H213)+COUNTA($Q213))&gt;0),"",IF($V213="Macro",COUNTIFS($V$5:$V213,"Macro",$S$5:$S213,$S213),IF(N($U213)=0,"?",COUNTIFS(INDEX($V$5:$V$1000,1):INDEX($V$5:$V$1000,$U213-4),"Macro",INDEX($S$5:$S$1000,1):INDEX($S$5:$S$1000,$U213-4),INDEX($S$5:$S$1000,$U213-4))&amp;"."&amp;COUNTIFS($U$5:$U213,$U213,$V$5:$V213,"Sub"))))</f>
        <v/>
      </c>
      <c r="B213" s="57" t="n"/>
      <c r="C213" s="58" t="n"/>
      <c r="D213" s="58" t="n"/>
      <c r="E213" s="59">
        <f>IF(N($AQ213)&gt;0,INDEX(rIni_ADM,$AQ213),"")</f>
        <v/>
      </c>
      <c r="F213" s="59">
        <f>IF(N($AQ213)&gt;0,INDEX(rLim_ADM,$AQ213),"")</f>
        <v/>
      </c>
      <c r="G213" s="59" t="n"/>
      <c r="H213" s="60" t="n"/>
      <c r="I213" s="60">
        <f>IF(N($W213)=0,"",IF(AND($S213=MesCiclo,1&gt;SemanaActual),"",MIN(1,SUMIFS(OFFSET($A$1,ROW(),29,1000-ROW(),1),OFFSET($A$1,ROW(),20,1000-ROW(),1),ROW(),OFFSET($A$1,ROW(),21,1000-ROW(),1),"Sub"))))</f>
        <v/>
      </c>
      <c r="J213" s="60">
        <f>IF(N($W213)=0,"",IF(AND($S213=MesCiclo,2&gt;SemanaActual),"",MIN(1,SUMIFS(OFFSET($A$1,ROW(),30,1000-ROW(),1),OFFSET($A$1,ROW(),20,1000-ROW(),1),ROW(),OFFSET($A$1,ROW(),21,1000-ROW(),1),"Sub"))))</f>
        <v/>
      </c>
      <c r="K213" s="60">
        <f>IF(N($W213)=0,"",IF(AND($S213=MesCiclo,3&gt;SemanaActual),"",MIN(1,SUMIFS(OFFSET($A$1,ROW(),31,1000-ROW(),1),OFFSET($A$1,ROW(),20,1000-ROW(),1),ROW(),OFFSET($A$1,ROW(),21,1000-ROW(),1),"Sub"))))</f>
        <v/>
      </c>
      <c r="L213" s="60">
        <f>IF(N($W213)=0,"",IF(AND($S213=MesCiclo,4&gt;SemanaActual),"",MIN(1,SUMIFS(OFFSET($A$1,ROW(),32,1000-ROW(),1),OFFSET($A$1,ROW(),20,1000-ROW(),1),ROW(),OFFSET($A$1,ROW(),21,1000-ROW(),1),"Sub"))))</f>
        <v/>
      </c>
      <c r="M213" s="61">
        <f>IF(OR(NOT((COUNTA($B213:$D213)+COUNTA($G213:$H213)+COUNTA($Q213))&gt;0),$V213="Sub"),"",IF(ISNUMBER($G213),1,IF(N($W213)&gt;0,MIN(1,SUMIFS($Y$5:$Y$1000,$U$5:$U$1000,ROW(),$V$5:$V$1000,"Sub")),$Y213)))</f>
        <v/>
      </c>
      <c r="N213" s="56">
        <f>IF(OR($M213="",$V213="Sub"),"",IF($M213&gt;=1,"Completado",IF($M213&gt;0,"En curso","Pendiente")))</f>
        <v/>
      </c>
      <c r="O213" s="56">
        <f>IF(OR(NOT((COUNTA($B213:$D213)+COUNTA($G213:$H213)+COUNTA($Q213))&gt;0),$V213="Sub"),"",IF(ISNUMBER($G213),IF(AND(ISNUMBER($AS213),$G213&gt;$AS213),"Cumplida con "&amp;($G213-$AS213)&amp;IF($G213-$AS213=1," día"," días")&amp;" de retraso","Cumplida"),IF(N($M213)&gt;=1,"Cumplida",IF(NOT(ISNUMBER($AS213)),"Sin fecha límite",IF($AS213&lt;FechaRef,"Vencida hace "&amp;(FechaRef-$AS213)&amp;IF(FechaRef-$AS213=1," día"," días"),IF($AS213=FechaRef,"Vence hoy",IF($AS213-FechaRef&lt;=DiasAlerta,"Vence en "&amp;($AS213-FechaRef)&amp;IF($AS213-FechaRef=1," día"," días"),"En plazo")))))))</f>
        <v/>
      </c>
      <c r="P213" s="62" t="n"/>
      <c r="Q213" s="58" t="n"/>
      <c r="R213" s="63">
        <f>IF(NOT((COUNTA($B213:$D213)+COUNTA($G213:$H213)+COUNTA($Q213))&gt;0),"",IF((IF($C213="","Falta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 OK","⚠ "&amp;LEFT(IF($C213="","Falta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",""),LEN(IF($C213="","Falta el nombre de la actividad"&amp;" · ","")&amp;IF(AND($V213="Sub",N($U213)=0),"Subactividad sin macroactividad arriba"&amp;" · ","")&amp;IF(AND($V213="Macro",$AR213=""),"Sin fecha de inicio"&amp;" · ","")&amp;IF(AND($V213="Macro",$AS213=""),"Sin fecha límite"&amp;" · ","")&amp;IF(AND(LEFT($C213,11)="[Jefatura] ",N($AQ213)=0),"No se encuentra en la hoja de la jefatura (elíjala de nuevo en la lista)"&amp;" · ","")&amp;IF(OR(AND($E213&lt;&gt;"",NOT(ISNUMBER($E213))),AND($F213&lt;&gt;"",NOT(ISNUMBER($F213))),AND($G213&lt;&gt;"",NOT(ISNUMBER($G213)))),"Fecha no válida"&amp;" · ","")&amp;IF(AND(ISNUMBER($AR213),ISNUMBER($AS213),$AR213&gt;$AS213),"Inicio posterior a fecha límite"&amp;" · ","")&amp;IF(AND($V213="Macro",$H213&lt;&gt;"",OR(NOT(ISNUMBER($H213)),$H213&lt;0,$H213&gt;1)),"Peso fuera de rango"&amp;" · ","")&amp;IF(AND($V213="Sub",$H213&lt;&gt;"",OR(NOT(ISNUMBER($H213)),$H213&lt;0,$H213&gt;1)),"% de la subactividad fuera de rango 0-100%"&amp;" · ","")&amp;IF(AND(N($W213)&gt;0,SUMIFS($H$5:$H$1000,$U$5:$U$1000,ROW(),$V$5:$V$1000,"Sub")&gt;1.0001),"Las subactividades suman más de 100%"&amp;" · ","")&amp;IF(AND(N($W213)&gt;0,OR(IF(ISNUMBER($I213),ROUND($I213,6)&lt;&gt;ROUND(MIN(1,SUMIFS($AD$5:$AD$1000,$U$5:$U$1000,ROW(),$V$5:$V$1000,"Sub")),6),FALSE),IF(ISNUMBER($J213),ROUND($J213,6)&lt;&gt;ROUND(MIN(1,SUMIFS($AE$5:$AE$1000,$U$5:$U$1000,ROW(),$V$5:$V$1000,"Sub")),6),FALSE),IF(ISNUMBER($K213),ROUND($K213,6)&lt;&gt;ROUND(MIN(1,SUMIFS($AF$5:$AF$1000,$U$5:$U$1000,ROW(),$V$5:$V$1000,"Sub")),6),FALSE),IF(ISNUMBER($L213),ROUND($L213,6)&lt;&gt;ROUND(MIN(1,SUMIFS($AG$5:$AG$1000,$U$5:$U$1000,ROW(),$V$5:$V$1000,"Sub")),6),FALSE))),"Con subactividades: no escriba en las semanas (se llenan solas)"&amp;" · ","")&amp;IF((COUNTIF($I213:$L213,"&gt;1")+COUNTIF($I213:$L213,"&lt;0")+SUMPRODUCT((LEN($I213:$L213)&gt;0)*NOT(ISNUMBER($I213:$L213))))&gt;0,"Avance fuera de rango 0-100%"&amp;" · ","")&amp;IF(OR(AND(ISNUMBER($J213),$J213&lt;N($I213)),AND(ISNUMBER($K213),$K213&lt;MAX($I213:$J213)),AND(ISNUMBER($L213),$L213&lt;MAX($I213:$K213))),"Avance semanal decreciente"&amp;" · ","")&amp;IF(AND(ISNUMBER($AS213),$AS213&lt;FechaRef,IF($V213="Sub",1,N($M213))&lt;1),"Vencida"&amp;" · ","")&amp;IF(AND(ObsObligatoria="Sí",ISNUMBER($AS213),$AS213&lt;FechaRef,IF($V213="Sub",1,N($M213))&lt;1,$Q213=""),"Vencida sin observación"&amp;" · ",""))-3)))</f>
        <v/>
      </c>
      <c r="S213" s="64">
        <f>IF(NOT((COUNTA($B213:$D213)+COUNTA($G213:$H213)+COUNTA($Q213))&gt;0),"",IF(AND($V213="Sub",N($U213)&gt;0),IF(ISNUMBER(INDEX($AR$5:$AR$1000,$U213-4)),DATE(YEAR(INDEX($AR$5:$AR$1000,$U213-4)),MONTH(INDEX($AR$5:$AR$1000,$U213-4)),1),IF(ISNUMBER(INDEX($AS$5:$AS$1000,$U213-4)),DATE(YEAR(INDEX($AS$5:$AS$1000,$U213-4)),MONTH(INDEX($AS$5:$AS$1000,$U213-4)),1),MesCiclo)),IF(ISNUMBER($AR213),DATE(YEAR($AR213),MONTH($AR213),1),IF(ISNUMBER($AS213),DATE(YEAR($AS213),MONTH($AS213),1),MesCiclo))))</f>
        <v/>
      </c>
      <c r="T213" s="62">
        <f>IF(OR($S213="",$S213&lt;&gt;MesCiclo,$V213&lt;&gt;"Macro"),"",COUNTIFS($S$5:$S213,MesCiclo,$V$5:$V213,"Macro"))</f>
        <v/>
      </c>
      <c r="U213" s="62">
        <f>IF($V213="","",IF($V213="Macro",ROW(),IFERROR(LOOKUP(2,1/($V$5:$V213="Macro"),ROW($V$5:$V213)),0)))</f>
        <v/>
      </c>
      <c r="V213" s="62">
        <f>IF(NOT((COUNTA($B213:$D213)+COUNTA($G213:$H213)+COUNTA($Q213))&gt;0),"",IF($B213="Subactividad","Sub","Macro"))</f>
        <v/>
      </c>
      <c r="W213" s="62">
        <f>IF($V213="Macro",COUNTIFS($U$5:$U$1000,ROW(),$V$5:$V$1000,"Sub"),"")</f>
        <v/>
      </c>
      <c r="X213" s="62">
        <f>IF($V213&lt;&gt;"Sub","",IF(AND(ISNUMBER($H213),N($H213)&gt;0),$H213,IFERROR(MAX(0,1-SUMIFS($H$5:$H$1000,$U$5:$U$1000,$U213,$V$5:$V$1000,"Sub"))/(COUNTIFS($U$5:$U$1000,$U213,$V$5:$V$1000,"Sub")-COUNTIFS($U$5:$U$1000,$U213,$V$5:$V$1000,"Sub",$H$5:$H$1000,"&gt;0")),0)))</f>
        <v/>
      </c>
      <c r="Y213" s="62">
        <f>IF($V213="","",IF($V213="Sub",N($X213)*IF(ISNUMBER($G213),1,MIN(1,MAX(0,IFERROR(LOOKUP(2,1/ISNUMBER($I213:$L213),$I213:$L213),0)))),IF(ISNUMBER($G213),1,IFERROR(LOOKUP(2,1/($I213:$L213&lt;&gt;""),$I213:$L213),0))))</f>
        <v/>
      </c>
      <c r="Z213" s="62">
        <f>IF($V213="","",IF(AND(ISNUMBER($G213),$G213&lt;=IF($S213=MesCiclo,InicioCiclo,$S213+MOD(2-WEEKDAY($S213),7))+6),1,IF(ISNUMBER($I213),$I213,0)))</f>
        <v/>
      </c>
      <c r="AA213" s="62">
        <f>IF($V213="","",IF(AND(ISNUMBER($G213),$G213&lt;=IF($S213=MesCiclo,InicioCiclo,$S213+MOD(2-WEEKDAY($S213),7))+13),1,IF(ISNUMBER($J213),$J213,$Z213)))</f>
        <v/>
      </c>
      <c r="AB213" s="62">
        <f>IF($V213="","",IF(AND(ISNUMBER($G213),$G213&lt;=IF($S213=MesCiclo,InicioCiclo,$S213+MOD(2-WEEKDAY($S213),7))+20),1,IF(ISNUMBER($K213),$K213,$AA213)))</f>
        <v/>
      </c>
      <c r="AC213" s="62">
        <f>IF($V213="","",IF(AND(ISNUMBER($G213),$G213&lt;=IF($S213=MesCiclo,InicioCiclo,$S213+MOD(2-WEEKDAY($S213),7))+27),1,IF(ISNUMBER($L213),$L213,$AB213)))</f>
        <v/>
      </c>
      <c r="AD213" s="62">
        <f>IF($V213&lt;&gt;"Sub","",N($X213)*IF(AND(ISNUMBER($G213),$G213&lt;=IF($S213=MesCiclo,InicioCiclo,$S213+MOD(2-WEEKDAY($S213),7))+6),1,MIN(1,MAX(0,IF(ISNUMBER(OFFSET($A$1,ROW()-1,8)),OFFSET($A$1,ROW()-1,8),0)))))</f>
        <v/>
      </c>
      <c r="AE213" s="62">
        <f>IF($V213&lt;&gt;"Sub","",N($X213)*IF(AND(ISNUMBER($G213),$G213&lt;=IF($S213=MesCiclo,InicioCiclo,$S213+MOD(2-WEEKDAY($S213),7))+13),1,MIN(1,MAX(0,IF(ISNUMBER(OFFSET($A$1,ROW()-1,9)),OFFSET($A$1,ROW()-1,9),IF(ISNUMBER(OFFSET($A$1,ROW()-1,8)),OFFSET($A$1,ROW()-1,8),0))))))</f>
        <v/>
      </c>
      <c r="AF213" s="62">
        <f>IF($V213&lt;&gt;"Sub","",N($X213)*IF(AND(ISNUMBER($G213),$G213&lt;=IF($S213=MesCiclo,InicioCiclo,$S213+MOD(2-WEEKDAY($S213),7))+20),1,MIN(1,MAX(0,IF(ISNUMBER(OFFSET($A$1,ROW()-1,10)),OFFSET($A$1,ROW()-1,10),IF(ISNUMBER(OFFSET($A$1,ROW()-1,9)),OFFSET($A$1,ROW()-1,9),IF(ISNUMBER(OFFSET($A$1,ROW()-1,8)),OFFSET($A$1,ROW()-1,8),0)))))))</f>
        <v/>
      </c>
      <c r="AG213" s="62">
        <f>IF($V213&lt;&gt;"Sub","",N($X213)*IF(AND(ISNUMBER($G213),$G213&lt;=IF($S213=MesCiclo,InicioCiclo,$S213+MOD(2-WEEKDAY($S213),7))+27),1,MIN(1,MAX(0,IF(ISNUMBER(OFFSET($A$1,ROW()-1,11)),OFFSET($A$1,ROW()-1,11),IF(ISNUMBER(OFFSET($A$1,ROW()-1,10)),OFFSET($A$1,ROW()-1,10),IF(ISNUMBER(OFFSET($A$1,ROW()-1,9)),OFFSET($A$1,ROW()-1,9),IF(ISNUMBER(OFFSET($A$1,ROW()-1,8)),OFFSET($A$1,ROW()-1,8),0))))))))</f>
        <v/>
      </c>
      <c r="AH213" s="62">
        <f>IF($V213="","",IF(AND(ISNUMBER($G213),$G213&lt;=IF($S213=MesCiclo,InicioCiclo,$S213+MOD(2-WEEKDAY($S213),7))+6),1,IF(N($W213)&gt;0,MIN(1,SUMIFS($AD$5:$AD$1000,$U$5:$U$1000,ROW(),$V$5:$V$1000,"Sub")),$Z213)))</f>
        <v/>
      </c>
      <c r="AI213" s="62">
        <f>IF($V213="","",IF(AND(ISNUMBER($G213),$G213&lt;=IF($S213=MesCiclo,InicioCiclo,$S213+MOD(2-WEEKDAY($S213),7))+13),1,IF(N($W213)&gt;0,MIN(1,SUMIFS($AE$5:$AE$1000,$U$5:$U$1000,ROW(),$V$5:$V$1000,"Sub")),$AA213)))</f>
        <v/>
      </c>
      <c r="AJ213" s="62">
        <f>IF($V213="","",IF(AND(ISNUMBER($G213),$G213&lt;=IF($S213=MesCiclo,InicioCiclo,$S213+MOD(2-WEEKDAY($S213),7))+20),1,IF(N($W213)&gt;0,MIN(1,SUMIFS($AF$5:$AF$1000,$U$5:$U$1000,ROW(),$V$5:$V$1000,"Sub")),$AB213)))</f>
        <v/>
      </c>
      <c r="AK213" s="62">
        <f>IF($V213="","",IF(AND(ISNUMBER($G213),$G213&lt;=IF($S213=MesCiclo,InicioCiclo,$S213+MOD(2-WEEKDAY($S213),7))+27),1,IF(N($W213)&gt;0,MIN(1,SUMIFS($AG$5:$AG$1000,$U$5:$U$1000,ROW(),$V$5:$V$1000,"Sub")),$AC213)))</f>
        <v/>
      </c>
      <c r="AL213" s="62">
        <f>IF($V213&lt;&gt;"Macro","",IF(COUNTIFS($S$5:$S$1000,$S213,$V$5:$V$1000,"Macro",$H$5:$H$1000,"&gt;0")=0,1/COUNTIFS($S$5:$S$1000,$S213,$V$5:$V$1000,"Macro"),IF(AND(ISNUMBER($H213),N($H213)&gt;0),$H213,SUMIFS($H$5:$H$1000,$S$5:$S$1000,$S213,$V$5:$V$1000,"Macro")/COUNTIFS($S$5:$S$1000,$S213,$V$5:$V$1000,"Macro",$H$5:$H$1000,"&gt;0"))/(COUNTIFS($S$5:$S$1000,$S213,$V$5:$V$1000,"Macro")*SUMIFS($H$5:$H$1000,$S$5:$S$1000,$S213,$V$5:$V$1000,"Macro")/COUNTIFS($S$5:$S$1000,$S213,$V$5:$V$1000,"Macro",$H$5:$H$1000,"&gt;0"))))</f>
        <v/>
      </c>
      <c r="AM213" s="62" t="n"/>
      <c r="AN213" s="62" t="n"/>
      <c r="AO213" s="62" t="n"/>
      <c r="AP213" s="62" t="n"/>
      <c r="AQ213" s="62">
        <f>IF(LEFT($C213,11)="[Jefatura] ",IFERROR(MATCH("Asistente Técnico de Riesgo|"&amp;MID($C213,12,500),rDname_ADM,0),0),"")</f>
        <v/>
      </c>
      <c r="AR213" s="62">
        <f>IF(N($AQ213)&gt;0,INDEX(rIni_ADM,$AQ213),IF(ISNUMBER($E213),$E213,""))</f>
        <v/>
      </c>
      <c r="AS213" s="62">
        <f>IF(N($AQ213)&gt;0,INDEX(rLim_ADM,$AQ213),IF(ISNUMBER($F213),$F213,""))</f>
        <v/>
      </c>
    </row>
    <row r="214">
      <c r="A214" s="56">
        <f>IF(NOT((COUNTA($B214:$D214)+COUNTA($G214:$H214)+COUNTA($Q214))&gt;0),"",IF($V214="Macro",COUNTIFS($V$5:$V214,"Macro",$S$5:$S214,$S214),IF(N($U214)=0,"?",COUNTIFS(INDEX($V$5:$V$1000,1):INDEX($V$5:$V$1000,$U214-4),"Macro",INDEX($S$5:$S$1000,1):INDEX($S$5:$S$1000,$U214-4),INDEX($S$5:$S$1000,$U214-4))&amp;"."&amp;COUNTIFS($U$5:$U214,$U214,$V$5:$V214,"Sub"))))</f>
        <v/>
      </c>
      <c r="B214" s="57" t="n"/>
      <c r="C214" s="58" t="n"/>
      <c r="D214" s="58" t="n"/>
      <c r="E214" s="59">
        <f>IF(N($AQ214)&gt;0,INDEX(rIni_ADM,$AQ214),"")</f>
        <v/>
      </c>
      <c r="F214" s="59">
        <f>IF(N($AQ214)&gt;0,INDEX(rLim_ADM,$AQ214),"")</f>
        <v/>
      </c>
      <c r="G214" s="59" t="n"/>
      <c r="H214" s="60" t="n"/>
      <c r="I214" s="60">
        <f>IF(N($W214)=0,"",IF(AND($S214=MesCiclo,1&gt;SemanaActual),"",MIN(1,SUMIFS(OFFSET($A$1,ROW(),29,1000-ROW(),1),OFFSET($A$1,ROW(),20,1000-ROW(),1),ROW(),OFFSET($A$1,ROW(),21,1000-ROW(),1),"Sub"))))</f>
        <v/>
      </c>
      <c r="J214" s="60">
        <f>IF(N($W214)=0,"",IF(AND($S214=MesCiclo,2&gt;SemanaActual),"",MIN(1,SUMIFS(OFFSET($A$1,ROW(),30,1000-ROW(),1),OFFSET($A$1,ROW(),20,1000-ROW(),1),ROW(),OFFSET($A$1,ROW(),21,1000-ROW(),1),"Sub"))))</f>
        <v/>
      </c>
      <c r="K214" s="60">
        <f>IF(N($W214)=0,"",IF(AND($S214=MesCiclo,3&gt;SemanaActual),"",MIN(1,SUMIFS(OFFSET($A$1,ROW(),31,1000-ROW(),1),OFFSET($A$1,ROW(),20,1000-ROW(),1),ROW(),OFFSET($A$1,ROW(),21,1000-ROW(),1),"Sub"))))</f>
        <v/>
      </c>
      <c r="L214" s="60">
        <f>IF(N($W214)=0,"",IF(AND($S214=MesCiclo,4&gt;SemanaActual),"",MIN(1,SUMIFS(OFFSET($A$1,ROW(),32,1000-ROW(),1),OFFSET($A$1,ROW(),20,1000-ROW(),1),ROW(),OFFSET($A$1,ROW(),21,1000-ROW(),1),"Sub"))))</f>
        <v/>
      </c>
      <c r="M214" s="61">
        <f>IF(OR(NOT((COUNTA($B214:$D214)+COUNTA($G214:$H214)+COUNTA($Q214))&gt;0),$V214="Sub"),"",IF(ISNUMBER($G214),1,IF(N($W214)&gt;0,MIN(1,SUMIFS($Y$5:$Y$1000,$U$5:$U$1000,ROW(),$V$5:$V$1000,"Sub")),$Y214)))</f>
        <v/>
      </c>
      <c r="N214" s="56">
        <f>IF(OR($M214="",$V214="Sub"),"",IF($M214&gt;=1,"Completado",IF($M214&gt;0,"En curso","Pendiente")))</f>
        <v/>
      </c>
      <c r="O214" s="56">
        <f>IF(OR(NOT((COUNTA($B214:$D214)+COUNTA($G214:$H214)+COUNTA($Q214))&gt;0),$V214="Sub"),"",IF(ISNUMBER($G214),IF(AND(ISNUMBER($AS214),$G214&gt;$AS214),"Cumplida con "&amp;($G214-$AS214)&amp;IF($G214-$AS214=1," día"," días")&amp;" de retraso","Cumplida"),IF(N($M214)&gt;=1,"Cumplida",IF(NOT(ISNUMBER($AS214)),"Sin fecha límite",IF($AS214&lt;FechaRef,"Vencida hace "&amp;(FechaRef-$AS214)&amp;IF(FechaRef-$AS214=1," día"," días"),IF($AS214=FechaRef,"Vence hoy",IF($AS214-FechaRef&lt;=DiasAlerta,"Vence en "&amp;($AS214-FechaRef)&amp;IF($AS214-FechaRef=1," día"," días"),"En plazo")))))))</f>
        <v/>
      </c>
      <c r="P214" s="62" t="n"/>
      <c r="Q214" s="58" t="n"/>
      <c r="R214" s="63">
        <f>IF(NOT((COUNTA($B214:$D214)+COUNTA($G214:$H214)+COUNTA($Q214))&gt;0),"",IF((IF($C214="","Falta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 OK","⚠ "&amp;LEFT(IF($C214="","Falta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",""),LEN(IF($C214="","Falta el nombre de la actividad"&amp;" · ","")&amp;IF(AND($V214="Sub",N($U214)=0),"Subactividad sin macroactividad arriba"&amp;" · ","")&amp;IF(AND($V214="Macro",$AR214=""),"Sin fecha de inicio"&amp;" · ","")&amp;IF(AND($V214="Macro",$AS214=""),"Sin fecha límite"&amp;" · ","")&amp;IF(AND(LEFT($C214,11)="[Jefatura] ",N($AQ214)=0),"No se encuentra en la hoja de la jefatura (elíjala de nuevo en la lista)"&amp;" · ","")&amp;IF(OR(AND($E214&lt;&gt;"",NOT(ISNUMBER($E214))),AND($F214&lt;&gt;"",NOT(ISNUMBER($F214))),AND($G214&lt;&gt;"",NOT(ISNUMBER($G214)))),"Fecha no válida"&amp;" · ","")&amp;IF(AND(ISNUMBER($AR214),ISNUMBER($AS214),$AR214&gt;$AS214),"Inicio posterior a fecha límite"&amp;" · ","")&amp;IF(AND($V214="Macro",$H214&lt;&gt;"",OR(NOT(ISNUMBER($H214)),$H214&lt;0,$H214&gt;1)),"Peso fuera de rango"&amp;" · ","")&amp;IF(AND($V214="Sub",$H214&lt;&gt;"",OR(NOT(ISNUMBER($H214)),$H214&lt;0,$H214&gt;1)),"% de la subactividad fuera de rango 0-100%"&amp;" · ","")&amp;IF(AND(N($W214)&gt;0,SUMIFS($H$5:$H$1000,$U$5:$U$1000,ROW(),$V$5:$V$1000,"Sub")&gt;1.0001),"Las subactividades suman más de 100%"&amp;" · ","")&amp;IF(AND(N($W214)&gt;0,OR(IF(ISNUMBER($I214),ROUND($I214,6)&lt;&gt;ROUND(MIN(1,SUMIFS($AD$5:$AD$1000,$U$5:$U$1000,ROW(),$V$5:$V$1000,"Sub")),6),FALSE),IF(ISNUMBER($J214),ROUND($J214,6)&lt;&gt;ROUND(MIN(1,SUMIFS($AE$5:$AE$1000,$U$5:$U$1000,ROW(),$V$5:$V$1000,"Sub")),6),FALSE),IF(ISNUMBER($K214),ROUND($K214,6)&lt;&gt;ROUND(MIN(1,SUMIFS($AF$5:$AF$1000,$U$5:$U$1000,ROW(),$V$5:$V$1000,"Sub")),6),FALSE),IF(ISNUMBER($L214),ROUND($L214,6)&lt;&gt;ROUND(MIN(1,SUMIFS($AG$5:$AG$1000,$U$5:$U$1000,ROW(),$V$5:$V$1000,"Sub")),6),FALSE))),"Con subactividades: no escriba en las semanas (se llenan solas)"&amp;" · ","")&amp;IF((COUNTIF($I214:$L214,"&gt;1")+COUNTIF($I214:$L214,"&lt;0")+SUMPRODUCT((LEN($I214:$L214)&gt;0)*NOT(ISNUMBER($I214:$L214))))&gt;0,"Avance fuera de rango 0-100%"&amp;" · ","")&amp;IF(OR(AND(ISNUMBER($J214),$J214&lt;N($I214)),AND(ISNUMBER($K214),$K214&lt;MAX($I214:$J214)),AND(ISNUMBER($L214),$L214&lt;MAX($I214:$K214))),"Avance semanal decreciente"&amp;" · ","")&amp;IF(AND(ISNUMBER($AS214),$AS214&lt;FechaRef,IF($V214="Sub",1,N($M214))&lt;1),"Vencida"&amp;" · ","")&amp;IF(AND(ObsObligatoria="Sí",ISNUMBER($AS214),$AS214&lt;FechaRef,IF($V214="Sub",1,N($M214))&lt;1,$Q214=""),"Vencida sin observación"&amp;" · ",""))-3)))</f>
        <v/>
      </c>
      <c r="S214" s="64">
        <f>IF(NOT((COUNTA($B214:$D214)+COUNTA($G214:$H214)+COUNTA($Q214))&gt;0),"",IF(AND($V214="Sub",N($U214)&gt;0),IF(ISNUMBER(INDEX($AR$5:$AR$1000,$U214-4)),DATE(YEAR(INDEX($AR$5:$AR$1000,$U214-4)),MONTH(INDEX($AR$5:$AR$1000,$U214-4)),1),IF(ISNUMBER(INDEX($AS$5:$AS$1000,$U214-4)),DATE(YEAR(INDEX($AS$5:$AS$1000,$U214-4)),MONTH(INDEX($AS$5:$AS$1000,$U214-4)),1),MesCiclo)),IF(ISNUMBER($AR214),DATE(YEAR($AR214),MONTH($AR214),1),IF(ISNUMBER($AS214),DATE(YEAR($AS214),MONTH($AS214),1),MesCiclo))))</f>
        <v/>
      </c>
      <c r="T214" s="62">
        <f>IF(OR($S214="",$S214&lt;&gt;MesCiclo,$V214&lt;&gt;"Macro"),"",COUNTIFS($S$5:$S214,MesCiclo,$V$5:$V214,"Macro"))</f>
        <v/>
      </c>
      <c r="U214" s="62">
        <f>IF($V214="","",IF($V214="Macro",ROW(),IFERROR(LOOKUP(2,1/($V$5:$V214="Macro"),ROW($V$5:$V214)),0)))</f>
        <v/>
      </c>
      <c r="V214" s="62">
        <f>IF(NOT((COUNTA($B214:$D214)+COUNTA($G214:$H214)+COUNTA($Q214))&gt;0),"",IF($B214="Subactividad","Sub","Macro"))</f>
        <v/>
      </c>
      <c r="W214" s="62">
        <f>IF($V214="Macro",COUNTIFS($U$5:$U$1000,ROW(),$V$5:$V$1000,"Sub"),"")</f>
        <v/>
      </c>
      <c r="X214" s="62">
        <f>IF($V214&lt;&gt;"Sub","",IF(AND(ISNUMBER($H214),N($H214)&gt;0),$H214,IFERROR(MAX(0,1-SUMIFS($H$5:$H$1000,$U$5:$U$1000,$U214,$V$5:$V$1000,"Sub"))/(COUNTIFS($U$5:$U$1000,$U214,$V$5:$V$1000,"Sub")-COUNTIFS($U$5:$U$1000,$U214,$V$5:$V$1000,"Sub",$H$5:$H$1000,"&gt;0")),0)))</f>
        <v/>
      </c>
      <c r="Y214" s="62">
        <f>IF($V214="","",IF($V214="Sub",N($X214)*IF(ISNUMBER($G214),1,MIN(1,MAX(0,IFERROR(LOOKUP(2,1/ISNUMBER($I214:$L214),$I214:$L214),0)))),IF(ISNUMBER($G214),1,IFERROR(LOOKUP(2,1/($I214:$L214&lt;&gt;""),$I214:$L214),0))))</f>
        <v/>
      </c>
      <c r="Z214" s="62">
        <f>IF($V214="","",IF(AND(ISNUMBER($G214),$G214&lt;=IF($S214=MesCiclo,InicioCiclo,$S214+MOD(2-WEEKDAY($S214),7))+6),1,IF(ISNUMBER($I214),$I214,0)))</f>
        <v/>
      </c>
      <c r="AA214" s="62">
        <f>IF($V214="","",IF(AND(ISNUMBER($G214),$G214&lt;=IF($S214=MesCiclo,InicioCiclo,$S214+MOD(2-WEEKDAY($S214),7))+13),1,IF(ISNUMBER($J214),$J214,$Z214)))</f>
        <v/>
      </c>
      <c r="AB214" s="62">
        <f>IF($V214="","",IF(AND(ISNUMBER($G214),$G214&lt;=IF($S214=MesCiclo,InicioCiclo,$S214+MOD(2-WEEKDAY($S214),7))+20),1,IF(ISNUMBER($K214),$K214,$AA214)))</f>
        <v/>
      </c>
      <c r="AC214" s="62">
        <f>IF($V214="","",IF(AND(ISNUMBER($G214),$G214&lt;=IF($S214=MesCiclo,InicioCiclo,$S214+MOD(2-WEEKDAY($S214),7))+27),1,IF(ISNUMBER($L214),$L214,$AB214)))</f>
        <v/>
      </c>
      <c r="AD214" s="62">
        <f>IF($V214&lt;&gt;"Sub","",N($X214)*IF(AND(ISNUMBER($G214),$G214&lt;=IF($S214=MesCiclo,InicioCiclo,$S214+MOD(2-WEEKDAY($S214),7))+6),1,MIN(1,MAX(0,IF(ISNUMBER(OFFSET($A$1,ROW()-1,8)),OFFSET($A$1,ROW()-1,8),0)))))</f>
        <v/>
      </c>
      <c r="AE214" s="62">
        <f>IF($V214&lt;&gt;"Sub","",N($X214)*IF(AND(ISNUMBER($G214),$G214&lt;=IF($S214=MesCiclo,InicioCiclo,$S214+MOD(2-WEEKDAY($S214),7))+13),1,MIN(1,MAX(0,IF(ISNUMBER(OFFSET($A$1,ROW()-1,9)),OFFSET($A$1,ROW()-1,9),IF(ISNUMBER(OFFSET($A$1,ROW()-1,8)),OFFSET($A$1,ROW()-1,8),0))))))</f>
        <v/>
      </c>
      <c r="AF214" s="62">
        <f>IF($V214&lt;&gt;"Sub","",N($X214)*IF(AND(ISNUMBER($G214),$G214&lt;=IF($S214=MesCiclo,InicioCiclo,$S214+MOD(2-WEEKDAY($S214),7))+20),1,MIN(1,MAX(0,IF(ISNUMBER(OFFSET($A$1,ROW()-1,10)),OFFSET($A$1,ROW()-1,10),IF(ISNUMBER(OFFSET($A$1,ROW()-1,9)),OFFSET($A$1,ROW()-1,9),IF(ISNUMBER(OFFSET($A$1,ROW()-1,8)),OFFSET($A$1,ROW()-1,8),0)))))))</f>
        <v/>
      </c>
      <c r="AG214" s="62">
        <f>IF($V214&lt;&gt;"Sub","",N($X214)*IF(AND(ISNUMBER($G214),$G214&lt;=IF($S214=MesCiclo,InicioCiclo,$S214+MOD(2-WEEKDAY($S214),7))+27),1,MIN(1,MAX(0,IF(ISNUMBER(OFFSET($A$1,ROW()-1,11)),OFFSET($A$1,ROW()-1,11),IF(ISNUMBER(OFFSET($A$1,ROW()-1,10)),OFFSET($A$1,ROW()-1,10),IF(ISNUMBER(OFFSET($A$1,ROW()-1,9)),OFFSET($A$1,ROW()-1,9),IF(ISNUMBER(OFFSET($A$1,ROW()-1,8)),OFFSET($A$1,ROW()-1,8),0))))))))</f>
        <v/>
      </c>
      <c r="AH214" s="62">
        <f>IF($V214="","",IF(AND(ISNUMBER($G214),$G214&lt;=IF($S214=MesCiclo,InicioCiclo,$S214+MOD(2-WEEKDAY($S214),7))+6),1,IF(N($W214)&gt;0,MIN(1,SUMIFS($AD$5:$AD$1000,$U$5:$U$1000,ROW(),$V$5:$V$1000,"Sub")),$Z214)))</f>
        <v/>
      </c>
      <c r="AI214" s="62">
        <f>IF($V214="","",IF(AND(ISNUMBER($G214),$G214&lt;=IF($S214=MesCiclo,InicioCiclo,$S214+MOD(2-WEEKDAY($S214),7))+13),1,IF(N($W214)&gt;0,MIN(1,SUMIFS($AE$5:$AE$1000,$U$5:$U$1000,ROW(),$V$5:$V$1000,"Sub")),$AA214)))</f>
        <v/>
      </c>
      <c r="AJ214" s="62">
        <f>IF($V214="","",IF(AND(ISNUMBER($G214),$G214&lt;=IF($S214=MesCiclo,InicioCiclo,$S214+MOD(2-WEEKDAY($S214),7))+20),1,IF(N($W214)&gt;0,MIN(1,SUMIFS($AF$5:$AF$1000,$U$5:$U$1000,ROW(),$V$5:$V$1000,"Sub")),$AB214)))</f>
        <v/>
      </c>
      <c r="AK214" s="62">
        <f>IF($V214="","",IF(AND(ISNUMBER($G214),$G214&lt;=IF($S214=MesCiclo,InicioCiclo,$S214+MOD(2-WEEKDAY($S214),7))+27),1,IF(N($W214)&gt;0,MIN(1,SUMIFS($AG$5:$AG$1000,$U$5:$U$1000,ROW(),$V$5:$V$1000,"Sub")),$AC214)))</f>
        <v/>
      </c>
      <c r="AL214" s="62">
        <f>IF($V214&lt;&gt;"Macro","",IF(COUNTIFS($S$5:$S$1000,$S214,$V$5:$V$1000,"Macro",$H$5:$H$1000,"&gt;0")=0,1/COUNTIFS($S$5:$S$1000,$S214,$V$5:$V$1000,"Macro"),IF(AND(ISNUMBER($H214),N($H214)&gt;0),$H214,SUMIFS($H$5:$H$1000,$S$5:$S$1000,$S214,$V$5:$V$1000,"Macro")/COUNTIFS($S$5:$S$1000,$S214,$V$5:$V$1000,"Macro",$H$5:$H$1000,"&gt;0"))/(COUNTIFS($S$5:$S$1000,$S214,$V$5:$V$1000,"Macro")*SUMIFS($H$5:$H$1000,$S$5:$S$1000,$S214,$V$5:$V$1000,"Macro")/COUNTIFS($S$5:$S$1000,$S214,$V$5:$V$1000,"Macro",$H$5:$H$1000,"&gt;0"))))</f>
        <v/>
      </c>
      <c r="AM214" s="62" t="n"/>
      <c r="AN214" s="62" t="n"/>
      <c r="AO214" s="62" t="n"/>
      <c r="AP214" s="62" t="n"/>
      <c r="AQ214" s="62">
        <f>IF(LEFT($C214,11)="[Jefatura] ",IFERROR(MATCH("Asistente Técnico de Riesgo|"&amp;MID($C214,12,500),rDname_ADM,0),0),"")</f>
        <v/>
      </c>
      <c r="AR214" s="62">
        <f>IF(N($AQ214)&gt;0,INDEX(rIni_ADM,$AQ214),IF(ISNUMBER($E214),$E214,""))</f>
        <v/>
      </c>
      <c r="AS214" s="62">
        <f>IF(N($AQ214)&gt;0,INDEX(rLim_ADM,$AQ214),IF(ISNUMBER($F214),$F214,""))</f>
        <v/>
      </c>
    </row>
    <row r="215">
      <c r="A215" s="56">
        <f>IF(NOT((COUNTA($B215:$D215)+COUNTA($G215:$H215)+COUNTA($Q215))&gt;0),"",IF($V215="Macro",COUNTIFS($V$5:$V215,"Macro",$S$5:$S215,$S215),IF(N($U215)=0,"?",COUNTIFS(INDEX($V$5:$V$1000,1):INDEX($V$5:$V$1000,$U215-4),"Macro",INDEX($S$5:$S$1000,1):INDEX($S$5:$S$1000,$U215-4),INDEX($S$5:$S$1000,$U215-4))&amp;"."&amp;COUNTIFS($U$5:$U215,$U215,$V$5:$V215,"Sub"))))</f>
        <v/>
      </c>
      <c r="B215" s="57" t="n"/>
      <c r="C215" s="58" t="n"/>
      <c r="D215" s="58" t="n"/>
      <c r="E215" s="59">
        <f>IF(N($AQ215)&gt;0,INDEX(rIni_ADM,$AQ215),"")</f>
        <v/>
      </c>
      <c r="F215" s="59">
        <f>IF(N($AQ215)&gt;0,INDEX(rLim_ADM,$AQ215),"")</f>
        <v/>
      </c>
      <c r="G215" s="59" t="n"/>
      <c r="H215" s="60" t="n"/>
      <c r="I215" s="60">
        <f>IF(N($W215)=0,"",IF(AND($S215=MesCiclo,1&gt;SemanaActual),"",MIN(1,SUMIFS(OFFSET($A$1,ROW(),29,1000-ROW(),1),OFFSET($A$1,ROW(),20,1000-ROW(),1),ROW(),OFFSET($A$1,ROW(),21,1000-ROW(),1),"Sub"))))</f>
        <v/>
      </c>
      <c r="J215" s="60">
        <f>IF(N($W215)=0,"",IF(AND($S215=MesCiclo,2&gt;SemanaActual),"",MIN(1,SUMIFS(OFFSET($A$1,ROW(),30,1000-ROW(),1),OFFSET($A$1,ROW(),20,1000-ROW(),1),ROW(),OFFSET($A$1,ROW(),21,1000-ROW(),1),"Sub"))))</f>
        <v/>
      </c>
      <c r="K215" s="60">
        <f>IF(N($W215)=0,"",IF(AND($S215=MesCiclo,3&gt;SemanaActual),"",MIN(1,SUMIFS(OFFSET($A$1,ROW(),31,1000-ROW(),1),OFFSET($A$1,ROW(),20,1000-ROW(),1),ROW(),OFFSET($A$1,ROW(),21,1000-ROW(),1),"Sub"))))</f>
        <v/>
      </c>
      <c r="L215" s="60">
        <f>IF(N($W215)=0,"",IF(AND($S215=MesCiclo,4&gt;SemanaActual),"",MIN(1,SUMIFS(OFFSET($A$1,ROW(),32,1000-ROW(),1),OFFSET($A$1,ROW(),20,1000-ROW(),1),ROW(),OFFSET($A$1,ROW(),21,1000-ROW(),1),"Sub"))))</f>
        <v/>
      </c>
      <c r="M215" s="61">
        <f>IF(OR(NOT((COUNTA($B215:$D215)+COUNTA($G215:$H215)+COUNTA($Q215))&gt;0),$V215="Sub"),"",IF(ISNUMBER($G215),1,IF(N($W215)&gt;0,MIN(1,SUMIFS($Y$5:$Y$1000,$U$5:$U$1000,ROW(),$V$5:$V$1000,"Sub")),$Y215)))</f>
        <v/>
      </c>
      <c r="N215" s="56">
        <f>IF(OR($M215="",$V215="Sub"),"",IF($M215&gt;=1,"Completado",IF($M215&gt;0,"En curso","Pendiente")))</f>
        <v/>
      </c>
      <c r="O215" s="56">
        <f>IF(OR(NOT((COUNTA($B215:$D215)+COUNTA($G215:$H215)+COUNTA($Q215))&gt;0),$V215="Sub"),"",IF(ISNUMBER($G215),IF(AND(ISNUMBER($AS215),$G215&gt;$AS215),"Cumplida con "&amp;($G215-$AS215)&amp;IF($G215-$AS215=1," día"," días")&amp;" de retraso","Cumplida"),IF(N($M215)&gt;=1,"Cumplida",IF(NOT(ISNUMBER($AS215)),"Sin fecha límite",IF($AS215&lt;FechaRef,"Vencida hace "&amp;(FechaRef-$AS215)&amp;IF(FechaRef-$AS215=1," día"," días"),IF($AS215=FechaRef,"Vence hoy",IF($AS215-FechaRef&lt;=DiasAlerta,"Vence en "&amp;($AS215-FechaRef)&amp;IF($AS215-FechaRef=1," día"," días"),"En plazo")))))))</f>
        <v/>
      </c>
      <c r="P215" s="62" t="n"/>
      <c r="Q215" s="58" t="n"/>
      <c r="R215" s="63">
        <f>IF(NOT((COUNTA($B215:$D215)+COUNTA($G215:$H215)+COUNTA($Q215))&gt;0),"",IF((IF($C215="","Falta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 OK","⚠ "&amp;LEFT(IF($C215="","Falta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",""),LEN(IF($C215="","Falta el nombre de la actividad"&amp;" · ","")&amp;IF(AND($V215="Sub",N($U215)=0),"Subactividad sin macroactividad arriba"&amp;" · ","")&amp;IF(AND($V215="Macro",$AR215=""),"Sin fecha de inicio"&amp;" · ","")&amp;IF(AND($V215="Macro",$AS215=""),"Sin fecha límite"&amp;" · ","")&amp;IF(AND(LEFT($C215,11)="[Jefatura] ",N($AQ215)=0),"No se encuentra en la hoja de la jefatura (elíjala de nuevo en la lista)"&amp;" · ","")&amp;IF(OR(AND($E215&lt;&gt;"",NOT(ISNUMBER($E215))),AND($F215&lt;&gt;"",NOT(ISNUMBER($F215))),AND($G215&lt;&gt;"",NOT(ISNUMBER($G215)))),"Fecha no válida"&amp;" · ","")&amp;IF(AND(ISNUMBER($AR215),ISNUMBER($AS215),$AR215&gt;$AS215),"Inicio posterior a fecha límite"&amp;" · ","")&amp;IF(AND($V215="Macro",$H215&lt;&gt;"",OR(NOT(ISNUMBER($H215)),$H215&lt;0,$H215&gt;1)),"Peso fuera de rango"&amp;" · ","")&amp;IF(AND($V215="Sub",$H215&lt;&gt;"",OR(NOT(ISNUMBER($H215)),$H215&lt;0,$H215&gt;1)),"% de la subactividad fuera de rango 0-100%"&amp;" · ","")&amp;IF(AND(N($W215)&gt;0,SUMIFS($H$5:$H$1000,$U$5:$U$1000,ROW(),$V$5:$V$1000,"Sub")&gt;1.0001),"Las subactividades suman más de 100%"&amp;" · ","")&amp;IF(AND(N($W215)&gt;0,OR(IF(ISNUMBER($I215),ROUND($I215,6)&lt;&gt;ROUND(MIN(1,SUMIFS($AD$5:$AD$1000,$U$5:$U$1000,ROW(),$V$5:$V$1000,"Sub")),6),FALSE),IF(ISNUMBER($J215),ROUND($J215,6)&lt;&gt;ROUND(MIN(1,SUMIFS($AE$5:$AE$1000,$U$5:$U$1000,ROW(),$V$5:$V$1000,"Sub")),6),FALSE),IF(ISNUMBER($K215),ROUND($K215,6)&lt;&gt;ROUND(MIN(1,SUMIFS($AF$5:$AF$1000,$U$5:$U$1000,ROW(),$V$5:$V$1000,"Sub")),6),FALSE),IF(ISNUMBER($L215),ROUND($L215,6)&lt;&gt;ROUND(MIN(1,SUMIFS($AG$5:$AG$1000,$U$5:$U$1000,ROW(),$V$5:$V$1000,"Sub")),6),FALSE))),"Con subactividades: no escriba en las semanas (se llenan solas)"&amp;" · ","")&amp;IF((COUNTIF($I215:$L215,"&gt;1")+COUNTIF($I215:$L215,"&lt;0")+SUMPRODUCT((LEN($I215:$L215)&gt;0)*NOT(ISNUMBER($I215:$L215))))&gt;0,"Avance fuera de rango 0-100%"&amp;" · ","")&amp;IF(OR(AND(ISNUMBER($J215),$J215&lt;N($I215)),AND(ISNUMBER($K215),$K215&lt;MAX($I215:$J215)),AND(ISNUMBER($L215),$L215&lt;MAX($I215:$K215))),"Avance semanal decreciente"&amp;" · ","")&amp;IF(AND(ISNUMBER($AS215),$AS215&lt;FechaRef,IF($V215="Sub",1,N($M215))&lt;1),"Vencida"&amp;" · ","")&amp;IF(AND(ObsObligatoria="Sí",ISNUMBER($AS215),$AS215&lt;FechaRef,IF($V215="Sub",1,N($M215))&lt;1,$Q215=""),"Vencida sin observación"&amp;" · ",""))-3)))</f>
        <v/>
      </c>
      <c r="S215" s="64">
        <f>IF(NOT((COUNTA($B215:$D215)+COUNTA($G215:$H215)+COUNTA($Q215))&gt;0),"",IF(AND($V215="Sub",N($U215)&gt;0),IF(ISNUMBER(INDEX($AR$5:$AR$1000,$U215-4)),DATE(YEAR(INDEX($AR$5:$AR$1000,$U215-4)),MONTH(INDEX($AR$5:$AR$1000,$U215-4)),1),IF(ISNUMBER(INDEX($AS$5:$AS$1000,$U215-4)),DATE(YEAR(INDEX($AS$5:$AS$1000,$U215-4)),MONTH(INDEX($AS$5:$AS$1000,$U215-4)),1),MesCiclo)),IF(ISNUMBER($AR215),DATE(YEAR($AR215),MONTH($AR215),1),IF(ISNUMBER($AS215),DATE(YEAR($AS215),MONTH($AS215),1),MesCiclo))))</f>
        <v/>
      </c>
      <c r="T215" s="62">
        <f>IF(OR($S215="",$S215&lt;&gt;MesCiclo,$V215&lt;&gt;"Macro"),"",COUNTIFS($S$5:$S215,MesCiclo,$V$5:$V215,"Macro"))</f>
        <v/>
      </c>
      <c r="U215" s="62">
        <f>IF($V215="","",IF($V215="Macro",ROW(),IFERROR(LOOKUP(2,1/($V$5:$V215="Macro"),ROW($V$5:$V215)),0)))</f>
        <v/>
      </c>
      <c r="V215" s="62">
        <f>IF(NOT((COUNTA($B215:$D215)+COUNTA($G215:$H215)+COUNTA($Q215))&gt;0),"",IF($B215="Subactividad","Sub","Macro"))</f>
        <v/>
      </c>
      <c r="W215" s="62">
        <f>IF($V215="Macro",COUNTIFS($U$5:$U$1000,ROW(),$V$5:$V$1000,"Sub"),"")</f>
        <v/>
      </c>
      <c r="X215" s="62">
        <f>IF($V215&lt;&gt;"Sub","",IF(AND(ISNUMBER($H215),N($H215)&gt;0),$H215,IFERROR(MAX(0,1-SUMIFS($H$5:$H$1000,$U$5:$U$1000,$U215,$V$5:$V$1000,"Sub"))/(COUNTIFS($U$5:$U$1000,$U215,$V$5:$V$1000,"Sub")-COUNTIFS($U$5:$U$1000,$U215,$V$5:$V$1000,"Sub",$H$5:$H$1000,"&gt;0")),0)))</f>
        <v/>
      </c>
      <c r="Y215" s="62">
        <f>IF($V215="","",IF($V215="Sub",N($X215)*IF(ISNUMBER($G215),1,MIN(1,MAX(0,IFERROR(LOOKUP(2,1/ISNUMBER($I215:$L215),$I215:$L215),0)))),IF(ISNUMBER($G215),1,IFERROR(LOOKUP(2,1/($I215:$L215&lt;&gt;""),$I215:$L215),0))))</f>
        <v/>
      </c>
      <c r="Z215" s="62">
        <f>IF($V215="","",IF(AND(ISNUMBER($G215),$G215&lt;=IF($S215=MesCiclo,InicioCiclo,$S215+MOD(2-WEEKDAY($S215),7))+6),1,IF(ISNUMBER($I215),$I215,0)))</f>
        <v/>
      </c>
      <c r="AA215" s="62">
        <f>IF($V215="","",IF(AND(ISNUMBER($G215),$G215&lt;=IF($S215=MesCiclo,InicioCiclo,$S215+MOD(2-WEEKDAY($S215),7))+13),1,IF(ISNUMBER($J215),$J215,$Z215)))</f>
        <v/>
      </c>
      <c r="AB215" s="62">
        <f>IF($V215="","",IF(AND(ISNUMBER($G215),$G215&lt;=IF($S215=MesCiclo,InicioCiclo,$S215+MOD(2-WEEKDAY($S215),7))+20),1,IF(ISNUMBER($K215),$K215,$AA215)))</f>
        <v/>
      </c>
      <c r="AC215" s="62">
        <f>IF($V215="","",IF(AND(ISNUMBER($G215),$G215&lt;=IF($S215=MesCiclo,InicioCiclo,$S215+MOD(2-WEEKDAY($S215),7))+27),1,IF(ISNUMBER($L215),$L215,$AB215)))</f>
        <v/>
      </c>
      <c r="AD215" s="62">
        <f>IF($V215&lt;&gt;"Sub","",N($X215)*IF(AND(ISNUMBER($G215),$G215&lt;=IF($S215=MesCiclo,InicioCiclo,$S215+MOD(2-WEEKDAY($S215),7))+6),1,MIN(1,MAX(0,IF(ISNUMBER(OFFSET($A$1,ROW()-1,8)),OFFSET($A$1,ROW()-1,8),0)))))</f>
        <v/>
      </c>
      <c r="AE215" s="62">
        <f>IF($V215&lt;&gt;"Sub","",N($X215)*IF(AND(ISNUMBER($G215),$G215&lt;=IF($S215=MesCiclo,InicioCiclo,$S215+MOD(2-WEEKDAY($S215),7))+13),1,MIN(1,MAX(0,IF(ISNUMBER(OFFSET($A$1,ROW()-1,9)),OFFSET($A$1,ROW()-1,9),IF(ISNUMBER(OFFSET($A$1,ROW()-1,8)),OFFSET($A$1,ROW()-1,8),0))))))</f>
        <v/>
      </c>
      <c r="AF215" s="62">
        <f>IF($V215&lt;&gt;"Sub","",N($X215)*IF(AND(ISNUMBER($G215),$G215&lt;=IF($S215=MesCiclo,InicioCiclo,$S215+MOD(2-WEEKDAY($S215),7))+20),1,MIN(1,MAX(0,IF(ISNUMBER(OFFSET($A$1,ROW()-1,10)),OFFSET($A$1,ROW()-1,10),IF(ISNUMBER(OFFSET($A$1,ROW()-1,9)),OFFSET($A$1,ROW()-1,9),IF(ISNUMBER(OFFSET($A$1,ROW()-1,8)),OFFSET($A$1,ROW()-1,8),0)))))))</f>
        <v/>
      </c>
      <c r="AG215" s="62">
        <f>IF($V215&lt;&gt;"Sub","",N($X215)*IF(AND(ISNUMBER($G215),$G215&lt;=IF($S215=MesCiclo,InicioCiclo,$S215+MOD(2-WEEKDAY($S215),7))+27),1,MIN(1,MAX(0,IF(ISNUMBER(OFFSET($A$1,ROW()-1,11)),OFFSET($A$1,ROW()-1,11),IF(ISNUMBER(OFFSET($A$1,ROW()-1,10)),OFFSET($A$1,ROW()-1,10),IF(ISNUMBER(OFFSET($A$1,ROW()-1,9)),OFFSET($A$1,ROW()-1,9),IF(ISNUMBER(OFFSET($A$1,ROW()-1,8)),OFFSET($A$1,ROW()-1,8),0))))))))</f>
        <v/>
      </c>
      <c r="AH215" s="62">
        <f>IF($V215="","",IF(AND(ISNUMBER($G215),$G215&lt;=IF($S215=MesCiclo,InicioCiclo,$S215+MOD(2-WEEKDAY($S215),7))+6),1,IF(N($W215)&gt;0,MIN(1,SUMIFS($AD$5:$AD$1000,$U$5:$U$1000,ROW(),$V$5:$V$1000,"Sub")),$Z215)))</f>
        <v/>
      </c>
      <c r="AI215" s="62">
        <f>IF($V215="","",IF(AND(ISNUMBER($G215),$G215&lt;=IF($S215=MesCiclo,InicioCiclo,$S215+MOD(2-WEEKDAY($S215),7))+13),1,IF(N($W215)&gt;0,MIN(1,SUMIFS($AE$5:$AE$1000,$U$5:$U$1000,ROW(),$V$5:$V$1000,"Sub")),$AA215)))</f>
        <v/>
      </c>
      <c r="AJ215" s="62">
        <f>IF($V215="","",IF(AND(ISNUMBER($G215),$G215&lt;=IF($S215=MesCiclo,InicioCiclo,$S215+MOD(2-WEEKDAY($S215),7))+20),1,IF(N($W215)&gt;0,MIN(1,SUMIFS($AF$5:$AF$1000,$U$5:$U$1000,ROW(),$V$5:$V$1000,"Sub")),$AB215)))</f>
        <v/>
      </c>
      <c r="AK215" s="62">
        <f>IF($V215="","",IF(AND(ISNUMBER($G215),$G215&lt;=IF($S215=MesCiclo,InicioCiclo,$S215+MOD(2-WEEKDAY($S215),7))+27),1,IF(N($W215)&gt;0,MIN(1,SUMIFS($AG$5:$AG$1000,$U$5:$U$1000,ROW(),$V$5:$V$1000,"Sub")),$AC215)))</f>
        <v/>
      </c>
      <c r="AL215" s="62">
        <f>IF($V215&lt;&gt;"Macro","",IF(COUNTIFS($S$5:$S$1000,$S215,$V$5:$V$1000,"Macro",$H$5:$H$1000,"&gt;0")=0,1/COUNTIFS($S$5:$S$1000,$S215,$V$5:$V$1000,"Macro"),IF(AND(ISNUMBER($H215),N($H215)&gt;0),$H215,SUMIFS($H$5:$H$1000,$S$5:$S$1000,$S215,$V$5:$V$1000,"Macro")/COUNTIFS($S$5:$S$1000,$S215,$V$5:$V$1000,"Macro",$H$5:$H$1000,"&gt;0"))/(COUNTIFS($S$5:$S$1000,$S215,$V$5:$V$1000,"Macro")*SUMIFS($H$5:$H$1000,$S$5:$S$1000,$S215,$V$5:$V$1000,"Macro")/COUNTIFS($S$5:$S$1000,$S215,$V$5:$V$1000,"Macro",$H$5:$H$1000,"&gt;0"))))</f>
        <v/>
      </c>
      <c r="AM215" s="62" t="n"/>
      <c r="AN215" s="62" t="n"/>
      <c r="AO215" s="62" t="n"/>
      <c r="AP215" s="62" t="n"/>
      <c r="AQ215" s="62">
        <f>IF(LEFT($C215,11)="[Jefatura] ",IFERROR(MATCH("Asistente Técnico de Riesgo|"&amp;MID($C215,12,500),rDname_ADM,0),0),"")</f>
        <v/>
      </c>
      <c r="AR215" s="62">
        <f>IF(N($AQ215)&gt;0,INDEX(rIni_ADM,$AQ215),IF(ISNUMBER($E215),$E215,""))</f>
        <v/>
      </c>
      <c r="AS215" s="62">
        <f>IF(N($AQ215)&gt;0,INDEX(rLim_ADM,$AQ215),IF(ISNUMBER($F215),$F215,""))</f>
        <v/>
      </c>
    </row>
    <row r="216">
      <c r="A216" s="56">
        <f>IF(NOT((COUNTA($B216:$D216)+COUNTA($G216:$H216)+COUNTA($Q216))&gt;0),"",IF($V216="Macro",COUNTIFS($V$5:$V216,"Macro",$S$5:$S216,$S216),IF(N($U216)=0,"?",COUNTIFS(INDEX($V$5:$V$1000,1):INDEX($V$5:$V$1000,$U216-4),"Macro",INDEX($S$5:$S$1000,1):INDEX($S$5:$S$1000,$U216-4),INDEX($S$5:$S$1000,$U216-4))&amp;"."&amp;COUNTIFS($U$5:$U216,$U216,$V$5:$V216,"Sub"))))</f>
        <v/>
      </c>
      <c r="B216" s="57" t="n"/>
      <c r="C216" s="58" t="n"/>
      <c r="D216" s="58" t="n"/>
      <c r="E216" s="59">
        <f>IF(N($AQ216)&gt;0,INDEX(rIni_ADM,$AQ216),"")</f>
        <v/>
      </c>
      <c r="F216" s="59">
        <f>IF(N($AQ216)&gt;0,INDEX(rLim_ADM,$AQ216),"")</f>
        <v/>
      </c>
      <c r="G216" s="59" t="n"/>
      <c r="H216" s="60" t="n"/>
      <c r="I216" s="60">
        <f>IF(N($W216)=0,"",IF(AND($S216=MesCiclo,1&gt;SemanaActual),"",MIN(1,SUMIFS(OFFSET($A$1,ROW(),29,1000-ROW(),1),OFFSET($A$1,ROW(),20,1000-ROW(),1),ROW(),OFFSET($A$1,ROW(),21,1000-ROW(),1),"Sub"))))</f>
        <v/>
      </c>
      <c r="J216" s="60">
        <f>IF(N($W216)=0,"",IF(AND($S216=MesCiclo,2&gt;SemanaActual),"",MIN(1,SUMIFS(OFFSET($A$1,ROW(),30,1000-ROW(),1),OFFSET($A$1,ROW(),20,1000-ROW(),1),ROW(),OFFSET($A$1,ROW(),21,1000-ROW(),1),"Sub"))))</f>
        <v/>
      </c>
      <c r="K216" s="60">
        <f>IF(N($W216)=0,"",IF(AND($S216=MesCiclo,3&gt;SemanaActual),"",MIN(1,SUMIFS(OFFSET($A$1,ROW(),31,1000-ROW(),1),OFFSET($A$1,ROW(),20,1000-ROW(),1),ROW(),OFFSET($A$1,ROW(),21,1000-ROW(),1),"Sub"))))</f>
        <v/>
      </c>
      <c r="L216" s="60">
        <f>IF(N($W216)=0,"",IF(AND($S216=MesCiclo,4&gt;SemanaActual),"",MIN(1,SUMIFS(OFFSET($A$1,ROW(),32,1000-ROW(),1),OFFSET($A$1,ROW(),20,1000-ROW(),1),ROW(),OFFSET($A$1,ROW(),21,1000-ROW(),1),"Sub"))))</f>
        <v/>
      </c>
      <c r="M216" s="61">
        <f>IF(OR(NOT((COUNTA($B216:$D216)+COUNTA($G216:$H216)+COUNTA($Q216))&gt;0),$V216="Sub"),"",IF(ISNUMBER($G216),1,IF(N($W216)&gt;0,MIN(1,SUMIFS($Y$5:$Y$1000,$U$5:$U$1000,ROW(),$V$5:$V$1000,"Sub")),$Y216)))</f>
        <v/>
      </c>
      <c r="N216" s="56">
        <f>IF(OR($M216="",$V216="Sub"),"",IF($M216&gt;=1,"Completado",IF($M216&gt;0,"En curso","Pendiente")))</f>
        <v/>
      </c>
      <c r="O216" s="56">
        <f>IF(OR(NOT((COUNTA($B216:$D216)+COUNTA($G216:$H216)+COUNTA($Q216))&gt;0),$V216="Sub"),"",IF(ISNUMBER($G216),IF(AND(ISNUMBER($AS216),$G216&gt;$AS216),"Cumplida con "&amp;($G216-$AS216)&amp;IF($G216-$AS216=1," día"," días")&amp;" de retraso","Cumplida"),IF(N($M216)&gt;=1,"Cumplida",IF(NOT(ISNUMBER($AS216)),"Sin fecha límite",IF($AS216&lt;FechaRef,"Vencida hace "&amp;(FechaRef-$AS216)&amp;IF(FechaRef-$AS216=1," día"," días"),IF($AS216=FechaRef,"Vence hoy",IF($AS216-FechaRef&lt;=DiasAlerta,"Vence en "&amp;($AS216-FechaRef)&amp;IF($AS216-FechaRef=1," día"," días"),"En plazo")))))))</f>
        <v/>
      </c>
      <c r="P216" s="62" t="n"/>
      <c r="Q216" s="58" t="n"/>
      <c r="R216" s="63">
        <f>IF(NOT((COUNTA($B216:$D216)+COUNTA($G216:$H216)+COUNTA($Q216))&gt;0),"",IF((IF($C216="","Falta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 OK","⚠ "&amp;LEFT(IF($C216="","Falta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",""),LEN(IF($C216="","Falta el nombre de la actividad"&amp;" · ","")&amp;IF(AND($V216="Sub",N($U216)=0),"Subactividad sin macroactividad arriba"&amp;" · ","")&amp;IF(AND($V216="Macro",$AR216=""),"Sin fecha de inicio"&amp;" · ","")&amp;IF(AND($V216="Macro",$AS216=""),"Sin fecha límite"&amp;" · ","")&amp;IF(AND(LEFT($C216,11)="[Jefatura] ",N($AQ216)=0),"No se encuentra en la hoja de la jefatura (elíjala de nuevo en la lista)"&amp;" · ","")&amp;IF(OR(AND($E216&lt;&gt;"",NOT(ISNUMBER($E216))),AND($F216&lt;&gt;"",NOT(ISNUMBER($F216))),AND($G216&lt;&gt;"",NOT(ISNUMBER($G216)))),"Fecha no válida"&amp;" · ","")&amp;IF(AND(ISNUMBER($AR216),ISNUMBER($AS216),$AR216&gt;$AS216),"Inicio posterior a fecha límite"&amp;" · ","")&amp;IF(AND($V216="Macro",$H216&lt;&gt;"",OR(NOT(ISNUMBER($H216)),$H216&lt;0,$H216&gt;1)),"Peso fuera de rango"&amp;" · ","")&amp;IF(AND($V216="Sub",$H216&lt;&gt;"",OR(NOT(ISNUMBER($H216)),$H216&lt;0,$H216&gt;1)),"% de la subactividad fuera de rango 0-100%"&amp;" · ","")&amp;IF(AND(N($W216)&gt;0,SUMIFS($H$5:$H$1000,$U$5:$U$1000,ROW(),$V$5:$V$1000,"Sub")&gt;1.0001),"Las subactividades suman más de 100%"&amp;" · ","")&amp;IF(AND(N($W216)&gt;0,OR(IF(ISNUMBER($I216),ROUND($I216,6)&lt;&gt;ROUND(MIN(1,SUMIFS($AD$5:$AD$1000,$U$5:$U$1000,ROW(),$V$5:$V$1000,"Sub")),6),FALSE),IF(ISNUMBER($J216),ROUND($J216,6)&lt;&gt;ROUND(MIN(1,SUMIFS($AE$5:$AE$1000,$U$5:$U$1000,ROW(),$V$5:$V$1000,"Sub")),6),FALSE),IF(ISNUMBER($K216),ROUND($K216,6)&lt;&gt;ROUND(MIN(1,SUMIFS($AF$5:$AF$1000,$U$5:$U$1000,ROW(),$V$5:$V$1000,"Sub")),6),FALSE),IF(ISNUMBER($L216),ROUND($L216,6)&lt;&gt;ROUND(MIN(1,SUMIFS($AG$5:$AG$1000,$U$5:$U$1000,ROW(),$V$5:$V$1000,"Sub")),6),FALSE))),"Con subactividades: no escriba en las semanas (se llenan solas)"&amp;" · ","")&amp;IF((COUNTIF($I216:$L216,"&gt;1")+COUNTIF($I216:$L216,"&lt;0")+SUMPRODUCT((LEN($I216:$L216)&gt;0)*NOT(ISNUMBER($I216:$L216))))&gt;0,"Avance fuera de rango 0-100%"&amp;" · ","")&amp;IF(OR(AND(ISNUMBER($J216),$J216&lt;N($I216)),AND(ISNUMBER($K216),$K216&lt;MAX($I216:$J216)),AND(ISNUMBER($L216),$L216&lt;MAX($I216:$K216))),"Avance semanal decreciente"&amp;" · ","")&amp;IF(AND(ISNUMBER($AS216),$AS216&lt;FechaRef,IF($V216="Sub",1,N($M216))&lt;1),"Vencida"&amp;" · ","")&amp;IF(AND(ObsObligatoria="Sí",ISNUMBER($AS216),$AS216&lt;FechaRef,IF($V216="Sub",1,N($M216))&lt;1,$Q216=""),"Vencida sin observación"&amp;" · ",""))-3)))</f>
        <v/>
      </c>
      <c r="S216" s="64">
        <f>IF(NOT((COUNTA($B216:$D216)+COUNTA($G216:$H216)+COUNTA($Q216))&gt;0),"",IF(AND($V216="Sub",N($U216)&gt;0),IF(ISNUMBER(INDEX($AR$5:$AR$1000,$U216-4)),DATE(YEAR(INDEX($AR$5:$AR$1000,$U216-4)),MONTH(INDEX($AR$5:$AR$1000,$U216-4)),1),IF(ISNUMBER(INDEX($AS$5:$AS$1000,$U216-4)),DATE(YEAR(INDEX($AS$5:$AS$1000,$U216-4)),MONTH(INDEX($AS$5:$AS$1000,$U216-4)),1),MesCiclo)),IF(ISNUMBER($AR216),DATE(YEAR($AR216),MONTH($AR216),1),IF(ISNUMBER($AS216),DATE(YEAR($AS216),MONTH($AS216),1),MesCiclo))))</f>
        <v/>
      </c>
      <c r="T216" s="62">
        <f>IF(OR($S216="",$S216&lt;&gt;MesCiclo,$V216&lt;&gt;"Macro"),"",COUNTIFS($S$5:$S216,MesCiclo,$V$5:$V216,"Macro"))</f>
        <v/>
      </c>
      <c r="U216" s="62">
        <f>IF($V216="","",IF($V216="Macro",ROW(),IFERROR(LOOKUP(2,1/($V$5:$V216="Macro"),ROW($V$5:$V216)),0)))</f>
        <v/>
      </c>
      <c r="V216" s="62">
        <f>IF(NOT((COUNTA($B216:$D216)+COUNTA($G216:$H216)+COUNTA($Q216))&gt;0),"",IF($B216="Subactividad","Sub","Macro"))</f>
        <v/>
      </c>
      <c r="W216" s="62">
        <f>IF($V216="Macro",COUNTIFS($U$5:$U$1000,ROW(),$V$5:$V$1000,"Sub"),"")</f>
        <v/>
      </c>
      <c r="X216" s="62">
        <f>IF($V216&lt;&gt;"Sub","",IF(AND(ISNUMBER($H216),N($H216)&gt;0),$H216,IFERROR(MAX(0,1-SUMIFS($H$5:$H$1000,$U$5:$U$1000,$U216,$V$5:$V$1000,"Sub"))/(COUNTIFS($U$5:$U$1000,$U216,$V$5:$V$1000,"Sub")-COUNTIFS($U$5:$U$1000,$U216,$V$5:$V$1000,"Sub",$H$5:$H$1000,"&gt;0")),0)))</f>
        <v/>
      </c>
      <c r="Y216" s="62">
        <f>IF($V216="","",IF($V216="Sub",N($X216)*IF(ISNUMBER($G216),1,MIN(1,MAX(0,IFERROR(LOOKUP(2,1/ISNUMBER($I216:$L216),$I216:$L216),0)))),IF(ISNUMBER($G216),1,IFERROR(LOOKUP(2,1/($I216:$L216&lt;&gt;""),$I216:$L216),0))))</f>
        <v/>
      </c>
      <c r="Z216" s="62">
        <f>IF($V216="","",IF(AND(ISNUMBER($G216),$G216&lt;=IF($S216=MesCiclo,InicioCiclo,$S216+MOD(2-WEEKDAY($S216),7))+6),1,IF(ISNUMBER($I216),$I216,0)))</f>
        <v/>
      </c>
      <c r="AA216" s="62">
        <f>IF($V216="","",IF(AND(ISNUMBER($G216),$G216&lt;=IF($S216=MesCiclo,InicioCiclo,$S216+MOD(2-WEEKDAY($S216),7))+13),1,IF(ISNUMBER($J216),$J216,$Z216)))</f>
        <v/>
      </c>
      <c r="AB216" s="62">
        <f>IF($V216="","",IF(AND(ISNUMBER($G216),$G216&lt;=IF($S216=MesCiclo,InicioCiclo,$S216+MOD(2-WEEKDAY($S216),7))+20),1,IF(ISNUMBER($K216),$K216,$AA216)))</f>
        <v/>
      </c>
      <c r="AC216" s="62">
        <f>IF($V216="","",IF(AND(ISNUMBER($G216),$G216&lt;=IF($S216=MesCiclo,InicioCiclo,$S216+MOD(2-WEEKDAY($S216),7))+27),1,IF(ISNUMBER($L216),$L216,$AB216)))</f>
        <v/>
      </c>
      <c r="AD216" s="62">
        <f>IF($V216&lt;&gt;"Sub","",N($X216)*IF(AND(ISNUMBER($G216),$G216&lt;=IF($S216=MesCiclo,InicioCiclo,$S216+MOD(2-WEEKDAY($S216),7))+6),1,MIN(1,MAX(0,IF(ISNUMBER(OFFSET($A$1,ROW()-1,8)),OFFSET($A$1,ROW()-1,8),0)))))</f>
        <v/>
      </c>
      <c r="AE216" s="62">
        <f>IF($V216&lt;&gt;"Sub","",N($X216)*IF(AND(ISNUMBER($G216),$G216&lt;=IF($S216=MesCiclo,InicioCiclo,$S216+MOD(2-WEEKDAY($S216),7))+13),1,MIN(1,MAX(0,IF(ISNUMBER(OFFSET($A$1,ROW()-1,9)),OFFSET($A$1,ROW()-1,9),IF(ISNUMBER(OFFSET($A$1,ROW()-1,8)),OFFSET($A$1,ROW()-1,8),0))))))</f>
        <v/>
      </c>
      <c r="AF216" s="62">
        <f>IF($V216&lt;&gt;"Sub","",N($X216)*IF(AND(ISNUMBER($G216),$G216&lt;=IF($S216=MesCiclo,InicioCiclo,$S216+MOD(2-WEEKDAY($S216),7))+20),1,MIN(1,MAX(0,IF(ISNUMBER(OFFSET($A$1,ROW()-1,10)),OFFSET($A$1,ROW()-1,10),IF(ISNUMBER(OFFSET($A$1,ROW()-1,9)),OFFSET($A$1,ROW()-1,9),IF(ISNUMBER(OFFSET($A$1,ROW()-1,8)),OFFSET($A$1,ROW()-1,8),0)))))))</f>
        <v/>
      </c>
      <c r="AG216" s="62">
        <f>IF($V216&lt;&gt;"Sub","",N($X216)*IF(AND(ISNUMBER($G216),$G216&lt;=IF($S216=MesCiclo,InicioCiclo,$S216+MOD(2-WEEKDAY($S216),7))+27),1,MIN(1,MAX(0,IF(ISNUMBER(OFFSET($A$1,ROW()-1,11)),OFFSET($A$1,ROW()-1,11),IF(ISNUMBER(OFFSET($A$1,ROW()-1,10)),OFFSET($A$1,ROW()-1,10),IF(ISNUMBER(OFFSET($A$1,ROW()-1,9)),OFFSET($A$1,ROW()-1,9),IF(ISNUMBER(OFFSET($A$1,ROW()-1,8)),OFFSET($A$1,ROW()-1,8),0))))))))</f>
        <v/>
      </c>
      <c r="AH216" s="62">
        <f>IF($V216="","",IF(AND(ISNUMBER($G216),$G216&lt;=IF($S216=MesCiclo,InicioCiclo,$S216+MOD(2-WEEKDAY($S216),7))+6),1,IF(N($W216)&gt;0,MIN(1,SUMIFS($AD$5:$AD$1000,$U$5:$U$1000,ROW(),$V$5:$V$1000,"Sub")),$Z216)))</f>
        <v/>
      </c>
      <c r="AI216" s="62">
        <f>IF($V216="","",IF(AND(ISNUMBER($G216),$G216&lt;=IF($S216=MesCiclo,InicioCiclo,$S216+MOD(2-WEEKDAY($S216),7))+13),1,IF(N($W216)&gt;0,MIN(1,SUMIFS($AE$5:$AE$1000,$U$5:$U$1000,ROW(),$V$5:$V$1000,"Sub")),$AA216)))</f>
        <v/>
      </c>
      <c r="AJ216" s="62">
        <f>IF($V216="","",IF(AND(ISNUMBER($G216),$G216&lt;=IF($S216=MesCiclo,InicioCiclo,$S216+MOD(2-WEEKDAY($S216),7))+20),1,IF(N($W216)&gt;0,MIN(1,SUMIFS($AF$5:$AF$1000,$U$5:$U$1000,ROW(),$V$5:$V$1000,"Sub")),$AB216)))</f>
        <v/>
      </c>
      <c r="AK216" s="62">
        <f>IF($V216="","",IF(AND(ISNUMBER($G216),$G216&lt;=IF($S216=MesCiclo,InicioCiclo,$S216+MOD(2-WEEKDAY($S216),7))+27),1,IF(N($W216)&gt;0,MIN(1,SUMIFS($AG$5:$AG$1000,$U$5:$U$1000,ROW(),$V$5:$V$1000,"Sub")),$AC216)))</f>
        <v/>
      </c>
      <c r="AL216" s="62">
        <f>IF($V216&lt;&gt;"Macro","",IF(COUNTIFS($S$5:$S$1000,$S216,$V$5:$V$1000,"Macro",$H$5:$H$1000,"&gt;0")=0,1/COUNTIFS($S$5:$S$1000,$S216,$V$5:$V$1000,"Macro"),IF(AND(ISNUMBER($H216),N($H216)&gt;0),$H216,SUMIFS($H$5:$H$1000,$S$5:$S$1000,$S216,$V$5:$V$1000,"Macro")/COUNTIFS($S$5:$S$1000,$S216,$V$5:$V$1000,"Macro",$H$5:$H$1000,"&gt;0"))/(COUNTIFS($S$5:$S$1000,$S216,$V$5:$V$1000,"Macro")*SUMIFS($H$5:$H$1000,$S$5:$S$1000,$S216,$V$5:$V$1000,"Macro")/COUNTIFS($S$5:$S$1000,$S216,$V$5:$V$1000,"Macro",$H$5:$H$1000,"&gt;0"))))</f>
        <v/>
      </c>
      <c r="AM216" s="62" t="n"/>
      <c r="AN216" s="62" t="n"/>
      <c r="AO216" s="62" t="n"/>
      <c r="AP216" s="62" t="n"/>
      <c r="AQ216" s="62">
        <f>IF(LEFT($C216,11)="[Jefatura] ",IFERROR(MATCH("Asistente Técnico de Riesgo|"&amp;MID($C216,12,500),rDname_ADM,0),0),"")</f>
        <v/>
      </c>
      <c r="AR216" s="62">
        <f>IF(N($AQ216)&gt;0,INDEX(rIni_ADM,$AQ216),IF(ISNUMBER($E216),$E216,""))</f>
        <v/>
      </c>
      <c r="AS216" s="62">
        <f>IF(N($AQ216)&gt;0,INDEX(rLim_ADM,$AQ216),IF(ISNUMBER($F216),$F216,""))</f>
        <v/>
      </c>
    </row>
    <row r="217">
      <c r="A217" s="56">
        <f>IF(NOT((COUNTA($B217:$D217)+COUNTA($G217:$H217)+COUNTA($Q217))&gt;0),"",IF($V217="Macro",COUNTIFS($V$5:$V217,"Macro",$S$5:$S217,$S217),IF(N($U217)=0,"?",COUNTIFS(INDEX($V$5:$V$1000,1):INDEX($V$5:$V$1000,$U217-4),"Macro",INDEX($S$5:$S$1000,1):INDEX($S$5:$S$1000,$U217-4),INDEX($S$5:$S$1000,$U217-4))&amp;"."&amp;COUNTIFS($U$5:$U217,$U217,$V$5:$V217,"Sub"))))</f>
        <v/>
      </c>
      <c r="B217" s="57" t="n"/>
      <c r="C217" s="58" t="n"/>
      <c r="D217" s="58" t="n"/>
      <c r="E217" s="59">
        <f>IF(N($AQ217)&gt;0,INDEX(rIni_ADM,$AQ217),"")</f>
        <v/>
      </c>
      <c r="F217" s="59">
        <f>IF(N($AQ217)&gt;0,INDEX(rLim_ADM,$AQ217),"")</f>
        <v/>
      </c>
      <c r="G217" s="59" t="n"/>
      <c r="H217" s="60" t="n"/>
      <c r="I217" s="60">
        <f>IF(N($W217)=0,"",IF(AND($S217=MesCiclo,1&gt;SemanaActual),"",MIN(1,SUMIFS(OFFSET($A$1,ROW(),29,1000-ROW(),1),OFFSET($A$1,ROW(),20,1000-ROW(),1),ROW(),OFFSET($A$1,ROW(),21,1000-ROW(),1),"Sub"))))</f>
        <v/>
      </c>
      <c r="J217" s="60">
        <f>IF(N($W217)=0,"",IF(AND($S217=MesCiclo,2&gt;SemanaActual),"",MIN(1,SUMIFS(OFFSET($A$1,ROW(),30,1000-ROW(),1),OFFSET($A$1,ROW(),20,1000-ROW(),1),ROW(),OFFSET($A$1,ROW(),21,1000-ROW(),1),"Sub"))))</f>
        <v/>
      </c>
      <c r="K217" s="60">
        <f>IF(N($W217)=0,"",IF(AND($S217=MesCiclo,3&gt;SemanaActual),"",MIN(1,SUMIFS(OFFSET($A$1,ROW(),31,1000-ROW(),1),OFFSET($A$1,ROW(),20,1000-ROW(),1),ROW(),OFFSET($A$1,ROW(),21,1000-ROW(),1),"Sub"))))</f>
        <v/>
      </c>
      <c r="L217" s="60">
        <f>IF(N($W217)=0,"",IF(AND($S217=MesCiclo,4&gt;SemanaActual),"",MIN(1,SUMIFS(OFFSET($A$1,ROW(),32,1000-ROW(),1),OFFSET($A$1,ROW(),20,1000-ROW(),1),ROW(),OFFSET($A$1,ROW(),21,1000-ROW(),1),"Sub"))))</f>
        <v/>
      </c>
      <c r="M217" s="61">
        <f>IF(OR(NOT((COUNTA($B217:$D217)+COUNTA($G217:$H217)+COUNTA($Q217))&gt;0),$V217="Sub"),"",IF(ISNUMBER($G217),1,IF(N($W217)&gt;0,MIN(1,SUMIFS($Y$5:$Y$1000,$U$5:$U$1000,ROW(),$V$5:$V$1000,"Sub")),$Y217)))</f>
        <v/>
      </c>
      <c r="N217" s="56">
        <f>IF(OR($M217="",$V217="Sub"),"",IF($M217&gt;=1,"Completado",IF($M217&gt;0,"En curso","Pendiente")))</f>
        <v/>
      </c>
      <c r="O217" s="56">
        <f>IF(OR(NOT((COUNTA($B217:$D217)+COUNTA($G217:$H217)+COUNTA($Q217))&gt;0),$V217="Sub"),"",IF(ISNUMBER($G217),IF(AND(ISNUMBER($AS217),$G217&gt;$AS217),"Cumplida con "&amp;($G217-$AS217)&amp;IF($G217-$AS217=1," día"," días")&amp;" de retraso","Cumplida"),IF(N($M217)&gt;=1,"Cumplida",IF(NOT(ISNUMBER($AS217)),"Sin fecha límite",IF($AS217&lt;FechaRef,"Vencida hace "&amp;(FechaRef-$AS217)&amp;IF(FechaRef-$AS217=1," día"," días"),IF($AS217=FechaRef,"Vence hoy",IF($AS217-FechaRef&lt;=DiasAlerta,"Vence en "&amp;($AS217-FechaRef)&amp;IF($AS217-FechaRef=1," día"," días"),"En plazo")))))))</f>
        <v/>
      </c>
      <c r="P217" s="62" t="n"/>
      <c r="Q217" s="58" t="n"/>
      <c r="R217" s="63">
        <f>IF(NOT((COUNTA($B217:$D217)+COUNTA($G217:$H217)+COUNTA($Q217))&gt;0),"",IF((IF($C217="","Falta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 OK","⚠ "&amp;LEFT(IF($C217="","Falta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",""),LEN(IF($C217="","Falta el nombre de la actividad"&amp;" · ","")&amp;IF(AND($V217="Sub",N($U217)=0),"Subactividad sin macroactividad arriba"&amp;" · ","")&amp;IF(AND($V217="Macro",$AR217=""),"Sin fecha de inicio"&amp;" · ","")&amp;IF(AND($V217="Macro",$AS217=""),"Sin fecha límite"&amp;" · ","")&amp;IF(AND(LEFT($C217,11)="[Jefatura] ",N($AQ217)=0),"No se encuentra en la hoja de la jefatura (elíjala de nuevo en la lista)"&amp;" · ","")&amp;IF(OR(AND($E217&lt;&gt;"",NOT(ISNUMBER($E217))),AND($F217&lt;&gt;"",NOT(ISNUMBER($F217))),AND($G217&lt;&gt;"",NOT(ISNUMBER($G217)))),"Fecha no válida"&amp;" · ","")&amp;IF(AND(ISNUMBER($AR217),ISNUMBER($AS217),$AR217&gt;$AS217),"Inicio posterior a fecha límite"&amp;" · ","")&amp;IF(AND($V217="Macro",$H217&lt;&gt;"",OR(NOT(ISNUMBER($H217)),$H217&lt;0,$H217&gt;1)),"Peso fuera de rango"&amp;" · ","")&amp;IF(AND($V217="Sub",$H217&lt;&gt;"",OR(NOT(ISNUMBER($H217)),$H217&lt;0,$H217&gt;1)),"% de la subactividad fuera de rango 0-100%"&amp;" · ","")&amp;IF(AND(N($W217)&gt;0,SUMIFS($H$5:$H$1000,$U$5:$U$1000,ROW(),$V$5:$V$1000,"Sub")&gt;1.0001),"Las subactividades suman más de 100%"&amp;" · ","")&amp;IF(AND(N($W217)&gt;0,OR(IF(ISNUMBER($I217),ROUND($I217,6)&lt;&gt;ROUND(MIN(1,SUMIFS($AD$5:$AD$1000,$U$5:$U$1000,ROW(),$V$5:$V$1000,"Sub")),6),FALSE),IF(ISNUMBER($J217),ROUND($J217,6)&lt;&gt;ROUND(MIN(1,SUMIFS($AE$5:$AE$1000,$U$5:$U$1000,ROW(),$V$5:$V$1000,"Sub")),6),FALSE),IF(ISNUMBER($K217),ROUND($K217,6)&lt;&gt;ROUND(MIN(1,SUMIFS($AF$5:$AF$1000,$U$5:$U$1000,ROW(),$V$5:$V$1000,"Sub")),6),FALSE),IF(ISNUMBER($L217),ROUND($L217,6)&lt;&gt;ROUND(MIN(1,SUMIFS($AG$5:$AG$1000,$U$5:$U$1000,ROW(),$V$5:$V$1000,"Sub")),6),FALSE))),"Con subactividades: no escriba en las semanas (se llenan solas)"&amp;" · ","")&amp;IF((COUNTIF($I217:$L217,"&gt;1")+COUNTIF($I217:$L217,"&lt;0")+SUMPRODUCT((LEN($I217:$L217)&gt;0)*NOT(ISNUMBER($I217:$L217))))&gt;0,"Avance fuera de rango 0-100%"&amp;" · ","")&amp;IF(OR(AND(ISNUMBER($J217),$J217&lt;N($I217)),AND(ISNUMBER($K217),$K217&lt;MAX($I217:$J217)),AND(ISNUMBER($L217),$L217&lt;MAX($I217:$K217))),"Avance semanal decreciente"&amp;" · ","")&amp;IF(AND(ISNUMBER($AS217),$AS217&lt;FechaRef,IF($V217="Sub",1,N($M217))&lt;1),"Vencida"&amp;" · ","")&amp;IF(AND(ObsObligatoria="Sí",ISNUMBER($AS217),$AS217&lt;FechaRef,IF($V217="Sub",1,N($M217))&lt;1,$Q217=""),"Vencida sin observación"&amp;" · ",""))-3)))</f>
        <v/>
      </c>
      <c r="S217" s="64">
        <f>IF(NOT((COUNTA($B217:$D217)+COUNTA($G217:$H217)+COUNTA($Q217))&gt;0),"",IF(AND($V217="Sub",N($U217)&gt;0),IF(ISNUMBER(INDEX($AR$5:$AR$1000,$U217-4)),DATE(YEAR(INDEX($AR$5:$AR$1000,$U217-4)),MONTH(INDEX($AR$5:$AR$1000,$U217-4)),1),IF(ISNUMBER(INDEX($AS$5:$AS$1000,$U217-4)),DATE(YEAR(INDEX($AS$5:$AS$1000,$U217-4)),MONTH(INDEX($AS$5:$AS$1000,$U217-4)),1),MesCiclo)),IF(ISNUMBER($AR217),DATE(YEAR($AR217),MONTH($AR217),1),IF(ISNUMBER($AS217),DATE(YEAR($AS217),MONTH($AS217),1),MesCiclo))))</f>
        <v/>
      </c>
      <c r="T217" s="62">
        <f>IF(OR($S217="",$S217&lt;&gt;MesCiclo,$V217&lt;&gt;"Macro"),"",COUNTIFS($S$5:$S217,MesCiclo,$V$5:$V217,"Macro"))</f>
        <v/>
      </c>
      <c r="U217" s="62">
        <f>IF($V217="","",IF($V217="Macro",ROW(),IFERROR(LOOKUP(2,1/($V$5:$V217="Macro"),ROW($V$5:$V217)),0)))</f>
        <v/>
      </c>
      <c r="V217" s="62">
        <f>IF(NOT((COUNTA($B217:$D217)+COUNTA($G217:$H217)+COUNTA($Q217))&gt;0),"",IF($B217="Subactividad","Sub","Macro"))</f>
        <v/>
      </c>
      <c r="W217" s="62">
        <f>IF($V217="Macro",COUNTIFS($U$5:$U$1000,ROW(),$V$5:$V$1000,"Sub"),"")</f>
        <v/>
      </c>
      <c r="X217" s="62">
        <f>IF($V217&lt;&gt;"Sub","",IF(AND(ISNUMBER($H217),N($H217)&gt;0),$H217,IFERROR(MAX(0,1-SUMIFS($H$5:$H$1000,$U$5:$U$1000,$U217,$V$5:$V$1000,"Sub"))/(COUNTIFS($U$5:$U$1000,$U217,$V$5:$V$1000,"Sub")-COUNTIFS($U$5:$U$1000,$U217,$V$5:$V$1000,"Sub",$H$5:$H$1000,"&gt;0")),0)))</f>
        <v/>
      </c>
      <c r="Y217" s="62">
        <f>IF($V217="","",IF($V217="Sub",N($X217)*IF(ISNUMBER($G217),1,MIN(1,MAX(0,IFERROR(LOOKUP(2,1/ISNUMBER($I217:$L217),$I217:$L217),0)))),IF(ISNUMBER($G217),1,IFERROR(LOOKUP(2,1/($I217:$L217&lt;&gt;""),$I217:$L217),0))))</f>
        <v/>
      </c>
      <c r="Z217" s="62">
        <f>IF($V217="","",IF(AND(ISNUMBER($G217),$G217&lt;=IF($S217=MesCiclo,InicioCiclo,$S217+MOD(2-WEEKDAY($S217),7))+6),1,IF(ISNUMBER($I217),$I217,0)))</f>
        <v/>
      </c>
      <c r="AA217" s="62">
        <f>IF($V217="","",IF(AND(ISNUMBER($G217),$G217&lt;=IF($S217=MesCiclo,InicioCiclo,$S217+MOD(2-WEEKDAY($S217),7))+13),1,IF(ISNUMBER($J217),$J217,$Z217)))</f>
        <v/>
      </c>
      <c r="AB217" s="62">
        <f>IF($V217="","",IF(AND(ISNUMBER($G217),$G217&lt;=IF($S217=MesCiclo,InicioCiclo,$S217+MOD(2-WEEKDAY($S217),7))+20),1,IF(ISNUMBER($K217),$K217,$AA217)))</f>
        <v/>
      </c>
      <c r="AC217" s="62">
        <f>IF($V217="","",IF(AND(ISNUMBER($G217),$G217&lt;=IF($S217=MesCiclo,InicioCiclo,$S217+MOD(2-WEEKDAY($S217),7))+27),1,IF(ISNUMBER($L217),$L217,$AB217)))</f>
        <v/>
      </c>
      <c r="AD217" s="62">
        <f>IF($V217&lt;&gt;"Sub","",N($X217)*IF(AND(ISNUMBER($G217),$G217&lt;=IF($S217=MesCiclo,InicioCiclo,$S217+MOD(2-WEEKDAY($S217),7))+6),1,MIN(1,MAX(0,IF(ISNUMBER(OFFSET($A$1,ROW()-1,8)),OFFSET($A$1,ROW()-1,8),0)))))</f>
        <v/>
      </c>
      <c r="AE217" s="62">
        <f>IF($V217&lt;&gt;"Sub","",N($X217)*IF(AND(ISNUMBER($G217),$G217&lt;=IF($S217=MesCiclo,InicioCiclo,$S217+MOD(2-WEEKDAY($S217),7))+13),1,MIN(1,MAX(0,IF(ISNUMBER(OFFSET($A$1,ROW()-1,9)),OFFSET($A$1,ROW()-1,9),IF(ISNUMBER(OFFSET($A$1,ROW()-1,8)),OFFSET($A$1,ROW()-1,8),0))))))</f>
        <v/>
      </c>
      <c r="AF217" s="62">
        <f>IF($V217&lt;&gt;"Sub","",N($X217)*IF(AND(ISNUMBER($G217),$G217&lt;=IF($S217=MesCiclo,InicioCiclo,$S217+MOD(2-WEEKDAY($S217),7))+20),1,MIN(1,MAX(0,IF(ISNUMBER(OFFSET($A$1,ROW()-1,10)),OFFSET($A$1,ROW()-1,10),IF(ISNUMBER(OFFSET($A$1,ROW()-1,9)),OFFSET($A$1,ROW()-1,9),IF(ISNUMBER(OFFSET($A$1,ROW()-1,8)),OFFSET($A$1,ROW()-1,8),0)))))))</f>
        <v/>
      </c>
      <c r="AG217" s="62">
        <f>IF($V217&lt;&gt;"Sub","",N($X217)*IF(AND(ISNUMBER($G217),$G217&lt;=IF($S217=MesCiclo,InicioCiclo,$S217+MOD(2-WEEKDAY($S217),7))+27),1,MIN(1,MAX(0,IF(ISNUMBER(OFFSET($A$1,ROW()-1,11)),OFFSET($A$1,ROW()-1,11),IF(ISNUMBER(OFFSET($A$1,ROW()-1,10)),OFFSET($A$1,ROW()-1,10),IF(ISNUMBER(OFFSET($A$1,ROW()-1,9)),OFFSET($A$1,ROW()-1,9),IF(ISNUMBER(OFFSET($A$1,ROW()-1,8)),OFFSET($A$1,ROW()-1,8),0))))))))</f>
        <v/>
      </c>
      <c r="AH217" s="62">
        <f>IF($V217="","",IF(AND(ISNUMBER($G217),$G217&lt;=IF($S217=MesCiclo,InicioCiclo,$S217+MOD(2-WEEKDAY($S217),7))+6),1,IF(N($W217)&gt;0,MIN(1,SUMIFS($AD$5:$AD$1000,$U$5:$U$1000,ROW(),$V$5:$V$1000,"Sub")),$Z217)))</f>
        <v/>
      </c>
      <c r="AI217" s="62">
        <f>IF($V217="","",IF(AND(ISNUMBER($G217),$G217&lt;=IF($S217=MesCiclo,InicioCiclo,$S217+MOD(2-WEEKDAY($S217),7))+13),1,IF(N($W217)&gt;0,MIN(1,SUMIFS($AE$5:$AE$1000,$U$5:$U$1000,ROW(),$V$5:$V$1000,"Sub")),$AA217)))</f>
        <v/>
      </c>
      <c r="AJ217" s="62">
        <f>IF($V217="","",IF(AND(ISNUMBER($G217),$G217&lt;=IF($S217=MesCiclo,InicioCiclo,$S217+MOD(2-WEEKDAY($S217),7))+20),1,IF(N($W217)&gt;0,MIN(1,SUMIFS($AF$5:$AF$1000,$U$5:$U$1000,ROW(),$V$5:$V$1000,"Sub")),$AB217)))</f>
        <v/>
      </c>
      <c r="AK217" s="62">
        <f>IF($V217="","",IF(AND(ISNUMBER($G217),$G217&lt;=IF($S217=MesCiclo,InicioCiclo,$S217+MOD(2-WEEKDAY($S217),7))+27),1,IF(N($W217)&gt;0,MIN(1,SUMIFS($AG$5:$AG$1000,$U$5:$U$1000,ROW(),$V$5:$V$1000,"Sub")),$AC217)))</f>
        <v/>
      </c>
      <c r="AL217" s="62">
        <f>IF($V217&lt;&gt;"Macro","",IF(COUNTIFS($S$5:$S$1000,$S217,$V$5:$V$1000,"Macro",$H$5:$H$1000,"&gt;0")=0,1/COUNTIFS($S$5:$S$1000,$S217,$V$5:$V$1000,"Macro"),IF(AND(ISNUMBER($H217),N($H217)&gt;0),$H217,SUMIFS($H$5:$H$1000,$S$5:$S$1000,$S217,$V$5:$V$1000,"Macro")/COUNTIFS($S$5:$S$1000,$S217,$V$5:$V$1000,"Macro",$H$5:$H$1000,"&gt;0"))/(COUNTIFS($S$5:$S$1000,$S217,$V$5:$V$1000,"Macro")*SUMIFS($H$5:$H$1000,$S$5:$S$1000,$S217,$V$5:$V$1000,"Macro")/COUNTIFS($S$5:$S$1000,$S217,$V$5:$V$1000,"Macro",$H$5:$H$1000,"&gt;0"))))</f>
        <v/>
      </c>
      <c r="AM217" s="62" t="n"/>
      <c r="AN217" s="62" t="n"/>
      <c r="AO217" s="62" t="n"/>
      <c r="AP217" s="62" t="n"/>
      <c r="AQ217" s="62">
        <f>IF(LEFT($C217,11)="[Jefatura] ",IFERROR(MATCH("Asistente Técnico de Riesgo|"&amp;MID($C217,12,500),rDname_ADM,0),0),"")</f>
        <v/>
      </c>
      <c r="AR217" s="62">
        <f>IF(N($AQ217)&gt;0,INDEX(rIni_ADM,$AQ217),IF(ISNUMBER($E217),$E217,""))</f>
        <v/>
      </c>
      <c r="AS217" s="62">
        <f>IF(N($AQ217)&gt;0,INDEX(rLim_ADM,$AQ217),IF(ISNUMBER($F217),$F217,""))</f>
        <v/>
      </c>
    </row>
    <row r="218">
      <c r="A218" s="56">
        <f>IF(NOT((COUNTA($B218:$D218)+COUNTA($G218:$H218)+COUNTA($Q218))&gt;0),"",IF($V218="Macro",COUNTIFS($V$5:$V218,"Macro",$S$5:$S218,$S218),IF(N($U218)=0,"?",COUNTIFS(INDEX($V$5:$V$1000,1):INDEX($V$5:$V$1000,$U218-4),"Macro",INDEX($S$5:$S$1000,1):INDEX($S$5:$S$1000,$U218-4),INDEX($S$5:$S$1000,$U218-4))&amp;"."&amp;COUNTIFS($U$5:$U218,$U218,$V$5:$V218,"Sub"))))</f>
        <v/>
      </c>
      <c r="B218" s="57" t="n"/>
      <c r="C218" s="58" t="n"/>
      <c r="D218" s="58" t="n"/>
      <c r="E218" s="59">
        <f>IF(N($AQ218)&gt;0,INDEX(rIni_ADM,$AQ218),"")</f>
        <v/>
      </c>
      <c r="F218" s="59">
        <f>IF(N($AQ218)&gt;0,INDEX(rLim_ADM,$AQ218),"")</f>
        <v/>
      </c>
      <c r="G218" s="59" t="n"/>
      <c r="H218" s="60" t="n"/>
      <c r="I218" s="60">
        <f>IF(N($W218)=0,"",IF(AND($S218=MesCiclo,1&gt;SemanaActual),"",MIN(1,SUMIFS(OFFSET($A$1,ROW(),29,1000-ROW(),1),OFFSET($A$1,ROW(),20,1000-ROW(),1),ROW(),OFFSET($A$1,ROW(),21,1000-ROW(),1),"Sub"))))</f>
        <v/>
      </c>
      <c r="J218" s="60">
        <f>IF(N($W218)=0,"",IF(AND($S218=MesCiclo,2&gt;SemanaActual),"",MIN(1,SUMIFS(OFFSET($A$1,ROW(),30,1000-ROW(),1),OFFSET($A$1,ROW(),20,1000-ROW(),1),ROW(),OFFSET($A$1,ROW(),21,1000-ROW(),1),"Sub"))))</f>
        <v/>
      </c>
      <c r="K218" s="60">
        <f>IF(N($W218)=0,"",IF(AND($S218=MesCiclo,3&gt;SemanaActual),"",MIN(1,SUMIFS(OFFSET($A$1,ROW(),31,1000-ROW(),1),OFFSET($A$1,ROW(),20,1000-ROW(),1),ROW(),OFFSET($A$1,ROW(),21,1000-ROW(),1),"Sub"))))</f>
        <v/>
      </c>
      <c r="L218" s="60">
        <f>IF(N($W218)=0,"",IF(AND($S218=MesCiclo,4&gt;SemanaActual),"",MIN(1,SUMIFS(OFFSET($A$1,ROW(),32,1000-ROW(),1),OFFSET($A$1,ROW(),20,1000-ROW(),1),ROW(),OFFSET($A$1,ROW(),21,1000-ROW(),1),"Sub"))))</f>
        <v/>
      </c>
      <c r="M218" s="61">
        <f>IF(OR(NOT((COUNTA($B218:$D218)+COUNTA($G218:$H218)+COUNTA($Q218))&gt;0),$V218="Sub"),"",IF(ISNUMBER($G218),1,IF(N($W218)&gt;0,MIN(1,SUMIFS($Y$5:$Y$1000,$U$5:$U$1000,ROW(),$V$5:$V$1000,"Sub")),$Y218)))</f>
        <v/>
      </c>
      <c r="N218" s="56">
        <f>IF(OR($M218="",$V218="Sub"),"",IF($M218&gt;=1,"Completado",IF($M218&gt;0,"En curso","Pendiente")))</f>
        <v/>
      </c>
      <c r="O218" s="56">
        <f>IF(OR(NOT((COUNTA($B218:$D218)+COUNTA($G218:$H218)+COUNTA($Q218))&gt;0),$V218="Sub"),"",IF(ISNUMBER($G218),IF(AND(ISNUMBER($AS218),$G218&gt;$AS218),"Cumplida con "&amp;($G218-$AS218)&amp;IF($G218-$AS218=1," día"," días")&amp;" de retraso","Cumplida"),IF(N($M218)&gt;=1,"Cumplida",IF(NOT(ISNUMBER($AS218)),"Sin fecha límite",IF($AS218&lt;FechaRef,"Vencida hace "&amp;(FechaRef-$AS218)&amp;IF(FechaRef-$AS218=1," día"," días"),IF($AS218=FechaRef,"Vence hoy",IF($AS218-FechaRef&lt;=DiasAlerta,"Vence en "&amp;($AS218-FechaRef)&amp;IF($AS218-FechaRef=1," día"," días"),"En plazo")))))))</f>
        <v/>
      </c>
      <c r="P218" s="62" t="n"/>
      <c r="Q218" s="58" t="n"/>
      <c r="R218" s="63">
        <f>IF(NOT((COUNTA($B218:$D218)+COUNTA($G218:$H218)+COUNTA($Q218))&gt;0),"",IF((IF($C218="","Falta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 OK","⚠ "&amp;LEFT(IF($C218="","Falta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",""),LEN(IF($C218="","Falta el nombre de la actividad"&amp;" · ","")&amp;IF(AND($V218="Sub",N($U218)=0),"Subactividad sin macroactividad arriba"&amp;" · ","")&amp;IF(AND($V218="Macro",$AR218=""),"Sin fecha de inicio"&amp;" · ","")&amp;IF(AND($V218="Macro",$AS218=""),"Sin fecha límite"&amp;" · ","")&amp;IF(AND(LEFT($C218,11)="[Jefatura] ",N($AQ218)=0),"No se encuentra en la hoja de la jefatura (elíjala de nuevo en la lista)"&amp;" · ","")&amp;IF(OR(AND($E218&lt;&gt;"",NOT(ISNUMBER($E218))),AND($F218&lt;&gt;"",NOT(ISNUMBER($F218))),AND($G218&lt;&gt;"",NOT(ISNUMBER($G218)))),"Fecha no válida"&amp;" · ","")&amp;IF(AND(ISNUMBER($AR218),ISNUMBER($AS218),$AR218&gt;$AS218),"Inicio posterior a fecha límite"&amp;" · ","")&amp;IF(AND($V218="Macro",$H218&lt;&gt;"",OR(NOT(ISNUMBER($H218)),$H218&lt;0,$H218&gt;1)),"Peso fuera de rango"&amp;" · ","")&amp;IF(AND($V218="Sub",$H218&lt;&gt;"",OR(NOT(ISNUMBER($H218)),$H218&lt;0,$H218&gt;1)),"% de la subactividad fuera de rango 0-100%"&amp;" · ","")&amp;IF(AND(N($W218)&gt;0,SUMIFS($H$5:$H$1000,$U$5:$U$1000,ROW(),$V$5:$V$1000,"Sub")&gt;1.0001),"Las subactividades suman más de 100%"&amp;" · ","")&amp;IF(AND(N($W218)&gt;0,OR(IF(ISNUMBER($I218),ROUND($I218,6)&lt;&gt;ROUND(MIN(1,SUMIFS($AD$5:$AD$1000,$U$5:$U$1000,ROW(),$V$5:$V$1000,"Sub")),6),FALSE),IF(ISNUMBER($J218),ROUND($J218,6)&lt;&gt;ROUND(MIN(1,SUMIFS($AE$5:$AE$1000,$U$5:$U$1000,ROW(),$V$5:$V$1000,"Sub")),6),FALSE),IF(ISNUMBER($K218),ROUND($K218,6)&lt;&gt;ROUND(MIN(1,SUMIFS($AF$5:$AF$1000,$U$5:$U$1000,ROW(),$V$5:$V$1000,"Sub")),6),FALSE),IF(ISNUMBER($L218),ROUND($L218,6)&lt;&gt;ROUND(MIN(1,SUMIFS($AG$5:$AG$1000,$U$5:$U$1000,ROW(),$V$5:$V$1000,"Sub")),6),FALSE))),"Con subactividades: no escriba en las semanas (se llenan solas)"&amp;" · ","")&amp;IF((COUNTIF($I218:$L218,"&gt;1")+COUNTIF($I218:$L218,"&lt;0")+SUMPRODUCT((LEN($I218:$L218)&gt;0)*NOT(ISNUMBER($I218:$L218))))&gt;0,"Avance fuera de rango 0-100%"&amp;" · ","")&amp;IF(OR(AND(ISNUMBER($J218),$J218&lt;N($I218)),AND(ISNUMBER($K218),$K218&lt;MAX($I218:$J218)),AND(ISNUMBER($L218),$L218&lt;MAX($I218:$K218))),"Avance semanal decreciente"&amp;" · ","")&amp;IF(AND(ISNUMBER($AS218),$AS218&lt;FechaRef,IF($V218="Sub",1,N($M218))&lt;1),"Vencida"&amp;" · ","")&amp;IF(AND(ObsObligatoria="Sí",ISNUMBER($AS218),$AS218&lt;FechaRef,IF($V218="Sub",1,N($M218))&lt;1,$Q218=""),"Vencida sin observación"&amp;" · ",""))-3)))</f>
        <v/>
      </c>
      <c r="S218" s="64">
        <f>IF(NOT((COUNTA($B218:$D218)+COUNTA($G218:$H218)+COUNTA($Q218))&gt;0),"",IF(AND($V218="Sub",N($U218)&gt;0),IF(ISNUMBER(INDEX($AR$5:$AR$1000,$U218-4)),DATE(YEAR(INDEX($AR$5:$AR$1000,$U218-4)),MONTH(INDEX($AR$5:$AR$1000,$U218-4)),1),IF(ISNUMBER(INDEX($AS$5:$AS$1000,$U218-4)),DATE(YEAR(INDEX($AS$5:$AS$1000,$U218-4)),MONTH(INDEX($AS$5:$AS$1000,$U218-4)),1),MesCiclo)),IF(ISNUMBER($AR218),DATE(YEAR($AR218),MONTH($AR218),1),IF(ISNUMBER($AS218),DATE(YEAR($AS218),MONTH($AS218),1),MesCiclo))))</f>
        <v/>
      </c>
      <c r="T218" s="62">
        <f>IF(OR($S218="",$S218&lt;&gt;MesCiclo,$V218&lt;&gt;"Macro"),"",COUNTIFS($S$5:$S218,MesCiclo,$V$5:$V218,"Macro"))</f>
        <v/>
      </c>
      <c r="U218" s="62">
        <f>IF($V218="","",IF($V218="Macro",ROW(),IFERROR(LOOKUP(2,1/($V$5:$V218="Macro"),ROW($V$5:$V218)),0)))</f>
        <v/>
      </c>
      <c r="V218" s="62">
        <f>IF(NOT((COUNTA($B218:$D218)+COUNTA($G218:$H218)+COUNTA($Q218))&gt;0),"",IF($B218="Subactividad","Sub","Macro"))</f>
        <v/>
      </c>
      <c r="W218" s="62">
        <f>IF($V218="Macro",COUNTIFS($U$5:$U$1000,ROW(),$V$5:$V$1000,"Sub"),"")</f>
        <v/>
      </c>
      <c r="X218" s="62">
        <f>IF($V218&lt;&gt;"Sub","",IF(AND(ISNUMBER($H218),N($H218)&gt;0),$H218,IFERROR(MAX(0,1-SUMIFS($H$5:$H$1000,$U$5:$U$1000,$U218,$V$5:$V$1000,"Sub"))/(COUNTIFS($U$5:$U$1000,$U218,$V$5:$V$1000,"Sub")-COUNTIFS($U$5:$U$1000,$U218,$V$5:$V$1000,"Sub",$H$5:$H$1000,"&gt;0")),0)))</f>
        <v/>
      </c>
      <c r="Y218" s="62">
        <f>IF($V218="","",IF($V218="Sub",N($X218)*IF(ISNUMBER($G218),1,MIN(1,MAX(0,IFERROR(LOOKUP(2,1/ISNUMBER($I218:$L218),$I218:$L218),0)))),IF(ISNUMBER($G218),1,IFERROR(LOOKUP(2,1/($I218:$L218&lt;&gt;""),$I218:$L218),0))))</f>
        <v/>
      </c>
      <c r="Z218" s="62">
        <f>IF($V218="","",IF(AND(ISNUMBER($G218),$G218&lt;=IF($S218=MesCiclo,InicioCiclo,$S218+MOD(2-WEEKDAY($S218),7))+6),1,IF(ISNUMBER($I218),$I218,0)))</f>
        <v/>
      </c>
      <c r="AA218" s="62">
        <f>IF($V218="","",IF(AND(ISNUMBER($G218),$G218&lt;=IF($S218=MesCiclo,InicioCiclo,$S218+MOD(2-WEEKDAY($S218),7))+13),1,IF(ISNUMBER($J218),$J218,$Z218)))</f>
        <v/>
      </c>
      <c r="AB218" s="62">
        <f>IF($V218="","",IF(AND(ISNUMBER($G218),$G218&lt;=IF($S218=MesCiclo,InicioCiclo,$S218+MOD(2-WEEKDAY($S218),7))+20),1,IF(ISNUMBER($K218),$K218,$AA218)))</f>
        <v/>
      </c>
      <c r="AC218" s="62">
        <f>IF($V218="","",IF(AND(ISNUMBER($G218),$G218&lt;=IF($S218=MesCiclo,InicioCiclo,$S218+MOD(2-WEEKDAY($S218),7))+27),1,IF(ISNUMBER($L218),$L218,$AB218)))</f>
        <v/>
      </c>
      <c r="AD218" s="62">
        <f>IF($V218&lt;&gt;"Sub","",N($X218)*IF(AND(ISNUMBER($G218),$G218&lt;=IF($S218=MesCiclo,InicioCiclo,$S218+MOD(2-WEEKDAY($S218),7))+6),1,MIN(1,MAX(0,IF(ISNUMBER(OFFSET($A$1,ROW()-1,8)),OFFSET($A$1,ROW()-1,8),0)))))</f>
        <v/>
      </c>
      <c r="AE218" s="62">
        <f>IF($V218&lt;&gt;"Sub","",N($X218)*IF(AND(ISNUMBER($G218),$G218&lt;=IF($S218=MesCiclo,InicioCiclo,$S218+MOD(2-WEEKDAY($S218),7))+13),1,MIN(1,MAX(0,IF(ISNUMBER(OFFSET($A$1,ROW()-1,9)),OFFSET($A$1,ROW()-1,9),IF(ISNUMBER(OFFSET($A$1,ROW()-1,8)),OFFSET($A$1,ROW()-1,8),0))))))</f>
        <v/>
      </c>
      <c r="AF218" s="62">
        <f>IF($V218&lt;&gt;"Sub","",N($X218)*IF(AND(ISNUMBER($G218),$G218&lt;=IF($S218=MesCiclo,InicioCiclo,$S218+MOD(2-WEEKDAY($S218),7))+20),1,MIN(1,MAX(0,IF(ISNUMBER(OFFSET($A$1,ROW()-1,10)),OFFSET($A$1,ROW()-1,10),IF(ISNUMBER(OFFSET($A$1,ROW()-1,9)),OFFSET($A$1,ROW()-1,9),IF(ISNUMBER(OFFSET($A$1,ROW()-1,8)),OFFSET($A$1,ROW()-1,8),0)))))))</f>
        <v/>
      </c>
      <c r="AG218" s="62">
        <f>IF($V218&lt;&gt;"Sub","",N($X218)*IF(AND(ISNUMBER($G218),$G218&lt;=IF($S218=MesCiclo,InicioCiclo,$S218+MOD(2-WEEKDAY($S218),7))+27),1,MIN(1,MAX(0,IF(ISNUMBER(OFFSET($A$1,ROW()-1,11)),OFFSET($A$1,ROW()-1,11),IF(ISNUMBER(OFFSET($A$1,ROW()-1,10)),OFFSET($A$1,ROW()-1,10),IF(ISNUMBER(OFFSET($A$1,ROW()-1,9)),OFFSET($A$1,ROW()-1,9),IF(ISNUMBER(OFFSET($A$1,ROW()-1,8)),OFFSET($A$1,ROW()-1,8),0))))))))</f>
        <v/>
      </c>
      <c r="AH218" s="62">
        <f>IF($V218="","",IF(AND(ISNUMBER($G218),$G218&lt;=IF($S218=MesCiclo,InicioCiclo,$S218+MOD(2-WEEKDAY($S218),7))+6),1,IF(N($W218)&gt;0,MIN(1,SUMIFS($AD$5:$AD$1000,$U$5:$U$1000,ROW(),$V$5:$V$1000,"Sub")),$Z218)))</f>
        <v/>
      </c>
      <c r="AI218" s="62">
        <f>IF($V218="","",IF(AND(ISNUMBER($G218),$G218&lt;=IF($S218=MesCiclo,InicioCiclo,$S218+MOD(2-WEEKDAY($S218),7))+13),1,IF(N($W218)&gt;0,MIN(1,SUMIFS($AE$5:$AE$1000,$U$5:$U$1000,ROW(),$V$5:$V$1000,"Sub")),$AA218)))</f>
        <v/>
      </c>
      <c r="AJ218" s="62">
        <f>IF($V218="","",IF(AND(ISNUMBER($G218),$G218&lt;=IF($S218=MesCiclo,InicioCiclo,$S218+MOD(2-WEEKDAY($S218),7))+20),1,IF(N($W218)&gt;0,MIN(1,SUMIFS($AF$5:$AF$1000,$U$5:$U$1000,ROW(),$V$5:$V$1000,"Sub")),$AB218)))</f>
        <v/>
      </c>
      <c r="AK218" s="62">
        <f>IF($V218="","",IF(AND(ISNUMBER($G218),$G218&lt;=IF($S218=MesCiclo,InicioCiclo,$S218+MOD(2-WEEKDAY($S218),7))+27),1,IF(N($W218)&gt;0,MIN(1,SUMIFS($AG$5:$AG$1000,$U$5:$U$1000,ROW(),$V$5:$V$1000,"Sub")),$AC218)))</f>
        <v/>
      </c>
      <c r="AL218" s="62">
        <f>IF($V218&lt;&gt;"Macro","",IF(COUNTIFS($S$5:$S$1000,$S218,$V$5:$V$1000,"Macro",$H$5:$H$1000,"&gt;0")=0,1/COUNTIFS($S$5:$S$1000,$S218,$V$5:$V$1000,"Macro"),IF(AND(ISNUMBER($H218),N($H218)&gt;0),$H218,SUMIFS($H$5:$H$1000,$S$5:$S$1000,$S218,$V$5:$V$1000,"Macro")/COUNTIFS($S$5:$S$1000,$S218,$V$5:$V$1000,"Macro",$H$5:$H$1000,"&gt;0"))/(COUNTIFS($S$5:$S$1000,$S218,$V$5:$V$1000,"Macro")*SUMIFS($H$5:$H$1000,$S$5:$S$1000,$S218,$V$5:$V$1000,"Macro")/COUNTIFS($S$5:$S$1000,$S218,$V$5:$V$1000,"Macro",$H$5:$H$1000,"&gt;0"))))</f>
        <v/>
      </c>
      <c r="AM218" s="62" t="n"/>
      <c r="AN218" s="62" t="n"/>
      <c r="AO218" s="62" t="n"/>
      <c r="AP218" s="62" t="n"/>
      <c r="AQ218" s="62">
        <f>IF(LEFT($C218,11)="[Jefatura] ",IFERROR(MATCH("Asistente Técnico de Riesgo|"&amp;MID($C218,12,500),rDname_ADM,0),0),"")</f>
        <v/>
      </c>
      <c r="AR218" s="62">
        <f>IF(N($AQ218)&gt;0,INDEX(rIni_ADM,$AQ218),IF(ISNUMBER($E218),$E218,""))</f>
        <v/>
      </c>
      <c r="AS218" s="62">
        <f>IF(N($AQ218)&gt;0,INDEX(rLim_ADM,$AQ218),IF(ISNUMBER($F218),$F218,""))</f>
        <v/>
      </c>
    </row>
    <row r="219">
      <c r="A219" s="56">
        <f>IF(NOT((COUNTA($B219:$D219)+COUNTA($G219:$H219)+COUNTA($Q219))&gt;0),"",IF($V219="Macro",COUNTIFS($V$5:$V219,"Macro",$S$5:$S219,$S219),IF(N($U219)=0,"?",COUNTIFS(INDEX($V$5:$V$1000,1):INDEX($V$5:$V$1000,$U219-4),"Macro",INDEX($S$5:$S$1000,1):INDEX($S$5:$S$1000,$U219-4),INDEX($S$5:$S$1000,$U219-4))&amp;"."&amp;COUNTIFS($U$5:$U219,$U219,$V$5:$V219,"Sub"))))</f>
        <v/>
      </c>
      <c r="B219" s="57" t="n"/>
      <c r="C219" s="58" t="n"/>
      <c r="D219" s="58" t="n"/>
      <c r="E219" s="59">
        <f>IF(N($AQ219)&gt;0,INDEX(rIni_ADM,$AQ219),"")</f>
        <v/>
      </c>
      <c r="F219" s="59">
        <f>IF(N($AQ219)&gt;0,INDEX(rLim_ADM,$AQ219),"")</f>
        <v/>
      </c>
      <c r="G219" s="59" t="n"/>
      <c r="H219" s="60" t="n"/>
      <c r="I219" s="60">
        <f>IF(N($W219)=0,"",IF(AND($S219=MesCiclo,1&gt;SemanaActual),"",MIN(1,SUMIFS(OFFSET($A$1,ROW(),29,1000-ROW(),1),OFFSET($A$1,ROW(),20,1000-ROW(),1),ROW(),OFFSET($A$1,ROW(),21,1000-ROW(),1),"Sub"))))</f>
        <v/>
      </c>
      <c r="J219" s="60">
        <f>IF(N($W219)=0,"",IF(AND($S219=MesCiclo,2&gt;SemanaActual),"",MIN(1,SUMIFS(OFFSET($A$1,ROW(),30,1000-ROW(),1),OFFSET($A$1,ROW(),20,1000-ROW(),1),ROW(),OFFSET($A$1,ROW(),21,1000-ROW(),1),"Sub"))))</f>
        <v/>
      </c>
      <c r="K219" s="60">
        <f>IF(N($W219)=0,"",IF(AND($S219=MesCiclo,3&gt;SemanaActual),"",MIN(1,SUMIFS(OFFSET($A$1,ROW(),31,1000-ROW(),1),OFFSET($A$1,ROW(),20,1000-ROW(),1),ROW(),OFFSET($A$1,ROW(),21,1000-ROW(),1),"Sub"))))</f>
        <v/>
      </c>
      <c r="L219" s="60">
        <f>IF(N($W219)=0,"",IF(AND($S219=MesCiclo,4&gt;SemanaActual),"",MIN(1,SUMIFS(OFFSET($A$1,ROW(),32,1000-ROW(),1),OFFSET($A$1,ROW(),20,1000-ROW(),1),ROW(),OFFSET($A$1,ROW(),21,1000-ROW(),1),"Sub"))))</f>
        <v/>
      </c>
      <c r="M219" s="61">
        <f>IF(OR(NOT((COUNTA($B219:$D219)+COUNTA($G219:$H219)+COUNTA($Q219))&gt;0),$V219="Sub"),"",IF(ISNUMBER($G219),1,IF(N($W219)&gt;0,MIN(1,SUMIFS($Y$5:$Y$1000,$U$5:$U$1000,ROW(),$V$5:$V$1000,"Sub")),$Y219)))</f>
        <v/>
      </c>
      <c r="N219" s="56">
        <f>IF(OR($M219="",$V219="Sub"),"",IF($M219&gt;=1,"Completado",IF($M219&gt;0,"En curso","Pendiente")))</f>
        <v/>
      </c>
      <c r="O219" s="56">
        <f>IF(OR(NOT((COUNTA($B219:$D219)+COUNTA($G219:$H219)+COUNTA($Q219))&gt;0),$V219="Sub"),"",IF(ISNUMBER($G219),IF(AND(ISNUMBER($AS219),$G219&gt;$AS219),"Cumplida con "&amp;($G219-$AS219)&amp;IF($G219-$AS219=1," día"," días")&amp;" de retraso","Cumplida"),IF(N($M219)&gt;=1,"Cumplida",IF(NOT(ISNUMBER($AS219)),"Sin fecha límite",IF($AS219&lt;FechaRef,"Vencida hace "&amp;(FechaRef-$AS219)&amp;IF(FechaRef-$AS219=1," día"," días"),IF($AS219=FechaRef,"Vence hoy",IF($AS219-FechaRef&lt;=DiasAlerta,"Vence en "&amp;($AS219-FechaRef)&amp;IF($AS219-FechaRef=1," día"," días"),"En plazo")))))))</f>
        <v/>
      </c>
      <c r="P219" s="62" t="n"/>
      <c r="Q219" s="58" t="n"/>
      <c r="R219" s="63">
        <f>IF(NOT((COUNTA($B219:$D219)+COUNTA($G219:$H219)+COUNTA($Q219))&gt;0),"",IF((IF($C219="","Falta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 OK","⚠ "&amp;LEFT(IF($C219="","Falta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",""),LEN(IF($C219="","Falta el nombre de la actividad"&amp;" · ","")&amp;IF(AND($V219="Sub",N($U219)=0),"Subactividad sin macroactividad arriba"&amp;" · ","")&amp;IF(AND($V219="Macro",$AR219=""),"Sin fecha de inicio"&amp;" · ","")&amp;IF(AND($V219="Macro",$AS219=""),"Sin fecha límite"&amp;" · ","")&amp;IF(AND(LEFT($C219,11)="[Jefatura] ",N($AQ219)=0),"No se encuentra en la hoja de la jefatura (elíjala de nuevo en la lista)"&amp;" · ","")&amp;IF(OR(AND($E219&lt;&gt;"",NOT(ISNUMBER($E219))),AND($F219&lt;&gt;"",NOT(ISNUMBER($F219))),AND($G219&lt;&gt;"",NOT(ISNUMBER($G219)))),"Fecha no válida"&amp;" · ","")&amp;IF(AND(ISNUMBER($AR219),ISNUMBER($AS219),$AR219&gt;$AS219),"Inicio posterior a fecha límite"&amp;" · ","")&amp;IF(AND($V219="Macro",$H219&lt;&gt;"",OR(NOT(ISNUMBER($H219)),$H219&lt;0,$H219&gt;1)),"Peso fuera de rango"&amp;" · ","")&amp;IF(AND($V219="Sub",$H219&lt;&gt;"",OR(NOT(ISNUMBER($H219)),$H219&lt;0,$H219&gt;1)),"% de la subactividad fuera de rango 0-100%"&amp;" · ","")&amp;IF(AND(N($W219)&gt;0,SUMIFS($H$5:$H$1000,$U$5:$U$1000,ROW(),$V$5:$V$1000,"Sub")&gt;1.0001),"Las subactividades suman más de 100%"&amp;" · ","")&amp;IF(AND(N($W219)&gt;0,OR(IF(ISNUMBER($I219),ROUND($I219,6)&lt;&gt;ROUND(MIN(1,SUMIFS($AD$5:$AD$1000,$U$5:$U$1000,ROW(),$V$5:$V$1000,"Sub")),6),FALSE),IF(ISNUMBER($J219),ROUND($J219,6)&lt;&gt;ROUND(MIN(1,SUMIFS($AE$5:$AE$1000,$U$5:$U$1000,ROW(),$V$5:$V$1000,"Sub")),6),FALSE),IF(ISNUMBER($K219),ROUND($K219,6)&lt;&gt;ROUND(MIN(1,SUMIFS($AF$5:$AF$1000,$U$5:$U$1000,ROW(),$V$5:$V$1000,"Sub")),6),FALSE),IF(ISNUMBER($L219),ROUND($L219,6)&lt;&gt;ROUND(MIN(1,SUMIFS($AG$5:$AG$1000,$U$5:$U$1000,ROW(),$V$5:$V$1000,"Sub")),6),FALSE))),"Con subactividades: no escriba en las semanas (se llenan solas)"&amp;" · ","")&amp;IF((COUNTIF($I219:$L219,"&gt;1")+COUNTIF($I219:$L219,"&lt;0")+SUMPRODUCT((LEN($I219:$L219)&gt;0)*NOT(ISNUMBER($I219:$L219))))&gt;0,"Avance fuera de rango 0-100%"&amp;" · ","")&amp;IF(OR(AND(ISNUMBER($J219),$J219&lt;N($I219)),AND(ISNUMBER($K219),$K219&lt;MAX($I219:$J219)),AND(ISNUMBER($L219),$L219&lt;MAX($I219:$K219))),"Avance semanal decreciente"&amp;" · ","")&amp;IF(AND(ISNUMBER($AS219),$AS219&lt;FechaRef,IF($V219="Sub",1,N($M219))&lt;1),"Vencida"&amp;" · ","")&amp;IF(AND(ObsObligatoria="Sí",ISNUMBER($AS219),$AS219&lt;FechaRef,IF($V219="Sub",1,N($M219))&lt;1,$Q219=""),"Vencida sin observación"&amp;" · ",""))-3)))</f>
        <v/>
      </c>
      <c r="S219" s="64">
        <f>IF(NOT((COUNTA($B219:$D219)+COUNTA($G219:$H219)+COUNTA($Q219))&gt;0),"",IF(AND($V219="Sub",N($U219)&gt;0),IF(ISNUMBER(INDEX($AR$5:$AR$1000,$U219-4)),DATE(YEAR(INDEX($AR$5:$AR$1000,$U219-4)),MONTH(INDEX($AR$5:$AR$1000,$U219-4)),1),IF(ISNUMBER(INDEX($AS$5:$AS$1000,$U219-4)),DATE(YEAR(INDEX($AS$5:$AS$1000,$U219-4)),MONTH(INDEX($AS$5:$AS$1000,$U219-4)),1),MesCiclo)),IF(ISNUMBER($AR219),DATE(YEAR($AR219),MONTH($AR219),1),IF(ISNUMBER($AS219),DATE(YEAR($AS219),MONTH($AS219),1),MesCiclo))))</f>
        <v/>
      </c>
      <c r="T219" s="62">
        <f>IF(OR($S219="",$S219&lt;&gt;MesCiclo,$V219&lt;&gt;"Macro"),"",COUNTIFS($S$5:$S219,MesCiclo,$V$5:$V219,"Macro"))</f>
        <v/>
      </c>
      <c r="U219" s="62">
        <f>IF($V219="","",IF($V219="Macro",ROW(),IFERROR(LOOKUP(2,1/($V$5:$V219="Macro"),ROW($V$5:$V219)),0)))</f>
        <v/>
      </c>
      <c r="V219" s="62">
        <f>IF(NOT((COUNTA($B219:$D219)+COUNTA($G219:$H219)+COUNTA($Q219))&gt;0),"",IF($B219="Subactividad","Sub","Macro"))</f>
        <v/>
      </c>
      <c r="W219" s="62">
        <f>IF($V219="Macro",COUNTIFS($U$5:$U$1000,ROW(),$V$5:$V$1000,"Sub"),"")</f>
        <v/>
      </c>
      <c r="X219" s="62">
        <f>IF($V219&lt;&gt;"Sub","",IF(AND(ISNUMBER($H219),N($H219)&gt;0),$H219,IFERROR(MAX(0,1-SUMIFS($H$5:$H$1000,$U$5:$U$1000,$U219,$V$5:$V$1000,"Sub"))/(COUNTIFS($U$5:$U$1000,$U219,$V$5:$V$1000,"Sub")-COUNTIFS($U$5:$U$1000,$U219,$V$5:$V$1000,"Sub",$H$5:$H$1000,"&gt;0")),0)))</f>
        <v/>
      </c>
      <c r="Y219" s="62">
        <f>IF($V219="","",IF($V219="Sub",N($X219)*IF(ISNUMBER($G219),1,MIN(1,MAX(0,IFERROR(LOOKUP(2,1/ISNUMBER($I219:$L219),$I219:$L219),0)))),IF(ISNUMBER($G219),1,IFERROR(LOOKUP(2,1/($I219:$L219&lt;&gt;""),$I219:$L219),0))))</f>
        <v/>
      </c>
      <c r="Z219" s="62">
        <f>IF($V219="","",IF(AND(ISNUMBER($G219),$G219&lt;=IF($S219=MesCiclo,InicioCiclo,$S219+MOD(2-WEEKDAY($S219),7))+6),1,IF(ISNUMBER($I219),$I219,0)))</f>
        <v/>
      </c>
      <c r="AA219" s="62">
        <f>IF($V219="","",IF(AND(ISNUMBER($G219),$G219&lt;=IF($S219=MesCiclo,InicioCiclo,$S219+MOD(2-WEEKDAY($S219),7))+13),1,IF(ISNUMBER($J219),$J219,$Z219)))</f>
        <v/>
      </c>
      <c r="AB219" s="62">
        <f>IF($V219="","",IF(AND(ISNUMBER($G219),$G219&lt;=IF($S219=MesCiclo,InicioCiclo,$S219+MOD(2-WEEKDAY($S219),7))+20),1,IF(ISNUMBER($K219),$K219,$AA219)))</f>
        <v/>
      </c>
      <c r="AC219" s="62">
        <f>IF($V219="","",IF(AND(ISNUMBER($G219),$G219&lt;=IF($S219=MesCiclo,InicioCiclo,$S219+MOD(2-WEEKDAY($S219),7))+27),1,IF(ISNUMBER($L219),$L219,$AB219)))</f>
        <v/>
      </c>
      <c r="AD219" s="62">
        <f>IF($V219&lt;&gt;"Sub","",N($X219)*IF(AND(ISNUMBER($G219),$G219&lt;=IF($S219=MesCiclo,InicioCiclo,$S219+MOD(2-WEEKDAY($S219),7))+6),1,MIN(1,MAX(0,IF(ISNUMBER(OFFSET($A$1,ROW()-1,8)),OFFSET($A$1,ROW()-1,8),0)))))</f>
        <v/>
      </c>
      <c r="AE219" s="62">
        <f>IF($V219&lt;&gt;"Sub","",N($X219)*IF(AND(ISNUMBER($G219),$G219&lt;=IF($S219=MesCiclo,InicioCiclo,$S219+MOD(2-WEEKDAY($S219),7))+13),1,MIN(1,MAX(0,IF(ISNUMBER(OFFSET($A$1,ROW()-1,9)),OFFSET($A$1,ROW()-1,9),IF(ISNUMBER(OFFSET($A$1,ROW()-1,8)),OFFSET($A$1,ROW()-1,8),0))))))</f>
        <v/>
      </c>
      <c r="AF219" s="62">
        <f>IF($V219&lt;&gt;"Sub","",N($X219)*IF(AND(ISNUMBER($G219),$G219&lt;=IF($S219=MesCiclo,InicioCiclo,$S219+MOD(2-WEEKDAY($S219),7))+20),1,MIN(1,MAX(0,IF(ISNUMBER(OFFSET($A$1,ROW()-1,10)),OFFSET($A$1,ROW()-1,10),IF(ISNUMBER(OFFSET($A$1,ROW()-1,9)),OFFSET($A$1,ROW()-1,9),IF(ISNUMBER(OFFSET($A$1,ROW()-1,8)),OFFSET($A$1,ROW()-1,8),0)))))))</f>
        <v/>
      </c>
      <c r="AG219" s="62">
        <f>IF($V219&lt;&gt;"Sub","",N($X219)*IF(AND(ISNUMBER($G219),$G219&lt;=IF($S219=MesCiclo,InicioCiclo,$S219+MOD(2-WEEKDAY($S219),7))+27),1,MIN(1,MAX(0,IF(ISNUMBER(OFFSET($A$1,ROW()-1,11)),OFFSET($A$1,ROW()-1,11),IF(ISNUMBER(OFFSET($A$1,ROW()-1,10)),OFFSET($A$1,ROW()-1,10),IF(ISNUMBER(OFFSET($A$1,ROW()-1,9)),OFFSET($A$1,ROW()-1,9),IF(ISNUMBER(OFFSET($A$1,ROW()-1,8)),OFFSET($A$1,ROW()-1,8),0))))))))</f>
        <v/>
      </c>
      <c r="AH219" s="62">
        <f>IF($V219="","",IF(AND(ISNUMBER($G219),$G219&lt;=IF($S219=MesCiclo,InicioCiclo,$S219+MOD(2-WEEKDAY($S219),7))+6),1,IF(N($W219)&gt;0,MIN(1,SUMIFS($AD$5:$AD$1000,$U$5:$U$1000,ROW(),$V$5:$V$1000,"Sub")),$Z219)))</f>
        <v/>
      </c>
      <c r="AI219" s="62">
        <f>IF($V219="","",IF(AND(ISNUMBER($G219),$G219&lt;=IF($S219=MesCiclo,InicioCiclo,$S219+MOD(2-WEEKDAY($S219),7))+13),1,IF(N($W219)&gt;0,MIN(1,SUMIFS($AE$5:$AE$1000,$U$5:$U$1000,ROW(),$V$5:$V$1000,"Sub")),$AA219)))</f>
        <v/>
      </c>
      <c r="AJ219" s="62">
        <f>IF($V219="","",IF(AND(ISNUMBER($G219),$G219&lt;=IF($S219=MesCiclo,InicioCiclo,$S219+MOD(2-WEEKDAY($S219),7))+20),1,IF(N($W219)&gt;0,MIN(1,SUMIFS($AF$5:$AF$1000,$U$5:$U$1000,ROW(),$V$5:$V$1000,"Sub")),$AB219)))</f>
        <v/>
      </c>
      <c r="AK219" s="62">
        <f>IF($V219="","",IF(AND(ISNUMBER($G219),$G219&lt;=IF($S219=MesCiclo,InicioCiclo,$S219+MOD(2-WEEKDAY($S219),7))+27),1,IF(N($W219)&gt;0,MIN(1,SUMIFS($AG$5:$AG$1000,$U$5:$U$1000,ROW(),$V$5:$V$1000,"Sub")),$AC219)))</f>
        <v/>
      </c>
      <c r="AL219" s="62">
        <f>IF($V219&lt;&gt;"Macro","",IF(COUNTIFS($S$5:$S$1000,$S219,$V$5:$V$1000,"Macro",$H$5:$H$1000,"&gt;0")=0,1/COUNTIFS($S$5:$S$1000,$S219,$V$5:$V$1000,"Macro"),IF(AND(ISNUMBER($H219),N($H219)&gt;0),$H219,SUMIFS($H$5:$H$1000,$S$5:$S$1000,$S219,$V$5:$V$1000,"Macro")/COUNTIFS($S$5:$S$1000,$S219,$V$5:$V$1000,"Macro",$H$5:$H$1000,"&gt;0"))/(COUNTIFS($S$5:$S$1000,$S219,$V$5:$V$1000,"Macro")*SUMIFS($H$5:$H$1000,$S$5:$S$1000,$S219,$V$5:$V$1000,"Macro")/COUNTIFS($S$5:$S$1000,$S219,$V$5:$V$1000,"Macro",$H$5:$H$1000,"&gt;0"))))</f>
        <v/>
      </c>
      <c r="AM219" s="62" t="n"/>
      <c r="AN219" s="62" t="n"/>
      <c r="AO219" s="62" t="n"/>
      <c r="AP219" s="62" t="n"/>
      <c r="AQ219" s="62">
        <f>IF(LEFT($C219,11)="[Jefatura] ",IFERROR(MATCH("Asistente Técnico de Riesgo|"&amp;MID($C219,12,500),rDname_ADM,0),0),"")</f>
        <v/>
      </c>
      <c r="AR219" s="62">
        <f>IF(N($AQ219)&gt;0,INDEX(rIni_ADM,$AQ219),IF(ISNUMBER($E219),$E219,""))</f>
        <v/>
      </c>
      <c r="AS219" s="62">
        <f>IF(N($AQ219)&gt;0,INDEX(rLim_ADM,$AQ219),IF(ISNUMBER($F219),$F219,""))</f>
        <v/>
      </c>
    </row>
    <row r="220">
      <c r="A220" s="56">
        <f>IF(NOT((COUNTA($B220:$D220)+COUNTA($G220:$H220)+COUNTA($Q220))&gt;0),"",IF($V220="Macro",COUNTIFS($V$5:$V220,"Macro",$S$5:$S220,$S220),IF(N($U220)=0,"?",COUNTIFS(INDEX($V$5:$V$1000,1):INDEX($V$5:$V$1000,$U220-4),"Macro",INDEX($S$5:$S$1000,1):INDEX($S$5:$S$1000,$U220-4),INDEX($S$5:$S$1000,$U220-4))&amp;"."&amp;COUNTIFS($U$5:$U220,$U220,$V$5:$V220,"Sub"))))</f>
        <v/>
      </c>
      <c r="B220" s="57" t="n"/>
      <c r="C220" s="58" t="n"/>
      <c r="D220" s="58" t="n"/>
      <c r="E220" s="59">
        <f>IF(N($AQ220)&gt;0,INDEX(rIni_ADM,$AQ220),"")</f>
        <v/>
      </c>
      <c r="F220" s="59">
        <f>IF(N($AQ220)&gt;0,INDEX(rLim_ADM,$AQ220),"")</f>
        <v/>
      </c>
      <c r="G220" s="59" t="n"/>
      <c r="H220" s="60" t="n"/>
      <c r="I220" s="60">
        <f>IF(N($W220)=0,"",IF(AND($S220=MesCiclo,1&gt;SemanaActual),"",MIN(1,SUMIFS(OFFSET($A$1,ROW(),29,1000-ROW(),1),OFFSET($A$1,ROW(),20,1000-ROW(),1),ROW(),OFFSET($A$1,ROW(),21,1000-ROW(),1),"Sub"))))</f>
        <v/>
      </c>
      <c r="J220" s="60">
        <f>IF(N($W220)=0,"",IF(AND($S220=MesCiclo,2&gt;SemanaActual),"",MIN(1,SUMIFS(OFFSET($A$1,ROW(),30,1000-ROW(),1),OFFSET($A$1,ROW(),20,1000-ROW(),1),ROW(),OFFSET($A$1,ROW(),21,1000-ROW(),1),"Sub"))))</f>
        <v/>
      </c>
      <c r="K220" s="60">
        <f>IF(N($W220)=0,"",IF(AND($S220=MesCiclo,3&gt;SemanaActual),"",MIN(1,SUMIFS(OFFSET($A$1,ROW(),31,1000-ROW(),1),OFFSET($A$1,ROW(),20,1000-ROW(),1),ROW(),OFFSET($A$1,ROW(),21,1000-ROW(),1),"Sub"))))</f>
        <v/>
      </c>
      <c r="L220" s="60">
        <f>IF(N($W220)=0,"",IF(AND($S220=MesCiclo,4&gt;SemanaActual),"",MIN(1,SUMIFS(OFFSET($A$1,ROW(),32,1000-ROW(),1),OFFSET($A$1,ROW(),20,1000-ROW(),1),ROW(),OFFSET($A$1,ROW(),21,1000-ROW(),1),"Sub"))))</f>
        <v/>
      </c>
      <c r="M220" s="61">
        <f>IF(OR(NOT((COUNTA($B220:$D220)+COUNTA($G220:$H220)+COUNTA($Q220))&gt;0),$V220="Sub"),"",IF(ISNUMBER($G220),1,IF(N($W220)&gt;0,MIN(1,SUMIFS($Y$5:$Y$1000,$U$5:$U$1000,ROW(),$V$5:$V$1000,"Sub")),$Y220)))</f>
        <v/>
      </c>
      <c r="N220" s="56">
        <f>IF(OR($M220="",$V220="Sub"),"",IF($M220&gt;=1,"Completado",IF($M220&gt;0,"En curso","Pendiente")))</f>
        <v/>
      </c>
      <c r="O220" s="56">
        <f>IF(OR(NOT((COUNTA($B220:$D220)+COUNTA($G220:$H220)+COUNTA($Q220))&gt;0),$V220="Sub"),"",IF(ISNUMBER($G220),IF(AND(ISNUMBER($AS220),$G220&gt;$AS220),"Cumplida con "&amp;($G220-$AS220)&amp;IF($G220-$AS220=1," día"," días")&amp;" de retraso","Cumplida"),IF(N($M220)&gt;=1,"Cumplida",IF(NOT(ISNUMBER($AS220)),"Sin fecha límite",IF($AS220&lt;FechaRef,"Vencida hace "&amp;(FechaRef-$AS220)&amp;IF(FechaRef-$AS220=1," día"," días"),IF($AS220=FechaRef,"Vence hoy",IF($AS220-FechaRef&lt;=DiasAlerta,"Vence en "&amp;($AS220-FechaRef)&amp;IF($AS220-FechaRef=1," día"," días"),"En plazo")))))))</f>
        <v/>
      </c>
      <c r="P220" s="62" t="n"/>
      <c r="Q220" s="58" t="n"/>
      <c r="R220" s="63">
        <f>IF(NOT((COUNTA($B220:$D220)+COUNTA($G220:$H220)+COUNTA($Q220))&gt;0),"",IF((IF($C220="","Falta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 OK","⚠ "&amp;LEFT(IF($C220="","Falta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",""),LEN(IF($C220="","Falta el nombre de la actividad"&amp;" · ","")&amp;IF(AND($V220="Sub",N($U220)=0),"Subactividad sin macroactividad arriba"&amp;" · ","")&amp;IF(AND($V220="Macro",$AR220=""),"Sin fecha de inicio"&amp;" · ","")&amp;IF(AND($V220="Macro",$AS220=""),"Sin fecha límite"&amp;" · ","")&amp;IF(AND(LEFT($C220,11)="[Jefatura] ",N($AQ220)=0),"No se encuentra en la hoja de la jefatura (elíjala de nuevo en la lista)"&amp;" · ","")&amp;IF(OR(AND($E220&lt;&gt;"",NOT(ISNUMBER($E220))),AND($F220&lt;&gt;"",NOT(ISNUMBER($F220))),AND($G220&lt;&gt;"",NOT(ISNUMBER($G220)))),"Fecha no válida"&amp;" · ","")&amp;IF(AND(ISNUMBER($AR220),ISNUMBER($AS220),$AR220&gt;$AS220),"Inicio posterior a fecha límite"&amp;" · ","")&amp;IF(AND($V220="Macro",$H220&lt;&gt;"",OR(NOT(ISNUMBER($H220)),$H220&lt;0,$H220&gt;1)),"Peso fuera de rango"&amp;" · ","")&amp;IF(AND($V220="Sub",$H220&lt;&gt;"",OR(NOT(ISNUMBER($H220)),$H220&lt;0,$H220&gt;1)),"% de la subactividad fuera de rango 0-100%"&amp;" · ","")&amp;IF(AND(N($W220)&gt;0,SUMIFS($H$5:$H$1000,$U$5:$U$1000,ROW(),$V$5:$V$1000,"Sub")&gt;1.0001),"Las subactividades suman más de 100%"&amp;" · ","")&amp;IF(AND(N($W220)&gt;0,OR(IF(ISNUMBER($I220),ROUND($I220,6)&lt;&gt;ROUND(MIN(1,SUMIFS($AD$5:$AD$1000,$U$5:$U$1000,ROW(),$V$5:$V$1000,"Sub")),6),FALSE),IF(ISNUMBER($J220),ROUND($J220,6)&lt;&gt;ROUND(MIN(1,SUMIFS($AE$5:$AE$1000,$U$5:$U$1000,ROW(),$V$5:$V$1000,"Sub")),6),FALSE),IF(ISNUMBER($K220),ROUND($K220,6)&lt;&gt;ROUND(MIN(1,SUMIFS($AF$5:$AF$1000,$U$5:$U$1000,ROW(),$V$5:$V$1000,"Sub")),6),FALSE),IF(ISNUMBER($L220),ROUND($L220,6)&lt;&gt;ROUND(MIN(1,SUMIFS($AG$5:$AG$1000,$U$5:$U$1000,ROW(),$V$5:$V$1000,"Sub")),6),FALSE))),"Con subactividades: no escriba en las semanas (se llenan solas)"&amp;" · ","")&amp;IF((COUNTIF($I220:$L220,"&gt;1")+COUNTIF($I220:$L220,"&lt;0")+SUMPRODUCT((LEN($I220:$L220)&gt;0)*NOT(ISNUMBER($I220:$L220))))&gt;0,"Avance fuera de rango 0-100%"&amp;" · ","")&amp;IF(OR(AND(ISNUMBER($J220),$J220&lt;N($I220)),AND(ISNUMBER($K220),$K220&lt;MAX($I220:$J220)),AND(ISNUMBER($L220),$L220&lt;MAX($I220:$K220))),"Avance semanal decreciente"&amp;" · ","")&amp;IF(AND(ISNUMBER($AS220),$AS220&lt;FechaRef,IF($V220="Sub",1,N($M220))&lt;1),"Vencida"&amp;" · ","")&amp;IF(AND(ObsObligatoria="Sí",ISNUMBER($AS220),$AS220&lt;FechaRef,IF($V220="Sub",1,N($M220))&lt;1,$Q220=""),"Vencida sin observación"&amp;" · ",""))-3)))</f>
        <v/>
      </c>
      <c r="S220" s="64">
        <f>IF(NOT((COUNTA($B220:$D220)+COUNTA($G220:$H220)+COUNTA($Q220))&gt;0),"",IF(AND($V220="Sub",N($U220)&gt;0),IF(ISNUMBER(INDEX($AR$5:$AR$1000,$U220-4)),DATE(YEAR(INDEX($AR$5:$AR$1000,$U220-4)),MONTH(INDEX($AR$5:$AR$1000,$U220-4)),1),IF(ISNUMBER(INDEX($AS$5:$AS$1000,$U220-4)),DATE(YEAR(INDEX($AS$5:$AS$1000,$U220-4)),MONTH(INDEX($AS$5:$AS$1000,$U220-4)),1),MesCiclo)),IF(ISNUMBER($AR220),DATE(YEAR($AR220),MONTH($AR220),1),IF(ISNUMBER($AS220),DATE(YEAR($AS220),MONTH($AS220),1),MesCiclo))))</f>
        <v/>
      </c>
      <c r="T220" s="62">
        <f>IF(OR($S220="",$S220&lt;&gt;MesCiclo,$V220&lt;&gt;"Macro"),"",COUNTIFS($S$5:$S220,MesCiclo,$V$5:$V220,"Macro"))</f>
        <v/>
      </c>
      <c r="U220" s="62">
        <f>IF($V220="","",IF($V220="Macro",ROW(),IFERROR(LOOKUP(2,1/($V$5:$V220="Macro"),ROW($V$5:$V220)),0)))</f>
        <v/>
      </c>
      <c r="V220" s="62">
        <f>IF(NOT((COUNTA($B220:$D220)+COUNTA($G220:$H220)+COUNTA($Q220))&gt;0),"",IF($B220="Subactividad","Sub","Macro"))</f>
        <v/>
      </c>
      <c r="W220" s="62">
        <f>IF($V220="Macro",COUNTIFS($U$5:$U$1000,ROW(),$V$5:$V$1000,"Sub"),"")</f>
        <v/>
      </c>
      <c r="X220" s="62">
        <f>IF($V220&lt;&gt;"Sub","",IF(AND(ISNUMBER($H220),N($H220)&gt;0),$H220,IFERROR(MAX(0,1-SUMIFS($H$5:$H$1000,$U$5:$U$1000,$U220,$V$5:$V$1000,"Sub"))/(COUNTIFS($U$5:$U$1000,$U220,$V$5:$V$1000,"Sub")-COUNTIFS($U$5:$U$1000,$U220,$V$5:$V$1000,"Sub",$H$5:$H$1000,"&gt;0")),0)))</f>
        <v/>
      </c>
      <c r="Y220" s="62">
        <f>IF($V220="","",IF($V220="Sub",N($X220)*IF(ISNUMBER($G220),1,MIN(1,MAX(0,IFERROR(LOOKUP(2,1/ISNUMBER($I220:$L220),$I220:$L220),0)))),IF(ISNUMBER($G220),1,IFERROR(LOOKUP(2,1/($I220:$L220&lt;&gt;""),$I220:$L220),0))))</f>
        <v/>
      </c>
      <c r="Z220" s="62">
        <f>IF($V220="","",IF(AND(ISNUMBER($G220),$G220&lt;=IF($S220=MesCiclo,InicioCiclo,$S220+MOD(2-WEEKDAY($S220),7))+6),1,IF(ISNUMBER($I220),$I220,0)))</f>
        <v/>
      </c>
      <c r="AA220" s="62">
        <f>IF($V220="","",IF(AND(ISNUMBER($G220),$G220&lt;=IF($S220=MesCiclo,InicioCiclo,$S220+MOD(2-WEEKDAY($S220),7))+13),1,IF(ISNUMBER($J220),$J220,$Z220)))</f>
        <v/>
      </c>
      <c r="AB220" s="62">
        <f>IF($V220="","",IF(AND(ISNUMBER($G220),$G220&lt;=IF($S220=MesCiclo,InicioCiclo,$S220+MOD(2-WEEKDAY($S220),7))+20),1,IF(ISNUMBER($K220),$K220,$AA220)))</f>
        <v/>
      </c>
      <c r="AC220" s="62">
        <f>IF($V220="","",IF(AND(ISNUMBER($G220),$G220&lt;=IF($S220=MesCiclo,InicioCiclo,$S220+MOD(2-WEEKDAY($S220),7))+27),1,IF(ISNUMBER($L220),$L220,$AB220)))</f>
        <v/>
      </c>
      <c r="AD220" s="62">
        <f>IF($V220&lt;&gt;"Sub","",N($X220)*IF(AND(ISNUMBER($G220),$G220&lt;=IF($S220=MesCiclo,InicioCiclo,$S220+MOD(2-WEEKDAY($S220),7))+6),1,MIN(1,MAX(0,IF(ISNUMBER(OFFSET($A$1,ROW()-1,8)),OFFSET($A$1,ROW()-1,8),0)))))</f>
        <v/>
      </c>
      <c r="AE220" s="62">
        <f>IF($V220&lt;&gt;"Sub","",N($X220)*IF(AND(ISNUMBER($G220),$G220&lt;=IF($S220=MesCiclo,InicioCiclo,$S220+MOD(2-WEEKDAY($S220),7))+13),1,MIN(1,MAX(0,IF(ISNUMBER(OFFSET($A$1,ROW()-1,9)),OFFSET($A$1,ROW()-1,9),IF(ISNUMBER(OFFSET($A$1,ROW()-1,8)),OFFSET($A$1,ROW()-1,8),0))))))</f>
        <v/>
      </c>
      <c r="AF220" s="62">
        <f>IF($V220&lt;&gt;"Sub","",N($X220)*IF(AND(ISNUMBER($G220),$G220&lt;=IF($S220=MesCiclo,InicioCiclo,$S220+MOD(2-WEEKDAY($S220),7))+20),1,MIN(1,MAX(0,IF(ISNUMBER(OFFSET($A$1,ROW()-1,10)),OFFSET($A$1,ROW()-1,10),IF(ISNUMBER(OFFSET($A$1,ROW()-1,9)),OFFSET($A$1,ROW()-1,9),IF(ISNUMBER(OFFSET($A$1,ROW()-1,8)),OFFSET($A$1,ROW()-1,8),0)))))))</f>
        <v/>
      </c>
      <c r="AG220" s="62">
        <f>IF($V220&lt;&gt;"Sub","",N($X220)*IF(AND(ISNUMBER($G220),$G220&lt;=IF($S220=MesCiclo,InicioCiclo,$S220+MOD(2-WEEKDAY($S220),7))+27),1,MIN(1,MAX(0,IF(ISNUMBER(OFFSET($A$1,ROW()-1,11)),OFFSET($A$1,ROW()-1,11),IF(ISNUMBER(OFFSET($A$1,ROW()-1,10)),OFFSET($A$1,ROW()-1,10),IF(ISNUMBER(OFFSET($A$1,ROW()-1,9)),OFFSET($A$1,ROW()-1,9),IF(ISNUMBER(OFFSET($A$1,ROW()-1,8)),OFFSET($A$1,ROW()-1,8),0))))))))</f>
        <v/>
      </c>
      <c r="AH220" s="62">
        <f>IF($V220="","",IF(AND(ISNUMBER($G220),$G220&lt;=IF($S220=MesCiclo,InicioCiclo,$S220+MOD(2-WEEKDAY($S220),7))+6),1,IF(N($W220)&gt;0,MIN(1,SUMIFS($AD$5:$AD$1000,$U$5:$U$1000,ROW(),$V$5:$V$1000,"Sub")),$Z220)))</f>
        <v/>
      </c>
      <c r="AI220" s="62">
        <f>IF($V220="","",IF(AND(ISNUMBER($G220),$G220&lt;=IF($S220=MesCiclo,InicioCiclo,$S220+MOD(2-WEEKDAY($S220),7))+13),1,IF(N($W220)&gt;0,MIN(1,SUMIFS($AE$5:$AE$1000,$U$5:$U$1000,ROW(),$V$5:$V$1000,"Sub")),$AA220)))</f>
        <v/>
      </c>
      <c r="AJ220" s="62">
        <f>IF($V220="","",IF(AND(ISNUMBER($G220),$G220&lt;=IF($S220=MesCiclo,InicioCiclo,$S220+MOD(2-WEEKDAY($S220),7))+20),1,IF(N($W220)&gt;0,MIN(1,SUMIFS($AF$5:$AF$1000,$U$5:$U$1000,ROW(),$V$5:$V$1000,"Sub")),$AB220)))</f>
        <v/>
      </c>
      <c r="AK220" s="62">
        <f>IF($V220="","",IF(AND(ISNUMBER($G220),$G220&lt;=IF($S220=MesCiclo,InicioCiclo,$S220+MOD(2-WEEKDAY($S220),7))+27),1,IF(N($W220)&gt;0,MIN(1,SUMIFS($AG$5:$AG$1000,$U$5:$U$1000,ROW(),$V$5:$V$1000,"Sub")),$AC220)))</f>
        <v/>
      </c>
      <c r="AL220" s="62">
        <f>IF($V220&lt;&gt;"Macro","",IF(COUNTIFS($S$5:$S$1000,$S220,$V$5:$V$1000,"Macro",$H$5:$H$1000,"&gt;0")=0,1/COUNTIFS($S$5:$S$1000,$S220,$V$5:$V$1000,"Macro"),IF(AND(ISNUMBER($H220),N($H220)&gt;0),$H220,SUMIFS($H$5:$H$1000,$S$5:$S$1000,$S220,$V$5:$V$1000,"Macro")/COUNTIFS($S$5:$S$1000,$S220,$V$5:$V$1000,"Macro",$H$5:$H$1000,"&gt;0"))/(COUNTIFS($S$5:$S$1000,$S220,$V$5:$V$1000,"Macro")*SUMIFS($H$5:$H$1000,$S$5:$S$1000,$S220,$V$5:$V$1000,"Macro")/COUNTIFS($S$5:$S$1000,$S220,$V$5:$V$1000,"Macro",$H$5:$H$1000,"&gt;0"))))</f>
        <v/>
      </c>
      <c r="AM220" s="62" t="n"/>
      <c r="AN220" s="62" t="n"/>
      <c r="AO220" s="62" t="n"/>
      <c r="AP220" s="62" t="n"/>
      <c r="AQ220" s="62">
        <f>IF(LEFT($C220,11)="[Jefatura] ",IFERROR(MATCH("Asistente Técnico de Riesgo|"&amp;MID($C220,12,500),rDname_ADM,0),0),"")</f>
        <v/>
      </c>
      <c r="AR220" s="62">
        <f>IF(N($AQ220)&gt;0,INDEX(rIni_ADM,$AQ220),IF(ISNUMBER($E220),$E220,""))</f>
        <v/>
      </c>
      <c r="AS220" s="62">
        <f>IF(N($AQ220)&gt;0,INDEX(rLim_ADM,$AQ220),IF(ISNUMBER($F220),$F220,""))</f>
        <v/>
      </c>
    </row>
    <row r="221">
      <c r="A221" s="56">
        <f>IF(NOT((COUNTA($B221:$D221)+COUNTA($G221:$H221)+COUNTA($Q221))&gt;0),"",IF($V221="Macro",COUNTIFS($V$5:$V221,"Macro",$S$5:$S221,$S221),IF(N($U221)=0,"?",COUNTIFS(INDEX($V$5:$V$1000,1):INDEX($V$5:$V$1000,$U221-4),"Macro",INDEX($S$5:$S$1000,1):INDEX($S$5:$S$1000,$U221-4),INDEX($S$5:$S$1000,$U221-4))&amp;"."&amp;COUNTIFS($U$5:$U221,$U221,$V$5:$V221,"Sub"))))</f>
        <v/>
      </c>
      <c r="B221" s="57" t="n"/>
      <c r="C221" s="58" t="n"/>
      <c r="D221" s="58" t="n"/>
      <c r="E221" s="59">
        <f>IF(N($AQ221)&gt;0,INDEX(rIni_ADM,$AQ221),"")</f>
        <v/>
      </c>
      <c r="F221" s="59">
        <f>IF(N($AQ221)&gt;0,INDEX(rLim_ADM,$AQ221),"")</f>
        <v/>
      </c>
      <c r="G221" s="59" t="n"/>
      <c r="H221" s="60" t="n"/>
      <c r="I221" s="60">
        <f>IF(N($W221)=0,"",IF(AND($S221=MesCiclo,1&gt;SemanaActual),"",MIN(1,SUMIFS(OFFSET($A$1,ROW(),29,1000-ROW(),1),OFFSET($A$1,ROW(),20,1000-ROW(),1),ROW(),OFFSET($A$1,ROW(),21,1000-ROW(),1),"Sub"))))</f>
        <v/>
      </c>
      <c r="J221" s="60">
        <f>IF(N($W221)=0,"",IF(AND($S221=MesCiclo,2&gt;SemanaActual),"",MIN(1,SUMIFS(OFFSET($A$1,ROW(),30,1000-ROW(),1),OFFSET($A$1,ROW(),20,1000-ROW(),1),ROW(),OFFSET($A$1,ROW(),21,1000-ROW(),1),"Sub"))))</f>
        <v/>
      </c>
      <c r="K221" s="60">
        <f>IF(N($W221)=0,"",IF(AND($S221=MesCiclo,3&gt;SemanaActual),"",MIN(1,SUMIFS(OFFSET($A$1,ROW(),31,1000-ROW(),1),OFFSET($A$1,ROW(),20,1000-ROW(),1),ROW(),OFFSET($A$1,ROW(),21,1000-ROW(),1),"Sub"))))</f>
        <v/>
      </c>
      <c r="L221" s="60">
        <f>IF(N($W221)=0,"",IF(AND($S221=MesCiclo,4&gt;SemanaActual),"",MIN(1,SUMIFS(OFFSET($A$1,ROW(),32,1000-ROW(),1),OFFSET($A$1,ROW(),20,1000-ROW(),1),ROW(),OFFSET($A$1,ROW(),21,1000-ROW(),1),"Sub"))))</f>
        <v/>
      </c>
      <c r="M221" s="61">
        <f>IF(OR(NOT((COUNTA($B221:$D221)+COUNTA($G221:$H221)+COUNTA($Q221))&gt;0),$V221="Sub"),"",IF(ISNUMBER($G221),1,IF(N($W221)&gt;0,MIN(1,SUMIFS($Y$5:$Y$1000,$U$5:$U$1000,ROW(),$V$5:$V$1000,"Sub")),$Y221)))</f>
        <v/>
      </c>
      <c r="N221" s="56">
        <f>IF(OR($M221="",$V221="Sub"),"",IF($M221&gt;=1,"Completado",IF($M221&gt;0,"En curso","Pendiente")))</f>
        <v/>
      </c>
      <c r="O221" s="56">
        <f>IF(OR(NOT((COUNTA($B221:$D221)+COUNTA($G221:$H221)+COUNTA($Q221))&gt;0),$V221="Sub"),"",IF(ISNUMBER($G221),IF(AND(ISNUMBER($AS221),$G221&gt;$AS221),"Cumplida con "&amp;($G221-$AS221)&amp;IF($G221-$AS221=1," día"," días")&amp;" de retraso","Cumplida"),IF(N($M221)&gt;=1,"Cumplida",IF(NOT(ISNUMBER($AS221)),"Sin fecha límite",IF($AS221&lt;FechaRef,"Vencida hace "&amp;(FechaRef-$AS221)&amp;IF(FechaRef-$AS221=1," día"," días"),IF($AS221=FechaRef,"Vence hoy",IF($AS221-FechaRef&lt;=DiasAlerta,"Vence en "&amp;($AS221-FechaRef)&amp;IF($AS221-FechaRef=1," día"," días"),"En plazo")))))))</f>
        <v/>
      </c>
      <c r="P221" s="62" t="n"/>
      <c r="Q221" s="58" t="n"/>
      <c r="R221" s="63">
        <f>IF(NOT((COUNTA($B221:$D221)+COUNTA($G221:$H221)+COUNTA($Q221))&gt;0),"",IF((IF($C221="","Falta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 OK","⚠ "&amp;LEFT(IF($C221="","Falta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",""),LEN(IF($C221="","Falta el nombre de la actividad"&amp;" · ","")&amp;IF(AND($V221="Sub",N($U221)=0),"Subactividad sin macroactividad arriba"&amp;" · ","")&amp;IF(AND($V221="Macro",$AR221=""),"Sin fecha de inicio"&amp;" · ","")&amp;IF(AND($V221="Macro",$AS221=""),"Sin fecha límite"&amp;" · ","")&amp;IF(AND(LEFT($C221,11)="[Jefatura] ",N($AQ221)=0),"No se encuentra en la hoja de la jefatura (elíjala de nuevo en la lista)"&amp;" · ","")&amp;IF(OR(AND($E221&lt;&gt;"",NOT(ISNUMBER($E221))),AND($F221&lt;&gt;"",NOT(ISNUMBER($F221))),AND($G221&lt;&gt;"",NOT(ISNUMBER($G221)))),"Fecha no válida"&amp;" · ","")&amp;IF(AND(ISNUMBER($AR221),ISNUMBER($AS221),$AR221&gt;$AS221),"Inicio posterior a fecha límite"&amp;" · ","")&amp;IF(AND($V221="Macro",$H221&lt;&gt;"",OR(NOT(ISNUMBER($H221)),$H221&lt;0,$H221&gt;1)),"Peso fuera de rango"&amp;" · ","")&amp;IF(AND($V221="Sub",$H221&lt;&gt;"",OR(NOT(ISNUMBER($H221)),$H221&lt;0,$H221&gt;1)),"% de la subactividad fuera de rango 0-100%"&amp;" · ","")&amp;IF(AND(N($W221)&gt;0,SUMIFS($H$5:$H$1000,$U$5:$U$1000,ROW(),$V$5:$V$1000,"Sub")&gt;1.0001),"Las subactividades suman más de 100%"&amp;" · ","")&amp;IF(AND(N($W221)&gt;0,OR(IF(ISNUMBER($I221),ROUND($I221,6)&lt;&gt;ROUND(MIN(1,SUMIFS($AD$5:$AD$1000,$U$5:$U$1000,ROW(),$V$5:$V$1000,"Sub")),6),FALSE),IF(ISNUMBER($J221),ROUND($J221,6)&lt;&gt;ROUND(MIN(1,SUMIFS($AE$5:$AE$1000,$U$5:$U$1000,ROW(),$V$5:$V$1000,"Sub")),6),FALSE),IF(ISNUMBER($K221),ROUND($K221,6)&lt;&gt;ROUND(MIN(1,SUMIFS($AF$5:$AF$1000,$U$5:$U$1000,ROW(),$V$5:$V$1000,"Sub")),6),FALSE),IF(ISNUMBER($L221),ROUND($L221,6)&lt;&gt;ROUND(MIN(1,SUMIFS($AG$5:$AG$1000,$U$5:$U$1000,ROW(),$V$5:$V$1000,"Sub")),6),FALSE))),"Con subactividades: no escriba en las semanas (se llenan solas)"&amp;" · ","")&amp;IF((COUNTIF($I221:$L221,"&gt;1")+COUNTIF($I221:$L221,"&lt;0")+SUMPRODUCT((LEN($I221:$L221)&gt;0)*NOT(ISNUMBER($I221:$L221))))&gt;0,"Avance fuera de rango 0-100%"&amp;" · ","")&amp;IF(OR(AND(ISNUMBER($J221),$J221&lt;N($I221)),AND(ISNUMBER($K221),$K221&lt;MAX($I221:$J221)),AND(ISNUMBER($L221),$L221&lt;MAX($I221:$K221))),"Avance semanal decreciente"&amp;" · ","")&amp;IF(AND(ISNUMBER($AS221),$AS221&lt;FechaRef,IF($V221="Sub",1,N($M221))&lt;1),"Vencida"&amp;" · ","")&amp;IF(AND(ObsObligatoria="Sí",ISNUMBER($AS221),$AS221&lt;FechaRef,IF($V221="Sub",1,N($M221))&lt;1,$Q221=""),"Vencida sin observación"&amp;" · ",""))-3)))</f>
        <v/>
      </c>
      <c r="S221" s="64">
        <f>IF(NOT((COUNTA($B221:$D221)+COUNTA($G221:$H221)+COUNTA($Q221))&gt;0),"",IF(AND($V221="Sub",N($U221)&gt;0),IF(ISNUMBER(INDEX($AR$5:$AR$1000,$U221-4)),DATE(YEAR(INDEX($AR$5:$AR$1000,$U221-4)),MONTH(INDEX($AR$5:$AR$1000,$U221-4)),1),IF(ISNUMBER(INDEX($AS$5:$AS$1000,$U221-4)),DATE(YEAR(INDEX($AS$5:$AS$1000,$U221-4)),MONTH(INDEX($AS$5:$AS$1000,$U221-4)),1),MesCiclo)),IF(ISNUMBER($AR221),DATE(YEAR($AR221),MONTH($AR221),1),IF(ISNUMBER($AS221),DATE(YEAR($AS221),MONTH($AS221),1),MesCiclo))))</f>
        <v/>
      </c>
      <c r="T221" s="62">
        <f>IF(OR($S221="",$S221&lt;&gt;MesCiclo,$V221&lt;&gt;"Macro"),"",COUNTIFS($S$5:$S221,MesCiclo,$V$5:$V221,"Macro"))</f>
        <v/>
      </c>
      <c r="U221" s="62">
        <f>IF($V221="","",IF($V221="Macro",ROW(),IFERROR(LOOKUP(2,1/($V$5:$V221="Macro"),ROW($V$5:$V221)),0)))</f>
        <v/>
      </c>
      <c r="V221" s="62">
        <f>IF(NOT((COUNTA($B221:$D221)+COUNTA($G221:$H221)+COUNTA($Q221))&gt;0),"",IF($B221="Subactividad","Sub","Macro"))</f>
        <v/>
      </c>
      <c r="W221" s="62">
        <f>IF($V221="Macro",COUNTIFS($U$5:$U$1000,ROW(),$V$5:$V$1000,"Sub"),"")</f>
        <v/>
      </c>
      <c r="X221" s="62">
        <f>IF($V221&lt;&gt;"Sub","",IF(AND(ISNUMBER($H221),N($H221)&gt;0),$H221,IFERROR(MAX(0,1-SUMIFS($H$5:$H$1000,$U$5:$U$1000,$U221,$V$5:$V$1000,"Sub"))/(COUNTIFS($U$5:$U$1000,$U221,$V$5:$V$1000,"Sub")-COUNTIFS($U$5:$U$1000,$U221,$V$5:$V$1000,"Sub",$H$5:$H$1000,"&gt;0")),0)))</f>
        <v/>
      </c>
      <c r="Y221" s="62">
        <f>IF($V221="","",IF($V221="Sub",N($X221)*IF(ISNUMBER($G221),1,MIN(1,MAX(0,IFERROR(LOOKUP(2,1/ISNUMBER($I221:$L221),$I221:$L221),0)))),IF(ISNUMBER($G221),1,IFERROR(LOOKUP(2,1/($I221:$L221&lt;&gt;""),$I221:$L221),0))))</f>
        <v/>
      </c>
      <c r="Z221" s="62">
        <f>IF($V221="","",IF(AND(ISNUMBER($G221),$G221&lt;=IF($S221=MesCiclo,InicioCiclo,$S221+MOD(2-WEEKDAY($S221),7))+6),1,IF(ISNUMBER($I221),$I221,0)))</f>
        <v/>
      </c>
      <c r="AA221" s="62">
        <f>IF($V221="","",IF(AND(ISNUMBER($G221),$G221&lt;=IF($S221=MesCiclo,InicioCiclo,$S221+MOD(2-WEEKDAY($S221),7))+13),1,IF(ISNUMBER($J221),$J221,$Z221)))</f>
        <v/>
      </c>
      <c r="AB221" s="62">
        <f>IF($V221="","",IF(AND(ISNUMBER($G221),$G221&lt;=IF($S221=MesCiclo,InicioCiclo,$S221+MOD(2-WEEKDAY($S221),7))+20),1,IF(ISNUMBER($K221),$K221,$AA221)))</f>
        <v/>
      </c>
      <c r="AC221" s="62">
        <f>IF($V221="","",IF(AND(ISNUMBER($G221),$G221&lt;=IF($S221=MesCiclo,InicioCiclo,$S221+MOD(2-WEEKDAY($S221),7))+27),1,IF(ISNUMBER($L221),$L221,$AB221)))</f>
        <v/>
      </c>
      <c r="AD221" s="62">
        <f>IF($V221&lt;&gt;"Sub","",N($X221)*IF(AND(ISNUMBER($G221),$G221&lt;=IF($S221=MesCiclo,InicioCiclo,$S221+MOD(2-WEEKDAY($S221),7))+6),1,MIN(1,MAX(0,IF(ISNUMBER(OFFSET($A$1,ROW()-1,8)),OFFSET($A$1,ROW()-1,8),0)))))</f>
        <v/>
      </c>
      <c r="AE221" s="62">
        <f>IF($V221&lt;&gt;"Sub","",N($X221)*IF(AND(ISNUMBER($G221),$G221&lt;=IF($S221=MesCiclo,InicioCiclo,$S221+MOD(2-WEEKDAY($S221),7))+13),1,MIN(1,MAX(0,IF(ISNUMBER(OFFSET($A$1,ROW()-1,9)),OFFSET($A$1,ROW()-1,9),IF(ISNUMBER(OFFSET($A$1,ROW()-1,8)),OFFSET($A$1,ROW()-1,8),0))))))</f>
        <v/>
      </c>
      <c r="AF221" s="62">
        <f>IF($V221&lt;&gt;"Sub","",N($X221)*IF(AND(ISNUMBER($G221),$G221&lt;=IF($S221=MesCiclo,InicioCiclo,$S221+MOD(2-WEEKDAY($S221),7))+20),1,MIN(1,MAX(0,IF(ISNUMBER(OFFSET($A$1,ROW()-1,10)),OFFSET($A$1,ROW()-1,10),IF(ISNUMBER(OFFSET($A$1,ROW()-1,9)),OFFSET($A$1,ROW()-1,9),IF(ISNUMBER(OFFSET($A$1,ROW()-1,8)),OFFSET($A$1,ROW()-1,8),0)))))))</f>
        <v/>
      </c>
      <c r="AG221" s="62">
        <f>IF($V221&lt;&gt;"Sub","",N($X221)*IF(AND(ISNUMBER($G221),$G221&lt;=IF($S221=MesCiclo,InicioCiclo,$S221+MOD(2-WEEKDAY($S221),7))+27),1,MIN(1,MAX(0,IF(ISNUMBER(OFFSET($A$1,ROW()-1,11)),OFFSET($A$1,ROW()-1,11),IF(ISNUMBER(OFFSET($A$1,ROW()-1,10)),OFFSET($A$1,ROW()-1,10),IF(ISNUMBER(OFFSET($A$1,ROW()-1,9)),OFFSET($A$1,ROW()-1,9),IF(ISNUMBER(OFFSET($A$1,ROW()-1,8)),OFFSET($A$1,ROW()-1,8),0))))))))</f>
        <v/>
      </c>
      <c r="AH221" s="62">
        <f>IF($V221="","",IF(AND(ISNUMBER($G221),$G221&lt;=IF($S221=MesCiclo,InicioCiclo,$S221+MOD(2-WEEKDAY($S221),7))+6),1,IF(N($W221)&gt;0,MIN(1,SUMIFS($AD$5:$AD$1000,$U$5:$U$1000,ROW(),$V$5:$V$1000,"Sub")),$Z221)))</f>
        <v/>
      </c>
      <c r="AI221" s="62">
        <f>IF($V221="","",IF(AND(ISNUMBER($G221),$G221&lt;=IF($S221=MesCiclo,InicioCiclo,$S221+MOD(2-WEEKDAY($S221),7))+13),1,IF(N($W221)&gt;0,MIN(1,SUMIFS($AE$5:$AE$1000,$U$5:$U$1000,ROW(),$V$5:$V$1000,"Sub")),$AA221)))</f>
        <v/>
      </c>
      <c r="AJ221" s="62">
        <f>IF($V221="","",IF(AND(ISNUMBER($G221),$G221&lt;=IF($S221=MesCiclo,InicioCiclo,$S221+MOD(2-WEEKDAY($S221),7))+20),1,IF(N($W221)&gt;0,MIN(1,SUMIFS($AF$5:$AF$1000,$U$5:$U$1000,ROW(),$V$5:$V$1000,"Sub")),$AB221)))</f>
        <v/>
      </c>
      <c r="AK221" s="62">
        <f>IF($V221="","",IF(AND(ISNUMBER($G221),$G221&lt;=IF($S221=MesCiclo,InicioCiclo,$S221+MOD(2-WEEKDAY($S221),7))+27),1,IF(N($W221)&gt;0,MIN(1,SUMIFS($AG$5:$AG$1000,$U$5:$U$1000,ROW(),$V$5:$V$1000,"Sub")),$AC221)))</f>
        <v/>
      </c>
      <c r="AL221" s="62">
        <f>IF($V221&lt;&gt;"Macro","",IF(COUNTIFS($S$5:$S$1000,$S221,$V$5:$V$1000,"Macro",$H$5:$H$1000,"&gt;0")=0,1/COUNTIFS($S$5:$S$1000,$S221,$V$5:$V$1000,"Macro"),IF(AND(ISNUMBER($H221),N($H221)&gt;0),$H221,SUMIFS($H$5:$H$1000,$S$5:$S$1000,$S221,$V$5:$V$1000,"Macro")/COUNTIFS($S$5:$S$1000,$S221,$V$5:$V$1000,"Macro",$H$5:$H$1000,"&gt;0"))/(COUNTIFS($S$5:$S$1000,$S221,$V$5:$V$1000,"Macro")*SUMIFS($H$5:$H$1000,$S$5:$S$1000,$S221,$V$5:$V$1000,"Macro")/COUNTIFS($S$5:$S$1000,$S221,$V$5:$V$1000,"Macro",$H$5:$H$1000,"&gt;0"))))</f>
        <v/>
      </c>
      <c r="AM221" s="62" t="n"/>
      <c r="AN221" s="62" t="n"/>
      <c r="AO221" s="62" t="n"/>
      <c r="AP221" s="62" t="n"/>
      <c r="AQ221" s="62">
        <f>IF(LEFT($C221,11)="[Jefatura] ",IFERROR(MATCH("Asistente Técnico de Riesgo|"&amp;MID($C221,12,500),rDname_ADM,0),0),"")</f>
        <v/>
      </c>
      <c r="AR221" s="62">
        <f>IF(N($AQ221)&gt;0,INDEX(rIni_ADM,$AQ221),IF(ISNUMBER($E221),$E221,""))</f>
        <v/>
      </c>
      <c r="AS221" s="62">
        <f>IF(N($AQ221)&gt;0,INDEX(rLim_ADM,$AQ221),IF(ISNUMBER($F221),$F221,""))</f>
        <v/>
      </c>
    </row>
    <row r="222">
      <c r="A222" s="56">
        <f>IF(NOT((COUNTA($B222:$D222)+COUNTA($G222:$H222)+COUNTA($Q222))&gt;0),"",IF($V222="Macro",COUNTIFS($V$5:$V222,"Macro",$S$5:$S222,$S222),IF(N($U222)=0,"?",COUNTIFS(INDEX($V$5:$V$1000,1):INDEX($V$5:$V$1000,$U222-4),"Macro",INDEX($S$5:$S$1000,1):INDEX($S$5:$S$1000,$U222-4),INDEX($S$5:$S$1000,$U222-4))&amp;"."&amp;COUNTIFS($U$5:$U222,$U222,$V$5:$V222,"Sub"))))</f>
        <v/>
      </c>
      <c r="B222" s="57" t="n"/>
      <c r="C222" s="58" t="n"/>
      <c r="D222" s="58" t="n"/>
      <c r="E222" s="59">
        <f>IF(N($AQ222)&gt;0,INDEX(rIni_ADM,$AQ222),"")</f>
        <v/>
      </c>
      <c r="F222" s="59">
        <f>IF(N($AQ222)&gt;0,INDEX(rLim_ADM,$AQ222),"")</f>
        <v/>
      </c>
      <c r="G222" s="59" t="n"/>
      <c r="H222" s="60" t="n"/>
      <c r="I222" s="60">
        <f>IF(N($W222)=0,"",IF(AND($S222=MesCiclo,1&gt;SemanaActual),"",MIN(1,SUMIFS(OFFSET($A$1,ROW(),29,1000-ROW(),1),OFFSET($A$1,ROW(),20,1000-ROW(),1),ROW(),OFFSET($A$1,ROW(),21,1000-ROW(),1),"Sub"))))</f>
        <v/>
      </c>
      <c r="J222" s="60">
        <f>IF(N($W222)=0,"",IF(AND($S222=MesCiclo,2&gt;SemanaActual),"",MIN(1,SUMIFS(OFFSET($A$1,ROW(),30,1000-ROW(),1),OFFSET($A$1,ROW(),20,1000-ROW(),1),ROW(),OFFSET($A$1,ROW(),21,1000-ROW(),1),"Sub"))))</f>
        <v/>
      </c>
      <c r="K222" s="60">
        <f>IF(N($W222)=0,"",IF(AND($S222=MesCiclo,3&gt;SemanaActual),"",MIN(1,SUMIFS(OFFSET($A$1,ROW(),31,1000-ROW(),1),OFFSET($A$1,ROW(),20,1000-ROW(),1),ROW(),OFFSET($A$1,ROW(),21,1000-ROW(),1),"Sub"))))</f>
        <v/>
      </c>
      <c r="L222" s="60">
        <f>IF(N($W222)=0,"",IF(AND($S222=MesCiclo,4&gt;SemanaActual),"",MIN(1,SUMIFS(OFFSET($A$1,ROW(),32,1000-ROW(),1),OFFSET($A$1,ROW(),20,1000-ROW(),1),ROW(),OFFSET($A$1,ROW(),21,1000-ROW(),1),"Sub"))))</f>
        <v/>
      </c>
      <c r="M222" s="61">
        <f>IF(OR(NOT((COUNTA($B222:$D222)+COUNTA($G222:$H222)+COUNTA($Q222))&gt;0),$V222="Sub"),"",IF(ISNUMBER($G222),1,IF(N($W222)&gt;0,MIN(1,SUMIFS($Y$5:$Y$1000,$U$5:$U$1000,ROW(),$V$5:$V$1000,"Sub")),$Y222)))</f>
        <v/>
      </c>
      <c r="N222" s="56">
        <f>IF(OR($M222="",$V222="Sub"),"",IF($M222&gt;=1,"Completado",IF($M222&gt;0,"En curso","Pendiente")))</f>
        <v/>
      </c>
      <c r="O222" s="56">
        <f>IF(OR(NOT((COUNTA($B222:$D222)+COUNTA($G222:$H222)+COUNTA($Q222))&gt;0),$V222="Sub"),"",IF(ISNUMBER($G222),IF(AND(ISNUMBER($AS222),$G222&gt;$AS222),"Cumplida con "&amp;($G222-$AS222)&amp;IF($G222-$AS222=1," día"," días")&amp;" de retraso","Cumplida"),IF(N($M222)&gt;=1,"Cumplida",IF(NOT(ISNUMBER($AS222)),"Sin fecha límite",IF($AS222&lt;FechaRef,"Vencida hace "&amp;(FechaRef-$AS222)&amp;IF(FechaRef-$AS222=1," día"," días"),IF($AS222=FechaRef,"Vence hoy",IF($AS222-FechaRef&lt;=DiasAlerta,"Vence en "&amp;($AS222-FechaRef)&amp;IF($AS222-FechaRef=1," día"," días"),"En plazo")))))))</f>
        <v/>
      </c>
      <c r="P222" s="62" t="n"/>
      <c r="Q222" s="58" t="n"/>
      <c r="R222" s="63">
        <f>IF(NOT((COUNTA($B222:$D222)+COUNTA($G222:$H222)+COUNTA($Q222))&gt;0),"",IF((IF($C222="","Falta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 OK","⚠ "&amp;LEFT(IF($C222="","Falta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",""),LEN(IF($C222="","Falta el nombre de la actividad"&amp;" · ","")&amp;IF(AND($V222="Sub",N($U222)=0),"Subactividad sin macroactividad arriba"&amp;" · ","")&amp;IF(AND($V222="Macro",$AR222=""),"Sin fecha de inicio"&amp;" · ","")&amp;IF(AND($V222="Macro",$AS222=""),"Sin fecha límite"&amp;" · ","")&amp;IF(AND(LEFT($C222,11)="[Jefatura] ",N($AQ222)=0),"No se encuentra en la hoja de la jefatura (elíjala de nuevo en la lista)"&amp;" · ","")&amp;IF(OR(AND($E222&lt;&gt;"",NOT(ISNUMBER($E222))),AND($F222&lt;&gt;"",NOT(ISNUMBER($F222))),AND($G222&lt;&gt;"",NOT(ISNUMBER($G222)))),"Fecha no válida"&amp;" · ","")&amp;IF(AND(ISNUMBER($AR222),ISNUMBER($AS222),$AR222&gt;$AS222),"Inicio posterior a fecha límite"&amp;" · ","")&amp;IF(AND($V222="Macro",$H222&lt;&gt;"",OR(NOT(ISNUMBER($H222)),$H222&lt;0,$H222&gt;1)),"Peso fuera de rango"&amp;" · ","")&amp;IF(AND($V222="Sub",$H222&lt;&gt;"",OR(NOT(ISNUMBER($H222)),$H222&lt;0,$H222&gt;1)),"% de la subactividad fuera de rango 0-100%"&amp;" · ","")&amp;IF(AND(N($W222)&gt;0,SUMIFS($H$5:$H$1000,$U$5:$U$1000,ROW(),$V$5:$V$1000,"Sub")&gt;1.0001),"Las subactividades suman más de 100%"&amp;" · ","")&amp;IF(AND(N($W222)&gt;0,OR(IF(ISNUMBER($I222),ROUND($I222,6)&lt;&gt;ROUND(MIN(1,SUMIFS($AD$5:$AD$1000,$U$5:$U$1000,ROW(),$V$5:$V$1000,"Sub")),6),FALSE),IF(ISNUMBER($J222),ROUND($J222,6)&lt;&gt;ROUND(MIN(1,SUMIFS($AE$5:$AE$1000,$U$5:$U$1000,ROW(),$V$5:$V$1000,"Sub")),6),FALSE),IF(ISNUMBER($K222),ROUND($K222,6)&lt;&gt;ROUND(MIN(1,SUMIFS($AF$5:$AF$1000,$U$5:$U$1000,ROW(),$V$5:$V$1000,"Sub")),6),FALSE),IF(ISNUMBER($L222),ROUND($L222,6)&lt;&gt;ROUND(MIN(1,SUMIFS($AG$5:$AG$1000,$U$5:$U$1000,ROW(),$V$5:$V$1000,"Sub")),6),FALSE))),"Con subactividades: no escriba en las semanas (se llenan solas)"&amp;" · ","")&amp;IF((COUNTIF($I222:$L222,"&gt;1")+COUNTIF($I222:$L222,"&lt;0")+SUMPRODUCT((LEN($I222:$L222)&gt;0)*NOT(ISNUMBER($I222:$L222))))&gt;0,"Avance fuera de rango 0-100%"&amp;" · ","")&amp;IF(OR(AND(ISNUMBER($J222),$J222&lt;N($I222)),AND(ISNUMBER($K222),$K222&lt;MAX($I222:$J222)),AND(ISNUMBER($L222),$L222&lt;MAX($I222:$K222))),"Avance semanal decreciente"&amp;" · ","")&amp;IF(AND(ISNUMBER($AS222),$AS222&lt;FechaRef,IF($V222="Sub",1,N($M222))&lt;1),"Vencida"&amp;" · ","")&amp;IF(AND(ObsObligatoria="Sí",ISNUMBER($AS222),$AS222&lt;FechaRef,IF($V222="Sub",1,N($M222))&lt;1,$Q222=""),"Vencida sin observación"&amp;" · ",""))-3)))</f>
        <v/>
      </c>
      <c r="S222" s="64">
        <f>IF(NOT((COUNTA($B222:$D222)+COUNTA($G222:$H222)+COUNTA($Q222))&gt;0),"",IF(AND($V222="Sub",N($U222)&gt;0),IF(ISNUMBER(INDEX($AR$5:$AR$1000,$U222-4)),DATE(YEAR(INDEX($AR$5:$AR$1000,$U222-4)),MONTH(INDEX($AR$5:$AR$1000,$U222-4)),1),IF(ISNUMBER(INDEX($AS$5:$AS$1000,$U222-4)),DATE(YEAR(INDEX($AS$5:$AS$1000,$U222-4)),MONTH(INDEX($AS$5:$AS$1000,$U222-4)),1),MesCiclo)),IF(ISNUMBER($AR222),DATE(YEAR($AR222),MONTH($AR222),1),IF(ISNUMBER($AS222),DATE(YEAR($AS222),MONTH($AS222),1),MesCiclo))))</f>
        <v/>
      </c>
      <c r="T222" s="62">
        <f>IF(OR($S222="",$S222&lt;&gt;MesCiclo,$V222&lt;&gt;"Macro"),"",COUNTIFS($S$5:$S222,MesCiclo,$V$5:$V222,"Macro"))</f>
        <v/>
      </c>
      <c r="U222" s="62">
        <f>IF($V222="","",IF($V222="Macro",ROW(),IFERROR(LOOKUP(2,1/($V$5:$V222="Macro"),ROW($V$5:$V222)),0)))</f>
        <v/>
      </c>
      <c r="V222" s="62">
        <f>IF(NOT((COUNTA($B222:$D222)+COUNTA($G222:$H222)+COUNTA($Q222))&gt;0),"",IF($B222="Subactividad","Sub","Macro"))</f>
        <v/>
      </c>
      <c r="W222" s="62">
        <f>IF($V222="Macro",COUNTIFS($U$5:$U$1000,ROW(),$V$5:$V$1000,"Sub"),"")</f>
        <v/>
      </c>
      <c r="X222" s="62">
        <f>IF($V222&lt;&gt;"Sub","",IF(AND(ISNUMBER($H222),N($H222)&gt;0),$H222,IFERROR(MAX(0,1-SUMIFS($H$5:$H$1000,$U$5:$U$1000,$U222,$V$5:$V$1000,"Sub"))/(COUNTIFS($U$5:$U$1000,$U222,$V$5:$V$1000,"Sub")-COUNTIFS($U$5:$U$1000,$U222,$V$5:$V$1000,"Sub",$H$5:$H$1000,"&gt;0")),0)))</f>
        <v/>
      </c>
      <c r="Y222" s="62">
        <f>IF($V222="","",IF($V222="Sub",N($X222)*IF(ISNUMBER($G222),1,MIN(1,MAX(0,IFERROR(LOOKUP(2,1/ISNUMBER($I222:$L222),$I222:$L222),0)))),IF(ISNUMBER($G222),1,IFERROR(LOOKUP(2,1/($I222:$L222&lt;&gt;""),$I222:$L222),0))))</f>
        <v/>
      </c>
      <c r="Z222" s="62">
        <f>IF($V222="","",IF(AND(ISNUMBER($G222),$G222&lt;=IF($S222=MesCiclo,InicioCiclo,$S222+MOD(2-WEEKDAY($S222),7))+6),1,IF(ISNUMBER($I222),$I222,0)))</f>
        <v/>
      </c>
      <c r="AA222" s="62">
        <f>IF($V222="","",IF(AND(ISNUMBER($G222),$G222&lt;=IF($S222=MesCiclo,InicioCiclo,$S222+MOD(2-WEEKDAY($S222),7))+13),1,IF(ISNUMBER($J222),$J222,$Z222)))</f>
        <v/>
      </c>
      <c r="AB222" s="62">
        <f>IF($V222="","",IF(AND(ISNUMBER($G222),$G222&lt;=IF($S222=MesCiclo,InicioCiclo,$S222+MOD(2-WEEKDAY($S222),7))+20),1,IF(ISNUMBER($K222),$K222,$AA222)))</f>
        <v/>
      </c>
      <c r="AC222" s="62">
        <f>IF($V222="","",IF(AND(ISNUMBER($G222),$G222&lt;=IF($S222=MesCiclo,InicioCiclo,$S222+MOD(2-WEEKDAY($S222),7))+27),1,IF(ISNUMBER($L222),$L222,$AB222)))</f>
        <v/>
      </c>
      <c r="AD222" s="62">
        <f>IF($V222&lt;&gt;"Sub","",N($X222)*IF(AND(ISNUMBER($G222),$G222&lt;=IF($S222=MesCiclo,InicioCiclo,$S222+MOD(2-WEEKDAY($S222),7))+6),1,MIN(1,MAX(0,IF(ISNUMBER(OFFSET($A$1,ROW()-1,8)),OFFSET($A$1,ROW()-1,8),0)))))</f>
        <v/>
      </c>
      <c r="AE222" s="62">
        <f>IF($V222&lt;&gt;"Sub","",N($X222)*IF(AND(ISNUMBER($G222),$G222&lt;=IF($S222=MesCiclo,InicioCiclo,$S222+MOD(2-WEEKDAY($S222),7))+13),1,MIN(1,MAX(0,IF(ISNUMBER(OFFSET($A$1,ROW()-1,9)),OFFSET($A$1,ROW()-1,9),IF(ISNUMBER(OFFSET($A$1,ROW()-1,8)),OFFSET($A$1,ROW()-1,8),0))))))</f>
        <v/>
      </c>
      <c r="AF222" s="62">
        <f>IF($V222&lt;&gt;"Sub","",N($X222)*IF(AND(ISNUMBER($G222),$G222&lt;=IF($S222=MesCiclo,InicioCiclo,$S222+MOD(2-WEEKDAY($S222),7))+20),1,MIN(1,MAX(0,IF(ISNUMBER(OFFSET($A$1,ROW()-1,10)),OFFSET($A$1,ROW()-1,10),IF(ISNUMBER(OFFSET($A$1,ROW()-1,9)),OFFSET($A$1,ROW()-1,9),IF(ISNUMBER(OFFSET($A$1,ROW()-1,8)),OFFSET($A$1,ROW()-1,8),0)))))))</f>
        <v/>
      </c>
      <c r="AG222" s="62">
        <f>IF($V222&lt;&gt;"Sub","",N($X222)*IF(AND(ISNUMBER($G222),$G222&lt;=IF($S222=MesCiclo,InicioCiclo,$S222+MOD(2-WEEKDAY($S222),7))+27),1,MIN(1,MAX(0,IF(ISNUMBER(OFFSET($A$1,ROW()-1,11)),OFFSET($A$1,ROW()-1,11),IF(ISNUMBER(OFFSET($A$1,ROW()-1,10)),OFFSET($A$1,ROW()-1,10),IF(ISNUMBER(OFFSET($A$1,ROW()-1,9)),OFFSET($A$1,ROW()-1,9),IF(ISNUMBER(OFFSET($A$1,ROW()-1,8)),OFFSET($A$1,ROW()-1,8),0))))))))</f>
        <v/>
      </c>
      <c r="AH222" s="62">
        <f>IF($V222="","",IF(AND(ISNUMBER($G222),$G222&lt;=IF($S222=MesCiclo,InicioCiclo,$S222+MOD(2-WEEKDAY($S222),7))+6),1,IF(N($W222)&gt;0,MIN(1,SUMIFS($AD$5:$AD$1000,$U$5:$U$1000,ROW(),$V$5:$V$1000,"Sub")),$Z222)))</f>
        <v/>
      </c>
      <c r="AI222" s="62">
        <f>IF($V222="","",IF(AND(ISNUMBER($G222),$G222&lt;=IF($S222=MesCiclo,InicioCiclo,$S222+MOD(2-WEEKDAY($S222),7))+13),1,IF(N($W222)&gt;0,MIN(1,SUMIFS($AE$5:$AE$1000,$U$5:$U$1000,ROW(),$V$5:$V$1000,"Sub")),$AA222)))</f>
        <v/>
      </c>
      <c r="AJ222" s="62">
        <f>IF($V222="","",IF(AND(ISNUMBER($G222),$G222&lt;=IF($S222=MesCiclo,InicioCiclo,$S222+MOD(2-WEEKDAY($S222),7))+20),1,IF(N($W222)&gt;0,MIN(1,SUMIFS($AF$5:$AF$1000,$U$5:$U$1000,ROW(),$V$5:$V$1000,"Sub")),$AB222)))</f>
        <v/>
      </c>
      <c r="AK222" s="62">
        <f>IF($V222="","",IF(AND(ISNUMBER($G222),$G222&lt;=IF($S222=MesCiclo,InicioCiclo,$S222+MOD(2-WEEKDAY($S222),7))+27),1,IF(N($W222)&gt;0,MIN(1,SUMIFS($AG$5:$AG$1000,$U$5:$U$1000,ROW(),$V$5:$V$1000,"Sub")),$AC222)))</f>
        <v/>
      </c>
      <c r="AL222" s="62">
        <f>IF($V222&lt;&gt;"Macro","",IF(COUNTIFS($S$5:$S$1000,$S222,$V$5:$V$1000,"Macro",$H$5:$H$1000,"&gt;0")=0,1/COUNTIFS($S$5:$S$1000,$S222,$V$5:$V$1000,"Macro"),IF(AND(ISNUMBER($H222),N($H222)&gt;0),$H222,SUMIFS($H$5:$H$1000,$S$5:$S$1000,$S222,$V$5:$V$1000,"Macro")/COUNTIFS($S$5:$S$1000,$S222,$V$5:$V$1000,"Macro",$H$5:$H$1000,"&gt;0"))/(COUNTIFS($S$5:$S$1000,$S222,$V$5:$V$1000,"Macro")*SUMIFS($H$5:$H$1000,$S$5:$S$1000,$S222,$V$5:$V$1000,"Macro")/COUNTIFS($S$5:$S$1000,$S222,$V$5:$V$1000,"Macro",$H$5:$H$1000,"&gt;0"))))</f>
        <v/>
      </c>
      <c r="AM222" s="62" t="n"/>
      <c r="AN222" s="62" t="n"/>
      <c r="AO222" s="62" t="n"/>
      <c r="AP222" s="62" t="n"/>
      <c r="AQ222" s="62">
        <f>IF(LEFT($C222,11)="[Jefatura] ",IFERROR(MATCH("Asistente Técnico de Riesgo|"&amp;MID($C222,12,500),rDname_ADM,0),0),"")</f>
        <v/>
      </c>
      <c r="AR222" s="62">
        <f>IF(N($AQ222)&gt;0,INDEX(rIni_ADM,$AQ222),IF(ISNUMBER($E222),$E222,""))</f>
        <v/>
      </c>
      <c r="AS222" s="62">
        <f>IF(N($AQ222)&gt;0,INDEX(rLim_ADM,$AQ222),IF(ISNUMBER($F222),$F222,""))</f>
        <v/>
      </c>
    </row>
    <row r="223">
      <c r="A223" s="56">
        <f>IF(NOT((COUNTA($B223:$D223)+COUNTA($G223:$H223)+COUNTA($Q223))&gt;0),"",IF($V223="Macro",COUNTIFS($V$5:$V223,"Macro",$S$5:$S223,$S223),IF(N($U223)=0,"?",COUNTIFS(INDEX($V$5:$V$1000,1):INDEX($V$5:$V$1000,$U223-4),"Macro",INDEX($S$5:$S$1000,1):INDEX($S$5:$S$1000,$U223-4),INDEX($S$5:$S$1000,$U223-4))&amp;"."&amp;COUNTIFS($U$5:$U223,$U223,$V$5:$V223,"Sub"))))</f>
        <v/>
      </c>
      <c r="B223" s="57" t="n"/>
      <c r="C223" s="58" t="n"/>
      <c r="D223" s="58" t="n"/>
      <c r="E223" s="59">
        <f>IF(N($AQ223)&gt;0,INDEX(rIni_ADM,$AQ223),"")</f>
        <v/>
      </c>
      <c r="F223" s="59">
        <f>IF(N($AQ223)&gt;0,INDEX(rLim_ADM,$AQ223),"")</f>
        <v/>
      </c>
      <c r="G223" s="59" t="n"/>
      <c r="H223" s="60" t="n"/>
      <c r="I223" s="60">
        <f>IF(N($W223)=0,"",IF(AND($S223=MesCiclo,1&gt;SemanaActual),"",MIN(1,SUMIFS(OFFSET($A$1,ROW(),29,1000-ROW(),1),OFFSET($A$1,ROW(),20,1000-ROW(),1),ROW(),OFFSET($A$1,ROW(),21,1000-ROW(),1),"Sub"))))</f>
        <v/>
      </c>
      <c r="J223" s="60">
        <f>IF(N($W223)=0,"",IF(AND($S223=MesCiclo,2&gt;SemanaActual),"",MIN(1,SUMIFS(OFFSET($A$1,ROW(),30,1000-ROW(),1),OFFSET($A$1,ROW(),20,1000-ROW(),1),ROW(),OFFSET($A$1,ROW(),21,1000-ROW(),1),"Sub"))))</f>
        <v/>
      </c>
      <c r="K223" s="60">
        <f>IF(N($W223)=0,"",IF(AND($S223=MesCiclo,3&gt;SemanaActual),"",MIN(1,SUMIFS(OFFSET($A$1,ROW(),31,1000-ROW(),1),OFFSET($A$1,ROW(),20,1000-ROW(),1),ROW(),OFFSET($A$1,ROW(),21,1000-ROW(),1),"Sub"))))</f>
        <v/>
      </c>
      <c r="L223" s="60">
        <f>IF(N($W223)=0,"",IF(AND($S223=MesCiclo,4&gt;SemanaActual),"",MIN(1,SUMIFS(OFFSET($A$1,ROW(),32,1000-ROW(),1),OFFSET($A$1,ROW(),20,1000-ROW(),1),ROW(),OFFSET($A$1,ROW(),21,1000-ROW(),1),"Sub"))))</f>
        <v/>
      </c>
      <c r="M223" s="61">
        <f>IF(OR(NOT((COUNTA($B223:$D223)+COUNTA($G223:$H223)+COUNTA($Q223))&gt;0),$V223="Sub"),"",IF(ISNUMBER($G223),1,IF(N($W223)&gt;0,MIN(1,SUMIFS($Y$5:$Y$1000,$U$5:$U$1000,ROW(),$V$5:$V$1000,"Sub")),$Y223)))</f>
        <v/>
      </c>
      <c r="N223" s="56">
        <f>IF(OR($M223="",$V223="Sub"),"",IF($M223&gt;=1,"Completado",IF($M223&gt;0,"En curso","Pendiente")))</f>
        <v/>
      </c>
      <c r="O223" s="56">
        <f>IF(OR(NOT((COUNTA($B223:$D223)+COUNTA($G223:$H223)+COUNTA($Q223))&gt;0),$V223="Sub"),"",IF(ISNUMBER($G223),IF(AND(ISNUMBER($AS223),$G223&gt;$AS223),"Cumplida con "&amp;($G223-$AS223)&amp;IF($G223-$AS223=1," día"," días")&amp;" de retraso","Cumplida"),IF(N($M223)&gt;=1,"Cumplida",IF(NOT(ISNUMBER($AS223)),"Sin fecha límite",IF($AS223&lt;FechaRef,"Vencida hace "&amp;(FechaRef-$AS223)&amp;IF(FechaRef-$AS223=1," día"," días"),IF($AS223=FechaRef,"Vence hoy",IF($AS223-FechaRef&lt;=DiasAlerta,"Vence en "&amp;($AS223-FechaRef)&amp;IF($AS223-FechaRef=1," día"," días"),"En plazo")))))))</f>
        <v/>
      </c>
      <c r="P223" s="62" t="n"/>
      <c r="Q223" s="58" t="n"/>
      <c r="R223" s="63">
        <f>IF(NOT((COUNTA($B223:$D223)+COUNTA($G223:$H223)+COUNTA($Q223))&gt;0),"",IF((IF($C223="","Falta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 OK","⚠ "&amp;LEFT(IF($C223="","Falta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",""),LEN(IF($C223="","Falta el nombre de la actividad"&amp;" · ","")&amp;IF(AND($V223="Sub",N($U223)=0),"Subactividad sin macroactividad arriba"&amp;" · ","")&amp;IF(AND($V223="Macro",$AR223=""),"Sin fecha de inicio"&amp;" · ","")&amp;IF(AND($V223="Macro",$AS223=""),"Sin fecha límite"&amp;" · ","")&amp;IF(AND(LEFT($C223,11)="[Jefatura] ",N($AQ223)=0),"No se encuentra en la hoja de la jefatura (elíjala de nuevo en la lista)"&amp;" · ","")&amp;IF(OR(AND($E223&lt;&gt;"",NOT(ISNUMBER($E223))),AND($F223&lt;&gt;"",NOT(ISNUMBER($F223))),AND($G223&lt;&gt;"",NOT(ISNUMBER($G223)))),"Fecha no válida"&amp;" · ","")&amp;IF(AND(ISNUMBER($AR223),ISNUMBER($AS223),$AR223&gt;$AS223),"Inicio posterior a fecha límite"&amp;" · ","")&amp;IF(AND($V223="Macro",$H223&lt;&gt;"",OR(NOT(ISNUMBER($H223)),$H223&lt;0,$H223&gt;1)),"Peso fuera de rango"&amp;" · ","")&amp;IF(AND($V223="Sub",$H223&lt;&gt;"",OR(NOT(ISNUMBER($H223)),$H223&lt;0,$H223&gt;1)),"% de la subactividad fuera de rango 0-100%"&amp;" · ","")&amp;IF(AND(N($W223)&gt;0,SUMIFS($H$5:$H$1000,$U$5:$U$1000,ROW(),$V$5:$V$1000,"Sub")&gt;1.0001),"Las subactividades suman más de 100%"&amp;" · ","")&amp;IF(AND(N($W223)&gt;0,OR(IF(ISNUMBER($I223),ROUND($I223,6)&lt;&gt;ROUND(MIN(1,SUMIFS($AD$5:$AD$1000,$U$5:$U$1000,ROW(),$V$5:$V$1000,"Sub")),6),FALSE),IF(ISNUMBER($J223),ROUND($J223,6)&lt;&gt;ROUND(MIN(1,SUMIFS($AE$5:$AE$1000,$U$5:$U$1000,ROW(),$V$5:$V$1000,"Sub")),6),FALSE),IF(ISNUMBER($K223),ROUND($K223,6)&lt;&gt;ROUND(MIN(1,SUMIFS($AF$5:$AF$1000,$U$5:$U$1000,ROW(),$V$5:$V$1000,"Sub")),6),FALSE),IF(ISNUMBER($L223),ROUND($L223,6)&lt;&gt;ROUND(MIN(1,SUMIFS($AG$5:$AG$1000,$U$5:$U$1000,ROW(),$V$5:$V$1000,"Sub")),6),FALSE))),"Con subactividades: no escriba en las semanas (se llenan solas)"&amp;" · ","")&amp;IF((COUNTIF($I223:$L223,"&gt;1")+COUNTIF($I223:$L223,"&lt;0")+SUMPRODUCT((LEN($I223:$L223)&gt;0)*NOT(ISNUMBER($I223:$L223))))&gt;0,"Avance fuera de rango 0-100%"&amp;" · ","")&amp;IF(OR(AND(ISNUMBER($J223),$J223&lt;N($I223)),AND(ISNUMBER($K223),$K223&lt;MAX($I223:$J223)),AND(ISNUMBER($L223),$L223&lt;MAX($I223:$K223))),"Avance semanal decreciente"&amp;" · ","")&amp;IF(AND(ISNUMBER($AS223),$AS223&lt;FechaRef,IF($V223="Sub",1,N($M223))&lt;1),"Vencida"&amp;" · ","")&amp;IF(AND(ObsObligatoria="Sí",ISNUMBER($AS223),$AS223&lt;FechaRef,IF($V223="Sub",1,N($M223))&lt;1,$Q223=""),"Vencida sin observación"&amp;" · ",""))-3)))</f>
        <v/>
      </c>
      <c r="S223" s="64">
        <f>IF(NOT((COUNTA($B223:$D223)+COUNTA($G223:$H223)+COUNTA($Q223))&gt;0),"",IF(AND($V223="Sub",N($U223)&gt;0),IF(ISNUMBER(INDEX($AR$5:$AR$1000,$U223-4)),DATE(YEAR(INDEX($AR$5:$AR$1000,$U223-4)),MONTH(INDEX($AR$5:$AR$1000,$U223-4)),1),IF(ISNUMBER(INDEX($AS$5:$AS$1000,$U223-4)),DATE(YEAR(INDEX($AS$5:$AS$1000,$U223-4)),MONTH(INDEX($AS$5:$AS$1000,$U223-4)),1),MesCiclo)),IF(ISNUMBER($AR223),DATE(YEAR($AR223),MONTH($AR223),1),IF(ISNUMBER($AS223),DATE(YEAR($AS223),MONTH($AS223),1),MesCiclo))))</f>
        <v/>
      </c>
      <c r="T223" s="62">
        <f>IF(OR($S223="",$S223&lt;&gt;MesCiclo,$V223&lt;&gt;"Macro"),"",COUNTIFS($S$5:$S223,MesCiclo,$V$5:$V223,"Macro"))</f>
        <v/>
      </c>
      <c r="U223" s="62">
        <f>IF($V223="","",IF($V223="Macro",ROW(),IFERROR(LOOKUP(2,1/($V$5:$V223="Macro"),ROW($V$5:$V223)),0)))</f>
        <v/>
      </c>
      <c r="V223" s="62">
        <f>IF(NOT((COUNTA($B223:$D223)+COUNTA($G223:$H223)+COUNTA($Q223))&gt;0),"",IF($B223="Subactividad","Sub","Macro"))</f>
        <v/>
      </c>
      <c r="W223" s="62">
        <f>IF($V223="Macro",COUNTIFS($U$5:$U$1000,ROW(),$V$5:$V$1000,"Sub"),"")</f>
        <v/>
      </c>
      <c r="X223" s="62">
        <f>IF($V223&lt;&gt;"Sub","",IF(AND(ISNUMBER($H223),N($H223)&gt;0),$H223,IFERROR(MAX(0,1-SUMIFS($H$5:$H$1000,$U$5:$U$1000,$U223,$V$5:$V$1000,"Sub"))/(COUNTIFS($U$5:$U$1000,$U223,$V$5:$V$1000,"Sub")-COUNTIFS($U$5:$U$1000,$U223,$V$5:$V$1000,"Sub",$H$5:$H$1000,"&gt;0")),0)))</f>
        <v/>
      </c>
      <c r="Y223" s="62">
        <f>IF($V223="","",IF($V223="Sub",N($X223)*IF(ISNUMBER($G223),1,MIN(1,MAX(0,IFERROR(LOOKUP(2,1/ISNUMBER($I223:$L223),$I223:$L223),0)))),IF(ISNUMBER($G223),1,IFERROR(LOOKUP(2,1/($I223:$L223&lt;&gt;""),$I223:$L223),0))))</f>
        <v/>
      </c>
      <c r="Z223" s="62">
        <f>IF($V223="","",IF(AND(ISNUMBER($G223),$G223&lt;=IF($S223=MesCiclo,InicioCiclo,$S223+MOD(2-WEEKDAY($S223),7))+6),1,IF(ISNUMBER($I223),$I223,0)))</f>
        <v/>
      </c>
      <c r="AA223" s="62">
        <f>IF($V223="","",IF(AND(ISNUMBER($G223),$G223&lt;=IF($S223=MesCiclo,InicioCiclo,$S223+MOD(2-WEEKDAY($S223),7))+13),1,IF(ISNUMBER($J223),$J223,$Z223)))</f>
        <v/>
      </c>
      <c r="AB223" s="62">
        <f>IF($V223="","",IF(AND(ISNUMBER($G223),$G223&lt;=IF($S223=MesCiclo,InicioCiclo,$S223+MOD(2-WEEKDAY($S223),7))+20),1,IF(ISNUMBER($K223),$K223,$AA223)))</f>
        <v/>
      </c>
      <c r="AC223" s="62">
        <f>IF($V223="","",IF(AND(ISNUMBER($G223),$G223&lt;=IF($S223=MesCiclo,InicioCiclo,$S223+MOD(2-WEEKDAY($S223),7))+27),1,IF(ISNUMBER($L223),$L223,$AB223)))</f>
        <v/>
      </c>
      <c r="AD223" s="62">
        <f>IF($V223&lt;&gt;"Sub","",N($X223)*IF(AND(ISNUMBER($G223),$G223&lt;=IF($S223=MesCiclo,InicioCiclo,$S223+MOD(2-WEEKDAY($S223),7))+6),1,MIN(1,MAX(0,IF(ISNUMBER(OFFSET($A$1,ROW()-1,8)),OFFSET($A$1,ROW()-1,8),0)))))</f>
        <v/>
      </c>
      <c r="AE223" s="62">
        <f>IF($V223&lt;&gt;"Sub","",N($X223)*IF(AND(ISNUMBER($G223),$G223&lt;=IF($S223=MesCiclo,InicioCiclo,$S223+MOD(2-WEEKDAY($S223),7))+13),1,MIN(1,MAX(0,IF(ISNUMBER(OFFSET($A$1,ROW()-1,9)),OFFSET($A$1,ROW()-1,9),IF(ISNUMBER(OFFSET($A$1,ROW()-1,8)),OFFSET($A$1,ROW()-1,8),0))))))</f>
        <v/>
      </c>
      <c r="AF223" s="62">
        <f>IF($V223&lt;&gt;"Sub","",N($X223)*IF(AND(ISNUMBER($G223),$G223&lt;=IF($S223=MesCiclo,InicioCiclo,$S223+MOD(2-WEEKDAY($S223),7))+20),1,MIN(1,MAX(0,IF(ISNUMBER(OFFSET($A$1,ROW()-1,10)),OFFSET($A$1,ROW()-1,10),IF(ISNUMBER(OFFSET($A$1,ROW()-1,9)),OFFSET($A$1,ROW()-1,9),IF(ISNUMBER(OFFSET($A$1,ROW()-1,8)),OFFSET($A$1,ROW()-1,8),0)))))))</f>
        <v/>
      </c>
      <c r="AG223" s="62">
        <f>IF($V223&lt;&gt;"Sub","",N($X223)*IF(AND(ISNUMBER($G223),$G223&lt;=IF($S223=MesCiclo,InicioCiclo,$S223+MOD(2-WEEKDAY($S223),7))+27),1,MIN(1,MAX(0,IF(ISNUMBER(OFFSET($A$1,ROW()-1,11)),OFFSET($A$1,ROW()-1,11),IF(ISNUMBER(OFFSET($A$1,ROW()-1,10)),OFFSET($A$1,ROW()-1,10),IF(ISNUMBER(OFFSET($A$1,ROW()-1,9)),OFFSET($A$1,ROW()-1,9),IF(ISNUMBER(OFFSET($A$1,ROW()-1,8)),OFFSET($A$1,ROW()-1,8),0))))))))</f>
        <v/>
      </c>
      <c r="AH223" s="62">
        <f>IF($V223="","",IF(AND(ISNUMBER($G223),$G223&lt;=IF($S223=MesCiclo,InicioCiclo,$S223+MOD(2-WEEKDAY($S223),7))+6),1,IF(N($W223)&gt;0,MIN(1,SUMIFS($AD$5:$AD$1000,$U$5:$U$1000,ROW(),$V$5:$V$1000,"Sub")),$Z223)))</f>
        <v/>
      </c>
      <c r="AI223" s="62">
        <f>IF($V223="","",IF(AND(ISNUMBER($G223),$G223&lt;=IF($S223=MesCiclo,InicioCiclo,$S223+MOD(2-WEEKDAY($S223),7))+13),1,IF(N($W223)&gt;0,MIN(1,SUMIFS($AE$5:$AE$1000,$U$5:$U$1000,ROW(),$V$5:$V$1000,"Sub")),$AA223)))</f>
        <v/>
      </c>
      <c r="AJ223" s="62">
        <f>IF($V223="","",IF(AND(ISNUMBER($G223),$G223&lt;=IF($S223=MesCiclo,InicioCiclo,$S223+MOD(2-WEEKDAY($S223),7))+20),1,IF(N($W223)&gt;0,MIN(1,SUMIFS($AF$5:$AF$1000,$U$5:$U$1000,ROW(),$V$5:$V$1000,"Sub")),$AB223)))</f>
        <v/>
      </c>
      <c r="AK223" s="62">
        <f>IF($V223="","",IF(AND(ISNUMBER($G223),$G223&lt;=IF($S223=MesCiclo,InicioCiclo,$S223+MOD(2-WEEKDAY($S223),7))+27),1,IF(N($W223)&gt;0,MIN(1,SUMIFS($AG$5:$AG$1000,$U$5:$U$1000,ROW(),$V$5:$V$1000,"Sub")),$AC223)))</f>
        <v/>
      </c>
      <c r="AL223" s="62">
        <f>IF($V223&lt;&gt;"Macro","",IF(COUNTIFS($S$5:$S$1000,$S223,$V$5:$V$1000,"Macro",$H$5:$H$1000,"&gt;0")=0,1/COUNTIFS($S$5:$S$1000,$S223,$V$5:$V$1000,"Macro"),IF(AND(ISNUMBER($H223),N($H223)&gt;0),$H223,SUMIFS($H$5:$H$1000,$S$5:$S$1000,$S223,$V$5:$V$1000,"Macro")/COUNTIFS($S$5:$S$1000,$S223,$V$5:$V$1000,"Macro",$H$5:$H$1000,"&gt;0"))/(COUNTIFS($S$5:$S$1000,$S223,$V$5:$V$1000,"Macro")*SUMIFS($H$5:$H$1000,$S$5:$S$1000,$S223,$V$5:$V$1000,"Macro")/COUNTIFS($S$5:$S$1000,$S223,$V$5:$V$1000,"Macro",$H$5:$H$1000,"&gt;0"))))</f>
        <v/>
      </c>
      <c r="AM223" s="62" t="n"/>
      <c r="AN223" s="62" t="n"/>
      <c r="AO223" s="62" t="n"/>
      <c r="AP223" s="62" t="n"/>
      <c r="AQ223" s="62">
        <f>IF(LEFT($C223,11)="[Jefatura] ",IFERROR(MATCH("Asistente Técnico de Riesgo|"&amp;MID($C223,12,500),rDname_ADM,0),0),"")</f>
        <v/>
      </c>
      <c r="AR223" s="62">
        <f>IF(N($AQ223)&gt;0,INDEX(rIni_ADM,$AQ223),IF(ISNUMBER($E223),$E223,""))</f>
        <v/>
      </c>
      <c r="AS223" s="62">
        <f>IF(N($AQ223)&gt;0,INDEX(rLim_ADM,$AQ223),IF(ISNUMBER($F223),$F223,""))</f>
        <v/>
      </c>
    </row>
    <row r="224">
      <c r="A224" s="56">
        <f>IF(NOT((COUNTA($B224:$D224)+COUNTA($G224:$H224)+COUNTA($Q224))&gt;0),"",IF($V224="Macro",COUNTIFS($V$5:$V224,"Macro",$S$5:$S224,$S224),IF(N($U224)=0,"?",COUNTIFS(INDEX($V$5:$V$1000,1):INDEX($V$5:$V$1000,$U224-4),"Macro",INDEX($S$5:$S$1000,1):INDEX($S$5:$S$1000,$U224-4),INDEX($S$5:$S$1000,$U224-4))&amp;"."&amp;COUNTIFS($U$5:$U224,$U224,$V$5:$V224,"Sub"))))</f>
        <v/>
      </c>
      <c r="B224" s="57" t="n"/>
      <c r="C224" s="58" t="n"/>
      <c r="D224" s="58" t="n"/>
      <c r="E224" s="59">
        <f>IF(N($AQ224)&gt;0,INDEX(rIni_ADM,$AQ224),"")</f>
        <v/>
      </c>
      <c r="F224" s="59">
        <f>IF(N($AQ224)&gt;0,INDEX(rLim_ADM,$AQ224),"")</f>
        <v/>
      </c>
      <c r="G224" s="59" t="n"/>
      <c r="H224" s="60" t="n"/>
      <c r="I224" s="60">
        <f>IF(N($W224)=0,"",IF(AND($S224=MesCiclo,1&gt;SemanaActual),"",MIN(1,SUMIFS(OFFSET($A$1,ROW(),29,1000-ROW(),1),OFFSET($A$1,ROW(),20,1000-ROW(),1),ROW(),OFFSET($A$1,ROW(),21,1000-ROW(),1),"Sub"))))</f>
        <v/>
      </c>
      <c r="J224" s="60">
        <f>IF(N($W224)=0,"",IF(AND($S224=MesCiclo,2&gt;SemanaActual),"",MIN(1,SUMIFS(OFFSET($A$1,ROW(),30,1000-ROW(),1),OFFSET($A$1,ROW(),20,1000-ROW(),1),ROW(),OFFSET($A$1,ROW(),21,1000-ROW(),1),"Sub"))))</f>
        <v/>
      </c>
      <c r="K224" s="60">
        <f>IF(N($W224)=0,"",IF(AND($S224=MesCiclo,3&gt;SemanaActual),"",MIN(1,SUMIFS(OFFSET($A$1,ROW(),31,1000-ROW(),1),OFFSET($A$1,ROW(),20,1000-ROW(),1),ROW(),OFFSET($A$1,ROW(),21,1000-ROW(),1),"Sub"))))</f>
        <v/>
      </c>
      <c r="L224" s="60">
        <f>IF(N($W224)=0,"",IF(AND($S224=MesCiclo,4&gt;SemanaActual),"",MIN(1,SUMIFS(OFFSET($A$1,ROW(),32,1000-ROW(),1),OFFSET($A$1,ROW(),20,1000-ROW(),1),ROW(),OFFSET($A$1,ROW(),21,1000-ROW(),1),"Sub"))))</f>
        <v/>
      </c>
      <c r="M224" s="61">
        <f>IF(OR(NOT((COUNTA($B224:$D224)+COUNTA($G224:$H224)+COUNTA($Q224))&gt;0),$V224="Sub"),"",IF(ISNUMBER($G224),1,IF(N($W224)&gt;0,MIN(1,SUMIFS($Y$5:$Y$1000,$U$5:$U$1000,ROW(),$V$5:$V$1000,"Sub")),$Y224)))</f>
        <v/>
      </c>
      <c r="N224" s="56">
        <f>IF(OR($M224="",$V224="Sub"),"",IF($M224&gt;=1,"Completado",IF($M224&gt;0,"En curso","Pendiente")))</f>
        <v/>
      </c>
      <c r="O224" s="56">
        <f>IF(OR(NOT((COUNTA($B224:$D224)+COUNTA($G224:$H224)+COUNTA($Q224))&gt;0),$V224="Sub"),"",IF(ISNUMBER($G224),IF(AND(ISNUMBER($AS224),$G224&gt;$AS224),"Cumplida con "&amp;($G224-$AS224)&amp;IF($G224-$AS224=1," día"," días")&amp;" de retraso","Cumplida"),IF(N($M224)&gt;=1,"Cumplida",IF(NOT(ISNUMBER($AS224)),"Sin fecha límite",IF($AS224&lt;FechaRef,"Vencida hace "&amp;(FechaRef-$AS224)&amp;IF(FechaRef-$AS224=1," día"," días"),IF($AS224=FechaRef,"Vence hoy",IF($AS224-FechaRef&lt;=DiasAlerta,"Vence en "&amp;($AS224-FechaRef)&amp;IF($AS224-FechaRef=1," día"," días"),"En plazo")))))))</f>
        <v/>
      </c>
      <c r="P224" s="62" t="n"/>
      <c r="Q224" s="58" t="n"/>
      <c r="R224" s="63">
        <f>IF(NOT((COUNTA($B224:$D224)+COUNTA($G224:$H224)+COUNTA($Q224))&gt;0),"",IF((IF($C224="","Falta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 OK","⚠ "&amp;LEFT(IF($C224="","Falta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",""),LEN(IF($C224="","Falta el nombre de la actividad"&amp;" · ","")&amp;IF(AND($V224="Sub",N($U224)=0),"Subactividad sin macroactividad arriba"&amp;" · ","")&amp;IF(AND($V224="Macro",$AR224=""),"Sin fecha de inicio"&amp;" · ","")&amp;IF(AND($V224="Macro",$AS224=""),"Sin fecha límite"&amp;" · ","")&amp;IF(AND(LEFT($C224,11)="[Jefatura] ",N($AQ224)=0),"No se encuentra en la hoja de la jefatura (elíjala de nuevo en la lista)"&amp;" · ","")&amp;IF(OR(AND($E224&lt;&gt;"",NOT(ISNUMBER($E224))),AND($F224&lt;&gt;"",NOT(ISNUMBER($F224))),AND($G224&lt;&gt;"",NOT(ISNUMBER($G224)))),"Fecha no válida"&amp;" · ","")&amp;IF(AND(ISNUMBER($AR224),ISNUMBER($AS224),$AR224&gt;$AS224),"Inicio posterior a fecha límite"&amp;" · ","")&amp;IF(AND($V224="Macro",$H224&lt;&gt;"",OR(NOT(ISNUMBER($H224)),$H224&lt;0,$H224&gt;1)),"Peso fuera de rango"&amp;" · ","")&amp;IF(AND($V224="Sub",$H224&lt;&gt;"",OR(NOT(ISNUMBER($H224)),$H224&lt;0,$H224&gt;1)),"% de la subactividad fuera de rango 0-100%"&amp;" · ","")&amp;IF(AND(N($W224)&gt;0,SUMIFS($H$5:$H$1000,$U$5:$U$1000,ROW(),$V$5:$V$1000,"Sub")&gt;1.0001),"Las subactividades suman más de 100%"&amp;" · ","")&amp;IF(AND(N($W224)&gt;0,OR(IF(ISNUMBER($I224),ROUND($I224,6)&lt;&gt;ROUND(MIN(1,SUMIFS($AD$5:$AD$1000,$U$5:$U$1000,ROW(),$V$5:$V$1000,"Sub")),6),FALSE),IF(ISNUMBER($J224),ROUND($J224,6)&lt;&gt;ROUND(MIN(1,SUMIFS($AE$5:$AE$1000,$U$5:$U$1000,ROW(),$V$5:$V$1000,"Sub")),6),FALSE),IF(ISNUMBER($K224),ROUND($K224,6)&lt;&gt;ROUND(MIN(1,SUMIFS($AF$5:$AF$1000,$U$5:$U$1000,ROW(),$V$5:$V$1000,"Sub")),6),FALSE),IF(ISNUMBER($L224),ROUND($L224,6)&lt;&gt;ROUND(MIN(1,SUMIFS($AG$5:$AG$1000,$U$5:$U$1000,ROW(),$V$5:$V$1000,"Sub")),6),FALSE))),"Con subactividades: no escriba en las semanas (se llenan solas)"&amp;" · ","")&amp;IF((COUNTIF($I224:$L224,"&gt;1")+COUNTIF($I224:$L224,"&lt;0")+SUMPRODUCT((LEN($I224:$L224)&gt;0)*NOT(ISNUMBER($I224:$L224))))&gt;0,"Avance fuera de rango 0-100%"&amp;" · ","")&amp;IF(OR(AND(ISNUMBER($J224),$J224&lt;N($I224)),AND(ISNUMBER($K224),$K224&lt;MAX($I224:$J224)),AND(ISNUMBER($L224),$L224&lt;MAX($I224:$K224))),"Avance semanal decreciente"&amp;" · ","")&amp;IF(AND(ISNUMBER($AS224),$AS224&lt;FechaRef,IF($V224="Sub",1,N($M224))&lt;1),"Vencida"&amp;" · ","")&amp;IF(AND(ObsObligatoria="Sí",ISNUMBER($AS224),$AS224&lt;FechaRef,IF($V224="Sub",1,N($M224))&lt;1,$Q224=""),"Vencida sin observación"&amp;" · ",""))-3)))</f>
        <v/>
      </c>
      <c r="S224" s="64">
        <f>IF(NOT((COUNTA($B224:$D224)+COUNTA($G224:$H224)+COUNTA($Q224))&gt;0),"",IF(AND($V224="Sub",N($U224)&gt;0),IF(ISNUMBER(INDEX($AR$5:$AR$1000,$U224-4)),DATE(YEAR(INDEX($AR$5:$AR$1000,$U224-4)),MONTH(INDEX($AR$5:$AR$1000,$U224-4)),1),IF(ISNUMBER(INDEX($AS$5:$AS$1000,$U224-4)),DATE(YEAR(INDEX($AS$5:$AS$1000,$U224-4)),MONTH(INDEX($AS$5:$AS$1000,$U224-4)),1),MesCiclo)),IF(ISNUMBER($AR224),DATE(YEAR($AR224),MONTH($AR224),1),IF(ISNUMBER($AS224),DATE(YEAR($AS224),MONTH($AS224),1),MesCiclo))))</f>
        <v/>
      </c>
      <c r="T224" s="62">
        <f>IF(OR($S224="",$S224&lt;&gt;MesCiclo,$V224&lt;&gt;"Macro"),"",COUNTIFS($S$5:$S224,MesCiclo,$V$5:$V224,"Macro"))</f>
        <v/>
      </c>
      <c r="U224" s="62">
        <f>IF($V224="","",IF($V224="Macro",ROW(),IFERROR(LOOKUP(2,1/($V$5:$V224="Macro"),ROW($V$5:$V224)),0)))</f>
        <v/>
      </c>
      <c r="V224" s="62">
        <f>IF(NOT((COUNTA($B224:$D224)+COUNTA($G224:$H224)+COUNTA($Q224))&gt;0),"",IF($B224="Subactividad","Sub","Macro"))</f>
        <v/>
      </c>
      <c r="W224" s="62">
        <f>IF($V224="Macro",COUNTIFS($U$5:$U$1000,ROW(),$V$5:$V$1000,"Sub"),"")</f>
        <v/>
      </c>
      <c r="X224" s="62">
        <f>IF($V224&lt;&gt;"Sub","",IF(AND(ISNUMBER($H224),N($H224)&gt;0),$H224,IFERROR(MAX(0,1-SUMIFS($H$5:$H$1000,$U$5:$U$1000,$U224,$V$5:$V$1000,"Sub"))/(COUNTIFS($U$5:$U$1000,$U224,$V$5:$V$1000,"Sub")-COUNTIFS($U$5:$U$1000,$U224,$V$5:$V$1000,"Sub",$H$5:$H$1000,"&gt;0")),0)))</f>
        <v/>
      </c>
      <c r="Y224" s="62">
        <f>IF($V224="","",IF($V224="Sub",N($X224)*IF(ISNUMBER($G224),1,MIN(1,MAX(0,IFERROR(LOOKUP(2,1/ISNUMBER($I224:$L224),$I224:$L224),0)))),IF(ISNUMBER($G224),1,IFERROR(LOOKUP(2,1/($I224:$L224&lt;&gt;""),$I224:$L224),0))))</f>
        <v/>
      </c>
      <c r="Z224" s="62">
        <f>IF($V224="","",IF(AND(ISNUMBER($G224),$G224&lt;=IF($S224=MesCiclo,InicioCiclo,$S224+MOD(2-WEEKDAY($S224),7))+6),1,IF(ISNUMBER($I224),$I224,0)))</f>
        <v/>
      </c>
      <c r="AA224" s="62">
        <f>IF($V224="","",IF(AND(ISNUMBER($G224),$G224&lt;=IF($S224=MesCiclo,InicioCiclo,$S224+MOD(2-WEEKDAY($S224),7))+13),1,IF(ISNUMBER($J224),$J224,$Z224)))</f>
        <v/>
      </c>
      <c r="AB224" s="62">
        <f>IF($V224="","",IF(AND(ISNUMBER($G224),$G224&lt;=IF($S224=MesCiclo,InicioCiclo,$S224+MOD(2-WEEKDAY($S224),7))+20),1,IF(ISNUMBER($K224),$K224,$AA224)))</f>
        <v/>
      </c>
      <c r="AC224" s="62">
        <f>IF($V224="","",IF(AND(ISNUMBER($G224),$G224&lt;=IF($S224=MesCiclo,InicioCiclo,$S224+MOD(2-WEEKDAY($S224),7))+27),1,IF(ISNUMBER($L224),$L224,$AB224)))</f>
        <v/>
      </c>
      <c r="AD224" s="62">
        <f>IF($V224&lt;&gt;"Sub","",N($X224)*IF(AND(ISNUMBER($G224),$G224&lt;=IF($S224=MesCiclo,InicioCiclo,$S224+MOD(2-WEEKDAY($S224),7))+6),1,MIN(1,MAX(0,IF(ISNUMBER(OFFSET($A$1,ROW()-1,8)),OFFSET($A$1,ROW()-1,8),0)))))</f>
        <v/>
      </c>
      <c r="AE224" s="62">
        <f>IF($V224&lt;&gt;"Sub","",N($X224)*IF(AND(ISNUMBER($G224),$G224&lt;=IF($S224=MesCiclo,InicioCiclo,$S224+MOD(2-WEEKDAY($S224),7))+13),1,MIN(1,MAX(0,IF(ISNUMBER(OFFSET($A$1,ROW()-1,9)),OFFSET($A$1,ROW()-1,9),IF(ISNUMBER(OFFSET($A$1,ROW()-1,8)),OFFSET($A$1,ROW()-1,8),0))))))</f>
        <v/>
      </c>
      <c r="AF224" s="62">
        <f>IF($V224&lt;&gt;"Sub","",N($X224)*IF(AND(ISNUMBER($G224),$G224&lt;=IF($S224=MesCiclo,InicioCiclo,$S224+MOD(2-WEEKDAY($S224),7))+20),1,MIN(1,MAX(0,IF(ISNUMBER(OFFSET($A$1,ROW()-1,10)),OFFSET($A$1,ROW()-1,10),IF(ISNUMBER(OFFSET($A$1,ROW()-1,9)),OFFSET($A$1,ROW()-1,9),IF(ISNUMBER(OFFSET($A$1,ROW()-1,8)),OFFSET($A$1,ROW()-1,8),0)))))))</f>
        <v/>
      </c>
      <c r="AG224" s="62">
        <f>IF($V224&lt;&gt;"Sub","",N($X224)*IF(AND(ISNUMBER($G224),$G224&lt;=IF($S224=MesCiclo,InicioCiclo,$S224+MOD(2-WEEKDAY($S224),7))+27),1,MIN(1,MAX(0,IF(ISNUMBER(OFFSET($A$1,ROW()-1,11)),OFFSET($A$1,ROW()-1,11),IF(ISNUMBER(OFFSET($A$1,ROW()-1,10)),OFFSET($A$1,ROW()-1,10),IF(ISNUMBER(OFFSET($A$1,ROW()-1,9)),OFFSET($A$1,ROW()-1,9),IF(ISNUMBER(OFFSET($A$1,ROW()-1,8)),OFFSET($A$1,ROW()-1,8),0))))))))</f>
        <v/>
      </c>
      <c r="AH224" s="62">
        <f>IF($V224="","",IF(AND(ISNUMBER($G224),$G224&lt;=IF($S224=MesCiclo,InicioCiclo,$S224+MOD(2-WEEKDAY($S224),7))+6),1,IF(N($W224)&gt;0,MIN(1,SUMIFS($AD$5:$AD$1000,$U$5:$U$1000,ROW(),$V$5:$V$1000,"Sub")),$Z224)))</f>
        <v/>
      </c>
      <c r="AI224" s="62">
        <f>IF($V224="","",IF(AND(ISNUMBER($G224),$G224&lt;=IF($S224=MesCiclo,InicioCiclo,$S224+MOD(2-WEEKDAY($S224),7))+13),1,IF(N($W224)&gt;0,MIN(1,SUMIFS($AE$5:$AE$1000,$U$5:$U$1000,ROW(),$V$5:$V$1000,"Sub")),$AA224)))</f>
        <v/>
      </c>
      <c r="AJ224" s="62">
        <f>IF($V224="","",IF(AND(ISNUMBER($G224),$G224&lt;=IF($S224=MesCiclo,InicioCiclo,$S224+MOD(2-WEEKDAY($S224),7))+20),1,IF(N($W224)&gt;0,MIN(1,SUMIFS($AF$5:$AF$1000,$U$5:$U$1000,ROW(),$V$5:$V$1000,"Sub")),$AB224)))</f>
        <v/>
      </c>
      <c r="AK224" s="62">
        <f>IF($V224="","",IF(AND(ISNUMBER($G224),$G224&lt;=IF($S224=MesCiclo,InicioCiclo,$S224+MOD(2-WEEKDAY($S224),7))+27),1,IF(N($W224)&gt;0,MIN(1,SUMIFS($AG$5:$AG$1000,$U$5:$U$1000,ROW(),$V$5:$V$1000,"Sub")),$AC224)))</f>
        <v/>
      </c>
      <c r="AL224" s="62">
        <f>IF($V224&lt;&gt;"Macro","",IF(COUNTIFS($S$5:$S$1000,$S224,$V$5:$V$1000,"Macro",$H$5:$H$1000,"&gt;0")=0,1/COUNTIFS($S$5:$S$1000,$S224,$V$5:$V$1000,"Macro"),IF(AND(ISNUMBER($H224),N($H224)&gt;0),$H224,SUMIFS($H$5:$H$1000,$S$5:$S$1000,$S224,$V$5:$V$1000,"Macro")/COUNTIFS($S$5:$S$1000,$S224,$V$5:$V$1000,"Macro",$H$5:$H$1000,"&gt;0"))/(COUNTIFS($S$5:$S$1000,$S224,$V$5:$V$1000,"Macro")*SUMIFS($H$5:$H$1000,$S$5:$S$1000,$S224,$V$5:$V$1000,"Macro")/COUNTIFS($S$5:$S$1000,$S224,$V$5:$V$1000,"Macro",$H$5:$H$1000,"&gt;0"))))</f>
        <v/>
      </c>
      <c r="AM224" s="62" t="n"/>
      <c r="AN224" s="62" t="n"/>
      <c r="AO224" s="62" t="n"/>
      <c r="AP224" s="62" t="n"/>
      <c r="AQ224" s="62">
        <f>IF(LEFT($C224,11)="[Jefatura] ",IFERROR(MATCH("Asistente Técnico de Riesgo|"&amp;MID($C224,12,500),rDname_ADM,0),0),"")</f>
        <v/>
      </c>
      <c r="AR224" s="62">
        <f>IF(N($AQ224)&gt;0,INDEX(rIni_ADM,$AQ224),IF(ISNUMBER($E224),$E224,""))</f>
        <v/>
      </c>
      <c r="AS224" s="62">
        <f>IF(N($AQ224)&gt;0,INDEX(rLim_ADM,$AQ224),IF(ISNUMBER($F224),$F224,""))</f>
        <v/>
      </c>
    </row>
    <row r="225">
      <c r="A225" s="56">
        <f>IF(NOT((COUNTA($B225:$D225)+COUNTA($G225:$H225)+COUNTA($Q225))&gt;0),"",IF($V225="Macro",COUNTIFS($V$5:$V225,"Macro",$S$5:$S225,$S225),IF(N($U225)=0,"?",COUNTIFS(INDEX($V$5:$V$1000,1):INDEX($V$5:$V$1000,$U225-4),"Macro",INDEX($S$5:$S$1000,1):INDEX($S$5:$S$1000,$U225-4),INDEX($S$5:$S$1000,$U225-4))&amp;"."&amp;COUNTIFS($U$5:$U225,$U225,$V$5:$V225,"Sub"))))</f>
        <v/>
      </c>
      <c r="B225" s="57" t="n"/>
      <c r="C225" s="58" t="n"/>
      <c r="D225" s="58" t="n"/>
      <c r="E225" s="59">
        <f>IF(N($AQ225)&gt;0,INDEX(rIni_ADM,$AQ225),"")</f>
        <v/>
      </c>
      <c r="F225" s="59">
        <f>IF(N($AQ225)&gt;0,INDEX(rLim_ADM,$AQ225),"")</f>
        <v/>
      </c>
      <c r="G225" s="59" t="n"/>
      <c r="H225" s="60" t="n"/>
      <c r="I225" s="60">
        <f>IF(N($W225)=0,"",IF(AND($S225=MesCiclo,1&gt;SemanaActual),"",MIN(1,SUMIFS(OFFSET($A$1,ROW(),29,1000-ROW(),1),OFFSET($A$1,ROW(),20,1000-ROW(),1),ROW(),OFFSET($A$1,ROW(),21,1000-ROW(),1),"Sub"))))</f>
        <v/>
      </c>
      <c r="J225" s="60">
        <f>IF(N($W225)=0,"",IF(AND($S225=MesCiclo,2&gt;SemanaActual),"",MIN(1,SUMIFS(OFFSET($A$1,ROW(),30,1000-ROW(),1),OFFSET($A$1,ROW(),20,1000-ROW(),1),ROW(),OFFSET($A$1,ROW(),21,1000-ROW(),1),"Sub"))))</f>
        <v/>
      </c>
      <c r="K225" s="60">
        <f>IF(N($W225)=0,"",IF(AND($S225=MesCiclo,3&gt;SemanaActual),"",MIN(1,SUMIFS(OFFSET($A$1,ROW(),31,1000-ROW(),1),OFFSET($A$1,ROW(),20,1000-ROW(),1),ROW(),OFFSET($A$1,ROW(),21,1000-ROW(),1),"Sub"))))</f>
        <v/>
      </c>
      <c r="L225" s="60">
        <f>IF(N($W225)=0,"",IF(AND($S225=MesCiclo,4&gt;SemanaActual),"",MIN(1,SUMIFS(OFFSET($A$1,ROW(),32,1000-ROW(),1),OFFSET($A$1,ROW(),20,1000-ROW(),1),ROW(),OFFSET($A$1,ROW(),21,1000-ROW(),1),"Sub"))))</f>
        <v/>
      </c>
      <c r="M225" s="61">
        <f>IF(OR(NOT((COUNTA($B225:$D225)+COUNTA($G225:$H225)+COUNTA($Q225))&gt;0),$V225="Sub"),"",IF(ISNUMBER($G225),1,IF(N($W225)&gt;0,MIN(1,SUMIFS($Y$5:$Y$1000,$U$5:$U$1000,ROW(),$V$5:$V$1000,"Sub")),$Y225)))</f>
        <v/>
      </c>
      <c r="N225" s="56">
        <f>IF(OR($M225="",$V225="Sub"),"",IF($M225&gt;=1,"Completado",IF($M225&gt;0,"En curso","Pendiente")))</f>
        <v/>
      </c>
      <c r="O225" s="56">
        <f>IF(OR(NOT((COUNTA($B225:$D225)+COUNTA($G225:$H225)+COUNTA($Q225))&gt;0),$V225="Sub"),"",IF(ISNUMBER($G225),IF(AND(ISNUMBER($AS225),$G225&gt;$AS225),"Cumplida con "&amp;($G225-$AS225)&amp;IF($G225-$AS225=1," día"," días")&amp;" de retraso","Cumplida"),IF(N($M225)&gt;=1,"Cumplida",IF(NOT(ISNUMBER($AS225)),"Sin fecha límite",IF($AS225&lt;FechaRef,"Vencida hace "&amp;(FechaRef-$AS225)&amp;IF(FechaRef-$AS225=1," día"," días"),IF($AS225=FechaRef,"Vence hoy",IF($AS225-FechaRef&lt;=DiasAlerta,"Vence en "&amp;($AS225-FechaRef)&amp;IF($AS225-FechaRef=1," día"," días"),"En plazo")))))))</f>
        <v/>
      </c>
      <c r="P225" s="62" t="n"/>
      <c r="Q225" s="58" t="n"/>
      <c r="R225" s="63">
        <f>IF(NOT((COUNTA($B225:$D225)+COUNTA($G225:$H225)+COUNTA($Q225))&gt;0),"",IF((IF($C225="","Falta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 OK","⚠ "&amp;LEFT(IF($C225="","Falta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",""),LEN(IF($C225="","Falta el nombre de la actividad"&amp;" · ","")&amp;IF(AND($V225="Sub",N($U225)=0),"Subactividad sin macroactividad arriba"&amp;" · ","")&amp;IF(AND($V225="Macro",$AR225=""),"Sin fecha de inicio"&amp;" · ","")&amp;IF(AND($V225="Macro",$AS225=""),"Sin fecha límite"&amp;" · ","")&amp;IF(AND(LEFT($C225,11)="[Jefatura] ",N($AQ225)=0),"No se encuentra en la hoja de la jefatura (elíjala de nuevo en la lista)"&amp;" · ","")&amp;IF(OR(AND($E225&lt;&gt;"",NOT(ISNUMBER($E225))),AND($F225&lt;&gt;"",NOT(ISNUMBER($F225))),AND($G225&lt;&gt;"",NOT(ISNUMBER($G225)))),"Fecha no válida"&amp;" · ","")&amp;IF(AND(ISNUMBER($AR225),ISNUMBER($AS225),$AR225&gt;$AS225),"Inicio posterior a fecha límite"&amp;" · ","")&amp;IF(AND($V225="Macro",$H225&lt;&gt;"",OR(NOT(ISNUMBER($H225)),$H225&lt;0,$H225&gt;1)),"Peso fuera de rango"&amp;" · ","")&amp;IF(AND($V225="Sub",$H225&lt;&gt;"",OR(NOT(ISNUMBER($H225)),$H225&lt;0,$H225&gt;1)),"% de la subactividad fuera de rango 0-100%"&amp;" · ","")&amp;IF(AND(N($W225)&gt;0,SUMIFS($H$5:$H$1000,$U$5:$U$1000,ROW(),$V$5:$V$1000,"Sub")&gt;1.0001),"Las subactividades suman más de 100%"&amp;" · ","")&amp;IF(AND(N($W225)&gt;0,OR(IF(ISNUMBER($I225),ROUND($I225,6)&lt;&gt;ROUND(MIN(1,SUMIFS($AD$5:$AD$1000,$U$5:$U$1000,ROW(),$V$5:$V$1000,"Sub")),6),FALSE),IF(ISNUMBER($J225),ROUND($J225,6)&lt;&gt;ROUND(MIN(1,SUMIFS($AE$5:$AE$1000,$U$5:$U$1000,ROW(),$V$5:$V$1000,"Sub")),6),FALSE),IF(ISNUMBER($K225),ROUND($K225,6)&lt;&gt;ROUND(MIN(1,SUMIFS($AF$5:$AF$1000,$U$5:$U$1000,ROW(),$V$5:$V$1000,"Sub")),6),FALSE),IF(ISNUMBER($L225),ROUND($L225,6)&lt;&gt;ROUND(MIN(1,SUMIFS($AG$5:$AG$1000,$U$5:$U$1000,ROW(),$V$5:$V$1000,"Sub")),6),FALSE))),"Con subactividades: no escriba en las semanas (se llenan solas)"&amp;" · ","")&amp;IF((COUNTIF($I225:$L225,"&gt;1")+COUNTIF($I225:$L225,"&lt;0")+SUMPRODUCT((LEN($I225:$L225)&gt;0)*NOT(ISNUMBER($I225:$L225))))&gt;0,"Avance fuera de rango 0-100%"&amp;" · ","")&amp;IF(OR(AND(ISNUMBER($J225),$J225&lt;N($I225)),AND(ISNUMBER($K225),$K225&lt;MAX($I225:$J225)),AND(ISNUMBER($L225),$L225&lt;MAX($I225:$K225))),"Avance semanal decreciente"&amp;" · ","")&amp;IF(AND(ISNUMBER($AS225),$AS225&lt;FechaRef,IF($V225="Sub",1,N($M225))&lt;1),"Vencida"&amp;" · ","")&amp;IF(AND(ObsObligatoria="Sí",ISNUMBER($AS225),$AS225&lt;FechaRef,IF($V225="Sub",1,N($M225))&lt;1,$Q225=""),"Vencida sin observación"&amp;" · ",""))-3)))</f>
        <v/>
      </c>
      <c r="S225" s="64">
        <f>IF(NOT((COUNTA($B225:$D225)+COUNTA($G225:$H225)+COUNTA($Q225))&gt;0),"",IF(AND($V225="Sub",N($U225)&gt;0),IF(ISNUMBER(INDEX($AR$5:$AR$1000,$U225-4)),DATE(YEAR(INDEX($AR$5:$AR$1000,$U225-4)),MONTH(INDEX($AR$5:$AR$1000,$U225-4)),1),IF(ISNUMBER(INDEX($AS$5:$AS$1000,$U225-4)),DATE(YEAR(INDEX($AS$5:$AS$1000,$U225-4)),MONTH(INDEX($AS$5:$AS$1000,$U225-4)),1),MesCiclo)),IF(ISNUMBER($AR225),DATE(YEAR($AR225),MONTH($AR225),1),IF(ISNUMBER($AS225),DATE(YEAR($AS225),MONTH($AS225),1),MesCiclo))))</f>
        <v/>
      </c>
      <c r="T225" s="62">
        <f>IF(OR($S225="",$S225&lt;&gt;MesCiclo,$V225&lt;&gt;"Macro"),"",COUNTIFS($S$5:$S225,MesCiclo,$V$5:$V225,"Macro"))</f>
        <v/>
      </c>
      <c r="U225" s="62">
        <f>IF($V225="","",IF($V225="Macro",ROW(),IFERROR(LOOKUP(2,1/($V$5:$V225="Macro"),ROW($V$5:$V225)),0)))</f>
        <v/>
      </c>
      <c r="V225" s="62">
        <f>IF(NOT((COUNTA($B225:$D225)+COUNTA($G225:$H225)+COUNTA($Q225))&gt;0),"",IF($B225="Subactividad","Sub","Macro"))</f>
        <v/>
      </c>
      <c r="W225" s="62">
        <f>IF($V225="Macro",COUNTIFS($U$5:$U$1000,ROW(),$V$5:$V$1000,"Sub"),"")</f>
        <v/>
      </c>
      <c r="X225" s="62">
        <f>IF($V225&lt;&gt;"Sub","",IF(AND(ISNUMBER($H225),N($H225)&gt;0),$H225,IFERROR(MAX(0,1-SUMIFS($H$5:$H$1000,$U$5:$U$1000,$U225,$V$5:$V$1000,"Sub"))/(COUNTIFS($U$5:$U$1000,$U225,$V$5:$V$1000,"Sub")-COUNTIFS($U$5:$U$1000,$U225,$V$5:$V$1000,"Sub",$H$5:$H$1000,"&gt;0")),0)))</f>
        <v/>
      </c>
      <c r="Y225" s="62">
        <f>IF($V225="","",IF($V225="Sub",N($X225)*IF(ISNUMBER($G225),1,MIN(1,MAX(0,IFERROR(LOOKUP(2,1/ISNUMBER($I225:$L225),$I225:$L225),0)))),IF(ISNUMBER($G225),1,IFERROR(LOOKUP(2,1/($I225:$L225&lt;&gt;""),$I225:$L225),0))))</f>
        <v/>
      </c>
      <c r="Z225" s="62">
        <f>IF($V225="","",IF(AND(ISNUMBER($G225),$G225&lt;=IF($S225=MesCiclo,InicioCiclo,$S225+MOD(2-WEEKDAY($S225),7))+6),1,IF(ISNUMBER($I225),$I225,0)))</f>
        <v/>
      </c>
      <c r="AA225" s="62">
        <f>IF($V225="","",IF(AND(ISNUMBER($G225),$G225&lt;=IF($S225=MesCiclo,InicioCiclo,$S225+MOD(2-WEEKDAY($S225),7))+13),1,IF(ISNUMBER($J225),$J225,$Z225)))</f>
        <v/>
      </c>
      <c r="AB225" s="62">
        <f>IF($V225="","",IF(AND(ISNUMBER($G225),$G225&lt;=IF($S225=MesCiclo,InicioCiclo,$S225+MOD(2-WEEKDAY($S225),7))+20),1,IF(ISNUMBER($K225),$K225,$AA225)))</f>
        <v/>
      </c>
      <c r="AC225" s="62">
        <f>IF($V225="","",IF(AND(ISNUMBER($G225),$G225&lt;=IF($S225=MesCiclo,InicioCiclo,$S225+MOD(2-WEEKDAY($S225),7))+27),1,IF(ISNUMBER($L225),$L225,$AB225)))</f>
        <v/>
      </c>
      <c r="AD225" s="62">
        <f>IF($V225&lt;&gt;"Sub","",N($X225)*IF(AND(ISNUMBER($G225),$G225&lt;=IF($S225=MesCiclo,InicioCiclo,$S225+MOD(2-WEEKDAY($S225),7))+6),1,MIN(1,MAX(0,IF(ISNUMBER(OFFSET($A$1,ROW()-1,8)),OFFSET($A$1,ROW()-1,8),0)))))</f>
        <v/>
      </c>
      <c r="AE225" s="62">
        <f>IF($V225&lt;&gt;"Sub","",N($X225)*IF(AND(ISNUMBER($G225),$G225&lt;=IF($S225=MesCiclo,InicioCiclo,$S225+MOD(2-WEEKDAY($S225),7))+13),1,MIN(1,MAX(0,IF(ISNUMBER(OFFSET($A$1,ROW()-1,9)),OFFSET($A$1,ROW()-1,9),IF(ISNUMBER(OFFSET($A$1,ROW()-1,8)),OFFSET($A$1,ROW()-1,8),0))))))</f>
        <v/>
      </c>
      <c r="AF225" s="62">
        <f>IF($V225&lt;&gt;"Sub","",N($X225)*IF(AND(ISNUMBER($G225),$G225&lt;=IF($S225=MesCiclo,InicioCiclo,$S225+MOD(2-WEEKDAY($S225),7))+20),1,MIN(1,MAX(0,IF(ISNUMBER(OFFSET($A$1,ROW()-1,10)),OFFSET($A$1,ROW()-1,10),IF(ISNUMBER(OFFSET($A$1,ROW()-1,9)),OFFSET($A$1,ROW()-1,9),IF(ISNUMBER(OFFSET($A$1,ROW()-1,8)),OFFSET($A$1,ROW()-1,8),0)))))))</f>
        <v/>
      </c>
      <c r="AG225" s="62">
        <f>IF($V225&lt;&gt;"Sub","",N($X225)*IF(AND(ISNUMBER($G225),$G225&lt;=IF($S225=MesCiclo,InicioCiclo,$S225+MOD(2-WEEKDAY($S225),7))+27),1,MIN(1,MAX(0,IF(ISNUMBER(OFFSET($A$1,ROW()-1,11)),OFFSET($A$1,ROW()-1,11),IF(ISNUMBER(OFFSET($A$1,ROW()-1,10)),OFFSET($A$1,ROW()-1,10),IF(ISNUMBER(OFFSET($A$1,ROW()-1,9)),OFFSET($A$1,ROW()-1,9),IF(ISNUMBER(OFFSET($A$1,ROW()-1,8)),OFFSET($A$1,ROW()-1,8),0))))))))</f>
        <v/>
      </c>
      <c r="AH225" s="62">
        <f>IF($V225="","",IF(AND(ISNUMBER($G225),$G225&lt;=IF($S225=MesCiclo,InicioCiclo,$S225+MOD(2-WEEKDAY($S225),7))+6),1,IF(N($W225)&gt;0,MIN(1,SUMIFS($AD$5:$AD$1000,$U$5:$U$1000,ROW(),$V$5:$V$1000,"Sub")),$Z225)))</f>
        <v/>
      </c>
      <c r="AI225" s="62">
        <f>IF($V225="","",IF(AND(ISNUMBER($G225),$G225&lt;=IF($S225=MesCiclo,InicioCiclo,$S225+MOD(2-WEEKDAY($S225),7))+13),1,IF(N($W225)&gt;0,MIN(1,SUMIFS($AE$5:$AE$1000,$U$5:$U$1000,ROW(),$V$5:$V$1000,"Sub")),$AA225)))</f>
        <v/>
      </c>
      <c r="AJ225" s="62">
        <f>IF($V225="","",IF(AND(ISNUMBER($G225),$G225&lt;=IF($S225=MesCiclo,InicioCiclo,$S225+MOD(2-WEEKDAY($S225),7))+20),1,IF(N($W225)&gt;0,MIN(1,SUMIFS($AF$5:$AF$1000,$U$5:$U$1000,ROW(),$V$5:$V$1000,"Sub")),$AB225)))</f>
        <v/>
      </c>
      <c r="AK225" s="62">
        <f>IF($V225="","",IF(AND(ISNUMBER($G225),$G225&lt;=IF($S225=MesCiclo,InicioCiclo,$S225+MOD(2-WEEKDAY($S225),7))+27),1,IF(N($W225)&gt;0,MIN(1,SUMIFS($AG$5:$AG$1000,$U$5:$U$1000,ROW(),$V$5:$V$1000,"Sub")),$AC225)))</f>
        <v/>
      </c>
      <c r="AL225" s="62">
        <f>IF($V225&lt;&gt;"Macro","",IF(COUNTIFS($S$5:$S$1000,$S225,$V$5:$V$1000,"Macro",$H$5:$H$1000,"&gt;0")=0,1/COUNTIFS($S$5:$S$1000,$S225,$V$5:$V$1000,"Macro"),IF(AND(ISNUMBER($H225),N($H225)&gt;0),$H225,SUMIFS($H$5:$H$1000,$S$5:$S$1000,$S225,$V$5:$V$1000,"Macro")/COUNTIFS($S$5:$S$1000,$S225,$V$5:$V$1000,"Macro",$H$5:$H$1000,"&gt;0"))/(COUNTIFS($S$5:$S$1000,$S225,$V$5:$V$1000,"Macro")*SUMIFS($H$5:$H$1000,$S$5:$S$1000,$S225,$V$5:$V$1000,"Macro")/COUNTIFS($S$5:$S$1000,$S225,$V$5:$V$1000,"Macro",$H$5:$H$1000,"&gt;0"))))</f>
        <v/>
      </c>
      <c r="AM225" s="62" t="n"/>
      <c r="AN225" s="62" t="n"/>
      <c r="AO225" s="62" t="n"/>
      <c r="AP225" s="62" t="n"/>
      <c r="AQ225" s="62">
        <f>IF(LEFT($C225,11)="[Jefatura] ",IFERROR(MATCH("Asistente Técnico de Riesgo|"&amp;MID($C225,12,500),rDname_ADM,0),0),"")</f>
        <v/>
      </c>
      <c r="AR225" s="62">
        <f>IF(N($AQ225)&gt;0,INDEX(rIni_ADM,$AQ225),IF(ISNUMBER($E225),$E225,""))</f>
        <v/>
      </c>
      <c r="AS225" s="62">
        <f>IF(N($AQ225)&gt;0,INDEX(rLim_ADM,$AQ225),IF(ISNUMBER($F225),$F225,""))</f>
        <v/>
      </c>
    </row>
    <row r="226">
      <c r="A226" s="56">
        <f>IF(NOT((COUNTA($B226:$D226)+COUNTA($G226:$H226)+COUNTA($Q226))&gt;0),"",IF($V226="Macro",COUNTIFS($V$5:$V226,"Macro",$S$5:$S226,$S226),IF(N($U226)=0,"?",COUNTIFS(INDEX($V$5:$V$1000,1):INDEX($V$5:$V$1000,$U226-4),"Macro",INDEX($S$5:$S$1000,1):INDEX($S$5:$S$1000,$U226-4),INDEX($S$5:$S$1000,$U226-4))&amp;"."&amp;COUNTIFS($U$5:$U226,$U226,$V$5:$V226,"Sub"))))</f>
        <v/>
      </c>
      <c r="B226" s="57" t="n"/>
      <c r="C226" s="58" t="n"/>
      <c r="D226" s="58" t="n"/>
      <c r="E226" s="59">
        <f>IF(N($AQ226)&gt;0,INDEX(rIni_ADM,$AQ226),"")</f>
        <v/>
      </c>
      <c r="F226" s="59">
        <f>IF(N($AQ226)&gt;0,INDEX(rLim_ADM,$AQ226),"")</f>
        <v/>
      </c>
      <c r="G226" s="59" t="n"/>
      <c r="H226" s="60" t="n"/>
      <c r="I226" s="60">
        <f>IF(N($W226)=0,"",IF(AND($S226=MesCiclo,1&gt;SemanaActual),"",MIN(1,SUMIFS(OFFSET($A$1,ROW(),29,1000-ROW(),1),OFFSET($A$1,ROW(),20,1000-ROW(),1),ROW(),OFFSET($A$1,ROW(),21,1000-ROW(),1),"Sub"))))</f>
        <v/>
      </c>
      <c r="J226" s="60">
        <f>IF(N($W226)=0,"",IF(AND($S226=MesCiclo,2&gt;SemanaActual),"",MIN(1,SUMIFS(OFFSET($A$1,ROW(),30,1000-ROW(),1),OFFSET($A$1,ROW(),20,1000-ROW(),1),ROW(),OFFSET($A$1,ROW(),21,1000-ROW(),1),"Sub"))))</f>
        <v/>
      </c>
      <c r="K226" s="60">
        <f>IF(N($W226)=0,"",IF(AND($S226=MesCiclo,3&gt;SemanaActual),"",MIN(1,SUMIFS(OFFSET($A$1,ROW(),31,1000-ROW(),1),OFFSET($A$1,ROW(),20,1000-ROW(),1),ROW(),OFFSET($A$1,ROW(),21,1000-ROW(),1),"Sub"))))</f>
        <v/>
      </c>
      <c r="L226" s="60">
        <f>IF(N($W226)=0,"",IF(AND($S226=MesCiclo,4&gt;SemanaActual),"",MIN(1,SUMIFS(OFFSET($A$1,ROW(),32,1000-ROW(),1),OFFSET($A$1,ROW(),20,1000-ROW(),1),ROW(),OFFSET($A$1,ROW(),21,1000-ROW(),1),"Sub"))))</f>
        <v/>
      </c>
      <c r="M226" s="61">
        <f>IF(OR(NOT((COUNTA($B226:$D226)+COUNTA($G226:$H226)+COUNTA($Q226))&gt;0),$V226="Sub"),"",IF(ISNUMBER($G226),1,IF(N($W226)&gt;0,MIN(1,SUMIFS($Y$5:$Y$1000,$U$5:$U$1000,ROW(),$V$5:$V$1000,"Sub")),$Y226)))</f>
        <v/>
      </c>
      <c r="N226" s="56">
        <f>IF(OR($M226="",$V226="Sub"),"",IF($M226&gt;=1,"Completado",IF($M226&gt;0,"En curso","Pendiente")))</f>
        <v/>
      </c>
      <c r="O226" s="56">
        <f>IF(OR(NOT((COUNTA($B226:$D226)+COUNTA($G226:$H226)+COUNTA($Q226))&gt;0),$V226="Sub"),"",IF(ISNUMBER($G226),IF(AND(ISNUMBER($AS226),$G226&gt;$AS226),"Cumplida con "&amp;($G226-$AS226)&amp;IF($G226-$AS226=1," día"," días")&amp;" de retraso","Cumplida"),IF(N($M226)&gt;=1,"Cumplida",IF(NOT(ISNUMBER($AS226)),"Sin fecha límite",IF($AS226&lt;FechaRef,"Vencida hace "&amp;(FechaRef-$AS226)&amp;IF(FechaRef-$AS226=1," día"," días"),IF($AS226=FechaRef,"Vence hoy",IF($AS226-FechaRef&lt;=DiasAlerta,"Vence en "&amp;($AS226-FechaRef)&amp;IF($AS226-FechaRef=1," día"," días"),"En plazo")))))))</f>
        <v/>
      </c>
      <c r="P226" s="62" t="n"/>
      <c r="Q226" s="58" t="n"/>
      <c r="R226" s="63">
        <f>IF(NOT((COUNTA($B226:$D226)+COUNTA($G226:$H226)+COUNTA($Q226))&gt;0),"",IF((IF($C226="","Falta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 OK","⚠ "&amp;LEFT(IF($C226="","Falta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",""),LEN(IF($C226="","Falta el nombre de la actividad"&amp;" · ","")&amp;IF(AND($V226="Sub",N($U226)=0),"Subactividad sin macroactividad arriba"&amp;" · ","")&amp;IF(AND($V226="Macro",$AR226=""),"Sin fecha de inicio"&amp;" · ","")&amp;IF(AND($V226="Macro",$AS226=""),"Sin fecha límite"&amp;" · ","")&amp;IF(AND(LEFT($C226,11)="[Jefatura] ",N($AQ226)=0),"No se encuentra en la hoja de la jefatura (elíjala de nuevo en la lista)"&amp;" · ","")&amp;IF(OR(AND($E226&lt;&gt;"",NOT(ISNUMBER($E226))),AND($F226&lt;&gt;"",NOT(ISNUMBER($F226))),AND($G226&lt;&gt;"",NOT(ISNUMBER($G226)))),"Fecha no válida"&amp;" · ","")&amp;IF(AND(ISNUMBER($AR226),ISNUMBER($AS226),$AR226&gt;$AS226),"Inicio posterior a fecha límite"&amp;" · ","")&amp;IF(AND($V226="Macro",$H226&lt;&gt;"",OR(NOT(ISNUMBER($H226)),$H226&lt;0,$H226&gt;1)),"Peso fuera de rango"&amp;" · ","")&amp;IF(AND($V226="Sub",$H226&lt;&gt;"",OR(NOT(ISNUMBER($H226)),$H226&lt;0,$H226&gt;1)),"% de la subactividad fuera de rango 0-100%"&amp;" · ","")&amp;IF(AND(N($W226)&gt;0,SUMIFS($H$5:$H$1000,$U$5:$U$1000,ROW(),$V$5:$V$1000,"Sub")&gt;1.0001),"Las subactividades suman más de 100%"&amp;" · ","")&amp;IF(AND(N($W226)&gt;0,OR(IF(ISNUMBER($I226),ROUND($I226,6)&lt;&gt;ROUND(MIN(1,SUMIFS($AD$5:$AD$1000,$U$5:$U$1000,ROW(),$V$5:$V$1000,"Sub")),6),FALSE),IF(ISNUMBER($J226),ROUND($J226,6)&lt;&gt;ROUND(MIN(1,SUMIFS($AE$5:$AE$1000,$U$5:$U$1000,ROW(),$V$5:$V$1000,"Sub")),6),FALSE),IF(ISNUMBER($K226),ROUND($K226,6)&lt;&gt;ROUND(MIN(1,SUMIFS($AF$5:$AF$1000,$U$5:$U$1000,ROW(),$V$5:$V$1000,"Sub")),6),FALSE),IF(ISNUMBER($L226),ROUND($L226,6)&lt;&gt;ROUND(MIN(1,SUMIFS($AG$5:$AG$1000,$U$5:$U$1000,ROW(),$V$5:$V$1000,"Sub")),6),FALSE))),"Con subactividades: no escriba en las semanas (se llenan solas)"&amp;" · ","")&amp;IF((COUNTIF($I226:$L226,"&gt;1")+COUNTIF($I226:$L226,"&lt;0")+SUMPRODUCT((LEN($I226:$L226)&gt;0)*NOT(ISNUMBER($I226:$L226))))&gt;0,"Avance fuera de rango 0-100%"&amp;" · ","")&amp;IF(OR(AND(ISNUMBER($J226),$J226&lt;N($I226)),AND(ISNUMBER($K226),$K226&lt;MAX($I226:$J226)),AND(ISNUMBER($L226),$L226&lt;MAX($I226:$K226))),"Avance semanal decreciente"&amp;" · ","")&amp;IF(AND(ISNUMBER($AS226),$AS226&lt;FechaRef,IF($V226="Sub",1,N($M226))&lt;1),"Vencida"&amp;" · ","")&amp;IF(AND(ObsObligatoria="Sí",ISNUMBER($AS226),$AS226&lt;FechaRef,IF($V226="Sub",1,N($M226))&lt;1,$Q226=""),"Vencida sin observación"&amp;" · ",""))-3)))</f>
        <v/>
      </c>
      <c r="S226" s="64">
        <f>IF(NOT((COUNTA($B226:$D226)+COUNTA($G226:$H226)+COUNTA($Q226))&gt;0),"",IF(AND($V226="Sub",N($U226)&gt;0),IF(ISNUMBER(INDEX($AR$5:$AR$1000,$U226-4)),DATE(YEAR(INDEX($AR$5:$AR$1000,$U226-4)),MONTH(INDEX($AR$5:$AR$1000,$U226-4)),1),IF(ISNUMBER(INDEX($AS$5:$AS$1000,$U226-4)),DATE(YEAR(INDEX($AS$5:$AS$1000,$U226-4)),MONTH(INDEX($AS$5:$AS$1000,$U226-4)),1),MesCiclo)),IF(ISNUMBER($AR226),DATE(YEAR($AR226),MONTH($AR226),1),IF(ISNUMBER($AS226),DATE(YEAR($AS226),MONTH($AS226),1),MesCiclo))))</f>
        <v/>
      </c>
      <c r="T226" s="62">
        <f>IF(OR($S226="",$S226&lt;&gt;MesCiclo,$V226&lt;&gt;"Macro"),"",COUNTIFS($S$5:$S226,MesCiclo,$V$5:$V226,"Macro"))</f>
        <v/>
      </c>
      <c r="U226" s="62">
        <f>IF($V226="","",IF($V226="Macro",ROW(),IFERROR(LOOKUP(2,1/($V$5:$V226="Macro"),ROW($V$5:$V226)),0)))</f>
        <v/>
      </c>
      <c r="V226" s="62">
        <f>IF(NOT((COUNTA($B226:$D226)+COUNTA($G226:$H226)+COUNTA($Q226))&gt;0),"",IF($B226="Subactividad","Sub","Macro"))</f>
        <v/>
      </c>
      <c r="W226" s="62">
        <f>IF($V226="Macro",COUNTIFS($U$5:$U$1000,ROW(),$V$5:$V$1000,"Sub"),"")</f>
        <v/>
      </c>
      <c r="X226" s="62">
        <f>IF($V226&lt;&gt;"Sub","",IF(AND(ISNUMBER($H226),N($H226)&gt;0),$H226,IFERROR(MAX(0,1-SUMIFS($H$5:$H$1000,$U$5:$U$1000,$U226,$V$5:$V$1000,"Sub"))/(COUNTIFS($U$5:$U$1000,$U226,$V$5:$V$1000,"Sub")-COUNTIFS($U$5:$U$1000,$U226,$V$5:$V$1000,"Sub",$H$5:$H$1000,"&gt;0")),0)))</f>
        <v/>
      </c>
      <c r="Y226" s="62">
        <f>IF($V226="","",IF($V226="Sub",N($X226)*IF(ISNUMBER($G226),1,MIN(1,MAX(0,IFERROR(LOOKUP(2,1/ISNUMBER($I226:$L226),$I226:$L226),0)))),IF(ISNUMBER($G226),1,IFERROR(LOOKUP(2,1/($I226:$L226&lt;&gt;""),$I226:$L226),0))))</f>
        <v/>
      </c>
      <c r="Z226" s="62">
        <f>IF($V226="","",IF(AND(ISNUMBER($G226),$G226&lt;=IF($S226=MesCiclo,InicioCiclo,$S226+MOD(2-WEEKDAY($S226),7))+6),1,IF(ISNUMBER($I226),$I226,0)))</f>
        <v/>
      </c>
      <c r="AA226" s="62">
        <f>IF($V226="","",IF(AND(ISNUMBER($G226),$G226&lt;=IF($S226=MesCiclo,InicioCiclo,$S226+MOD(2-WEEKDAY($S226),7))+13),1,IF(ISNUMBER($J226),$J226,$Z226)))</f>
        <v/>
      </c>
      <c r="AB226" s="62">
        <f>IF($V226="","",IF(AND(ISNUMBER($G226),$G226&lt;=IF($S226=MesCiclo,InicioCiclo,$S226+MOD(2-WEEKDAY($S226),7))+20),1,IF(ISNUMBER($K226),$K226,$AA226)))</f>
        <v/>
      </c>
      <c r="AC226" s="62">
        <f>IF($V226="","",IF(AND(ISNUMBER($G226),$G226&lt;=IF($S226=MesCiclo,InicioCiclo,$S226+MOD(2-WEEKDAY($S226),7))+27),1,IF(ISNUMBER($L226),$L226,$AB226)))</f>
        <v/>
      </c>
      <c r="AD226" s="62">
        <f>IF($V226&lt;&gt;"Sub","",N($X226)*IF(AND(ISNUMBER($G226),$G226&lt;=IF($S226=MesCiclo,InicioCiclo,$S226+MOD(2-WEEKDAY($S226),7))+6),1,MIN(1,MAX(0,IF(ISNUMBER(OFFSET($A$1,ROW()-1,8)),OFFSET($A$1,ROW()-1,8),0)))))</f>
        <v/>
      </c>
      <c r="AE226" s="62">
        <f>IF($V226&lt;&gt;"Sub","",N($X226)*IF(AND(ISNUMBER($G226),$G226&lt;=IF($S226=MesCiclo,InicioCiclo,$S226+MOD(2-WEEKDAY($S226),7))+13),1,MIN(1,MAX(0,IF(ISNUMBER(OFFSET($A$1,ROW()-1,9)),OFFSET($A$1,ROW()-1,9),IF(ISNUMBER(OFFSET($A$1,ROW()-1,8)),OFFSET($A$1,ROW()-1,8),0))))))</f>
        <v/>
      </c>
      <c r="AF226" s="62">
        <f>IF($V226&lt;&gt;"Sub","",N($X226)*IF(AND(ISNUMBER($G226),$G226&lt;=IF($S226=MesCiclo,InicioCiclo,$S226+MOD(2-WEEKDAY($S226),7))+20),1,MIN(1,MAX(0,IF(ISNUMBER(OFFSET($A$1,ROW()-1,10)),OFFSET($A$1,ROW()-1,10),IF(ISNUMBER(OFFSET($A$1,ROW()-1,9)),OFFSET($A$1,ROW()-1,9),IF(ISNUMBER(OFFSET($A$1,ROW()-1,8)),OFFSET($A$1,ROW()-1,8),0)))))))</f>
        <v/>
      </c>
      <c r="AG226" s="62">
        <f>IF($V226&lt;&gt;"Sub","",N($X226)*IF(AND(ISNUMBER($G226),$G226&lt;=IF($S226=MesCiclo,InicioCiclo,$S226+MOD(2-WEEKDAY($S226),7))+27),1,MIN(1,MAX(0,IF(ISNUMBER(OFFSET($A$1,ROW()-1,11)),OFFSET($A$1,ROW()-1,11),IF(ISNUMBER(OFFSET($A$1,ROW()-1,10)),OFFSET($A$1,ROW()-1,10),IF(ISNUMBER(OFFSET($A$1,ROW()-1,9)),OFFSET($A$1,ROW()-1,9),IF(ISNUMBER(OFFSET($A$1,ROW()-1,8)),OFFSET($A$1,ROW()-1,8),0))))))))</f>
        <v/>
      </c>
      <c r="AH226" s="62">
        <f>IF($V226="","",IF(AND(ISNUMBER($G226),$G226&lt;=IF($S226=MesCiclo,InicioCiclo,$S226+MOD(2-WEEKDAY($S226),7))+6),1,IF(N($W226)&gt;0,MIN(1,SUMIFS($AD$5:$AD$1000,$U$5:$U$1000,ROW(),$V$5:$V$1000,"Sub")),$Z226)))</f>
        <v/>
      </c>
      <c r="AI226" s="62">
        <f>IF($V226="","",IF(AND(ISNUMBER($G226),$G226&lt;=IF($S226=MesCiclo,InicioCiclo,$S226+MOD(2-WEEKDAY($S226),7))+13),1,IF(N($W226)&gt;0,MIN(1,SUMIFS($AE$5:$AE$1000,$U$5:$U$1000,ROW(),$V$5:$V$1000,"Sub")),$AA226)))</f>
        <v/>
      </c>
      <c r="AJ226" s="62">
        <f>IF($V226="","",IF(AND(ISNUMBER($G226),$G226&lt;=IF($S226=MesCiclo,InicioCiclo,$S226+MOD(2-WEEKDAY($S226),7))+20),1,IF(N($W226)&gt;0,MIN(1,SUMIFS($AF$5:$AF$1000,$U$5:$U$1000,ROW(),$V$5:$V$1000,"Sub")),$AB226)))</f>
        <v/>
      </c>
      <c r="AK226" s="62">
        <f>IF($V226="","",IF(AND(ISNUMBER($G226),$G226&lt;=IF($S226=MesCiclo,InicioCiclo,$S226+MOD(2-WEEKDAY($S226),7))+27),1,IF(N($W226)&gt;0,MIN(1,SUMIFS($AG$5:$AG$1000,$U$5:$U$1000,ROW(),$V$5:$V$1000,"Sub")),$AC226)))</f>
        <v/>
      </c>
      <c r="AL226" s="62">
        <f>IF($V226&lt;&gt;"Macro","",IF(COUNTIFS($S$5:$S$1000,$S226,$V$5:$V$1000,"Macro",$H$5:$H$1000,"&gt;0")=0,1/COUNTIFS($S$5:$S$1000,$S226,$V$5:$V$1000,"Macro"),IF(AND(ISNUMBER($H226),N($H226)&gt;0),$H226,SUMIFS($H$5:$H$1000,$S$5:$S$1000,$S226,$V$5:$V$1000,"Macro")/COUNTIFS($S$5:$S$1000,$S226,$V$5:$V$1000,"Macro",$H$5:$H$1000,"&gt;0"))/(COUNTIFS($S$5:$S$1000,$S226,$V$5:$V$1000,"Macro")*SUMIFS($H$5:$H$1000,$S$5:$S$1000,$S226,$V$5:$V$1000,"Macro")/COUNTIFS($S$5:$S$1000,$S226,$V$5:$V$1000,"Macro",$H$5:$H$1000,"&gt;0"))))</f>
        <v/>
      </c>
      <c r="AM226" s="62" t="n"/>
      <c r="AN226" s="62" t="n"/>
      <c r="AO226" s="62" t="n"/>
      <c r="AP226" s="62" t="n"/>
      <c r="AQ226" s="62">
        <f>IF(LEFT($C226,11)="[Jefatura] ",IFERROR(MATCH("Asistente Técnico de Riesgo|"&amp;MID($C226,12,500),rDname_ADM,0),0),"")</f>
        <v/>
      </c>
      <c r="AR226" s="62">
        <f>IF(N($AQ226)&gt;0,INDEX(rIni_ADM,$AQ226),IF(ISNUMBER($E226),$E226,""))</f>
        <v/>
      </c>
      <c r="AS226" s="62">
        <f>IF(N($AQ226)&gt;0,INDEX(rLim_ADM,$AQ226),IF(ISNUMBER($F226),$F226,""))</f>
        <v/>
      </c>
    </row>
    <row r="227">
      <c r="A227" s="56">
        <f>IF(NOT((COUNTA($B227:$D227)+COUNTA($G227:$H227)+COUNTA($Q227))&gt;0),"",IF($V227="Macro",COUNTIFS($V$5:$V227,"Macro",$S$5:$S227,$S227),IF(N($U227)=0,"?",COUNTIFS(INDEX($V$5:$V$1000,1):INDEX($V$5:$V$1000,$U227-4),"Macro",INDEX($S$5:$S$1000,1):INDEX($S$5:$S$1000,$U227-4),INDEX($S$5:$S$1000,$U227-4))&amp;"."&amp;COUNTIFS($U$5:$U227,$U227,$V$5:$V227,"Sub"))))</f>
        <v/>
      </c>
      <c r="B227" s="57" t="n"/>
      <c r="C227" s="58" t="n"/>
      <c r="D227" s="58" t="n"/>
      <c r="E227" s="59">
        <f>IF(N($AQ227)&gt;0,INDEX(rIni_ADM,$AQ227),"")</f>
        <v/>
      </c>
      <c r="F227" s="59">
        <f>IF(N($AQ227)&gt;0,INDEX(rLim_ADM,$AQ227),"")</f>
        <v/>
      </c>
      <c r="G227" s="59" t="n"/>
      <c r="H227" s="60" t="n"/>
      <c r="I227" s="60">
        <f>IF(N($W227)=0,"",IF(AND($S227=MesCiclo,1&gt;SemanaActual),"",MIN(1,SUMIFS(OFFSET($A$1,ROW(),29,1000-ROW(),1),OFFSET($A$1,ROW(),20,1000-ROW(),1),ROW(),OFFSET($A$1,ROW(),21,1000-ROW(),1),"Sub"))))</f>
        <v/>
      </c>
      <c r="J227" s="60">
        <f>IF(N($W227)=0,"",IF(AND($S227=MesCiclo,2&gt;SemanaActual),"",MIN(1,SUMIFS(OFFSET($A$1,ROW(),30,1000-ROW(),1),OFFSET($A$1,ROW(),20,1000-ROW(),1),ROW(),OFFSET($A$1,ROW(),21,1000-ROW(),1),"Sub"))))</f>
        <v/>
      </c>
      <c r="K227" s="60">
        <f>IF(N($W227)=0,"",IF(AND($S227=MesCiclo,3&gt;SemanaActual),"",MIN(1,SUMIFS(OFFSET($A$1,ROW(),31,1000-ROW(),1),OFFSET($A$1,ROW(),20,1000-ROW(),1),ROW(),OFFSET($A$1,ROW(),21,1000-ROW(),1),"Sub"))))</f>
        <v/>
      </c>
      <c r="L227" s="60">
        <f>IF(N($W227)=0,"",IF(AND($S227=MesCiclo,4&gt;SemanaActual),"",MIN(1,SUMIFS(OFFSET($A$1,ROW(),32,1000-ROW(),1),OFFSET($A$1,ROW(),20,1000-ROW(),1),ROW(),OFFSET($A$1,ROW(),21,1000-ROW(),1),"Sub"))))</f>
        <v/>
      </c>
      <c r="M227" s="61">
        <f>IF(OR(NOT((COUNTA($B227:$D227)+COUNTA($G227:$H227)+COUNTA($Q227))&gt;0),$V227="Sub"),"",IF(ISNUMBER($G227),1,IF(N($W227)&gt;0,MIN(1,SUMIFS($Y$5:$Y$1000,$U$5:$U$1000,ROW(),$V$5:$V$1000,"Sub")),$Y227)))</f>
        <v/>
      </c>
      <c r="N227" s="56">
        <f>IF(OR($M227="",$V227="Sub"),"",IF($M227&gt;=1,"Completado",IF($M227&gt;0,"En curso","Pendiente")))</f>
        <v/>
      </c>
      <c r="O227" s="56">
        <f>IF(OR(NOT((COUNTA($B227:$D227)+COUNTA($G227:$H227)+COUNTA($Q227))&gt;0),$V227="Sub"),"",IF(ISNUMBER($G227),IF(AND(ISNUMBER($AS227),$G227&gt;$AS227),"Cumplida con "&amp;($G227-$AS227)&amp;IF($G227-$AS227=1," día"," días")&amp;" de retraso","Cumplida"),IF(N($M227)&gt;=1,"Cumplida",IF(NOT(ISNUMBER($AS227)),"Sin fecha límite",IF($AS227&lt;FechaRef,"Vencida hace "&amp;(FechaRef-$AS227)&amp;IF(FechaRef-$AS227=1," día"," días"),IF($AS227=FechaRef,"Vence hoy",IF($AS227-FechaRef&lt;=DiasAlerta,"Vence en "&amp;($AS227-FechaRef)&amp;IF($AS227-FechaRef=1," día"," días"),"En plazo")))))))</f>
        <v/>
      </c>
      <c r="P227" s="62" t="n"/>
      <c r="Q227" s="58" t="n"/>
      <c r="R227" s="63">
        <f>IF(NOT((COUNTA($B227:$D227)+COUNTA($G227:$H227)+COUNTA($Q227))&gt;0),"",IF((IF($C227="","Falta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 OK","⚠ "&amp;LEFT(IF($C227="","Falta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",""),LEN(IF($C227="","Falta el nombre de la actividad"&amp;" · ","")&amp;IF(AND($V227="Sub",N($U227)=0),"Subactividad sin macroactividad arriba"&amp;" · ","")&amp;IF(AND($V227="Macro",$AR227=""),"Sin fecha de inicio"&amp;" · ","")&amp;IF(AND($V227="Macro",$AS227=""),"Sin fecha límite"&amp;" · ","")&amp;IF(AND(LEFT($C227,11)="[Jefatura] ",N($AQ227)=0),"No se encuentra en la hoja de la jefatura (elíjala de nuevo en la lista)"&amp;" · ","")&amp;IF(OR(AND($E227&lt;&gt;"",NOT(ISNUMBER($E227))),AND($F227&lt;&gt;"",NOT(ISNUMBER($F227))),AND($G227&lt;&gt;"",NOT(ISNUMBER($G227)))),"Fecha no válida"&amp;" · ","")&amp;IF(AND(ISNUMBER($AR227),ISNUMBER($AS227),$AR227&gt;$AS227),"Inicio posterior a fecha límite"&amp;" · ","")&amp;IF(AND($V227="Macro",$H227&lt;&gt;"",OR(NOT(ISNUMBER($H227)),$H227&lt;0,$H227&gt;1)),"Peso fuera de rango"&amp;" · ","")&amp;IF(AND($V227="Sub",$H227&lt;&gt;"",OR(NOT(ISNUMBER($H227)),$H227&lt;0,$H227&gt;1)),"% de la subactividad fuera de rango 0-100%"&amp;" · ","")&amp;IF(AND(N($W227)&gt;0,SUMIFS($H$5:$H$1000,$U$5:$U$1000,ROW(),$V$5:$V$1000,"Sub")&gt;1.0001),"Las subactividades suman más de 100%"&amp;" · ","")&amp;IF(AND(N($W227)&gt;0,OR(IF(ISNUMBER($I227),ROUND($I227,6)&lt;&gt;ROUND(MIN(1,SUMIFS($AD$5:$AD$1000,$U$5:$U$1000,ROW(),$V$5:$V$1000,"Sub")),6),FALSE),IF(ISNUMBER($J227),ROUND($J227,6)&lt;&gt;ROUND(MIN(1,SUMIFS($AE$5:$AE$1000,$U$5:$U$1000,ROW(),$V$5:$V$1000,"Sub")),6),FALSE),IF(ISNUMBER($K227),ROUND($K227,6)&lt;&gt;ROUND(MIN(1,SUMIFS($AF$5:$AF$1000,$U$5:$U$1000,ROW(),$V$5:$V$1000,"Sub")),6),FALSE),IF(ISNUMBER($L227),ROUND($L227,6)&lt;&gt;ROUND(MIN(1,SUMIFS($AG$5:$AG$1000,$U$5:$U$1000,ROW(),$V$5:$V$1000,"Sub")),6),FALSE))),"Con subactividades: no escriba en las semanas (se llenan solas)"&amp;" · ","")&amp;IF((COUNTIF($I227:$L227,"&gt;1")+COUNTIF($I227:$L227,"&lt;0")+SUMPRODUCT((LEN($I227:$L227)&gt;0)*NOT(ISNUMBER($I227:$L227))))&gt;0,"Avance fuera de rango 0-100%"&amp;" · ","")&amp;IF(OR(AND(ISNUMBER($J227),$J227&lt;N($I227)),AND(ISNUMBER($K227),$K227&lt;MAX($I227:$J227)),AND(ISNUMBER($L227),$L227&lt;MAX($I227:$K227))),"Avance semanal decreciente"&amp;" · ","")&amp;IF(AND(ISNUMBER($AS227),$AS227&lt;FechaRef,IF($V227="Sub",1,N($M227))&lt;1),"Vencida"&amp;" · ","")&amp;IF(AND(ObsObligatoria="Sí",ISNUMBER($AS227),$AS227&lt;FechaRef,IF($V227="Sub",1,N($M227))&lt;1,$Q227=""),"Vencida sin observación"&amp;" · ",""))-3)))</f>
        <v/>
      </c>
      <c r="S227" s="64">
        <f>IF(NOT((COUNTA($B227:$D227)+COUNTA($G227:$H227)+COUNTA($Q227))&gt;0),"",IF(AND($V227="Sub",N($U227)&gt;0),IF(ISNUMBER(INDEX($AR$5:$AR$1000,$U227-4)),DATE(YEAR(INDEX($AR$5:$AR$1000,$U227-4)),MONTH(INDEX($AR$5:$AR$1000,$U227-4)),1),IF(ISNUMBER(INDEX($AS$5:$AS$1000,$U227-4)),DATE(YEAR(INDEX($AS$5:$AS$1000,$U227-4)),MONTH(INDEX($AS$5:$AS$1000,$U227-4)),1),MesCiclo)),IF(ISNUMBER($AR227),DATE(YEAR($AR227),MONTH($AR227),1),IF(ISNUMBER($AS227),DATE(YEAR($AS227),MONTH($AS227),1),MesCiclo))))</f>
        <v/>
      </c>
      <c r="T227" s="62">
        <f>IF(OR($S227="",$S227&lt;&gt;MesCiclo,$V227&lt;&gt;"Macro"),"",COUNTIFS($S$5:$S227,MesCiclo,$V$5:$V227,"Macro"))</f>
        <v/>
      </c>
      <c r="U227" s="62">
        <f>IF($V227="","",IF($V227="Macro",ROW(),IFERROR(LOOKUP(2,1/($V$5:$V227="Macro"),ROW($V$5:$V227)),0)))</f>
        <v/>
      </c>
      <c r="V227" s="62">
        <f>IF(NOT((COUNTA($B227:$D227)+COUNTA($G227:$H227)+COUNTA($Q227))&gt;0),"",IF($B227="Subactividad","Sub","Macro"))</f>
        <v/>
      </c>
      <c r="W227" s="62">
        <f>IF($V227="Macro",COUNTIFS($U$5:$U$1000,ROW(),$V$5:$V$1000,"Sub"),"")</f>
        <v/>
      </c>
      <c r="X227" s="62">
        <f>IF($V227&lt;&gt;"Sub","",IF(AND(ISNUMBER($H227),N($H227)&gt;0),$H227,IFERROR(MAX(0,1-SUMIFS($H$5:$H$1000,$U$5:$U$1000,$U227,$V$5:$V$1000,"Sub"))/(COUNTIFS($U$5:$U$1000,$U227,$V$5:$V$1000,"Sub")-COUNTIFS($U$5:$U$1000,$U227,$V$5:$V$1000,"Sub",$H$5:$H$1000,"&gt;0")),0)))</f>
        <v/>
      </c>
      <c r="Y227" s="62">
        <f>IF($V227="","",IF($V227="Sub",N($X227)*IF(ISNUMBER($G227),1,MIN(1,MAX(0,IFERROR(LOOKUP(2,1/ISNUMBER($I227:$L227),$I227:$L227),0)))),IF(ISNUMBER($G227),1,IFERROR(LOOKUP(2,1/($I227:$L227&lt;&gt;""),$I227:$L227),0))))</f>
        <v/>
      </c>
      <c r="Z227" s="62">
        <f>IF($V227="","",IF(AND(ISNUMBER($G227),$G227&lt;=IF($S227=MesCiclo,InicioCiclo,$S227+MOD(2-WEEKDAY($S227),7))+6),1,IF(ISNUMBER($I227),$I227,0)))</f>
        <v/>
      </c>
      <c r="AA227" s="62">
        <f>IF($V227="","",IF(AND(ISNUMBER($G227),$G227&lt;=IF($S227=MesCiclo,InicioCiclo,$S227+MOD(2-WEEKDAY($S227),7))+13),1,IF(ISNUMBER($J227),$J227,$Z227)))</f>
        <v/>
      </c>
      <c r="AB227" s="62">
        <f>IF($V227="","",IF(AND(ISNUMBER($G227),$G227&lt;=IF($S227=MesCiclo,InicioCiclo,$S227+MOD(2-WEEKDAY($S227),7))+20),1,IF(ISNUMBER($K227),$K227,$AA227)))</f>
        <v/>
      </c>
      <c r="AC227" s="62">
        <f>IF($V227="","",IF(AND(ISNUMBER($G227),$G227&lt;=IF($S227=MesCiclo,InicioCiclo,$S227+MOD(2-WEEKDAY($S227),7))+27),1,IF(ISNUMBER($L227),$L227,$AB227)))</f>
        <v/>
      </c>
      <c r="AD227" s="62">
        <f>IF($V227&lt;&gt;"Sub","",N($X227)*IF(AND(ISNUMBER($G227),$G227&lt;=IF($S227=MesCiclo,InicioCiclo,$S227+MOD(2-WEEKDAY($S227),7))+6),1,MIN(1,MAX(0,IF(ISNUMBER(OFFSET($A$1,ROW()-1,8)),OFFSET($A$1,ROW()-1,8),0)))))</f>
        <v/>
      </c>
      <c r="AE227" s="62">
        <f>IF($V227&lt;&gt;"Sub","",N($X227)*IF(AND(ISNUMBER($G227),$G227&lt;=IF($S227=MesCiclo,InicioCiclo,$S227+MOD(2-WEEKDAY($S227),7))+13),1,MIN(1,MAX(0,IF(ISNUMBER(OFFSET($A$1,ROW()-1,9)),OFFSET($A$1,ROW()-1,9),IF(ISNUMBER(OFFSET($A$1,ROW()-1,8)),OFFSET($A$1,ROW()-1,8),0))))))</f>
        <v/>
      </c>
      <c r="AF227" s="62">
        <f>IF($V227&lt;&gt;"Sub","",N($X227)*IF(AND(ISNUMBER($G227),$G227&lt;=IF($S227=MesCiclo,InicioCiclo,$S227+MOD(2-WEEKDAY($S227),7))+20),1,MIN(1,MAX(0,IF(ISNUMBER(OFFSET($A$1,ROW()-1,10)),OFFSET($A$1,ROW()-1,10),IF(ISNUMBER(OFFSET($A$1,ROW()-1,9)),OFFSET($A$1,ROW()-1,9),IF(ISNUMBER(OFFSET($A$1,ROW()-1,8)),OFFSET($A$1,ROW()-1,8),0)))))))</f>
        <v/>
      </c>
      <c r="AG227" s="62">
        <f>IF($V227&lt;&gt;"Sub","",N($X227)*IF(AND(ISNUMBER($G227),$G227&lt;=IF($S227=MesCiclo,InicioCiclo,$S227+MOD(2-WEEKDAY($S227),7))+27),1,MIN(1,MAX(0,IF(ISNUMBER(OFFSET($A$1,ROW()-1,11)),OFFSET($A$1,ROW()-1,11),IF(ISNUMBER(OFFSET($A$1,ROW()-1,10)),OFFSET($A$1,ROW()-1,10),IF(ISNUMBER(OFFSET($A$1,ROW()-1,9)),OFFSET($A$1,ROW()-1,9),IF(ISNUMBER(OFFSET($A$1,ROW()-1,8)),OFFSET($A$1,ROW()-1,8),0))))))))</f>
        <v/>
      </c>
      <c r="AH227" s="62">
        <f>IF($V227="","",IF(AND(ISNUMBER($G227),$G227&lt;=IF($S227=MesCiclo,InicioCiclo,$S227+MOD(2-WEEKDAY($S227),7))+6),1,IF(N($W227)&gt;0,MIN(1,SUMIFS($AD$5:$AD$1000,$U$5:$U$1000,ROW(),$V$5:$V$1000,"Sub")),$Z227)))</f>
        <v/>
      </c>
      <c r="AI227" s="62">
        <f>IF($V227="","",IF(AND(ISNUMBER($G227),$G227&lt;=IF($S227=MesCiclo,InicioCiclo,$S227+MOD(2-WEEKDAY($S227),7))+13),1,IF(N($W227)&gt;0,MIN(1,SUMIFS($AE$5:$AE$1000,$U$5:$U$1000,ROW(),$V$5:$V$1000,"Sub")),$AA227)))</f>
        <v/>
      </c>
      <c r="AJ227" s="62">
        <f>IF($V227="","",IF(AND(ISNUMBER($G227),$G227&lt;=IF($S227=MesCiclo,InicioCiclo,$S227+MOD(2-WEEKDAY($S227),7))+20),1,IF(N($W227)&gt;0,MIN(1,SUMIFS($AF$5:$AF$1000,$U$5:$U$1000,ROW(),$V$5:$V$1000,"Sub")),$AB227)))</f>
        <v/>
      </c>
      <c r="AK227" s="62">
        <f>IF($V227="","",IF(AND(ISNUMBER($G227),$G227&lt;=IF($S227=MesCiclo,InicioCiclo,$S227+MOD(2-WEEKDAY($S227),7))+27),1,IF(N($W227)&gt;0,MIN(1,SUMIFS($AG$5:$AG$1000,$U$5:$U$1000,ROW(),$V$5:$V$1000,"Sub")),$AC227)))</f>
        <v/>
      </c>
      <c r="AL227" s="62">
        <f>IF($V227&lt;&gt;"Macro","",IF(COUNTIFS($S$5:$S$1000,$S227,$V$5:$V$1000,"Macro",$H$5:$H$1000,"&gt;0")=0,1/COUNTIFS($S$5:$S$1000,$S227,$V$5:$V$1000,"Macro"),IF(AND(ISNUMBER($H227),N($H227)&gt;0),$H227,SUMIFS($H$5:$H$1000,$S$5:$S$1000,$S227,$V$5:$V$1000,"Macro")/COUNTIFS($S$5:$S$1000,$S227,$V$5:$V$1000,"Macro",$H$5:$H$1000,"&gt;0"))/(COUNTIFS($S$5:$S$1000,$S227,$V$5:$V$1000,"Macro")*SUMIFS($H$5:$H$1000,$S$5:$S$1000,$S227,$V$5:$V$1000,"Macro")/COUNTIFS($S$5:$S$1000,$S227,$V$5:$V$1000,"Macro",$H$5:$H$1000,"&gt;0"))))</f>
        <v/>
      </c>
      <c r="AM227" s="62" t="n"/>
      <c r="AN227" s="62" t="n"/>
      <c r="AO227" s="62" t="n"/>
      <c r="AP227" s="62" t="n"/>
      <c r="AQ227" s="62">
        <f>IF(LEFT($C227,11)="[Jefatura] ",IFERROR(MATCH("Asistente Técnico de Riesgo|"&amp;MID($C227,12,500),rDname_ADM,0),0),"")</f>
        <v/>
      </c>
      <c r="AR227" s="62">
        <f>IF(N($AQ227)&gt;0,INDEX(rIni_ADM,$AQ227),IF(ISNUMBER($E227),$E227,""))</f>
        <v/>
      </c>
      <c r="AS227" s="62">
        <f>IF(N($AQ227)&gt;0,INDEX(rLim_ADM,$AQ227),IF(ISNUMBER($F227),$F227,""))</f>
        <v/>
      </c>
    </row>
    <row r="228">
      <c r="A228" s="56">
        <f>IF(NOT((COUNTA($B228:$D228)+COUNTA($G228:$H228)+COUNTA($Q228))&gt;0),"",IF($V228="Macro",COUNTIFS($V$5:$V228,"Macro",$S$5:$S228,$S228),IF(N($U228)=0,"?",COUNTIFS(INDEX($V$5:$V$1000,1):INDEX($V$5:$V$1000,$U228-4),"Macro",INDEX($S$5:$S$1000,1):INDEX($S$5:$S$1000,$U228-4),INDEX($S$5:$S$1000,$U228-4))&amp;"."&amp;COUNTIFS($U$5:$U228,$U228,$V$5:$V228,"Sub"))))</f>
        <v/>
      </c>
      <c r="B228" s="57" t="n"/>
      <c r="C228" s="58" t="n"/>
      <c r="D228" s="58" t="n"/>
      <c r="E228" s="59">
        <f>IF(N($AQ228)&gt;0,INDEX(rIni_ADM,$AQ228),"")</f>
        <v/>
      </c>
      <c r="F228" s="59">
        <f>IF(N($AQ228)&gt;0,INDEX(rLim_ADM,$AQ228),"")</f>
        <v/>
      </c>
      <c r="G228" s="59" t="n"/>
      <c r="H228" s="60" t="n"/>
      <c r="I228" s="60">
        <f>IF(N($W228)=0,"",IF(AND($S228=MesCiclo,1&gt;SemanaActual),"",MIN(1,SUMIFS(OFFSET($A$1,ROW(),29,1000-ROW(),1),OFFSET($A$1,ROW(),20,1000-ROW(),1),ROW(),OFFSET($A$1,ROW(),21,1000-ROW(),1),"Sub"))))</f>
        <v/>
      </c>
      <c r="J228" s="60">
        <f>IF(N($W228)=0,"",IF(AND($S228=MesCiclo,2&gt;SemanaActual),"",MIN(1,SUMIFS(OFFSET($A$1,ROW(),30,1000-ROW(),1),OFFSET($A$1,ROW(),20,1000-ROW(),1),ROW(),OFFSET($A$1,ROW(),21,1000-ROW(),1),"Sub"))))</f>
        <v/>
      </c>
      <c r="K228" s="60">
        <f>IF(N($W228)=0,"",IF(AND($S228=MesCiclo,3&gt;SemanaActual),"",MIN(1,SUMIFS(OFFSET($A$1,ROW(),31,1000-ROW(),1),OFFSET($A$1,ROW(),20,1000-ROW(),1),ROW(),OFFSET($A$1,ROW(),21,1000-ROW(),1),"Sub"))))</f>
        <v/>
      </c>
      <c r="L228" s="60">
        <f>IF(N($W228)=0,"",IF(AND($S228=MesCiclo,4&gt;SemanaActual),"",MIN(1,SUMIFS(OFFSET($A$1,ROW(),32,1000-ROW(),1),OFFSET($A$1,ROW(),20,1000-ROW(),1),ROW(),OFFSET($A$1,ROW(),21,1000-ROW(),1),"Sub"))))</f>
        <v/>
      </c>
      <c r="M228" s="61">
        <f>IF(OR(NOT((COUNTA($B228:$D228)+COUNTA($G228:$H228)+COUNTA($Q228))&gt;0),$V228="Sub"),"",IF(ISNUMBER($G228),1,IF(N($W228)&gt;0,MIN(1,SUMIFS($Y$5:$Y$1000,$U$5:$U$1000,ROW(),$V$5:$V$1000,"Sub")),$Y228)))</f>
        <v/>
      </c>
      <c r="N228" s="56">
        <f>IF(OR($M228="",$V228="Sub"),"",IF($M228&gt;=1,"Completado",IF($M228&gt;0,"En curso","Pendiente")))</f>
        <v/>
      </c>
      <c r="O228" s="56">
        <f>IF(OR(NOT((COUNTA($B228:$D228)+COUNTA($G228:$H228)+COUNTA($Q228))&gt;0),$V228="Sub"),"",IF(ISNUMBER($G228),IF(AND(ISNUMBER($AS228),$G228&gt;$AS228),"Cumplida con "&amp;($G228-$AS228)&amp;IF($G228-$AS228=1," día"," días")&amp;" de retraso","Cumplida"),IF(N($M228)&gt;=1,"Cumplida",IF(NOT(ISNUMBER($AS228)),"Sin fecha límite",IF($AS228&lt;FechaRef,"Vencida hace "&amp;(FechaRef-$AS228)&amp;IF(FechaRef-$AS228=1," día"," días"),IF($AS228=FechaRef,"Vence hoy",IF($AS228-FechaRef&lt;=DiasAlerta,"Vence en "&amp;($AS228-FechaRef)&amp;IF($AS228-FechaRef=1," día"," días"),"En plazo")))))))</f>
        <v/>
      </c>
      <c r="P228" s="62" t="n"/>
      <c r="Q228" s="58" t="n"/>
      <c r="R228" s="63">
        <f>IF(NOT((COUNTA($B228:$D228)+COUNTA($G228:$H228)+COUNTA($Q228))&gt;0),"",IF((IF($C228="","Falta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 OK","⚠ "&amp;LEFT(IF($C228="","Falta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",""),LEN(IF($C228="","Falta el nombre de la actividad"&amp;" · ","")&amp;IF(AND($V228="Sub",N($U228)=0),"Subactividad sin macroactividad arriba"&amp;" · ","")&amp;IF(AND($V228="Macro",$AR228=""),"Sin fecha de inicio"&amp;" · ","")&amp;IF(AND($V228="Macro",$AS228=""),"Sin fecha límite"&amp;" · ","")&amp;IF(AND(LEFT($C228,11)="[Jefatura] ",N($AQ228)=0),"No se encuentra en la hoja de la jefatura (elíjala de nuevo en la lista)"&amp;" · ","")&amp;IF(OR(AND($E228&lt;&gt;"",NOT(ISNUMBER($E228))),AND($F228&lt;&gt;"",NOT(ISNUMBER($F228))),AND($G228&lt;&gt;"",NOT(ISNUMBER($G228)))),"Fecha no válida"&amp;" · ","")&amp;IF(AND(ISNUMBER($AR228),ISNUMBER($AS228),$AR228&gt;$AS228),"Inicio posterior a fecha límite"&amp;" · ","")&amp;IF(AND($V228="Macro",$H228&lt;&gt;"",OR(NOT(ISNUMBER($H228)),$H228&lt;0,$H228&gt;1)),"Peso fuera de rango"&amp;" · ","")&amp;IF(AND($V228="Sub",$H228&lt;&gt;"",OR(NOT(ISNUMBER($H228)),$H228&lt;0,$H228&gt;1)),"% de la subactividad fuera de rango 0-100%"&amp;" · ","")&amp;IF(AND(N($W228)&gt;0,SUMIFS($H$5:$H$1000,$U$5:$U$1000,ROW(),$V$5:$V$1000,"Sub")&gt;1.0001),"Las subactividades suman más de 100%"&amp;" · ","")&amp;IF(AND(N($W228)&gt;0,OR(IF(ISNUMBER($I228),ROUND($I228,6)&lt;&gt;ROUND(MIN(1,SUMIFS($AD$5:$AD$1000,$U$5:$U$1000,ROW(),$V$5:$V$1000,"Sub")),6),FALSE),IF(ISNUMBER($J228),ROUND($J228,6)&lt;&gt;ROUND(MIN(1,SUMIFS($AE$5:$AE$1000,$U$5:$U$1000,ROW(),$V$5:$V$1000,"Sub")),6),FALSE),IF(ISNUMBER($K228),ROUND($K228,6)&lt;&gt;ROUND(MIN(1,SUMIFS($AF$5:$AF$1000,$U$5:$U$1000,ROW(),$V$5:$V$1000,"Sub")),6),FALSE),IF(ISNUMBER($L228),ROUND($L228,6)&lt;&gt;ROUND(MIN(1,SUMIFS($AG$5:$AG$1000,$U$5:$U$1000,ROW(),$V$5:$V$1000,"Sub")),6),FALSE))),"Con subactividades: no escriba en las semanas (se llenan solas)"&amp;" · ","")&amp;IF((COUNTIF($I228:$L228,"&gt;1")+COUNTIF($I228:$L228,"&lt;0")+SUMPRODUCT((LEN($I228:$L228)&gt;0)*NOT(ISNUMBER($I228:$L228))))&gt;0,"Avance fuera de rango 0-100%"&amp;" · ","")&amp;IF(OR(AND(ISNUMBER($J228),$J228&lt;N($I228)),AND(ISNUMBER($K228),$K228&lt;MAX($I228:$J228)),AND(ISNUMBER($L228),$L228&lt;MAX($I228:$K228))),"Avance semanal decreciente"&amp;" · ","")&amp;IF(AND(ISNUMBER($AS228),$AS228&lt;FechaRef,IF($V228="Sub",1,N($M228))&lt;1),"Vencida"&amp;" · ","")&amp;IF(AND(ObsObligatoria="Sí",ISNUMBER($AS228),$AS228&lt;FechaRef,IF($V228="Sub",1,N($M228))&lt;1,$Q228=""),"Vencida sin observación"&amp;" · ",""))-3)))</f>
        <v/>
      </c>
      <c r="S228" s="64">
        <f>IF(NOT((COUNTA($B228:$D228)+COUNTA($G228:$H228)+COUNTA($Q228))&gt;0),"",IF(AND($V228="Sub",N($U228)&gt;0),IF(ISNUMBER(INDEX($AR$5:$AR$1000,$U228-4)),DATE(YEAR(INDEX($AR$5:$AR$1000,$U228-4)),MONTH(INDEX($AR$5:$AR$1000,$U228-4)),1),IF(ISNUMBER(INDEX($AS$5:$AS$1000,$U228-4)),DATE(YEAR(INDEX($AS$5:$AS$1000,$U228-4)),MONTH(INDEX($AS$5:$AS$1000,$U228-4)),1),MesCiclo)),IF(ISNUMBER($AR228),DATE(YEAR($AR228),MONTH($AR228),1),IF(ISNUMBER($AS228),DATE(YEAR($AS228),MONTH($AS228),1),MesCiclo))))</f>
        <v/>
      </c>
      <c r="T228" s="62">
        <f>IF(OR($S228="",$S228&lt;&gt;MesCiclo,$V228&lt;&gt;"Macro"),"",COUNTIFS($S$5:$S228,MesCiclo,$V$5:$V228,"Macro"))</f>
        <v/>
      </c>
      <c r="U228" s="62">
        <f>IF($V228="","",IF($V228="Macro",ROW(),IFERROR(LOOKUP(2,1/($V$5:$V228="Macro"),ROW($V$5:$V228)),0)))</f>
        <v/>
      </c>
      <c r="V228" s="62">
        <f>IF(NOT((COUNTA($B228:$D228)+COUNTA($G228:$H228)+COUNTA($Q228))&gt;0),"",IF($B228="Subactividad","Sub","Macro"))</f>
        <v/>
      </c>
      <c r="W228" s="62">
        <f>IF($V228="Macro",COUNTIFS($U$5:$U$1000,ROW(),$V$5:$V$1000,"Sub"),"")</f>
        <v/>
      </c>
      <c r="X228" s="62">
        <f>IF($V228&lt;&gt;"Sub","",IF(AND(ISNUMBER($H228),N($H228)&gt;0),$H228,IFERROR(MAX(0,1-SUMIFS($H$5:$H$1000,$U$5:$U$1000,$U228,$V$5:$V$1000,"Sub"))/(COUNTIFS($U$5:$U$1000,$U228,$V$5:$V$1000,"Sub")-COUNTIFS($U$5:$U$1000,$U228,$V$5:$V$1000,"Sub",$H$5:$H$1000,"&gt;0")),0)))</f>
        <v/>
      </c>
      <c r="Y228" s="62">
        <f>IF($V228="","",IF($V228="Sub",N($X228)*IF(ISNUMBER($G228),1,MIN(1,MAX(0,IFERROR(LOOKUP(2,1/ISNUMBER($I228:$L228),$I228:$L228),0)))),IF(ISNUMBER($G228),1,IFERROR(LOOKUP(2,1/($I228:$L228&lt;&gt;""),$I228:$L228),0))))</f>
        <v/>
      </c>
      <c r="Z228" s="62">
        <f>IF($V228="","",IF(AND(ISNUMBER($G228),$G228&lt;=IF($S228=MesCiclo,InicioCiclo,$S228+MOD(2-WEEKDAY($S228),7))+6),1,IF(ISNUMBER($I228),$I228,0)))</f>
        <v/>
      </c>
      <c r="AA228" s="62">
        <f>IF($V228="","",IF(AND(ISNUMBER($G228),$G228&lt;=IF($S228=MesCiclo,InicioCiclo,$S228+MOD(2-WEEKDAY($S228),7))+13),1,IF(ISNUMBER($J228),$J228,$Z228)))</f>
        <v/>
      </c>
      <c r="AB228" s="62">
        <f>IF($V228="","",IF(AND(ISNUMBER($G228),$G228&lt;=IF($S228=MesCiclo,InicioCiclo,$S228+MOD(2-WEEKDAY($S228),7))+20),1,IF(ISNUMBER($K228),$K228,$AA228)))</f>
        <v/>
      </c>
      <c r="AC228" s="62">
        <f>IF($V228="","",IF(AND(ISNUMBER($G228),$G228&lt;=IF($S228=MesCiclo,InicioCiclo,$S228+MOD(2-WEEKDAY($S228),7))+27),1,IF(ISNUMBER($L228),$L228,$AB228)))</f>
        <v/>
      </c>
      <c r="AD228" s="62">
        <f>IF($V228&lt;&gt;"Sub","",N($X228)*IF(AND(ISNUMBER($G228),$G228&lt;=IF($S228=MesCiclo,InicioCiclo,$S228+MOD(2-WEEKDAY($S228),7))+6),1,MIN(1,MAX(0,IF(ISNUMBER(OFFSET($A$1,ROW()-1,8)),OFFSET($A$1,ROW()-1,8),0)))))</f>
        <v/>
      </c>
      <c r="AE228" s="62">
        <f>IF($V228&lt;&gt;"Sub","",N($X228)*IF(AND(ISNUMBER($G228),$G228&lt;=IF($S228=MesCiclo,InicioCiclo,$S228+MOD(2-WEEKDAY($S228),7))+13),1,MIN(1,MAX(0,IF(ISNUMBER(OFFSET($A$1,ROW()-1,9)),OFFSET($A$1,ROW()-1,9),IF(ISNUMBER(OFFSET($A$1,ROW()-1,8)),OFFSET($A$1,ROW()-1,8),0))))))</f>
        <v/>
      </c>
      <c r="AF228" s="62">
        <f>IF($V228&lt;&gt;"Sub","",N($X228)*IF(AND(ISNUMBER($G228),$G228&lt;=IF($S228=MesCiclo,InicioCiclo,$S228+MOD(2-WEEKDAY($S228),7))+20),1,MIN(1,MAX(0,IF(ISNUMBER(OFFSET($A$1,ROW()-1,10)),OFFSET($A$1,ROW()-1,10),IF(ISNUMBER(OFFSET($A$1,ROW()-1,9)),OFFSET($A$1,ROW()-1,9),IF(ISNUMBER(OFFSET($A$1,ROW()-1,8)),OFFSET($A$1,ROW()-1,8),0)))))))</f>
        <v/>
      </c>
      <c r="AG228" s="62">
        <f>IF($V228&lt;&gt;"Sub","",N($X228)*IF(AND(ISNUMBER($G228),$G228&lt;=IF($S228=MesCiclo,InicioCiclo,$S228+MOD(2-WEEKDAY($S228),7))+27),1,MIN(1,MAX(0,IF(ISNUMBER(OFFSET($A$1,ROW()-1,11)),OFFSET($A$1,ROW()-1,11),IF(ISNUMBER(OFFSET($A$1,ROW()-1,10)),OFFSET($A$1,ROW()-1,10),IF(ISNUMBER(OFFSET($A$1,ROW()-1,9)),OFFSET($A$1,ROW()-1,9),IF(ISNUMBER(OFFSET($A$1,ROW()-1,8)),OFFSET($A$1,ROW()-1,8),0))))))))</f>
        <v/>
      </c>
      <c r="AH228" s="62">
        <f>IF($V228="","",IF(AND(ISNUMBER($G228),$G228&lt;=IF($S228=MesCiclo,InicioCiclo,$S228+MOD(2-WEEKDAY($S228),7))+6),1,IF(N($W228)&gt;0,MIN(1,SUMIFS($AD$5:$AD$1000,$U$5:$U$1000,ROW(),$V$5:$V$1000,"Sub")),$Z228)))</f>
        <v/>
      </c>
      <c r="AI228" s="62">
        <f>IF($V228="","",IF(AND(ISNUMBER($G228),$G228&lt;=IF($S228=MesCiclo,InicioCiclo,$S228+MOD(2-WEEKDAY($S228),7))+13),1,IF(N($W228)&gt;0,MIN(1,SUMIFS($AE$5:$AE$1000,$U$5:$U$1000,ROW(),$V$5:$V$1000,"Sub")),$AA228)))</f>
        <v/>
      </c>
      <c r="AJ228" s="62">
        <f>IF($V228="","",IF(AND(ISNUMBER($G228),$G228&lt;=IF($S228=MesCiclo,InicioCiclo,$S228+MOD(2-WEEKDAY($S228),7))+20),1,IF(N($W228)&gt;0,MIN(1,SUMIFS($AF$5:$AF$1000,$U$5:$U$1000,ROW(),$V$5:$V$1000,"Sub")),$AB228)))</f>
        <v/>
      </c>
      <c r="AK228" s="62">
        <f>IF($V228="","",IF(AND(ISNUMBER($G228),$G228&lt;=IF($S228=MesCiclo,InicioCiclo,$S228+MOD(2-WEEKDAY($S228),7))+27),1,IF(N($W228)&gt;0,MIN(1,SUMIFS($AG$5:$AG$1000,$U$5:$U$1000,ROW(),$V$5:$V$1000,"Sub")),$AC228)))</f>
        <v/>
      </c>
      <c r="AL228" s="62">
        <f>IF($V228&lt;&gt;"Macro","",IF(COUNTIFS($S$5:$S$1000,$S228,$V$5:$V$1000,"Macro",$H$5:$H$1000,"&gt;0")=0,1/COUNTIFS($S$5:$S$1000,$S228,$V$5:$V$1000,"Macro"),IF(AND(ISNUMBER($H228),N($H228)&gt;0),$H228,SUMIFS($H$5:$H$1000,$S$5:$S$1000,$S228,$V$5:$V$1000,"Macro")/COUNTIFS($S$5:$S$1000,$S228,$V$5:$V$1000,"Macro",$H$5:$H$1000,"&gt;0"))/(COUNTIFS($S$5:$S$1000,$S228,$V$5:$V$1000,"Macro")*SUMIFS($H$5:$H$1000,$S$5:$S$1000,$S228,$V$5:$V$1000,"Macro")/COUNTIFS($S$5:$S$1000,$S228,$V$5:$V$1000,"Macro",$H$5:$H$1000,"&gt;0"))))</f>
        <v/>
      </c>
      <c r="AM228" s="62" t="n"/>
      <c r="AN228" s="62" t="n"/>
      <c r="AO228" s="62" t="n"/>
      <c r="AP228" s="62" t="n"/>
      <c r="AQ228" s="62">
        <f>IF(LEFT($C228,11)="[Jefatura] ",IFERROR(MATCH("Asistente Técnico de Riesgo|"&amp;MID($C228,12,500),rDname_ADM,0),0),"")</f>
        <v/>
      </c>
      <c r="AR228" s="62">
        <f>IF(N($AQ228)&gt;0,INDEX(rIni_ADM,$AQ228),IF(ISNUMBER($E228),$E228,""))</f>
        <v/>
      </c>
      <c r="AS228" s="62">
        <f>IF(N($AQ228)&gt;0,INDEX(rLim_ADM,$AQ228),IF(ISNUMBER($F228),$F228,""))</f>
        <v/>
      </c>
    </row>
    <row r="229">
      <c r="A229" s="56">
        <f>IF(NOT((COUNTA($B229:$D229)+COUNTA($G229:$H229)+COUNTA($Q229))&gt;0),"",IF($V229="Macro",COUNTIFS($V$5:$V229,"Macro",$S$5:$S229,$S229),IF(N($U229)=0,"?",COUNTIFS(INDEX($V$5:$V$1000,1):INDEX($V$5:$V$1000,$U229-4),"Macro",INDEX($S$5:$S$1000,1):INDEX($S$5:$S$1000,$U229-4),INDEX($S$5:$S$1000,$U229-4))&amp;"."&amp;COUNTIFS($U$5:$U229,$U229,$V$5:$V229,"Sub"))))</f>
        <v/>
      </c>
      <c r="B229" s="57" t="n"/>
      <c r="C229" s="58" t="n"/>
      <c r="D229" s="58" t="n"/>
      <c r="E229" s="59">
        <f>IF(N($AQ229)&gt;0,INDEX(rIni_ADM,$AQ229),"")</f>
        <v/>
      </c>
      <c r="F229" s="59">
        <f>IF(N($AQ229)&gt;0,INDEX(rLim_ADM,$AQ229),"")</f>
        <v/>
      </c>
      <c r="G229" s="59" t="n"/>
      <c r="H229" s="60" t="n"/>
      <c r="I229" s="60">
        <f>IF(N($W229)=0,"",IF(AND($S229=MesCiclo,1&gt;SemanaActual),"",MIN(1,SUMIFS(OFFSET($A$1,ROW(),29,1000-ROW(),1),OFFSET($A$1,ROW(),20,1000-ROW(),1),ROW(),OFFSET($A$1,ROW(),21,1000-ROW(),1),"Sub"))))</f>
        <v/>
      </c>
      <c r="J229" s="60">
        <f>IF(N($W229)=0,"",IF(AND($S229=MesCiclo,2&gt;SemanaActual),"",MIN(1,SUMIFS(OFFSET($A$1,ROW(),30,1000-ROW(),1),OFFSET($A$1,ROW(),20,1000-ROW(),1),ROW(),OFFSET($A$1,ROW(),21,1000-ROW(),1),"Sub"))))</f>
        <v/>
      </c>
      <c r="K229" s="60">
        <f>IF(N($W229)=0,"",IF(AND($S229=MesCiclo,3&gt;SemanaActual),"",MIN(1,SUMIFS(OFFSET($A$1,ROW(),31,1000-ROW(),1),OFFSET($A$1,ROW(),20,1000-ROW(),1),ROW(),OFFSET($A$1,ROW(),21,1000-ROW(),1),"Sub"))))</f>
        <v/>
      </c>
      <c r="L229" s="60">
        <f>IF(N($W229)=0,"",IF(AND($S229=MesCiclo,4&gt;SemanaActual),"",MIN(1,SUMIFS(OFFSET($A$1,ROW(),32,1000-ROW(),1),OFFSET($A$1,ROW(),20,1000-ROW(),1),ROW(),OFFSET($A$1,ROW(),21,1000-ROW(),1),"Sub"))))</f>
        <v/>
      </c>
      <c r="M229" s="61">
        <f>IF(OR(NOT((COUNTA($B229:$D229)+COUNTA($G229:$H229)+COUNTA($Q229))&gt;0),$V229="Sub"),"",IF(ISNUMBER($G229),1,IF(N($W229)&gt;0,MIN(1,SUMIFS($Y$5:$Y$1000,$U$5:$U$1000,ROW(),$V$5:$V$1000,"Sub")),$Y229)))</f>
        <v/>
      </c>
      <c r="N229" s="56">
        <f>IF(OR($M229="",$V229="Sub"),"",IF($M229&gt;=1,"Completado",IF($M229&gt;0,"En curso","Pendiente")))</f>
        <v/>
      </c>
      <c r="O229" s="56">
        <f>IF(OR(NOT((COUNTA($B229:$D229)+COUNTA($G229:$H229)+COUNTA($Q229))&gt;0),$V229="Sub"),"",IF(ISNUMBER($G229),IF(AND(ISNUMBER($AS229),$G229&gt;$AS229),"Cumplida con "&amp;($G229-$AS229)&amp;IF($G229-$AS229=1," día"," días")&amp;" de retraso","Cumplida"),IF(N($M229)&gt;=1,"Cumplida",IF(NOT(ISNUMBER($AS229)),"Sin fecha límite",IF($AS229&lt;FechaRef,"Vencida hace "&amp;(FechaRef-$AS229)&amp;IF(FechaRef-$AS229=1," día"," días"),IF($AS229=FechaRef,"Vence hoy",IF($AS229-FechaRef&lt;=DiasAlerta,"Vence en "&amp;($AS229-FechaRef)&amp;IF($AS229-FechaRef=1," día"," días"),"En plazo")))))))</f>
        <v/>
      </c>
      <c r="P229" s="62" t="n"/>
      <c r="Q229" s="58" t="n"/>
      <c r="R229" s="63">
        <f>IF(NOT((COUNTA($B229:$D229)+COUNTA($G229:$H229)+COUNTA($Q229))&gt;0),"",IF((IF($C229="","Falta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 OK","⚠ "&amp;LEFT(IF($C229="","Falta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",""),LEN(IF($C229="","Falta el nombre de la actividad"&amp;" · ","")&amp;IF(AND($V229="Sub",N($U229)=0),"Subactividad sin macroactividad arriba"&amp;" · ","")&amp;IF(AND($V229="Macro",$AR229=""),"Sin fecha de inicio"&amp;" · ","")&amp;IF(AND($V229="Macro",$AS229=""),"Sin fecha límite"&amp;" · ","")&amp;IF(AND(LEFT($C229,11)="[Jefatura] ",N($AQ229)=0),"No se encuentra en la hoja de la jefatura (elíjala de nuevo en la lista)"&amp;" · ","")&amp;IF(OR(AND($E229&lt;&gt;"",NOT(ISNUMBER($E229))),AND($F229&lt;&gt;"",NOT(ISNUMBER($F229))),AND($G229&lt;&gt;"",NOT(ISNUMBER($G229)))),"Fecha no válida"&amp;" · ","")&amp;IF(AND(ISNUMBER($AR229),ISNUMBER($AS229),$AR229&gt;$AS229),"Inicio posterior a fecha límite"&amp;" · ","")&amp;IF(AND($V229="Macro",$H229&lt;&gt;"",OR(NOT(ISNUMBER($H229)),$H229&lt;0,$H229&gt;1)),"Peso fuera de rango"&amp;" · ","")&amp;IF(AND($V229="Sub",$H229&lt;&gt;"",OR(NOT(ISNUMBER($H229)),$H229&lt;0,$H229&gt;1)),"% de la subactividad fuera de rango 0-100%"&amp;" · ","")&amp;IF(AND(N($W229)&gt;0,SUMIFS($H$5:$H$1000,$U$5:$U$1000,ROW(),$V$5:$V$1000,"Sub")&gt;1.0001),"Las subactividades suman más de 100%"&amp;" · ","")&amp;IF(AND(N($W229)&gt;0,OR(IF(ISNUMBER($I229),ROUND($I229,6)&lt;&gt;ROUND(MIN(1,SUMIFS($AD$5:$AD$1000,$U$5:$U$1000,ROW(),$V$5:$V$1000,"Sub")),6),FALSE),IF(ISNUMBER($J229),ROUND($J229,6)&lt;&gt;ROUND(MIN(1,SUMIFS($AE$5:$AE$1000,$U$5:$U$1000,ROW(),$V$5:$V$1000,"Sub")),6),FALSE),IF(ISNUMBER($K229),ROUND($K229,6)&lt;&gt;ROUND(MIN(1,SUMIFS($AF$5:$AF$1000,$U$5:$U$1000,ROW(),$V$5:$V$1000,"Sub")),6),FALSE),IF(ISNUMBER($L229),ROUND($L229,6)&lt;&gt;ROUND(MIN(1,SUMIFS($AG$5:$AG$1000,$U$5:$U$1000,ROW(),$V$5:$V$1000,"Sub")),6),FALSE))),"Con subactividades: no escriba en las semanas (se llenan solas)"&amp;" · ","")&amp;IF((COUNTIF($I229:$L229,"&gt;1")+COUNTIF($I229:$L229,"&lt;0")+SUMPRODUCT((LEN($I229:$L229)&gt;0)*NOT(ISNUMBER($I229:$L229))))&gt;0,"Avance fuera de rango 0-100%"&amp;" · ","")&amp;IF(OR(AND(ISNUMBER($J229),$J229&lt;N($I229)),AND(ISNUMBER($K229),$K229&lt;MAX($I229:$J229)),AND(ISNUMBER($L229),$L229&lt;MAX($I229:$K229))),"Avance semanal decreciente"&amp;" · ","")&amp;IF(AND(ISNUMBER($AS229),$AS229&lt;FechaRef,IF($V229="Sub",1,N($M229))&lt;1),"Vencida"&amp;" · ","")&amp;IF(AND(ObsObligatoria="Sí",ISNUMBER($AS229),$AS229&lt;FechaRef,IF($V229="Sub",1,N($M229))&lt;1,$Q229=""),"Vencida sin observación"&amp;" · ",""))-3)))</f>
        <v/>
      </c>
      <c r="S229" s="64">
        <f>IF(NOT((COUNTA($B229:$D229)+COUNTA($G229:$H229)+COUNTA($Q229))&gt;0),"",IF(AND($V229="Sub",N($U229)&gt;0),IF(ISNUMBER(INDEX($AR$5:$AR$1000,$U229-4)),DATE(YEAR(INDEX($AR$5:$AR$1000,$U229-4)),MONTH(INDEX($AR$5:$AR$1000,$U229-4)),1),IF(ISNUMBER(INDEX($AS$5:$AS$1000,$U229-4)),DATE(YEAR(INDEX($AS$5:$AS$1000,$U229-4)),MONTH(INDEX($AS$5:$AS$1000,$U229-4)),1),MesCiclo)),IF(ISNUMBER($AR229),DATE(YEAR($AR229),MONTH($AR229),1),IF(ISNUMBER($AS229),DATE(YEAR($AS229),MONTH($AS229),1),MesCiclo))))</f>
        <v/>
      </c>
      <c r="T229" s="62">
        <f>IF(OR($S229="",$S229&lt;&gt;MesCiclo,$V229&lt;&gt;"Macro"),"",COUNTIFS($S$5:$S229,MesCiclo,$V$5:$V229,"Macro"))</f>
        <v/>
      </c>
      <c r="U229" s="62">
        <f>IF($V229="","",IF($V229="Macro",ROW(),IFERROR(LOOKUP(2,1/($V$5:$V229="Macro"),ROW($V$5:$V229)),0)))</f>
        <v/>
      </c>
      <c r="V229" s="62">
        <f>IF(NOT((COUNTA($B229:$D229)+COUNTA($G229:$H229)+COUNTA($Q229))&gt;0),"",IF($B229="Subactividad","Sub","Macro"))</f>
        <v/>
      </c>
      <c r="W229" s="62">
        <f>IF($V229="Macro",COUNTIFS($U$5:$U$1000,ROW(),$V$5:$V$1000,"Sub"),"")</f>
        <v/>
      </c>
      <c r="X229" s="62">
        <f>IF($V229&lt;&gt;"Sub","",IF(AND(ISNUMBER($H229),N($H229)&gt;0),$H229,IFERROR(MAX(0,1-SUMIFS($H$5:$H$1000,$U$5:$U$1000,$U229,$V$5:$V$1000,"Sub"))/(COUNTIFS($U$5:$U$1000,$U229,$V$5:$V$1000,"Sub")-COUNTIFS($U$5:$U$1000,$U229,$V$5:$V$1000,"Sub",$H$5:$H$1000,"&gt;0")),0)))</f>
        <v/>
      </c>
      <c r="Y229" s="62">
        <f>IF($V229="","",IF($V229="Sub",N($X229)*IF(ISNUMBER($G229),1,MIN(1,MAX(0,IFERROR(LOOKUP(2,1/ISNUMBER($I229:$L229),$I229:$L229),0)))),IF(ISNUMBER($G229),1,IFERROR(LOOKUP(2,1/($I229:$L229&lt;&gt;""),$I229:$L229),0))))</f>
        <v/>
      </c>
      <c r="Z229" s="62">
        <f>IF($V229="","",IF(AND(ISNUMBER($G229),$G229&lt;=IF($S229=MesCiclo,InicioCiclo,$S229+MOD(2-WEEKDAY($S229),7))+6),1,IF(ISNUMBER($I229),$I229,0)))</f>
        <v/>
      </c>
      <c r="AA229" s="62">
        <f>IF($V229="","",IF(AND(ISNUMBER($G229),$G229&lt;=IF($S229=MesCiclo,InicioCiclo,$S229+MOD(2-WEEKDAY($S229),7))+13),1,IF(ISNUMBER($J229),$J229,$Z229)))</f>
        <v/>
      </c>
      <c r="AB229" s="62">
        <f>IF($V229="","",IF(AND(ISNUMBER($G229),$G229&lt;=IF($S229=MesCiclo,InicioCiclo,$S229+MOD(2-WEEKDAY($S229),7))+20),1,IF(ISNUMBER($K229),$K229,$AA229)))</f>
        <v/>
      </c>
      <c r="AC229" s="62">
        <f>IF($V229="","",IF(AND(ISNUMBER($G229),$G229&lt;=IF($S229=MesCiclo,InicioCiclo,$S229+MOD(2-WEEKDAY($S229),7))+27),1,IF(ISNUMBER($L229),$L229,$AB229)))</f>
        <v/>
      </c>
      <c r="AD229" s="62">
        <f>IF($V229&lt;&gt;"Sub","",N($X229)*IF(AND(ISNUMBER($G229),$G229&lt;=IF($S229=MesCiclo,InicioCiclo,$S229+MOD(2-WEEKDAY($S229),7))+6),1,MIN(1,MAX(0,IF(ISNUMBER(OFFSET($A$1,ROW()-1,8)),OFFSET($A$1,ROW()-1,8),0)))))</f>
        <v/>
      </c>
      <c r="AE229" s="62">
        <f>IF($V229&lt;&gt;"Sub","",N($X229)*IF(AND(ISNUMBER($G229),$G229&lt;=IF($S229=MesCiclo,InicioCiclo,$S229+MOD(2-WEEKDAY($S229),7))+13),1,MIN(1,MAX(0,IF(ISNUMBER(OFFSET($A$1,ROW()-1,9)),OFFSET($A$1,ROW()-1,9),IF(ISNUMBER(OFFSET($A$1,ROW()-1,8)),OFFSET($A$1,ROW()-1,8),0))))))</f>
        <v/>
      </c>
      <c r="AF229" s="62">
        <f>IF($V229&lt;&gt;"Sub","",N($X229)*IF(AND(ISNUMBER($G229),$G229&lt;=IF($S229=MesCiclo,InicioCiclo,$S229+MOD(2-WEEKDAY($S229),7))+20),1,MIN(1,MAX(0,IF(ISNUMBER(OFFSET($A$1,ROW()-1,10)),OFFSET($A$1,ROW()-1,10),IF(ISNUMBER(OFFSET($A$1,ROW()-1,9)),OFFSET($A$1,ROW()-1,9),IF(ISNUMBER(OFFSET($A$1,ROW()-1,8)),OFFSET($A$1,ROW()-1,8),0)))))))</f>
        <v/>
      </c>
      <c r="AG229" s="62">
        <f>IF($V229&lt;&gt;"Sub","",N($X229)*IF(AND(ISNUMBER($G229),$G229&lt;=IF($S229=MesCiclo,InicioCiclo,$S229+MOD(2-WEEKDAY($S229),7))+27),1,MIN(1,MAX(0,IF(ISNUMBER(OFFSET($A$1,ROW()-1,11)),OFFSET($A$1,ROW()-1,11),IF(ISNUMBER(OFFSET($A$1,ROW()-1,10)),OFFSET($A$1,ROW()-1,10),IF(ISNUMBER(OFFSET($A$1,ROW()-1,9)),OFFSET($A$1,ROW()-1,9),IF(ISNUMBER(OFFSET($A$1,ROW()-1,8)),OFFSET($A$1,ROW()-1,8),0))))))))</f>
        <v/>
      </c>
      <c r="AH229" s="62">
        <f>IF($V229="","",IF(AND(ISNUMBER($G229),$G229&lt;=IF($S229=MesCiclo,InicioCiclo,$S229+MOD(2-WEEKDAY($S229),7))+6),1,IF(N($W229)&gt;0,MIN(1,SUMIFS($AD$5:$AD$1000,$U$5:$U$1000,ROW(),$V$5:$V$1000,"Sub")),$Z229)))</f>
        <v/>
      </c>
      <c r="AI229" s="62">
        <f>IF($V229="","",IF(AND(ISNUMBER($G229),$G229&lt;=IF($S229=MesCiclo,InicioCiclo,$S229+MOD(2-WEEKDAY($S229),7))+13),1,IF(N($W229)&gt;0,MIN(1,SUMIFS($AE$5:$AE$1000,$U$5:$U$1000,ROW(),$V$5:$V$1000,"Sub")),$AA229)))</f>
        <v/>
      </c>
      <c r="AJ229" s="62">
        <f>IF($V229="","",IF(AND(ISNUMBER($G229),$G229&lt;=IF($S229=MesCiclo,InicioCiclo,$S229+MOD(2-WEEKDAY($S229),7))+20),1,IF(N($W229)&gt;0,MIN(1,SUMIFS($AF$5:$AF$1000,$U$5:$U$1000,ROW(),$V$5:$V$1000,"Sub")),$AB229)))</f>
        <v/>
      </c>
      <c r="AK229" s="62">
        <f>IF($V229="","",IF(AND(ISNUMBER($G229),$G229&lt;=IF($S229=MesCiclo,InicioCiclo,$S229+MOD(2-WEEKDAY($S229),7))+27),1,IF(N($W229)&gt;0,MIN(1,SUMIFS($AG$5:$AG$1000,$U$5:$U$1000,ROW(),$V$5:$V$1000,"Sub")),$AC229)))</f>
        <v/>
      </c>
      <c r="AL229" s="62">
        <f>IF($V229&lt;&gt;"Macro","",IF(COUNTIFS($S$5:$S$1000,$S229,$V$5:$V$1000,"Macro",$H$5:$H$1000,"&gt;0")=0,1/COUNTIFS($S$5:$S$1000,$S229,$V$5:$V$1000,"Macro"),IF(AND(ISNUMBER($H229),N($H229)&gt;0),$H229,SUMIFS($H$5:$H$1000,$S$5:$S$1000,$S229,$V$5:$V$1000,"Macro")/COUNTIFS($S$5:$S$1000,$S229,$V$5:$V$1000,"Macro",$H$5:$H$1000,"&gt;0"))/(COUNTIFS($S$5:$S$1000,$S229,$V$5:$V$1000,"Macro")*SUMIFS($H$5:$H$1000,$S$5:$S$1000,$S229,$V$5:$V$1000,"Macro")/COUNTIFS($S$5:$S$1000,$S229,$V$5:$V$1000,"Macro",$H$5:$H$1000,"&gt;0"))))</f>
        <v/>
      </c>
      <c r="AM229" s="62" t="n"/>
      <c r="AN229" s="62" t="n"/>
      <c r="AO229" s="62" t="n"/>
      <c r="AP229" s="62" t="n"/>
      <c r="AQ229" s="62">
        <f>IF(LEFT($C229,11)="[Jefatura] ",IFERROR(MATCH("Asistente Técnico de Riesgo|"&amp;MID($C229,12,500),rDname_ADM,0),0),"")</f>
        <v/>
      </c>
      <c r="AR229" s="62">
        <f>IF(N($AQ229)&gt;0,INDEX(rIni_ADM,$AQ229),IF(ISNUMBER($E229),$E229,""))</f>
        <v/>
      </c>
      <c r="AS229" s="62">
        <f>IF(N($AQ229)&gt;0,INDEX(rLim_ADM,$AQ229),IF(ISNUMBER($F229),$F229,""))</f>
        <v/>
      </c>
    </row>
    <row r="230">
      <c r="A230" s="56">
        <f>IF(NOT((COUNTA($B230:$D230)+COUNTA($G230:$H230)+COUNTA($Q230))&gt;0),"",IF($V230="Macro",COUNTIFS($V$5:$V230,"Macro",$S$5:$S230,$S230),IF(N($U230)=0,"?",COUNTIFS(INDEX($V$5:$V$1000,1):INDEX($V$5:$V$1000,$U230-4),"Macro",INDEX($S$5:$S$1000,1):INDEX($S$5:$S$1000,$U230-4),INDEX($S$5:$S$1000,$U230-4))&amp;"."&amp;COUNTIFS($U$5:$U230,$U230,$V$5:$V230,"Sub"))))</f>
        <v/>
      </c>
      <c r="B230" s="57" t="n"/>
      <c r="C230" s="58" t="n"/>
      <c r="D230" s="58" t="n"/>
      <c r="E230" s="59">
        <f>IF(N($AQ230)&gt;0,INDEX(rIni_ADM,$AQ230),"")</f>
        <v/>
      </c>
      <c r="F230" s="59">
        <f>IF(N($AQ230)&gt;0,INDEX(rLim_ADM,$AQ230),"")</f>
        <v/>
      </c>
      <c r="G230" s="59" t="n"/>
      <c r="H230" s="60" t="n"/>
      <c r="I230" s="60">
        <f>IF(N($W230)=0,"",IF(AND($S230=MesCiclo,1&gt;SemanaActual),"",MIN(1,SUMIFS(OFFSET($A$1,ROW(),29,1000-ROW(),1),OFFSET($A$1,ROW(),20,1000-ROW(),1),ROW(),OFFSET($A$1,ROW(),21,1000-ROW(),1),"Sub"))))</f>
        <v/>
      </c>
      <c r="J230" s="60">
        <f>IF(N($W230)=0,"",IF(AND($S230=MesCiclo,2&gt;SemanaActual),"",MIN(1,SUMIFS(OFFSET($A$1,ROW(),30,1000-ROW(),1),OFFSET($A$1,ROW(),20,1000-ROW(),1),ROW(),OFFSET($A$1,ROW(),21,1000-ROW(),1),"Sub"))))</f>
        <v/>
      </c>
      <c r="K230" s="60">
        <f>IF(N($W230)=0,"",IF(AND($S230=MesCiclo,3&gt;SemanaActual),"",MIN(1,SUMIFS(OFFSET($A$1,ROW(),31,1000-ROW(),1),OFFSET($A$1,ROW(),20,1000-ROW(),1),ROW(),OFFSET($A$1,ROW(),21,1000-ROW(),1),"Sub"))))</f>
        <v/>
      </c>
      <c r="L230" s="60">
        <f>IF(N($W230)=0,"",IF(AND($S230=MesCiclo,4&gt;SemanaActual),"",MIN(1,SUMIFS(OFFSET($A$1,ROW(),32,1000-ROW(),1),OFFSET($A$1,ROW(),20,1000-ROW(),1),ROW(),OFFSET($A$1,ROW(),21,1000-ROW(),1),"Sub"))))</f>
        <v/>
      </c>
      <c r="M230" s="61">
        <f>IF(OR(NOT((COUNTA($B230:$D230)+COUNTA($G230:$H230)+COUNTA($Q230))&gt;0),$V230="Sub"),"",IF(ISNUMBER($G230),1,IF(N($W230)&gt;0,MIN(1,SUMIFS($Y$5:$Y$1000,$U$5:$U$1000,ROW(),$V$5:$V$1000,"Sub")),$Y230)))</f>
        <v/>
      </c>
      <c r="N230" s="56">
        <f>IF(OR($M230="",$V230="Sub"),"",IF($M230&gt;=1,"Completado",IF($M230&gt;0,"En curso","Pendiente")))</f>
        <v/>
      </c>
      <c r="O230" s="56">
        <f>IF(OR(NOT((COUNTA($B230:$D230)+COUNTA($G230:$H230)+COUNTA($Q230))&gt;0),$V230="Sub"),"",IF(ISNUMBER($G230),IF(AND(ISNUMBER($AS230),$G230&gt;$AS230),"Cumplida con "&amp;($G230-$AS230)&amp;IF($G230-$AS230=1," día"," días")&amp;" de retraso","Cumplida"),IF(N($M230)&gt;=1,"Cumplida",IF(NOT(ISNUMBER($AS230)),"Sin fecha límite",IF($AS230&lt;FechaRef,"Vencida hace "&amp;(FechaRef-$AS230)&amp;IF(FechaRef-$AS230=1," día"," días"),IF($AS230=FechaRef,"Vence hoy",IF($AS230-FechaRef&lt;=DiasAlerta,"Vence en "&amp;($AS230-FechaRef)&amp;IF($AS230-FechaRef=1," día"," días"),"En plazo")))))))</f>
        <v/>
      </c>
      <c r="P230" s="62" t="n"/>
      <c r="Q230" s="58" t="n"/>
      <c r="R230" s="63">
        <f>IF(NOT((COUNTA($B230:$D230)+COUNTA($G230:$H230)+COUNTA($Q230))&gt;0),"",IF((IF($C230="","Falta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 OK","⚠ "&amp;LEFT(IF($C230="","Falta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",""),LEN(IF($C230="","Falta el nombre de la actividad"&amp;" · ","")&amp;IF(AND($V230="Sub",N($U230)=0),"Subactividad sin macroactividad arriba"&amp;" · ","")&amp;IF(AND($V230="Macro",$AR230=""),"Sin fecha de inicio"&amp;" · ","")&amp;IF(AND($V230="Macro",$AS230=""),"Sin fecha límite"&amp;" · ","")&amp;IF(AND(LEFT($C230,11)="[Jefatura] ",N($AQ230)=0),"No se encuentra en la hoja de la jefatura (elíjala de nuevo en la lista)"&amp;" · ","")&amp;IF(OR(AND($E230&lt;&gt;"",NOT(ISNUMBER($E230))),AND($F230&lt;&gt;"",NOT(ISNUMBER($F230))),AND($G230&lt;&gt;"",NOT(ISNUMBER($G230)))),"Fecha no válida"&amp;" · ","")&amp;IF(AND(ISNUMBER($AR230),ISNUMBER($AS230),$AR230&gt;$AS230),"Inicio posterior a fecha límite"&amp;" · ","")&amp;IF(AND($V230="Macro",$H230&lt;&gt;"",OR(NOT(ISNUMBER($H230)),$H230&lt;0,$H230&gt;1)),"Peso fuera de rango"&amp;" · ","")&amp;IF(AND($V230="Sub",$H230&lt;&gt;"",OR(NOT(ISNUMBER($H230)),$H230&lt;0,$H230&gt;1)),"% de la subactividad fuera de rango 0-100%"&amp;" · ","")&amp;IF(AND(N($W230)&gt;0,SUMIFS($H$5:$H$1000,$U$5:$U$1000,ROW(),$V$5:$V$1000,"Sub")&gt;1.0001),"Las subactividades suman más de 100%"&amp;" · ","")&amp;IF(AND(N($W230)&gt;0,OR(IF(ISNUMBER($I230),ROUND($I230,6)&lt;&gt;ROUND(MIN(1,SUMIFS($AD$5:$AD$1000,$U$5:$U$1000,ROW(),$V$5:$V$1000,"Sub")),6),FALSE),IF(ISNUMBER($J230),ROUND($J230,6)&lt;&gt;ROUND(MIN(1,SUMIFS($AE$5:$AE$1000,$U$5:$U$1000,ROW(),$V$5:$V$1000,"Sub")),6),FALSE),IF(ISNUMBER($K230),ROUND($K230,6)&lt;&gt;ROUND(MIN(1,SUMIFS($AF$5:$AF$1000,$U$5:$U$1000,ROW(),$V$5:$V$1000,"Sub")),6),FALSE),IF(ISNUMBER($L230),ROUND($L230,6)&lt;&gt;ROUND(MIN(1,SUMIFS($AG$5:$AG$1000,$U$5:$U$1000,ROW(),$V$5:$V$1000,"Sub")),6),FALSE))),"Con subactividades: no escriba en las semanas (se llenan solas)"&amp;" · ","")&amp;IF((COUNTIF($I230:$L230,"&gt;1")+COUNTIF($I230:$L230,"&lt;0")+SUMPRODUCT((LEN($I230:$L230)&gt;0)*NOT(ISNUMBER($I230:$L230))))&gt;0,"Avance fuera de rango 0-100%"&amp;" · ","")&amp;IF(OR(AND(ISNUMBER($J230),$J230&lt;N($I230)),AND(ISNUMBER($K230),$K230&lt;MAX($I230:$J230)),AND(ISNUMBER($L230),$L230&lt;MAX($I230:$K230))),"Avance semanal decreciente"&amp;" · ","")&amp;IF(AND(ISNUMBER($AS230),$AS230&lt;FechaRef,IF($V230="Sub",1,N($M230))&lt;1),"Vencida"&amp;" · ","")&amp;IF(AND(ObsObligatoria="Sí",ISNUMBER($AS230),$AS230&lt;FechaRef,IF($V230="Sub",1,N($M230))&lt;1,$Q230=""),"Vencida sin observación"&amp;" · ",""))-3)))</f>
        <v/>
      </c>
      <c r="S230" s="64">
        <f>IF(NOT((COUNTA($B230:$D230)+COUNTA($G230:$H230)+COUNTA($Q230))&gt;0),"",IF(AND($V230="Sub",N($U230)&gt;0),IF(ISNUMBER(INDEX($AR$5:$AR$1000,$U230-4)),DATE(YEAR(INDEX($AR$5:$AR$1000,$U230-4)),MONTH(INDEX($AR$5:$AR$1000,$U230-4)),1),IF(ISNUMBER(INDEX($AS$5:$AS$1000,$U230-4)),DATE(YEAR(INDEX($AS$5:$AS$1000,$U230-4)),MONTH(INDEX($AS$5:$AS$1000,$U230-4)),1),MesCiclo)),IF(ISNUMBER($AR230),DATE(YEAR($AR230),MONTH($AR230),1),IF(ISNUMBER($AS230),DATE(YEAR($AS230),MONTH($AS230),1),MesCiclo))))</f>
        <v/>
      </c>
      <c r="T230" s="62">
        <f>IF(OR($S230="",$S230&lt;&gt;MesCiclo,$V230&lt;&gt;"Macro"),"",COUNTIFS($S$5:$S230,MesCiclo,$V$5:$V230,"Macro"))</f>
        <v/>
      </c>
      <c r="U230" s="62">
        <f>IF($V230="","",IF($V230="Macro",ROW(),IFERROR(LOOKUP(2,1/($V$5:$V230="Macro"),ROW($V$5:$V230)),0)))</f>
        <v/>
      </c>
      <c r="V230" s="62">
        <f>IF(NOT((COUNTA($B230:$D230)+COUNTA($G230:$H230)+COUNTA($Q230))&gt;0),"",IF($B230="Subactividad","Sub","Macro"))</f>
        <v/>
      </c>
      <c r="W230" s="62">
        <f>IF($V230="Macro",COUNTIFS($U$5:$U$1000,ROW(),$V$5:$V$1000,"Sub"),"")</f>
        <v/>
      </c>
      <c r="X230" s="62">
        <f>IF($V230&lt;&gt;"Sub","",IF(AND(ISNUMBER($H230),N($H230)&gt;0),$H230,IFERROR(MAX(0,1-SUMIFS($H$5:$H$1000,$U$5:$U$1000,$U230,$V$5:$V$1000,"Sub"))/(COUNTIFS($U$5:$U$1000,$U230,$V$5:$V$1000,"Sub")-COUNTIFS($U$5:$U$1000,$U230,$V$5:$V$1000,"Sub",$H$5:$H$1000,"&gt;0")),0)))</f>
        <v/>
      </c>
      <c r="Y230" s="62">
        <f>IF($V230="","",IF($V230="Sub",N($X230)*IF(ISNUMBER($G230),1,MIN(1,MAX(0,IFERROR(LOOKUP(2,1/ISNUMBER($I230:$L230),$I230:$L230),0)))),IF(ISNUMBER($G230),1,IFERROR(LOOKUP(2,1/($I230:$L230&lt;&gt;""),$I230:$L230),0))))</f>
        <v/>
      </c>
      <c r="Z230" s="62">
        <f>IF($V230="","",IF(AND(ISNUMBER($G230),$G230&lt;=IF($S230=MesCiclo,InicioCiclo,$S230+MOD(2-WEEKDAY($S230),7))+6),1,IF(ISNUMBER($I230),$I230,0)))</f>
        <v/>
      </c>
      <c r="AA230" s="62">
        <f>IF($V230="","",IF(AND(ISNUMBER($G230),$G230&lt;=IF($S230=MesCiclo,InicioCiclo,$S230+MOD(2-WEEKDAY($S230),7))+13),1,IF(ISNUMBER($J230),$J230,$Z230)))</f>
        <v/>
      </c>
      <c r="AB230" s="62">
        <f>IF($V230="","",IF(AND(ISNUMBER($G230),$G230&lt;=IF($S230=MesCiclo,InicioCiclo,$S230+MOD(2-WEEKDAY($S230),7))+20),1,IF(ISNUMBER($K230),$K230,$AA230)))</f>
        <v/>
      </c>
      <c r="AC230" s="62">
        <f>IF($V230="","",IF(AND(ISNUMBER($G230),$G230&lt;=IF($S230=MesCiclo,InicioCiclo,$S230+MOD(2-WEEKDAY($S230),7))+27),1,IF(ISNUMBER($L230),$L230,$AB230)))</f>
        <v/>
      </c>
      <c r="AD230" s="62">
        <f>IF($V230&lt;&gt;"Sub","",N($X230)*IF(AND(ISNUMBER($G230),$G230&lt;=IF($S230=MesCiclo,InicioCiclo,$S230+MOD(2-WEEKDAY($S230),7))+6),1,MIN(1,MAX(0,IF(ISNUMBER(OFFSET($A$1,ROW()-1,8)),OFFSET($A$1,ROW()-1,8),0)))))</f>
        <v/>
      </c>
      <c r="AE230" s="62">
        <f>IF($V230&lt;&gt;"Sub","",N($X230)*IF(AND(ISNUMBER($G230),$G230&lt;=IF($S230=MesCiclo,InicioCiclo,$S230+MOD(2-WEEKDAY($S230),7))+13),1,MIN(1,MAX(0,IF(ISNUMBER(OFFSET($A$1,ROW()-1,9)),OFFSET($A$1,ROW()-1,9),IF(ISNUMBER(OFFSET($A$1,ROW()-1,8)),OFFSET($A$1,ROW()-1,8),0))))))</f>
        <v/>
      </c>
      <c r="AF230" s="62">
        <f>IF($V230&lt;&gt;"Sub","",N($X230)*IF(AND(ISNUMBER($G230),$G230&lt;=IF($S230=MesCiclo,InicioCiclo,$S230+MOD(2-WEEKDAY($S230),7))+20),1,MIN(1,MAX(0,IF(ISNUMBER(OFFSET($A$1,ROW()-1,10)),OFFSET($A$1,ROW()-1,10),IF(ISNUMBER(OFFSET($A$1,ROW()-1,9)),OFFSET($A$1,ROW()-1,9),IF(ISNUMBER(OFFSET($A$1,ROW()-1,8)),OFFSET($A$1,ROW()-1,8),0)))))))</f>
        <v/>
      </c>
      <c r="AG230" s="62">
        <f>IF($V230&lt;&gt;"Sub","",N($X230)*IF(AND(ISNUMBER($G230),$G230&lt;=IF($S230=MesCiclo,InicioCiclo,$S230+MOD(2-WEEKDAY($S230),7))+27),1,MIN(1,MAX(0,IF(ISNUMBER(OFFSET($A$1,ROW()-1,11)),OFFSET($A$1,ROW()-1,11),IF(ISNUMBER(OFFSET($A$1,ROW()-1,10)),OFFSET($A$1,ROW()-1,10),IF(ISNUMBER(OFFSET($A$1,ROW()-1,9)),OFFSET($A$1,ROW()-1,9),IF(ISNUMBER(OFFSET($A$1,ROW()-1,8)),OFFSET($A$1,ROW()-1,8),0))))))))</f>
        <v/>
      </c>
      <c r="AH230" s="62">
        <f>IF($V230="","",IF(AND(ISNUMBER($G230),$G230&lt;=IF($S230=MesCiclo,InicioCiclo,$S230+MOD(2-WEEKDAY($S230),7))+6),1,IF(N($W230)&gt;0,MIN(1,SUMIFS($AD$5:$AD$1000,$U$5:$U$1000,ROW(),$V$5:$V$1000,"Sub")),$Z230)))</f>
        <v/>
      </c>
      <c r="AI230" s="62">
        <f>IF($V230="","",IF(AND(ISNUMBER($G230),$G230&lt;=IF($S230=MesCiclo,InicioCiclo,$S230+MOD(2-WEEKDAY($S230),7))+13),1,IF(N($W230)&gt;0,MIN(1,SUMIFS($AE$5:$AE$1000,$U$5:$U$1000,ROW(),$V$5:$V$1000,"Sub")),$AA230)))</f>
        <v/>
      </c>
      <c r="AJ230" s="62">
        <f>IF($V230="","",IF(AND(ISNUMBER($G230),$G230&lt;=IF($S230=MesCiclo,InicioCiclo,$S230+MOD(2-WEEKDAY($S230),7))+20),1,IF(N($W230)&gt;0,MIN(1,SUMIFS($AF$5:$AF$1000,$U$5:$U$1000,ROW(),$V$5:$V$1000,"Sub")),$AB230)))</f>
        <v/>
      </c>
      <c r="AK230" s="62">
        <f>IF($V230="","",IF(AND(ISNUMBER($G230),$G230&lt;=IF($S230=MesCiclo,InicioCiclo,$S230+MOD(2-WEEKDAY($S230),7))+27),1,IF(N($W230)&gt;0,MIN(1,SUMIFS($AG$5:$AG$1000,$U$5:$U$1000,ROW(),$V$5:$V$1000,"Sub")),$AC230)))</f>
        <v/>
      </c>
      <c r="AL230" s="62">
        <f>IF($V230&lt;&gt;"Macro","",IF(COUNTIFS($S$5:$S$1000,$S230,$V$5:$V$1000,"Macro",$H$5:$H$1000,"&gt;0")=0,1/COUNTIFS($S$5:$S$1000,$S230,$V$5:$V$1000,"Macro"),IF(AND(ISNUMBER($H230),N($H230)&gt;0),$H230,SUMIFS($H$5:$H$1000,$S$5:$S$1000,$S230,$V$5:$V$1000,"Macro")/COUNTIFS($S$5:$S$1000,$S230,$V$5:$V$1000,"Macro",$H$5:$H$1000,"&gt;0"))/(COUNTIFS($S$5:$S$1000,$S230,$V$5:$V$1000,"Macro")*SUMIFS($H$5:$H$1000,$S$5:$S$1000,$S230,$V$5:$V$1000,"Macro")/COUNTIFS($S$5:$S$1000,$S230,$V$5:$V$1000,"Macro",$H$5:$H$1000,"&gt;0"))))</f>
        <v/>
      </c>
      <c r="AM230" s="62" t="n"/>
      <c r="AN230" s="62" t="n"/>
      <c r="AO230" s="62" t="n"/>
      <c r="AP230" s="62" t="n"/>
      <c r="AQ230" s="62">
        <f>IF(LEFT($C230,11)="[Jefatura] ",IFERROR(MATCH("Asistente Técnico de Riesgo|"&amp;MID($C230,12,500),rDname_ADM,0),0),"")</f>
        <v/>
      </c>
      <c r="AR230" s="62">
        <f>IF(N($AQ230)&gt;0,INDEX(rIni_ADM,$AQ230),IF(ISNUMBER($E230),$E230,""))</f>
        <v/>
      </c>
      <c r="AS230" s="62">
        <f>IF(N($AQ230)&gt;0,INDEX(rLim_ADM,$AQ230),IF(ISNUMBER($F230),$F230,""))</f>
        <v/>
      </c>
    </row>
    <row r="231">
      <c r="A231" s="56">
        <f>IF(NOT((COUNTA($B231:$D231)+COUNTA($G231:$H231)+COUNTA($Q231))&gt;0),"",IF($V231="Macro",COUNTIFS($V$5:$V231,"Macro",$S$5:$S231,$S231),IF(N($U231)=0,"?",COUNTIFS(INDEX($V$5:$V$1000,1):INDEX($V$5:$V$1000,$U231-4),"Macro",INDEX($S$5:$S$1000,1):INDEX($S$5:$S$1000,$U231-4),INDEX($S$5:$S$1000,$U231-4))&amp;"."&amp;COUNTIFS($U$5:$U231,$U231,$V$5:$V231,"Sub"))))</f>
        <v/>
      </c>
      <c r="B231" s="57" t="n"/>
      <c r="C231" s="58" t="n"/>
      <c r="D231" s="58" t="n"/>
      <c r="E231" s="59">
        <f>IF(N($AQ231)&gt;0,INDEX(rIni_ADM,$AQ231),"")</f>
        <v/>
      </c>
      <c r="F231" s="59">
        <f>IF(N($AQ231)&gt;0,INDEX(rLim_ADM,$AQ231),"")</f>
        <v/>
      </c>
      <c r="G231" s="59" t="n"/>
      <c r="H231" s="60" t="n"/>
      <c r="I231" s="60">
        <f>IF(N($W231)=0,"",IF(AND($S231=MesCiclo,1&gt;SemanaActual),"",MIN(1,SUMIFS(OFFSET($A$1,ROW(),29,1000-ROW(),1),OFFSET($A$1,ROW(),20,1000-ROW(),1),ROW(),OFFSET($A$1,ROW(),21,1000-ROW(),1),"Sub"))))</f>
        <v/>
      </c>
      <c r="J231" s="60">
        <f>IF(N($W231)=0,"",IF(AND($S231=MesCiclo,2&gt;SemanaActual),"",MIN(1,SUMIFS(OFFSET($A$1,ROW(),30,1000-ROW(),1),OFFSET($A$1,ROW(),20,1000-ROW(),1),ROW(),OFFSET($A$1,ROW(),21,1000-ROW(),1),"Sub"))))</f>
        <v/>
      </c>
      <c r="K231" s="60">
        <f>IF(N($W231)=0,"",IF(AND($S231=MesCiclo,3&gt;SemanaActual),"",MIN(1,SUMIFS(OFFSET($A$1,ROW(),31,1000-ROW(),1),OFFSET($A$1,ROW(),20,1000-ROW(),1),ROW(),OFFSET($A$1,ROW(),21,1000-ROW(),1),"Sub"))))</f>
        <v/>
      </c>
      <c r="L231" s="60">
        <f>IF(N($W231)=0,"",IF(AND($S231=MesCiclo,4&gt;SemanaActual),"",MIN(1,SUMIFS(OFFSET($A$1,ROW(),32,1000-ROW(),1),OFFSET($A$1,ROW(),20,1000-ROW(),1),ROW(),OFFSET($A$1,ROW(),21,1000-ROW(),1),"Sub"))))</f>
        <v/>
      </c>
      <c r="M231" s="61">
        <f>IF(OR(NOT((COUNTA($B231:$D231)+COUNTA($G231:$H231)+COUNTA($Q231))&gt;0),$V231="Sub"),"",IF(ISNUMBER($G231),1,IF(N($W231)&gt;0,MIN(1,SUMIFS($Y$5:$Y$1000,$U$5:$U$1000,ROW(),$V$5:$V$1000,"Sub")),$Y231)))</f>
        <v/>
      </c>
      <c r="N231" s="56">
        <f>IF(OR($M231="",$V231="Sub"),"",IF($M231&gt;=1,"Completado",IF($M231&gt;0,"En curso","Pendiente")))</f>
        <v/>
      </c>
      <c r="O231" s="56">
        <f>IF(OR(NOT((COUNTA($B231:$D231)+COUNTA($G231:$H231)+COUNTA($Q231))&gt;0),$V231="Sub"),"",IF(ISNUMBER($G231),IF(AND(ISNUMBER($AS231),$G231&gt;$AS231),"Cumplida con "&amp;($G231-$AS231)&amp;IF($G231-$AS231=1," día"," días")&amp;" de retraso","Cumplida"),IF(N($M231)&gt;=1,"Cumplida",IF(NOT(ISNUMBER($AS231)),"Sin fecha límite",IF($AS231&lt;FechaRef,"Vencida hace "&amp;(FechaRef-$AS231)&amp;IF(FechaRef-$AS231=1," día"," días"),IF($AS231=FechaRef,"Vence hoy",IF($AS231-FechaRef&lt;=DiasAlerta,"Vence en "&amp;($AS231-FechaRef)&amp;IF($AS231-FechaRef=1," día"," días"),"En plazo")))))))</f>
        <v/>
      </c>
      <c r="P231" s="62" t="n"/>
      <c r="Q231" s="58" t="n"/>
      <c r="R231" s="63">
        <f>IF(NOT((COUNTA($B231:$D231)+COUNTA($G231:$H231)+COUNTA($Q231))&gt;0),"",IF((IF($C231="","Falta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 OK","⚠ "&amp;LEFT(IF($C231="","Falta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",""),LEN(IF($C231="","Falta el nombre de la actividad"&amp;" · ","")&amp;IF(AND($V231="Sub",N($U231)=0),"Subactividad sin macroactividad arriba"&amp;" · ","")&amp;IF(AND($V231="Macro",$AR231=""),"Sin fecha de inicio"&amp;" · ","")&amp;IF(AND($V231="Macro",$AS231=""),"Sin fecha límite"&amp;" · ","")&amp;IF(AND(LEFT($C231,11)="[Jefatura] ",N($AQ231)=0),"No se encuentra en la hoja de la jefatura (elíjala de nuevo en la lista)"&amp;" · ","")&amp;IF(OR(AND($E231&lt;&gt;"",NOT(ISNUMBER($E231))),AND($F231&lt;&gt;"",NOT(ISNUMBER($F231))),AND($G231&lt;&gt;"",NOT(ISNUMBER($G231)))),"Fecha no válida"&amp;" · ","")&amp;IF(AND(ISNUMBER($AR231),ISNUMBER($AS231),$AR231&gt;$AS231),"Inicio posterior a fecha límite"&amp;" · ","")&amp;IF(AND($V231="Macro",$H231&lt;&gt;"",OR(NOT(ISNUMBER($H231)),$H231&lt;0,$H231&gt;1)),"Peso fuera de rango"&amp;" · ","")&amp;IF(AND($V231="Sub",$H231&lt;&gt;"",OR(NOT(ISNUMBER($H231)),$H231&lt;0,$H231&gt;1)),"% de la subactividad fuera de rango 0-100%"&amp;" · ","")&amp;IF(AND(N($W231)&gt;0,SUMIFS($H$5:$H$1000,$U$5:$U$1000,ROW(),$V$5:$V$1000,"Sub")&gt;1.0001),"Las subactividades suman más de 100%"&amp;" · ","")&amp;IF(AND(N($W231)&gt;0,OR(IF(ISNUMBER($I231),ROUND($I231,6)&lt;&gt;ROUND(MIN(1,SUMIFS($AD$5:$AD$1000,$U$5:$U$1000,ROW(),$V$5:$V$1000,"Sub")),6),FALSE),IF(ISNUMBER($J231),ROUND($J231,6)&lt;&gt;ROUND(MIN(1,SUMIFS($AE$5:$AE$1000,$U$5:$U$1000,ROW(),$V$5:$V$1000,"Sub")),6),FALSE),IF(ISNUMBER($K231),ROUND($K231,6)&lt;&gt;ROUND(MIN(1,SUMIFS($AF$5:$AF$1000,$U$5:$U$1000,ROW(),$V$5:$V$1000,"Sub")),6),FALSE),IF(ISNUMBER($L231),ROUND($L231,6)&lt;&gt;ROUND(MIN(1,SUMIFS($AG$5:$AG$1000,$U$5:$U$1000,ROW(),$V$5:$V$1000,"Sub")),6),FALSE))),"Con subactividades: no escriba en las semanas (se llenan solas)"&amp;" · ","")&amp;IF((COUNTIF($I231:$L231,"&gt;1")+COUNTIF($I231:$L231,"&lt;0")+SUMPRODUCT((LEN($I231:$L231)&gt;0)*NOT(ISNUMBER($I231:$L231))))&gt;0,"Avance fuera de rango 0-100%"&amp;" · ","")&amp;IF(OR(AND(ISNUMBER($J231),$J231&lt;N($I231)),AND(ISNUMBER($K231),$K231&lt;MAX($I231:$J231)),AND(ISNUMBER($L231),$L231&lt;MAX($I231:$K231))),"Avance semanal decreciente"&amp;" · ","")&amp;IF(AND(ISNUMBER($AS231),$AS231&lt;FechaRef,IF($V231="Sub",1,N($M231))&lt;1),"Vencida"&amp;" · ","")&amp;IF(AND(ObsObligatoria="Sí",ISNUMBER($AS231),$AS231&lt;FechaRef,IF($V231="Sub",1,N($M231))&lt;1,$Q231=""),"Vencida sin observación"&amp;" · ",""))-3)))</f>
        <v/>
      </c>
      <c r="S231" s="64">
        <f>IF(NOT((COUNTA($B231:$D231)+COUNTA($G231:$H231)+COUNTA($Q231))&gt;0),"",IF(AND($V231="Sub",N($U231)&gt;0),IF(ISNUMBER(INDEX($AR$5:$AR$1000,$U231-4)),DATE(YEAR(INDEX($AR$5:$AR$1000,$U231-4)),MONTH(INDEX($AR$5:$AR$1000,$U231-4)),1),IF(ISNUMBER(INDEX($AS$5:$AS$1000,$U231-4)),DATE(YEAR(INDEX($AS$5:$AS$1000,$U231-4)),MONTH(INDEX($AS$5:$AS$1000,$U231-4)),1),MesCiclo)),IF(ISNUMBER($AR231),DATE(YEAR($AR231),MONTH($AR231),1),IF(ISNUMBER($AS231),DATE(YEAR($AS231),MONTH($AS231),1),MesCiclo))))</f>
        <v/>
      </c>
      <c r="T231" s="62">
        <f>IF(OR($S231="",$S231&lt;&gt;MesCiclo,$V231&lt;&gt;"Macro"),"",COUNTIFS($S$5:$S231,MesCiclo,$V$5:$V231,"Macro"))</f>
        <v/>
      </c>
      <c r="U231" s="62">
        <f>IF($V231="","",IF($V231="Macro",ROW(),IFERROR(LOOKUP(2,1/($V$5:$V231="Macro"),ROW($V$5:$V231)),0)))</f>
        <v/>
      </c>
      <c r="V231" s="62">
        <f>IF(NOT((COUNTA($B231:$D231)+COUNTA($G231:$H231)+COUNTA($Q231))&gt;0),"",IF($B231="Subactividad","Sub","Macro"))</f>
        <v/>
      </c>
      <c r="W231" s="62">
        <f>IF($V231="Macro",COUNTIFS($U$5:$U$1000,ROW(),$V$5:$V$1000,"Sub"),"")</f>
        <v/>
      </c>
      <c r="X231" s="62">
        <f>IF($V231&lt;&gt;"Sub","",IF(AND(ISNUMBER($H231),N($H231)&gt;0),$H231,IFERROR(MAX(0,1-SUMIFS($H$5:$H$1000,$U$5:$U$1000,$U231,$V$5:$V$1000,"Sub"))/(COUNTIFS($U$5:$U$1000,$U231,$V$5:$V$1000,"Sub")-COUNTIFS($U$5:$U$1000,$U231,$V$5:$V$1000,"Sub",$H$5:$H$1000,"&gt;0")),0)))</f>
        <v/>
      </c>
      <c r="Y231" s="62">
        <f>IF($V231="","",IF($V231="Sub",N($X231)*IF(ISNUMBER($G231),1,MIN(1,MAX(0,IFERROR(LOOKUP(2,1/ISNUMBER($I231:$L231),$I231:$L231),0)))),IF(ISNUMBER($G231),1,IFERROR(LOOKUP(2,1/($I231:$L231&lt;&gt;""),$I231:$L231),0))))</f>
        <v/>
      </c>
      <c r="Z231" s="62">
        <f>IF($V231="","",IF(AND(ISNUMBER($G231),$G231&lt;=IF($S231=MesCiclo,InicioCiclo,$S231+MOD(2-WEEKDAY($S231),7))+6),1,IF(ISNUMBER($I231),$I231,0)))</f>
        <v/>
      </c>
      <c r="AA231" s="62">
        <f>IF($V231="","",IF(AND(ISNUMBER($G231),$G231&lt;=IF($S231=MesCiclo,InicioCiclo,$S231+MOD(2-WEEKDAY($S231),7))+13),1,IF(ISNUMBER($J231),$J231,$Z231)))</f>
        <v/>
      </c>
      <c r="AB231" s="62">
        <f>IF($V231="","",IF(AND(ISNUMBER($G231),$G231&lt;=IF($S231=MesCiclo,InicioCiclo,$S231+MOD(2-WEEKDAY($S231),7))+20),1,IF(ISNUMBER($K231),$K231,$AA231)))</f>
        <v/>
      </c>
      <c r="AC231" s="62">
        <f>IF($V231="","",IF(AND(ISNUMBER($G231),$G231&lt;=IF($S231=MesCiclo,InicioCiclo,$S231+MOD(2-WEEKDAY($S231),7))+27),1,IF(ISNUMBER($L231),$L231,$AB231)))</f>
        <v/>
      </c>
      <c r="AD231" s="62">
        <f>IF($V231&lt;&gt;"Sub","",N($X231)*IF(AND(ISNUMBER($G231),$G231&lt;=IF($S231=MesCiclo,InicioCiclo,$S231+MOD(2-WEEKDAY($S231),7))+6),1,MIN(1,MAX(0,IF(ISNUMBER(OFFSET($A$1,ROW()-1,8)),OFFSET($A$1,ROW()-1,8),0)))))</f>
        <v/>
      </c>
      <c r="AE231" s="62">
        <f>IF($V231&lt;&gt;"Sub","",N($X231)*IF(AND(ISNUMBER($G231),$G231&lt;=IF($S231=MesCiclo,InicioCiclo,$S231+MOD(2-WEEKDAY($S231),7))+13),1,MIN(1,MAX(0,IF(ISNUMBER(OFFSET($A$1,ROW()-1,9)),OFFSET($A$1,ROW()-1,9),IF(ISNUMBER(OFFSET($A$1,ROW()-1,8)),OFFSET($A$1,ROW()-1,8),0))))))</f>
        <v/>
      </c>
      <c r="AF231" s="62">
        <f>IF($V231&lt;&gt;"Sub","",N($X231)*IF(AND(ISNUMBER($G231),$G231&lt;=IF($S231=MesCiclo,InicioCiclo,$S231+MOD(2-WEEKDAY($S231),7))+20),1,MIN(1,MAX(0,IF(ISNUMBER(OFFSET($A$1,ROW()-1,10)),OFFSET($A$1,ROW()-1,10),IF(ISNUMBER(OFFSET($A$1,ROW()-1,9)),OFFSET($A$1,ROW()-1,9),IF(ISNUMBER(OFFSET($A$1,ROW()-1,8)),OFFSET($A$1,ROW()-1,8),0)))))))</f>
        <v/>
      </c>
      <c r="AG231" s="62">
        <f>IF($V231&lt;&gt;"Sub","",N($X231)*IF(AND(ISNUMBER($G231),$G231&lt;=IF($S231=MesCiclo,InicioCiclo,$S231+MOD(2-WEEKDAY($S231),7))+27),1,MIN(1,MAX(0,IF(ISNUMBER(OFFSET($A$1,ROW()-1,11)),OFFSET($A$1,ROW()-1,11),IF(ISNUMBER(OFFSET($A$1,ROW()-1,10)),OFFSET($A$1,ROW()-1,10),IF(ISNUMBER(OFFSET($A$1,ROW()-1,9)),OFFSET($A$1,ROW()-1,9),IF(ISNUMBER(OFFSET($A$1,ROW()-1,8)),OFFSET($A$1,ROW()-1,8),0))))))))</f>
        <v/>
      </c>
      <c r="AH231" s="62">
        <f>IF($V231="","",IF(AND(ISNUMBER($G231),$G231&lt;=IF($S231=MesCiclo,InicioCiclo,$S231+MOD(2-WEEKDAY($S231),7))+6),1,IF(N($W231)&gt;0,MIN(1,SUMIFS($AD$5:$AD$1000,$U$5:$U$1000,ROW(),$V$5:$V$1000,"Sub")),$Z231)))</f>
        <v/>
      </c>
      <c r="AI231" s="62">
        <f>IF($V231="","",IF(AND(ISNUMBER($G231),$G231&lt;=IF($S231=MesCiclo,InicioCiclo,$S231+MOD(2-WEEKDAY($S231),7))+13),1,IF(N($W231)&gt;0,MIN(1,SUMIFS($AE$5:$AE$1000,$U$5:$U$1000,ROW(),$V$5:$V$1000,"Sub")),$AA231)))</f>
        <v/>
      </c>
      <c r="AJ231" s="62">
        <f>IF($V231="","",IF(AND(ISNUMBER($G231),$G231&lt;=IF($S231=MesCiclo,InicioCiclo,$S231+MOD(2-WEEKDAY($S231),7))+20),1,IF(N($W231)&gt;0,MIN(1,SUMIFS($AF$5:$AF$1000,$U$5:$U$1000,ROW(),$V$5:$V$1000,"Sub")),$AB231)))</f>
        <v/>
      </c>
      <c r="AK231" s="62">
        <f>IF($V231="","",IF(AND(ISNUMBER($G231),$G231&lt;=IF($S231=MesCiclo,InicioCiclo,$S231+MOD(2-WEEKDAY($S231),7))+27),1,IF(N($W231)&gt;0,MIN(1,SUMIFS($AG$5:$AG$1000,$U$5:$U$1000,ROW(),$V$5:$V$1000,"Sub")),$AC231)))</f>
        <v/>
      </c>
      <c r="AL231" s="62">
        <f>IF($V231&lt;&gt;"Macro","",IF(COUNTIFS($S$5:$S$1000,$S231,$V$5:$V$1000,"Macro",$H$5:$H$1000,"&gt;0")=0,1/COUNTIFS($S$5:$S$1000,$S231,$V$5:$V$1000,"Macro"),IF(AND(ISNUMBER($H231),N($H231)&gt;0),$H231,SUMIFS($H$5:$H$1000,$S$5:$S$1000,$S231,$V$5:$V$1000,"Macro")/COUNTIFS($S$5:$S$1000,$S231,$V$5:$V$1000,"Macro",$H$5:$H$1000,"&gt;0"))/(COUNTIFS($S$5:$S$1000,$S231,$V$5:$V$1000,"Macro")*SUMIFS($H$5:$H$1000,$S$5:$S$1000,$S231,$V$5:$V$1000,"Macro")/COUNTIFS($S$5:$S$1000,$S231,$V$5:$V$1000,"Macro",$H$5:$H$1000,"&gt;0"))))</f>
        <v/>
      </c>
      <c r="AM231" s="62" t="n"/>
      <c r="AN231" s="62" t="n"/>
      <c r="AO231" s="62" t="n"/>
      <c r="AP231" s="62" t="n"/>
      <c r="AQ231" s="62">
        <f>IF(LEFT($C231,11)="[Jefatura] ",IFERROR(MATCH("Asistente Técnico de Riesgo|"&amp;MID($C231,12,500),rDname_ADM,0),0),"")</f>
        <v/>
      </c>
      <c r="AR231" s="62">
        <f>IF(N($AQ231)&gt;0,INDEX(rIni_ADM,$AQ231),IF(ISNUMBER($E231),$E231,""))</f>
        <v/>
      </c>
      <c r="AS231" s="62">
        <f>IF(N($AQ231)&gt;0,INDEX(rLim_ADM,$AQ231),IF(ISNUMBER($F231),$F231,""))</f>
        <v/>
      </c>
    </row>
    <row r="232">
      <c r="A232" s="56">
        <f>IF(NOT((COUNTA($B232:$D232)+COUNTA($G232:$H232)+COUNTA($Q232))&gt;0),"",IF($V232="Macro",COUNTIFS($V$5:$V232,"Macro",$S$5:$S232,$S232),IF(N($U232)=0,"?",COUNTIFS(INDEX($V$5:$V$1000,1):INDEX($V$5:$V$1000,$U232-4),"Macro",INDEX($S$5:$S$1000,1):INDEX($S$5:$S$1000,$U232-4),INDEX($S$5:$S$1000,$U232-4))&amp;"."&amp;COUNTIFS($U$5:$U232,$U232,$V$5:$V232,"Sub"))))</f>
        <v/>
      </c>
      <c r="B232" s="57" t="n"/>
      <c r="C232" s="58" t="n"/>
      <c r="D232" s="58" t="n"/>
      <c r="E232" s="59">
        <f>IF(N($AQ232)&gt;0,INDEX(rIni_ADM,$AQ232),"")</f>
        <v/>
      </c>
      <c r="F232" s="59">
        <f>IF(N($AQ232)&gt;0,INDEX(rLim_ADM,$AQ232),"")</f>
        <v/>
      </c>
      <c r="G232" s="59" t="n"/>
      <c r="H232" s="60" t="n"/>
      <c r="I232" s="60">
        <f>IF(N($W232)=0,"",IF(AND($S232=MesCiclo,1&gt;SemanaActual),"",MIN(1,SUMIFS(OFFSET($A$1,ROW(),29,1000-ROW(),1),OFFSET($A$1,ROW(),20,1000-ROW(),1),ROW(),OFFSET($A$1,ROW(),21,1000-ROW(),1),"Sub"))))</f>
        <v/>
      </c>
      <c r="J232" s="60">
        <f>IF(N($W232)=0,"",IF(AND($S232=MesCiclo,2&gt;SemanaActual),"",MIN(1,SUMIFS(OFFSET($A$1,ROW(),30,1000-ROW(),1),OFFSET($A$1,ROW(),20,1000-ROW(),1),ROW(),OFFSET($A$1,ROW(),21,1000-ROW(),1),"Sub"))))</f>
        <v/>
      </c>
      <c r="K232" s="60">
        <f>IF(N($W232)=0,"",IF(AND($S232=MesCiclo,3&gt;SemanaActual),"",MIN(1,SUMIFS(OFFSET($A$1,ROW(),31,1000-ROW(),1),OFFSET($A$1,ROW(),20,1000-ROW(),1),ROW(),OFFSET($A$1,ROW(),21,1000-ROW(),1),"Sub"))))</f>
        <v/>
      </c>
      <c r="L232" s="60">
        <f>IF(N($W232)=0,"",IF(AND($S232=MesCiclo,4&gt;SemanaActual),"",MIN(1,SUMIFS(OFFSET($A$1,ROW(),32,1000-ROW(),1),OFFSET($A$1,ROW(),20,1000-ROW(),1),ROW(),OFFSET($A$1,ROW(),21,1000-ROW(),1),"Sub"))))</f>
        <v/>
      </c>
      <c r="M232" s="61">
        <f>IF(OR(NOT((COUNTA($B232:$D232)+COUNTA($G232:$H232)+COUNTA($Q232))&gt;0),$V232="Sub"),"",IF(ISNUMBER($G232),1,IF(N($W232)&gt;0,MIN(1,SUMIFS($Y$5:$Y$1000,$U$5:$U$1000,ROW(),$V$5:$V$1000,"Sub")),$Y232)))</f>
        <v/>
      </c>
      <c r="N232" s="56">
        <f>IF(OR($M232="",$V232="Sub"),"",IF($M232&gt;=1,"Completado",IF($M232&gt;0,"En curso","Pendiente")))</f>
        <v/>
      </c>
      <c r="O232" s="56">
        <f>IF(OR(NOT((COUNTA($B232:$D232)+COUNTA($G232:$H232)+COUNTA($Q232))&gt;0),$V232="Sub"),"",IF(ISNUMBER($G232),IF(AND(ISNUMBER($AS232),$G232&gt;$AS232),"Cumplida con "&amp;($G232-$AS232)&amp;IF($G232-$AS232=1," día"," días")&amp;" de retraso","Cumplida"),IF(N($M232)&gt;=1,"Cumplida",IF(NOT(ISNUMBER($AS232)),"Sin fecha límite",IF($AS232&lt;FechaRef,"Vencida hace "&amp;(FechaRef-$AS232)&amp;IF(FechaRef-$AS232=1," día"," días"),IF($AS232=FechaRef,"Vence hoy",IF($AS232-FechaRef&lt;=DiasAlerta,"Vence en "&amp;($AS232-FechaRef)&amp;IF($AS232-FechaRef=1," día"," días"),"En plazo")))))))</f>
        <v/>
      </c>
      <c r="P232" s="62" t="n"/>
      <c r="Q232" s="58" t="n"/>
      <c r="R232" s="63">
        <f>IF(NOT((COUNTA($B232:$D232)+COUNTA($G232:$H232)+COUNTA($Q232))&gt;0),"",IF((IF($C232="","Falta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 OK","⚠ "&amp;LEFT(IF($C232="","Falta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",""),LEN(IF($C232="","Falta el nombre de la actividad"&amp;" · ","")&amp;IF(AND($V232="Sub",N($U232)=0),"Subactividad sin macroactividad arriba"&amp;" · ","")&amp;IF(AND($V232="Macro",$AR232=""),"Sin fecha de inicio"&amp;" · ","")&amp;IF(AND($V232="Macro",$AS232=""),"Sin fecha límite"&amp;" · ","")&amp;IF(AND(LEFT($C232,11)="[Jefatura] ",N($AQ232)=0),"No se encuentra en la hoja de la jefatura (elíjala de nuevo en la lista)"&amp;" · ","")&amp;IF(OR(AND($E232&lt;&gt;"",NOT(ISNUMBER($E232))),AND($F232&lt;&gt;"",NOT(ISNUMBER($F232))),AND($G232&lt;&gt;"",NOT(ISNUMBER($G232)))),"Fecha no válida"&amp;" · ","")&amp;IF(AND(ISNUMBER($AR232),ISNUMBER($AS232),$AR232&gt;$AS232),"Inicio posterior a fecha límite"&amp;" · ","")&amp;IF(AND($V232="Macro",$H232&lt;&gt;"",OR(NOT(ISNUMBER($H232)),$H232&lt;0,$H232&gt;1)),"Peso fuera de rango"&amp;" · ","")&amp;IF(AND($V232="Sub",$H232&lt;&gt;"",OR(NOT(ISNUMBER($H232)),$H232&lt;0,$H232&gt;1)),"% de la subactividad fuera de rango 0-100%"&amp;" · ","")&amp;IF(AND(N($W232)&gt;0,SUMIFS($H$5:$H$1000,$U$5:$U$1000,ROW(),$V$5:$V$1000,"Sub")&gt;1.0001),"Las subactividades suman más de 100%"&amp;" · ","")&amp;IF(AND(N($W232)&gt;0,OR(IF(ISNUMBER($I232),ROUND($I232,6)&lt;&gt;ROUND(MIN(1,SUMIFS($AD$5:$AD$1000,$U$5:$U$1000,ROW(),$V$5:$V$1000,"Sub")),6),FALSE),IF(ISNUMBER($J232),ROUND($J232,6)&lt;&gt;ROUND(MIN(1,SUMIFS($AE$5:$AE$1000,$U$5:$U$1000,ROW(),$V$5:$V$1000,"Sub")),6),FALSE),IF(ISNUMBER($K232),ROUND($K232,6)&lt;&gt;ROUND(MIN(1,SUMIFS($AF$5:$AF$1000,$U$5:$U$1000,ROW(),$V$5:$V$1000,"Sub")),6),FALSE),IF(ISNUMBER($L232),ROUND($L232,6)&lt;&gt;ROUND(MIN(1,SUMIFS($AG$5:$AG$1000,$U$5:$U$1000,ROW(),$V$5:$V$1000,"Sub")),6),FALSE))),"Con subactividades: no escriba en las semanas (se llenan solas)"&amp;" · ","")&amp;IF((COUNTIF($I232:$L232,"&gt;1")+COUNTIF($I232:$L232,"&lt;0")+SUMPRODUCT((LEN($I232:$L232)&gt;0)*NOT(ISNUMBER($I232:$L232))))&gt;0,"Avance fuera de rango 0-100%"&amp;" · ","")&amp;IF(OR(AND(ISNUMBER($J232),$J232&lt;N($I232)),AND(ISNUMBER($K232),$K232&lt;MAX($I232:$J232)),AND(ISNUMBER($L232),$L232&lt;MAX($I232:$K232))),"Avance semanal decreciente"&amp;" · ","")&amp;IF(AND(ISNUMBER($AS232),$AS232&lt;FechaRef,IF($V232="Sub",1,N($M232))&lt;1),"Vencida"&amp;" · ","")&amp;IF(AND(ObsObligatoria="Sí",ISNUMBER($AS232),$AS232&lt;FechaRef,IF($V232="Sub",1,N($M232))&lt;1,$Q232=""),"Vencida sin observación"&amp;" · ",""))-3)))</f>
        <v/>
      </c>
      <c r="S232" s="64">
        <f>IF(NOT((COUNTA($B232:$D232)+COUNTA($G232:$H232)+COUNTA($Q232))&gt;0),"",IF(AND($V232="Sub",N($U232)&gt;0),IF(ISNUMBER(INDEX($AR$5:$AR$1000,$U232-4)),DATE(YEAR(INDEX($AR$5:$AR$1000,$U232-4)),MONTH(INDEX($AR$5:$AR$1000,$U232-4)),1),IF(ISNUMBER(INDEX($AS$5:$AS$1000,$U232-4)),DATE(YEAR(INDEX($AS$5:$AS$1000,$U232-4)),MONTH(INDEX($AS$5:$AS$1000,$U232-4)),1),MesCiclo)),IF(ISNUMBER($AR232),DATE(YEAR($AR232),MONTH($AR232),1),IF(ISNUMBER($AS232),DATE(YEAR($AS232),MONTH($AS232),1),MesCiclo))))</f>
        <v/>
      </c>
      <c r="T232" s="62">
        <f>IF(OR($S232="",$S232&lt;&gt;MesCiclo,$V232&lt;&gt;"Macro"),"",COUNTIFS($S$5:$S232,MesCiclo,$V$5:$V232,"Macro"))</f>
        <v/>
      </c>
      <c r="U232" s="62">
        <f>IF($V232="","",IF($V232="Macro",ROW(),IFERROR(LOOKUP(2,1/($V$5:$V232="Macro"),ROW($V$5:$V232)),0)))</f>
        <v/>
      </c>
      <c r="V232" s="62">
        <f>IF(NOT((COUNTA($B232:$D232)+COUNTA($G232:$H232)+COUNTA($Q232))&gt;0),"",IF($B232="Subactividad","Sub","Macro"))</f>
        <v/>
      </c>
      <c r="W232" s="62">
        <f>IF($V232="Macro",COUNTIFS($U$5:$U$1000,ROW(),$V$5:$V$1000,"Sub"),"")</f>
        <v/>
      </c>
      <c r="X232" s="62">
        <f>IF($V232&lt;&gt;"Sub","",IF(AND(ISNUMBER($H232),N($H232)&gt;0),$H232,IFERROR(MAX(0,1-SUMIFS($H$5:$H$1000,$U$5:$U$1000,$U232,$V$5:$V$1000,"Sub"))/(COUNTIFS($U$5:$U$1000,$U232,$V$5:$V$1000,"Sub")-COUNTIFS($U$5:$U$1000,$U232,$V$5:$V$1000,"Sub",$H$5:$H$1000,"&gt;0")),0)))</f>
        <v/>
      </c>
      <c r="Y232" s="62">
        <f>IF($V232="","",IF($V232="Sub",N($X232)*IF(ISNUMBER($G232),1,MIN(1,MAX(0,IFERROR(LOOKUP(2,1/ISNUMBER($I232:$L232),$I232:$L232),0)))),IF(ISNUMBER($G232),1,IFERROR(LOOKUP(2,1/($I232:$L232&lt;&gt;""),$I232:$L232),0))))</f>
        <v/>
      </c>
      <c r="Z232" s="62">
        <f>IF($V232="","",IF(AND(ISNUMBER($G232),$G232&lt;=IF($S232=MesCiclo,InicioCiclo,$S232+MOD(2-WEEKDAY($S232),7))+6),1,IF(ISNUMBER($I232),$I232,0)))</f>
        <v/>
      </c>
      <c r="AA232" s="62">
        <f>IF($V232="","",IF(AND(ISNUMBER($G232),$G232&lt;=IF($S232=MesCiclo,InicioCiclo,$S232+MOD(2-WEEKDAY($S232),7))+13),1,IF(ISNUMBER($J232),$J232,$Z232)))</f>
        <v/>
      </c>
      <c r="AB232" s="62">
        <f>IF($V232="","",IF(AND(ISNUMBER($G232),$G232&lt;=IF($S232=MesCiclo,InicioCiclo,$S232+MOD(2-WEEKDAY($S232),7))+20),1,IF(ISNUMBER($K232),$K232,$AA232)))</f>
        <v/>
      </c>
      <c r="AC232" s="62">
        <f>IF($V232="","",IF(AND(ISNUMBER($G232),$G232&lt;=IF($S232=MesCiclo,InicioCiclo,$S232+MOD(2-WEEKDAY($S232),7))+27),1,IF(ISNUMBER($L232),$L232,$AB232)))</f>
        <v/>
      </c>
      <c r="AD232" s="62">
        <f>IF($V232&lt;&gt;"Sub","",N($X232)*IF(AND(ISNUMBER($G232),$G232&lt;=IF($S232=MesCiclo,InicioCiclo,$S232+MOD(2-WEEKDAY($S232),7))+6),1,MIN(1,MAX(0,IF(ISNUMBER(OFFSET($A$1,ROW()-1,8)),OFFSET($A$1,ROW()-1,8),0)))))</f>
        <v/>
      </c>
      <c r="AE232" s="62">
        <f>IF($V232&lt;&gt;"Sub","",N($X232)*IF(AND(ISNUMBER($G232),$G232&lt;=IF($S232=MesCiclo,InicioCiclo,$S232+MOD(2-WEEKDAY($S232),7))+13),1,MIN(1,MAX(0,IF(ISNUMBER(OFFSET($A$1,ROW()-1,9)),OFFSET($A$1,ROW()-1,9),IF(ISNUMBER(OFFSET($A$1,ROW()-1,8)),OFFSET($A$1,ROW()-1,8),0))))))</f>
        <v/>
      </c>
      <c r="AF232" s="62">
        <f>IF($V232&lt;&gt;"Sub","",N($X232)*IF(AND(ISNUMBER($G232),$G232&lt;=IF($S232=MesCiclo,InicioCiclo,$S232+MOD(2-WEEKDAY($S232),7))+20),1,MIN(1,MAX(0,IF(ISNUMBER(OFFSET($A$1,ROW()-1,10)),OFFSET($A$1,ROW()-1,10),IF(ISNUMBER(OFFSET($A$1,ROW()-1,9)),OFFSET($A$1,ROW()-1,9),IF(ISNUMBER(OFFSET($A$1,ROW()-1,8)),OFFSET($A$1,ROW()-1,8),0)))))))</f>
        <v/>
      </c>
      <c r="AG232" s="62">
        <f>IF($V232&lt;&gt;"Sub","",N($X232)*IF(AND(ISNUMBER($G232),$G232&lt;=IF($S232=MesCiclo,InicioCiclo,$S232+MOD(2-WEEKDAY($S232),7))+27),1,MIN(1,MAX(0,IF(ISNUMBER(OFFSET($A$1,ROW()-1,11)),OFFSET($A$1,ROW()-1,11),IF(ISNUMBER(OFFSET($A$1,ROW()-1,10)),OFFSET($A$1,ROW()-1,10),IF(ISNUMBER(OFFSET($A$1,ROW()-1,9)),OFFSET($A$1,ROW()-1,9),IF(ISNUMBER(OFFSET($A$1,ROW()-1,8)),OFFSET($A$1,ROW()-1,8),0))))))))</f>
        <v/>
      </c>
      <c r="AH232" s="62">
        <f>IF($V232="","",IF(AND(ISNUMBER($G232),$G232&lt;=IF($S232=MesCiclo,InicioCiclo,$S232+MOD(2-WEEKDAY($S232),7))+6),1,IF(N($W232)&gt;0,MIN(1,SUMIFS($AD$5:$AD$1000,$U$5:$U$1000,ROW(),$V$5:$V$1000,"Sub")),$Z232)))</f>
        <v/>
      </c>
      <c r="AI232" s="62">
        <f>IF($V232="","",IF(AND(ISNUMBER($G232),$G232&lt;=IF($S232=MesCiclo,InicioCiclo,$S232+MOD(2-WEEKDAY($S232),7))+13),1,IF(N($W232)&gt;0,MIN(1,SUMIFS($AE$5:$AE$1000,$U$5:$U$1000,ROW(),$V$5:$V$1000,"Sub")),$AA232)))</f>
        <v/>
      </c>
      <c r="AJ232" s="62">
        <f>IF($V232="","",IF(AND(ISNUMBER($G232),$G232&lt;=IF($S232=MesCiclo,InicioCiclo,$S232+MOD(2-WEEKDAY($S232),7))+20),1,IF(N($W232)&gt;0,MIN(1,SUMIFS($AF$5:$AF$1000,$U$5:$U$1000,ROW(),$V$5:$V$1000,"Sub")),$AB232)))</f>
        <v/>
      </c>
      <c r="AK232" s="62">
        <f>IF($V232="","",IF(AND(ISNUMBER($G232),$G232&lt;=IF($S232=MesCiclo,InicioCiclo,$S232+MOD(2-WEEKDAY($S232),7))+27),1,IF(N($W232)&gt;0,MIN(1,SUMIFS($AG$5:$AG$1000,$U$5:$U$1000,ROW(),$V$5:$V$1000,"Sub")),$AC232)))</f>
        <v/>
      </c>
      <c r="AL232" s="62">
        <f>IF($V232&lt;&gt;"Macro","",IF(COUNTIFS($S$5:$S$1000,$S232,$V$5:$V$1000,"Macro",$H$5:$H$1000,"&gt;0")=0,1/COUNTIFS($S$5:$S$1000,$S232,$V$5:$V$1000,"Macro"),IF(AND(ISNUMBER($H232),N($H232)&gt;0),$H232,SUMIFS($H$5:$H$1000,$S$5:$S$1000,$S232,$V$5:$V$1000,"Macro")/COUNTIFS($S$5:$S$1000,$S232,$V$5:$V$1000,"Macro",$H$5:$H$1000,"&gt;0"))/(COUNTIFS($S$5:$S$1000,$S232,$V$5:$V$1000,"Macro")*SUMIFS($H$5:$H$1000,$S$5:$S$1000,$S232,$V$5:$V$1000,"Macro")/COUNTIFS($S$5:$S$1000,$S232,$V$5:$V$1000,"Macro",$H$5:$H$1000,"&gt;0"))))</f>
        <v/>
      </c>
      <c r="AM232" s="62" t="n"/>
      <c r="AN232" s="62" t="n"/>
      <c r="AO232" s="62" t="n"/>
      <c r="AP232" s="62" t="n"/>
      <c r="AQ232" s="62">
        <f>IF(LEFT($C232,11)="[Jefatura] ",IFERROR(MATCH("Asistente Técnico de Riesgo|"&amp;MID($C232,12,500),rDname_ADM,0),0),"")</f>
        <v/>
      </c>
      <c r="AR232" s="62">
        <f>IF(N($AQ232)&gt;0,INDEX(rIni_ADM,$AQ232),IF(ISNUMBER($E232),$E232,""))</f>
        <v/>
      </c>
      <c r="AS232" s="62">
        <f>IF(N($AQ232)&gt;0,INDEX(rLim_ADM,$AQ232),IF(ISNUMBER($F232),$F232,""))</f>
        <v/>
      </c>
    </row>
    <row r="233">
      <c r="A233" s="56">
        <f>IF(NOT((COUNTA($B233:$D233)+COUNTA($G233:$H233)+COUNTA($Q233))&gt;0),"",IF($V233="Macro",COUNTIFS($V$5:$V233,"Macro",$S$5:$S233,$S233),IF(N($U233)=0,"?",COUNTIFS(INDEX($V$5:$V$1000,1):INDEX($V$5:$V$1000,$U233-4),"Macro",INDEX($S$5:$S$1000,1):INDEX($S$5:$S$1000,$U233-4),INDEX($S$5:$S$1000,$U233-4))&amp;"."&amp;COUNTIFS($U$5:$U233,$U233,$V$5:$V233,"Sub"))))</f>
        <v/>
      </c>
      <c r="B233" s="57" t="n"/>
      <c r="C233" s="58" t="n"/>
      <c r="D233" s="58" t="n"/>
      <c r="E233" s="59">
        <f>IF(N($AQ233)&gt;0,INDEX(rIni_ADM,$AQ233),"")</f>
        <v/>
      </c>
      <c r="F233" s="59">
        <f>IF(N($AQ233)&gt;0,INDEX(rLim_ADM,$AQ233),"")</f>
        <v/>
      </c>
      <c r="G233" s="59" t="n"/>
      <c r="H233" s="60" t="n"/>
      <c r="I233" s="60">
        <f>IF(N($W233)=0,"",IF(AND($S233=MesCiclo,1&gt;SemanaActual),"",MIN(1,SUMIFS(OFFSET($A$1,ROW(),29,1000-ROW(),1),OFFSET($A$1,ROW(),20,1000-ROW(),1),ROW(),OFFSET($A$1,ROW(),21,1000-ROW(),1),"Sub"))))</f>
        <v/>
      </c>
      <c r="J233" s="60">
        <f>IF(N($W233)=0,"",IF(AND($S233=MesCiclo,2&gt;SemanaActual),"",MIN(1,SUMIFS(OFFSET($A$1,ROW(),30,1000-ROW(),1),OFFSET($A$1,ROW(),20,1000-ROW(),1),ROW(),OFFSET($A$1,ROW(),21,1000-ROW(),1),"Sub"))))</f>
        <v/>
      </c>
      <c r="K233" s="60">
        <f>IF(N($W233)=0,"",IF(AND($S233=MesCiclo,3&gt;SemanaActual),"",MIN(1,SUMIFS(OFFSET($A$1,ROW(),31,1000-ROW(),1),OFFSET($A$1,ROW(),20,1000-ROW(),1),ROW(),OFFSET($A$1,ROW(),21,1000-ROW(),1),"Sub"))))</f>
        <v/>
      </c>
      <c r="L233" s="60">
        <f>IF(N($W233)=0,"",IF(AND($S233=MesCiclo,4&gt;SemanaActual),"",MIN(1,SUMIFS(OFFSET($A$1,ROW(),32,1000-ROW(),1),OFFSET($A$1,ROW(),20,1000-ROW(),1),ROW(),OFFSET($A$1,ROW(),21,1000-ROW(),1),"Sub"))))</f>
        <v/>
      </c>
      <c r="M233" s="61">
        <f>IF(OR(NOT((COUNTA($B233:$D233)+COUNTA($G233:$H233)+COUNTA($Q233))&gt;0),$V233="Sub"),"",IF(ISNUMBER($G233),1,IF(N($W233)&gt;0,MIN(1,SUMIFS($Y$5:$Y$1000,$U$5:$U$1000,ROW(),$V$5:$V$1000,"Sub")),$Y233)))</f>
        <v/>
      </c>
      <c r="N233" s="56">
        <f>IF(OR($M233="",$V233="Sub"),"",IF($M233&gt;=1,"Completado",IF($M233&gt;0,"En curso","Pendiente")))</f>
        <v/>
      </c>
      <c r="O233" s="56">
        <f>IF(OR(NOT((COUNTA($B233:$D233)+COUNTA($G233:$H233)+COUNTA($Q233))&gt;0),$V233="Sub"),"",IF(ISNUMBER($G233),IF(AND(ISNUMBER($AS233),$G233&gt;$AS233),"Cumplida con "&amp;($G233-$AS233)&amp;IF($G233-$AS233=1," día"," días")&amp;" de retraso","Cumplida"),IF(N($M233)&gt;=1,"Cumplida",IF(NOT(ISNUMBER($AS233)),"Sin fecha límite",IF($AS233&lt;FechaRef,"Vencida hace "&amp;(FechaRef-$AS233)&amp;IF(FechaRef-$AS233=1," día"," días"),IF($AS233=FechaRef,"Vence hoy",IF($AS233-FechaRef&lt;=DiasAlerta,"Vence en "&amp;($AS233-FechaRef)&amp;IF($AS233-FechaRef=1," día"," días"),"En plazo")))))))</f>
        <v/>
      </c>
      <c r="P233" s="62" t="n"/>
      <c r="Q233" s="58" t="n"/>
      <c r="R233" s="63">
        <f>IF(NOT((COUNTA($B233:$D233)+COUNTA($G233:$H233)+COUNTA($Q233))&gt;0),"",IF((IF($C233="","Falta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 OK","⚠ "&amp;LEFT(IF($C233="","Falta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",""),LEN(IF($C233="","Falta el nombre de la actividad"&amp;" · ","")&amp;IF(AND($V233="Sub",N($U233)=0),"Subactividad sin macroactividad arriba"&amp;" · ","")&amp;IF(AND($V233="Macro",$AR233=""),"Sin fecha de inicio"&amp;" · ","")&amp;IF(AND($V233="Macro",$AS233=""),"Sin fecha límite"&amp;" · ","")&amp;IF(AND(LEFT($C233,11)="[Jefatura] ",N($AQ233)=0),"No se encuentra en la hoja de la jefatura (elíjala de nuevo en la lista)"&amp;" · ","")&amp;IF(OR(AND($E233&lt;&gt;"",NOT(ISNUMBER($E233))),AND($F233&lt;&gt;"",NOT(ISNUMBER($F233))),AND($G233&lt;&gt;"",NOT(ISNUMBER($G233)))),"Fecha no válida"&amp;" · ","")&amp;IF(AND(ISNUMBER($AR233),ISNUMBER($AS233),$AR233&gt;$AS233),"Inicio posterior a fecha límite"&amp;" · ","")&amp;IF(AND($V233="Macro",$H233&lt;&gt;"",OR(NOT(ISNUMBER($H233)),$H233&lt;0,$H233&gt;1)),"Peso fuera de rango"&amp;" · ","")&amp;IF(AND($V233="Sub",$H233&lt;&gt;"",OR(NOT(ISNUMBER($H233)),$H233&lt;0,$H233&gt;1)),"% de la subactividad fuera de rango 0-100%"&amp;" · ","")&amp;IF(AND(N($W233)&gt;0,SUMIFS($H$5:$H$1000,$U$5:$U$1000,ROW(),$V$5:$V$1000,"Sub")&gt;1.0001),"Las subactividades suman más de 100%"&amp;" · ","")&amp;IF(AND(N($W233)&gt;0,OR(IF(ISNUMBER($I233),ROUND($I233,6)&lt;&gt;ROUND(MIN(1,SUMIFS($AD$5:$AD$1000,$U$5:$U$1000,ROW(),$V$5:$V$1000,"Sub")),6),FALSE),IF(ISNUMBER($J233),ROUND($J233,6)&lt;&gt;ROUND(MIN(1,SUMIFS($AE$5:$AE$1000,$U$5:$U$1000,ROW(),$V$5:$V$1000,"Sub")),6),FALSE),IF(ISNUMBER($K233),ROUND($K233,6)&lt;&gt;ROUND(MIN(1,SUMIFS($AF$5:$AF$1000,$U$5:$U$1000,ROW(),$V$5:$V$1000,"Sub")),6),FALSE),IF(ISNUMBER($L233),ROUND($L233,6)&lt;&gt;ROUND(MIN(1,SUMIFS($AG$5:$AG$1000,$U$5:$U$1000,ROW(),$V$5:$V$1000,"Sub")),6),FALSE))),"Con subactividades: no escriba en las semanas (se llenan solas)"&amp;" · ","")&amp;IF((COUNTIF($I233:$L233,"&gt;1")+COUNTIF($I233:$L233,"&lt;0")+SUMPRODUCT((LEN($I233:$L233)&gt;0)*NOT(ISNUMBER($I233:$L233))))&gt;0,"Avance fuera de rango 0-100%"&amp;" · ","")&amp;IF(OR(AND(ISNUMBER($J233),$J233&lt;N($I233)),AND(ISNUMBER($K233),$K233&lt;MAX($I233:$J233)),AND(ISNUMBER($L233),$L233&lt;MAX($I233:$K233))),"Avance semanal decreciente"&amp;" · ","")&amp;IF(AND(ISNUMBER($AS233),$AS233&lt;FechaRef,IF($V233="Sub",1,N($M233))&lt;1),"Vencida"&amp;" · ","")&amp;IF(AND(ObsObligatoria="Sí",ISNUMBER($AS233),$AS233&lt;FechaRef,IF($V233="Sub",1,N($M233))&lt;1,$Q233=""),"Vencida sin observación"&amp;" · ",""))-3)))</f>
        <v/>
      </c>
      <c r="S233" s="64">
        <f>IF(NOT((COUNTA($B233:$D233)+COUNTA($G233:$H233)+COUNTA($Q233))&gt;0),"",IF(AND($V233="Sub",N($U233)&gt;0),IF(ISNUMBER(INDEX($AR$5:$AR$1000,$U233-4)),DATE(YEAR(INDEX($AR$5:$AR$1000,$U233-4)),MONTH(INDEX($AR$5:$AR$1000,$U233-4)),1),IF(ISNUMBER(INDEX($AS$5:$AS$1000,$U233-4)),DATE(YEAR(INDEX($AS$5:$AS$1000,$U233-4)),MONTH(INDEX($AS$5:$AS$1000,$U233-4)),1),MesCiclo)),IF(ISNUMBER($AR233),DATE(YEAR($AR233),MONTH($AR233),1),IF(ISNUMBER($AS233),DATE(YEAR($AS233),MONTH($AS233),1),MesCiclo))))</f>
        <v/>
      </c>
      <c r="T233" s="62">
        <f>IF(OR($S233="",$S233&lt;&gt;MesCiclo,$V233&lt;&gt;"Macro"),"",COUNTIFS($S$5:$S233,MesCiclo,$V$5:$V233,"Macro"))</f>
        <v/>
      </c>
      <c r="U233" s="62">
        <f>IF($V233="","",IF($V233="Macro",ROW(),IFERROR(LOOKUP(2,1/($V$5:$V233="Macro"),ROW($V$5:$V233)),0)))</f>
        <v/>
      </c>
      <c r="V233" s="62">
        <f>IF(NOT((COUNTA($B233:$D233)+COUNTA($G233:$H233)+COUNTA($Q233))&gt;0),"",IF($B233="Subactividad","Sub","Macro"))</f>
        <v/>
      </c>
      <c r="W233" s="62">
        <f>IF($V233="Macro",COUNTIFS($U$5:$U$1000,ROW(),$V$5:$V$1000,"Sub"),"")</f>
        <v/>
      </c>
      <c r="X233" s="62">
        <f>IF($V233&lt;&gt;"Sub","",IF(AND(ISNUMBER($H233),N($H233)&gt;0),$H233,IFERROR(MAX(0,1-SUMIFS($H$5:$H$1000,$U$5:$U$1000,$U233,$V$5:$V$1000,"Sub"))/(COUNTIFS($U$5:$U$1000,$U233,$V$5:$V$1000,"Sub")-COUNTIFS($U$5:$U$1000,$U233,$V$5:$V$1000,"Sub",$H$5:$H$1000,"&gt;0")),0)))</f>
        <v/>
      </c>
      <c r="Y233" s="62">
        <f>IF($V233="","",IF($V233="Sub",N($X233)*IF(ISNUMBER($G233),1,MIN(1,MAX(0,IFERROR(LOOKUP(2,1/ISNUMBER($I233:$L233),$I233:$L233),0)))),IF(ISNUMBER($G233),1,IFERROR(LOOKUP(2,1/($I233:$L233&lt;&gt;""),$I233:$L233),0))))</f>
        <v/>
      </c>
      <c r="Z233" s="62">
        <f>IF($V233="","",IF(AND(ISNUMBER($G233),$G233&lt;=IF($S233=MesCiclo,InicioCiclo,$S233+MOD(2-WEEKDAY($S233),7))+6),1,IF(ISNUMBER($I233),$I233,0)))</f>
        <v/>
      </c>
      <c r="AA233" s="62">
        <f>IF($V233="","",IF(AND(ISNUMBER($G233),$G233&lt;=IF($S233=MesCiclo,InicioCiclo,$S233+MOD(2-WEEKDAY($S233),7))+13),1,IF(ISNUMBER($J233),$J233,$Z233)))</f>
        <v/>
      </c>
      <c r="AB233" s="62">
        <f>IF($V233="","",IF(AND(ISNUMBER($G233),$G233&lt;=IF($S233=MesCiclo,InicioCiclo,$S233+MOD(2-WEEKDAY($S233),7))+20),1,IF(ISNUMBER($K233),$K233,$AA233)))</f>
        <v/>
      </c>
      <c r="AC233" s="62">
        <f>IF($V233="","",IF(AND(ISNUMBER($G233),$G233&lt;=IF($S233=MesCiclo,InicioCiclo,$S233+MOD(2-WEEKDAY($S233),7))+27),1,IF(ISNUMBER($L233),$L233,$AB233)))</f>
        <v/>
      </c>
      <c r="AD233" s="62">
        <f>IF($V233&lt;&gt;"Sub","",N($X233)*IF(AND(ISNUMBER($G233),$G233&lt;=IF($S233=MesCiclo,InicioCiclo,$S233+MOD(2-WEEKDAY($S233),7))+6),1,MIN(1,MAX(0,IF(ISNUMBER(OFFSET($A$1,ROW()-1,8)),OFFSET($A$1,ROW()-1,8),0)))))</f>
        <v/>
      </c>
      <c r="AE233" s="62">
        <f>IF($V233&lt;&gt;"Sub","",N($X233)*IF(AND(ISNUMBER($G233),$G233&lt;=IF($S233=MesCiclo,InicioCiclo,$S233+MOD(2-WEEKDAY($S233),7))+13),1,MIN(1,MAX(0,IF(ISNUMBER(OFFSET($A$1,ROW()-1,9)),OFFSET($A$1,ROW()-1,9),IF(ISNUMBER(OFFSET($A$1,ROW()-1,8)),OFFSET($A$1,ROW()-1,8),0))))))</f>
        <v/>
      </c>
      <c r="AF233" s="62">
        <f>IF($V233&lt;&gt;"Sub","",N($X233)*IF(AND(ISNUMBER($G233),$G233&lt;=IF($S233=MesCiclo,InicioCiclo,$S233+MOD(2-WEEKDAY($S233),7))+20),1,MIN(1,MAX(0,IF(ISNUMBER(OFFSET($A$1,ROW()-1,10)),OFFSET($A$1,ROW()-1,10),IF(ISNUMBER(OFFSET($A$1,ROW()-1,9)),OFFSET($A$1,ROW()-1,9),IF(ISNUMBER(OFFSET($A$1,ROW()-1,8)),OFFSET($A$1,ROW()-1,8),0)))))))</f>
        <v/>
      </c>
      <c r="AG233" s="62">
        <f>IF($V233&lt;&gt;"Sub","",N($X233)*IF(AND(ISNUMBER($G233),$G233&lt;=IF($S233=MesCiclo,InicioCiclo,$S233+MOD(2-WEEKDAY($S233),7))+27),1,MIN(1,MAX(0,IF(ISNUMBER(OFFSET($A$1,ROW()-1,11)),OFFSET($A$1,ROW()-1,11),IF(ISNUMBER(OFFSET($A$1,ROW()-1,10)),OFFSET($A$1,ROW()-1,10),IF(ISNUMBER(OFFSET($A$1,ROW()-1,9)),OFFSET($A$1,ROW()-1,9),IF(ISNUMBER(OFFSET($A$1,ROW()-1,8)),OFFSET($A$1,ROW()-1,8),0))))))))</f>
        <v/>
      </c>
      <c r="AH233" s="62">
        <f>IF($V233="","",IF(AND(ISNUMBER($G233),$G233&lt;=IF($S233=MesCiclo,InicioCiclo,$S233+MOD(2-WEEKDAY($S233),7))+6),1,IF(N($W233)&gt;0,MIN(1,SUMIFS($AD$5:$AD$1000,$U$5:$U$1000,ROW(),$V$5:$V$1000,"Sub")),$Z233)))</f>
        <v/>
      </c>
      <c r="AI233" s="62">
        <f>IF($V233="","",IF(AND(ISNUMBER($G233),$G233&lt;=IF($S233=MesCiclo,InicioCiclo,$S233+MOD(2-WEEKDAY($S233),7))+13),1,IF(N($W233)&gt;0,MIN(1,SUMIFS($AE$5:$AE$1000,$U$5:$U$1000,ROW(),$V$5:$V$1000,"Sub")),$AA233)))</f>
        <v/>
      </c>
      <c r="AJ233" s="62">
        <f>IF($V233="","",IF(AND(ISNUMBER($G233),$G233&lt;=IF($S233=MesCiclo,InicioCiclo,$S233+MOD(2-WEEKDAY($S233),7))+20),1,IF(N($W233)&gt;0,MIN(1,SUMIFS($AF$5:$AF$1000,$U$5:$U$1000,ROW(),$V$5:$V$1000,"Sub")),$AB233)))</f>
        <v/>
      </c>
      <c r="AK233" s="62">
        <f>IF($V233="","",IF(AND(ISNUMBER($G233),$G233&lt;=IF($S233=MesCiclo,InicioCiclo,$S233+MOD(2-WEEKDAY($S233),7))+27),1,IF(N($W233)&gt;0,MIN(1,SUMIFS($AG$5:$AG$1000,$U$5:$U$1000,ROW(),$V$5:$V$1000,"Sub")),$AC233)))</f>
        <v/>
      </c>
      <c r="AL233" s="62">
        <f>IF($V233&lt;&gt;"Macro","",IF(COUNTIFS($S$5:$S$1000,$S233,$V$5:$V$1000,"Macro",$H$5:$H$1000,"&gt;0")=0,1/COUNTIFS($S$5:$S$1000,$S233,$V$5:$V$1000,"Macro"),IF(AND(ISNUMBER($H233),N($H233)&gt;0),$H233,SUMIFS($H$5:$H$1000,$S$5:$S$1000,$S233,$V$5:$V$1000,"Macro")/COUNTIFS($S$5:$S$1000,$S233,$V$5:$V$1000,"Macro",$H$5:$H$1000,"&gt;0"))/(COUNTIFS($S$5:$S$1000,$S233,$V$5:$V$1000,"Macro")*SUMIFS($H$5:$H$1000,$S$5:$S$1000,$S233,$V$5:$V$1000,"Macro")/COUNTIFS($S$5:$S$1000,$S233,$V$5:$V$1000,"Macro",$H$5:$H$1000,"&gt;0"))))</f>
        <v/>
      </c>
      <c r="AM233" s="62" t="n"/>
      <c r="AN233" s="62" t="n"/>
      <c r="AO233" s="62" t="n"/>
      <c r="AP233" s="62" t="n"/>
      <c r="AQ233" s="62">
        <f>IF(LEFT($C233,11)="[Jefatura] ",IFERROR(MATCH("Asistente Técnico de Riesgo|"&amp;MID($C233,12,500),rDname_ADM,0),0),"")</f>
        <v/>
      </c>
      <c r="AR233" s="62">
        <f>IF(N($AQ233)&gt;0,INDEX(rIni_ADM,$AQ233),IF(ISNUMBER($E233),$E233,""))</f>
        <v/>
      </c>
      <c r="AS233" s="62">
        <f>IF(N($AQ233)&gt;0,INDEX(rLim_ADM,$AQ233),IF(ISNUMBER($F233),$F233,""))</f>
        <v/>
      </c>
    </row>
    <row r="234">
      <c r="A234" s="56">
        <f>IF(NOT((COUNTA($B234:$D234)+COUNTA($G234:$H234)+COUNTA($Q234))&gt;0),"",IF($V234="Macro",COUNTIFS($V$5:$V234,"Macro",$S$5:$S234,$S234),IF(N($U234)=0,"?",COUNTIFS(INDEX($V$5:$V$1000,1):INDEX($V$5:$V$1000,$U234-4),"Macro",INDEX($S$5:$S$1000,1):INDEX($S$5:$S$1000,$U234-4),INDEX($S$5:$S$1000,$U234-4))&amp;"."&amp;COUNTIFS($U$5:$U234,$U234,$V$5:$V234,"Sub"))))</f>
        <v/>
      </c>
      <c r="B234" s="57" t="n"/>
      <c r="C234" s="58" t="n"/>
      <c r="D234" s="58" t="n"/>
      <c r="E234" s="59">
        <f>IF(N($AQ234)&gt;0,INDEX(rIni_ADM,$AQ234),"")</f>
        <v/>
      </c>
      <c r="F234" s="59">
        <f>IF(N($AQ234)&gt;0,INDEX(rLim_ADM,$AQ234),"")</f>
        <v/>
      </c>
      <c r="G234" s="59" t="n"/>
      <c r="H234" s="60" t="n"/>
      <c r="I234" s="60">
        <f>IF(N($W234)=0,"",IF(AND($S234=MesCiclo,1&gt;SemanaActual),"",MIN(1,SUMIFS(OFFSET($A$1,ROW(),29,1000-ROW(),1),OFFSET($A$1,ROW(),20,1000-ROW(),1),ROW(),OFFSET($A$1,ROW(),21,1000-ROW(),1),"Sub"))))</f>
        <v/>
      </c>
      <c r="J234" s="60">
        <f>IF(N($W234)=0,"",IF(AND($S234=MesCiclo,2&gt;SemanaActual),"",MIN(1,SUMIFS(OFFSET($A$1,ROW(),30,1000-ROW(),1),OFFSET($A$1,ROW(),20,1000-ROW(),1),ROW(),OFFSET($A$1,ROW(),21,1000-ROW(),1),"Sub"))))</f>
        <v/>
      </c>
      <c r="K234" s="60">
        <f>IF(N($W234)=0,"",IF(AND($S234=MesCiclo,3&gt;SemanaActual),"",MIN(1,SUMIFS(OFFSET($A$1,ROW(),31,1000-ROW(),1),OFFSET($A$1,ROW(),20,1000-ROW(),1),ROW(),OFFSET($A$1,ROW(),21,1000-ROW(),1),"Sub"))))</f>
        <v/>
      </c>
      <c r="L234" s="60">
        <f>IF(N($W234)=0,"",IF(AND($S234=MesCiclo,4&gt;SemanaActual),"",MIN(1,SUMIFS(OFFSET($A$1,ROW(),32,1000-ROW(),1),OFFSET($A$1,ROW(),20,1000-ROW(),1),ROW(),OFFSET($A$1,ROW(),21,1000-ROW(),1),"Sub"))))</f>
        <v/>
      </c>
      <c r="M234" s="61">
        <f>IF(OR(NOT((COUNTA($B234:$D234)+COUNTA($G234:$H234)+COUNTA($Q234))&gt;0),$V234="Sub"),"",IF(ISNUMBER($G234),1,IF(N($W234)&gt;0,MIN(1,SUMIFS($Y$5:$Y$1000,$U$5:$U$1000,ROW(),$V$5:$V$1000,"Sub")),$Y234)))</f>
        <v/>
      </c>
      <c r="N234" s="56">
        <f>IF(OR($M234="",$V234="Sub"),"",IF($M234&gt;=1,"Completado",IF($M234&gt;0,"En curso","Pendiente")))</f>
        <v/>
      </c>
      <c r="O234" s="56">
        <f>IF(OR(NOT((COUNTA($B234:$D234)+COUNTA($G234:$H234)+COUNTA($Q234))&gt;0),$V234="Sub"),"",IF(ISNUMBER($G234),IF(AND(ISNUMBER($AS234),$G234&gt;$AS234),"Cumplida con "&amp;($G234-$AS234)&amp;IF($G234-$AS234=1," día"," días")&amp;" de retraso","Cumplida"),IF(N($M234)&gt;=1,"Cumplida",IF(NOT(ISNUMBER($AS234)),"Sin fecha límite",IF($AS234&lt;FechaRef,"Vencida hace "&amp;(FechaRef-$AS234)&amp;IF(FechaRef-$AS234=1," día"," días"),IF($AS234=FechaRef,"Vence hoy",IF($AS234-FechaRef&lt;=DiasAlerta,"Vence en "&amp;($AS234-FechaRef)&amp;IF($AS234-FechaRef=1," día"," días"),"En plazo")))))))</f>
        <v/>
      </c>
      <c r="P234" s="62" t="n"/>
      <c r="Q234" s="58" t="n"/>
      <c r="R234" s="63">
        <f>IF(NOT((COUNTA($B234:$D234)+COUNTA($G234:$H234)+COUNTA($Q234))&gt;0),"",IF((IF($C234="","Falta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 OK","⚠ "&amp;LEFT(IF($C234="","Falta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",""),LEN(IF($C234="","Falta el nombre de la actividad"&amp;" · ","")&amp;IF(AND($V234="Sub",N($U234)=0),"Subactividad sin macroactividad arriba"&amp;" · ","")&amp;IF(AND($V234="Macro",$AR234=""),"Sin fecha de inicio"&amp;" · ","")&amp;IF(AND($V234="Macro",$AS234=""),"Sin fecha límite"&amp;" · ","")&amp;IF(AND(LEFT($C234,11)="[Jefatura] ",N($AQ234)=0),"No se encuentra en la hoja de la jefatura (elíjala de nuevo en la lista)"&amp;" · ","")&amp;IF(OR(AND($E234&lt;&gt;"",NOT(ISNUMBER($E234))),AND($F234&lt;&gt;"",NOT(ISNUMBER($F234))),AND($G234&lt;&gt;"",NOT(ISNUMBER($G234)))),"Fecha no válida"&amp;" · ","")&amp;IF(AND(ISNUMBER($AR234),ISNUMBER($AS234),$AR234&gt;$AS234),"Inicio posterior a fecha límite"&amp;" · ","")&amp;IF(AND($V234="Macro",$H234&lt;&gt;"",OR(NOT(ISNUMBER($H234)),$H234&lt;0,$H234&gt;1)),"Peso fuera de rango"&amp;" · ","")&amp;IF(AND($V234="Sub",$H234&lt;&gt;"",OR(NOT(ISNUMBER($H234)),$H234&lt;0,$H234&gt;1)),"% de la subactividad fuera de rango 0-100%"&amp;" · ","")&amp;IF(AND(N($W234)&gt;0,SUMIFS($H$5:$H$1000,$U$5:$U$1000,ROW(),$V$5:$V$1000,"Sub")&gt;1.0001),"Las subactividades suman más de 100%"&amp;" · ","")&amp;IF(AND(N($W234)&gt;0,OR(IF(ISNUMBER($I234),ROUND($I234,6)&lt;&gt;ROUND(MIN(1,SUMIFS($AD$5:$AD$1000,$U$5:$U$1000,ROW(),$V$5:$V$1000,"Sub")),6),FALSE),IF(ISNUMBER($J234),ROUND($J234,6)&lt;&gt;ROUND(MIN(1,SUMIFS($AE$5:$AE$1000,$U$5:$U$1000,ROW(),$V$5:$V$1000,"Sub")),6),FALSE),IF(ISNUMBER($K234),ROUND($K234,6)&lt;&gt;ROUND(MIN(1,SUMIFS($AF$5:$AF$1000,$U$5:$U$1000,ROW(),$V$5:$V$1000,"Sub")),6),FALSE),IF(ISNUMBER($L234),ROUND($L234,6)&lt;&gt;ROUND(MIN(1,SUMIFS($AG$5:$AG$1000,$U$5:$U$1000,ROW(),$V$5:$V$1000,"Sub")),6),FALSE))),"Con subactividades: no escriba en las semanas (se llenan solas)"&amp;" · ","")&amp;IF((COUNTIF($I234:$L234,"&gt;1")+COUNTIF($I234:$L234,"&lt;0")+SUMPRODUCT((LEN($I234:$L234)&gt;0)*NOT(ISNUMBER($I234:$L234))))&gt;0,"Avance fuera de rango 0-100%"&amp;" · ","")&amp;IF(OR(AND(ISNUMBER($J234),$J234&lt;N($I234)),AND(ISNUMBER($K234),$K234&lt;MAX($I234:$J234)),AND(ISNUMBER($L234),$L234&lt;MAX($I234:$K234))),"Avance semanal decreciente"&amp;" · ","")&amp;IF(AND(ISNUMBER($AS234),$AS234&lt;FechaRef,IF($V234="Sub",1,N($M234))&lt;1),"Vencida"&amp;" · ","")&amp;IF(AND(ObsObligatoria="Sí",ISNUMBER($AS234),$AS234&lt;FechaRef,IF($V234="Sub",1,N($M234))&lt;1,$Q234=""),"Vencida sin observación"&amp;" · ",""))-3)))</f>
        <v/>
      </c>
      <c r="S234" s="64">
        <f>IF(NOT((COUNTA($B234:$D234)+COUNTA($G234:$H234)+COUNTA($Q234))&gt;0),"",IF(AND($V234="Sub",N($U234)&gt;0),IF(ISNUMBER(INDEX($AR$5:$AR$1000,$U234-4)),DATE(YEAR(INDEX($AR$5:$AR$1000,$U234-4)),MONTH(INDEX($AR$5:$AR$1000,$U234-4)),1),IF(ISNUMBER(INDEX($AS$5:$AS$1000,$U234-4)),DATE(YEAR(INDEX($AS$5:$AS$1000,$U234-4)),MONTH(INDEX($AS$5:$AS$1000,$U234-4)),1),MesCiclo)),IF(ISNUMBER($AR234),DATE(YEAR($AR234),MONTH($AR234),1),IF(ISNUMBER($AS234),DATE(YEAR($AS234),MONTH($AS234),1),MesCiclo))))</f>
        <v/>
      </c>
      <c r="T234" s="62">
        <f>IF(OR($S234="",$S234&lt;&gt;MesCiclo,$V234&lt;&gt;"Macro"),"",COUNTIFS($S$5:$S234,MesCiclo,$V$5:$V234,"Macro"))</f>
        <v/>
      </c>
      <c r="U234" s="62">
        <f>IF($V234="","",IF($V234="Macro",ROW(),IFERROR(LOOKUP(2,1/($V$5:$V234="Macro"),ROW($V$5:$V234)),0)))</f>
        <v/>
      </c>
      <c r="V234" s="62">
        <f>IF(NOT((COUNTA($B234:$D234)+COUNTA($G234:$H234)+COUNTA($Q234))&gt;0),"",IF($B234="Subactividad","Sub","Macro"))</f>
        <v/>
      </c>
      <c r="W234" s="62">
        <f>IF($V234="Macro",COUNTIFS($U$5:$U$1000,ROW(),$V$5:$V$1000,"Sub"),"")</f>
        <v/>
      </c>
      <c r="X234" s="62">
        <f>IF($V234&lt;&gt;"Sub","",IF(AND(ISNUMBER($H234),N($H234)&gt;0),$H234,IFERROR(MAX(0,1-SUMIFS($H$5:$H$1000,$U$5:$U$1000,$U234,$V$5:$V$1000,"Sub"))/(COUNTIFS($U$5:$U$1000,$U234,$V$5:$V$1000,"Sub")-COUNTIFS($U$5:$U$1000,$U234,$V$5:$V$1000,"Sub",$H$5:$H$1000,"&gt;0")),0)))</f>
        <v/>
      </c>
      <c r="Y234" s="62">
        <f>IF($V234="","",IF($V234="Sub",N($X234)*IF(ISNUMBER($G234),1,MIN(1,MAX(0,IFERROR(LOOKUP(2,1/ISNUMBER($I234:$L234),$I234:$L234),0)))),IF(ISNUMBER($G234),1,IFERROR(LOOKUP(2,1/($I234:$L234&lt;&gt;""),$I234:$L234),0))))</f>
        <v/>
      </c>
      <c r="Z234" s="62">
        <f>IF($V234="","",IF(AND(ISNUMBER($G234),$G234&lt;=IF($S234=MesCiclo,InicioCiclo,$S234+MOD(2-WEEKDAY($S234),7))+6),1,IF(ISNUMBER($I234),$I234,0)))</f>
        <v/>
      </c>
      <c r="AA234" s="62">
        <f>IF($V234="","",IF(AND(ISNUMBER($G234),$G234&lt;=IF($S234=MesCiclo,InicioCiclo,$S234+MOD(2-WEEKDAY($S234),7))+13),1,IF(ISNUMBER($J234),$J234,$Z234)))</f>
        <v/>
      </c>
      <c r="AB234" s="62">
        <f>IF($V234="","",IF(AND(ISNUMBER($G234),$G234&lt;=IF($S234=MesCiclo,InicioCiclo,$S234+MOD(2-WEEKDAY($S234),7))+20),1,IF(ISNUMBER($K234),$K234,$AA234)))</f>
        <v/>
      </c>
      <c r="AC234" s="62">
        <f>IF($V234="","",IF(AND(ISNUMBER($G234),$G234&lt;=IF($S234=MesCiclo,InicioCiclo,$S234+MOD(2-WEEKDAY($S234),7))+27),1,IF(ISNUMBER($L234),$L234,$AB234)))</f>
        <v/>
      </c>
      <c r="AD234" s="62">
        <f>IF($V234&lt;&gt;"Sub","",N($X234)*IF(AND(ISNUMBER($G234),$G234&lt;=IF($S234=MesCiclo,InicioCiclo,$S234+MOD(2-WEEKDAY($S234),7))+6),1,MIN(1,MAX(0,IF(ISNUMBER(OFFSET($A$1,ROW()-1,8)),OFFSET($A$1,ROW()-1,8),0)))))</f>
        <v/>
      </c>
      <c r="AE234" s="62">
        <f>IF($V234&lt;&gt;"Sub","",N($X234)*IF(AND(ISNUMBER($G234),$G234&lt;=IF($S234=MesCiclo,InicioCiclo,$S234+MOD(2-WEEKDAY($S234),7))+13),1,MIN(1,MAX(0,IF(ISNUMBER(OFFSET($A$1,ROW()-1,9)),OFFSET($A$1,ROW()-1,9),IF(ISNUMBER(OFFSET($A$1,ROW()-1,8)),OFFSET($A$1,ROW()-1,8),0))))))</f>
        <v/>
      </c>
      <c r="AF234" s="62">
        <f>IF($V234&lt;&gt;"Sub","",N($X234)*IF(AND(ISNUMBER($G234),$G234&lt;=IF($S234=MesCiclo,InicioCiclo,$S234+MOD(2-WEEKDAY($S234),7))+20),1,MIN(1,MAX(0,IF(ISNUMBER(OFFSET($A$1,ROW()-1,10)),OFFSET($A$1,ROW()-1,10),IF(ISNUMBER(OFFSET($A$1,ROW()-1,9)),OFFSET($A$1,ROW()-1,9),IF(ISNUMBER(OFFSET($A$1,ROW()-1,8)),OFFSET($A$1,ROW()-1,8),0)))))))</f>
        <v/>
      </c>
      <c r="AG234" s="62">
        <f>IF($V234&lt;&gt;"Sub","",N($X234)*IF(AND(ISNUMBER($G234),$G234&lt;=IF($S234=MesCiclo,InicioCiclo,$S234+MOD(2-WEEKDAY($S234),7))+27),1,MIN(1,MAX(0,IF(ISNUMBER(OFFSET($A$1,ROW()-1,11)),OFFSET($A$1,ROW()-1,11),IF(ISNUMBER(OFFSET($A$1,ROW()-1,10)),OFFSET($A$1,ROW()-1,10),IF(ISNUMBER(OFFSET($A$1,ROW()-1,9)),OFFSET($A$1,ROW()-1,9),IF(ISNUMBER(OFFSET($A$1,ROW()-1,8)),OFFSET($A$1,ROW()-1,8),0))))))))</f>
        <v/>
      </c>
      <c r="AH234" s="62">
        <f>IF($V234="","",IF(AND(ISNUMBER($G234),$G234&lt;=IF($S234=MesCiclo,InicioCiclo,$S234+MOD(2-WEEKDAY($S234),7))+6),1,IF(N($W234)&gt;0,MIN(1,SUMIFS($AD$5:$AD$1000,$U$5:$U$1000,ROW(),$V$5:$V$1000,"Sub")),$Z234)))</f>
        <v/>
      </c>
      <c r="AI234" s="62">
        <f>IF($V234="","",IF(AND(ISNUMBER($G234),$G234&lt;=IF($S234=MesCiclo,InicioCiclo,$S234+MOD(2-WEEKDAY($S234),7))+13),1,IF(N($W234)&gt;0,MIN(1,SUMIFS($AE$5:$AE$1000,$U$5:$U$1000,ROW(),$V$5:$V$1000,"Sub")),$AA234)))</f>
        <v/>
      </c>
      <c r="AJ234" s="62">
        <f>IF($V234="","",IF(AND(ISNUMBER($G234),$G234&lt;=IF($S234=MesCiclo,InicioCiclo,$S234+MOD(2-WEEKDAY($S234),7))+20),1,IF(N($W234)&gt;0,MIN(1,SUMIFS($AF$5:$AF$1000,$U$5:$U$1000,ROW(),$V$5:$V$1000,"Sub")),$AB234)))</f>
        <v/>
      </c>
      <c r="AK234" s="62">
        <f>IF($V234="","",IF(AND(ISNUMBER($G234),$G234&lt;=IF($S234=MesCiclo,InicioCiclo,$S234+MOD(2-WEEKDAY($S234),7))+27),1,IF(N($W234)&gt;0,MIN(1,SUMIFS($AG$5:$AG$1000,$U$5:$U$1000,ROW(),$V$5:$V$1000,"Sub")),$AC234)))</f>
        <v/>
      </c>
      <c r="AL234" s="62">
        <f>IF($V234&lt;&gt;"Macro","",IF(COUNTIFS($S$5:$S$1000,$S234,$V$5:$V$1000,"Macro",$H$5:$H$1000,"&gt;0")=0,1/COUNTIFS($S$5:$S$1000,$S234,$V$5:$V$1000,"Macro"),IF(AND(ISNUMBER($H234),N($H234)&gt;0),$H234,SUMIFS($H$5:$H$1000,$S$5:$S$1000,$S234,$V$5:$V$1000,"Macro")/COUNTIFS($S$5:$S$1000,$S234,$V$5:$V$1000,"Macro",$H$5:$H$1000,"&gt;0"))/(COUNTIFS($S$5:$S$1000,$S234,$V$5:$V$1000,"Macro")*SUMIFS($H$5:$H$1000,$S$5:$S$1000,$S234,$V$5:$V$1000,"Macro")/COUNTIFS($S$5:$S$1000,$S234,$V$5:$V$1000,"Macro",$H$5:$H$1000,"&gt;0"))))</f>
        <v/>
      </c>
      <c r="AM234" s="62" t="n"/>
      <c r="AN234" s="62" t="n"/>
      <c r="AO234" s="62" t="n"/>
      <c r="AP234" s="62" t="n"/>
      <c r="AQ234" s="62">
        <f>IF(LEFT($C234,11)="[Jefatura] ",IFERROR(MATCH("Asistente Técnico de Riesgo|"&amp;MID($C234,12,500),rDname_ADM,0),0),"")</f>
        <v/>
      </c>
      <c r="AR234" s="62">
        <f>IF(N($AQ234)&gt;0,INDEX(rIni_ADM,$AQ234),IF(ISNUMBER($E234),$E234,""))</f>
        <v/>
      </c>
      <c r="AS234" s="62">
        <f>IF(N($AQ234)&gt;0,INDEX(rLim_ADM,$AQ234),IF(ISNUMBER($F234),$F234,""))</f>
        <v/>
      </c>
    </row>
    <row r="235">
      <c r="A235" s="56">
        <f>IF(NOT((COUNTA($B235:$D235)+COUNTA($G235:$H235)+COUNTA($Q235))&gt;0),"",IF($V235="Macro",COUNTIFS($V$5:$V235,"Macro",$S$5:$S235,$S235),IF(N($U235)=0,"?",COUNTIFS(INDEX($V$5:$V$1000,1):INDEX($V$5:$V$1000,$U235-4),"Macro",INDEX($S$5:$S$1000,1):INDEX($S$5:$S$1000,$U235-4),INDEX($S$5:$S$1000,$U235-4))&amp;"."&amp;COUNTIFS($U$5:$U235,$U235,$V$5:$V235,"Sub"))))</f>
        <v/>
      </c>
      <c r="B235" s="57" t="n"/>
      <c r="C235" s="58" t="n"/>
      <c r="D235" s="58" t="n"/>
      <c r="E235" s="59">
        <f>IF(N($AQ235)&gt;0,INDEX(rIni_ADM,$AQ235),"")</f>
        <v/>
      </c>
      <c r="F235" s="59">
        <f>IF(N($AQ235)&gt;0,INDEX(rLim_ADM,$AQ235),"")</f>
        <v/>
      </c>
      <c r="G235" s="59" t="n"/>
      <c r="H235" s="60" t="n"/>
      <c r="I235" s="60">
        <f>IF(N($W235)=0,"",IF(AND($S235=MesCiclo,1&gt;SemanaActual),"",MIN(1,SUMIFS(OFFSET($A$1,ROW(),29,1000-ROW(),1),OFFSET($A$1,ROW(),20,1000-ROW(),1),ROW(),OFFSET($A$1,ROW(),21,1000-ROW(),1),"Sub"))))</f>
        <v/>
      </c>
      <c r="J235" s="60">
        <f>IF(N($W235)=0,"",IF(AND($S235=MesCiclo,2&gt;SemanaActual),"",MIN(1,SUMIFS(OFFSET($A$1,ROW(),30,1000-ROW(),1),OFFSET($A$1,ROW(),20,1000-ROW(),1),ROW(),OFFSET($A$1,ROW(),21,1000-ROW(),1),"Sub"))))</f>
        <v/>
      </c>
      <c r="K235" s="60">
        <f>IF(N($W235)=0,"",IF(AND($S235=MesCiclo,3&gt;SemanaActual),"",MIN(1,SUMIFS(OFFSET($A$1,ROW(),31,1000-ROW(),1),OFFSET($A$1,ROW(),20,1000-ROW(),1),ROW(),OFFSET($A$1,ROW(),21,1000-ROW(),1),"Sub"))))</f>
        <v/>
      </c>
      <c r="L235" s="60">
        <f>IF(N($W235)=0,"",IF(AND($S235=MesCiclo,4&gt;SemanaActual),"",MIN(1,SUMIFS(OFFSET($A$1,ROW(),32,1000-ROW(),1),OFFSET($A$1,ROW(),20,1000-ROW(),1),ROW(),OFFSET($A$1,ROW(),21,1000-ROW(),1),"Sub"))))</f>
        <v/>
      </c>
      <c r="M235" s="61">
        <f>IF(OR(NOT((COUNTA($B235:$D235)+COUNTA($G235:$H235)+COUNTA($Q235))&gt;0),$V235="Sub"),"",IF(ISNUMBER($G235),1,IF(N($W235)&gt;0,MIN(1,SUMIFS($Y$5:$Y$1000,$U$5:$U$1000,ROW(),$V$5:$V$1000,"Sub")),$Y235)))</f>
        <v/>
      </c>
      <c r="N235" s="56">
        <f>IF(OR($M235="",$V235="Sub"),"",IF($M235&gt;=1,"Completado",IF($M235&gt;0,"En curso","Pendiente")))</f>
        <v/>
      </c>
      <c r="O235" s="56">
        <f>IF(OR(NOT((COUNTA($B235:$D235)+COUNTA($G235:$H235)+COUNTA($Q235))&gt;0),$V235="Sub"),"",IF(ISNUMBER($G235),IF(AND(ISNUMBER($AS235),$G235&gt;$AS235),"Cumplida con "&amp;($G235-$AS235)&amp;IF($G235-$AS235=1," día"," días")&amp;" de retraso","Cumplida"),IF(N($M235)&gt;=1,"Cumplida",IF(NOT(ISNUMBER($AS235)),"Sin fecha límite",IF($AS235&lt;FechaRef,"Vencida hace "&amp;(FechaRef-$AS235)&amp;IF(FechaRef-$AS235=1," día"," días"),IF($AS235=FechaRef,"Vence hoy",IF($AS235-FechaRef&lt;=DiasAlerta,"Vence en "&amp;($AS235-FechaRef)&amp;IF($AS235-FechaRef=1," día"," días"),"En plazo")))))))</f>
        <v/>
      </c>
      <c r="P235" s="62" t="n"/>
      <c r="Q235" s="58" t="n"/>
      <c r="R235" s="63">
        <f>IF(NOT((COUNTA($B235:$D235)+COUNTA($G235:$H235)+COUNTA($Q235))&gt;0),"",IF((IF($C235="","Falta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 OK","⚠ "&amp;LEFT(IF($C235="","Falta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",""),LEN(IF($C235="","Falta el nombre de la actividad"&amp;" · ","")&amp;IF(AND($V235="Sub",N($U235)=0),"Subactividad sin macroactividad arriba"&amp;" · ","")&amp;IF(AND($V235="Macro",$AR235=""),"Sin fecha de inicio"&amp;" · ","")&amp;IF(AND($V235="Macro",$AS235=""),"Sin fecha límite"&amp;" · ","")&amp;IF(AND(LEFT($C235,11)="[Jefatura] ",N($AQ235)=0),"No se encuentra en la hoja de la jefatura (elíjala de nuevo en la lista)"&amp;" · ","")&amp;IF(OR(AND($E235&lt;&gt;"",NOT(ISNUMBER($E235))),AND($F235&lt;&gt;"",NOT(ISNUMBER($F235))),AND($G235&lt;&gt;"",NOT(ISNUMBER($G235)))),"Fecha no válida"&amp;" · ","")&amp;IF(AND(ISNUMBER($AR235),ISNUMBER($AS235),$AR235&gt;$AS235),"Inicio posterior a fecha límite"&amp;" · ","")&amp;IF(AND($V235="Macro",$H235&lt;&gt;"",OR(NOT(ISNUMBER($H235)),$H235&lt;0,$H235&gt;1)),"Peso fuera de rango"&amp;" · ","")&amp;IF(AND($V235="Sub",$H235&lt;&gt;"",OR(NOT(ISNUMBER($H235)),$H235&lt;0,$H235&gt;1)),"% de la subactividad fuera de rango 0-100%"&amp;" · ","")&amp;IF(AND(N($W235)&gt;0,SUMIFS($H$5:$H$1000,$U$5:$U$1000,ROW(),$V$5:$V$1000,"Sub")&gt;1.0001),"Las subactividades suman más de 100%"&amp;" · ","")&amp;IF(AND(N($W235)&gt;0,OR(IF(ISNUMBER($I235),ROUND($I235,6)&lt;&gt;ROUND(MIN(1,SUMIFS($AD$5:$AD$1000,$U$5:$U$1000,ROW(),$V$5:$V$1000,"Sub")),6),FALSE),IF(ISNUMBER($J235),ROUND($J235,6)&lt;&gt;ROUND(MIN(1,SUMIFS($AE$5:$AE$1000,$U$5:$U$1000,ROW(),$V$5:$V$1000,"Sub")),6),FALSE),IF(ISNUMBER($K235),ROUND($K235,6)&lt;&gt;ROUND(MIN(1,SUMIFS($AF$5:$AF$1000,$U$5:$U$1000,ROW(),$V$5:$V$1000,"Sub")),6),FALSE),IF(ISNUMBER($L235),ROUND($L235,6)&lt;&gt;ROUND(MIN(1,SUMIFS($AG$5:$AG$1000,$U$5:$U$1000,ROW(),$V$5:$V$1000,"Sub")),6),FALSE))),"Con subactividades: no escriba en las semanas (se llenan solas)"&amp;" · ","")&amp;IF((COUNTIF($I235:$L235,"&gt;1")+COUNTIF($I235:$L235,"&lt;0")+SUMPRODUCT((LEN($I235:$L235)&gt;0)*NOT(ISNUMBER($I235:$L235))))&gt;0,"Avance fuera de rango 0-100%"&amp;" · ","")&amp;IF(OR(AND(ISNUMBER($J235),$J235&lt;N($I235)),AND(ISNUMBER($K235),$K235&lt;MAX($I235:$J235)),AND(ISNUMBER($L235),$L235&lt;MAX($I235:$K235))),"Avance semanal decreciente"&amp;" · ","")&amp;IF(AND(ISNUMBER($AS235),$AS235&lt;FechaRef,IF($V235="Sub",1,N($M235))&lt;1),"Vencida"&amp;" · ","")&amp;IF(AND(ObsObligatoria="Sí",ISNUMBER($AS235),$AS235&lt;FechaRef,IF($V235="Sub",1,N($M235))&lt;1,$Q235=""),"Vencida sin observación"&amp;" · ",""))-3)))</f>
        <v/>
      </c>
      <c r="S235" s="64">
        <f>IF(NOT((COUNTA($B235:$D235)+COUNTA($G235:$H235)+COUNTA($Q235))&gt;0),"",IF(AND($V235="Sub",N($U235)&gt;0),IF(ISNUMBER(INDEX($AR$5:$AR$1000,$U235-4)),DATE(YEAR(INDEX($AR$5:$AR$1000,$U235-4)),MONTH(INDEX($AR$5:$AR$1000,$U235-4)),1),IF(ISNUMBER(INDEX($AS$5:$AS$1000,$U235-4)),DATE(YEAR(INDEX($AS$5:$AS$1000,$U235-4)),MONTH(INDEX($AS$5:$AS$1000,$U235-4)),1),MesCiclo)),IF(ISNUMBER($AR235),DATE(YEAR($AR235),MONTH($AR235),1),IF(ISNUMBER($AS235),DATE(YEAR($AS235),MONTH($AS235),1),MesCiclo))))</f>
        <v/>
      </c>
      <c r="T235" s="62">
        <f>IF(OR($S235="",$S235&lt;&gt;MesCiclo,$V235&lt;&gt;"Macro"),"",COUNTIFS($S$5:$S235,MesCiclo,$V$5:$V235,"Macro"))</f>
        <v/>
      </c>
      <c r="U235" s="62">
        <f>IF($V235="","",IF($V235="Macro",ROW(),IFERROR(LOOKUP(2,1/($V$5:$V235="Macro"),ROW($V$5:$V235)),0)))</f>
        <v/>
      </c>
      <c r="V235" s="62">
        <f>IF(NOT((COUNTA($B235:$D235)+COUNTA($G235:$H235)+COUNTA($Q235))&gt;0),"",IF($B235="Subactividad","Sub","Macro"))</f>
        <v/>
      </c>
      <c r="W235" s="62">
        <f>IF($V235="Macro",COUNTIFS($U$5:$U$1000,ROW(),$V$5:$V$1000,"Sub"),"")</f>
        <v/>
      </c>
      <c r="X235" s="62">
        <f>IF($V235&lt;&gt;"Sub","",IF(AND(ISNUMBER($H235),N($H235)&gt;0),$H235,IFERROR(MAX(0,1-SUMIFS($H$5:$H$1000,$U$5:$U$1000,$U235,$V$5:$V$1000,"Sub"))/(COUNTIFS($U$5:$U$1000,$U235,$V$5:$V$1000,"Sub")-COUNTIFS($U$5:$U$1000,$U235,$V$5:$V$1000,"Sub",$H$5:$H$1000,"&gt;0")),0)))</f>
        <v/>
      </c>
      <c r="Y235" s="62">
        <f>IF($V235="","",IF($V235="Sub",N($X235)*IF(ISNUMBER($G235),1,MIN(1,MAX(0,IFERROR(LOOKUP(2,1/ISNUMBER($I235:$L235),$I235:$L235),0)))),IF(ISNUMBER($G235),1,IFERROR(LOOKUP(2,1/($I235:$L235&lt;&gt;""),$I235:$L235),0))))</f>
        <v/>
      </c>
      <c r="Z235" s="62">
        <f>IF($V235="","",IF(AND(ISNUMBER($G235),$G235&lt;=IF($S235=MesCiclo,InicioCiclo,$S235+MOD(2-WEEKDAY($S235),7))+6),1,IF(ISNUMBER($I235),$I235,0)))</f>
        <v/>
      </c>
      <c r="AA235" s="62">
        <f>IF($V235="","",IF(AND(ISNUMBER($G235),$G235&lt;=IF($S235=MesCiclo,InicioCiclo,$S235+MOD(2-WEEKDAY($S235),7))+13),1,IF(ISNUMBER($J235),$J235,$Z235)))</f>
        <v/>
      </c>
      <c r="AB235" s="62">
        <f>IF($V235="","",IF(AND(ISNUMBER($G235),$G235&lt;=IF($S235=MesCiclo,InicioCiclo,$S235+MOD(2-WEEKDAY($S235),7))+20),1,IF(ISNUMBER($K235),$K235,$AA235)))</f>
        <v/>
      </c>
      <c r="AC235" s="62">
        <f>IF($V235="","",IF(AND(ISNUMBER($G235),$G235&lt;=IF($S235=MesCiclo,InicioCiclo,$S235+MOD(2-WEEKDAY($S235),7))+27),1,IF(ISNUMBER($L235),$L235,$AB235)))</f>
        <v/>
      </c>
      <c r="AD235" s="62">
        <f>IF($V235&lt;&gt;"Sub","",N($X235)*IF(AND(ISNUMBER($G235),$G235&lt;=IF($S235=MesCiclo,InicioCiclo,$S235+MOD(2-WEEKDAY($S235),7))+6),1,MIN(1,MAX(0,IF(ISNUMBER(OFFSET($A$1,ROW()-1,8)),OFFSET($A$1,ROW()-1,8),0)))))</f>
        <v/>
      </c>
      <c r="AE235" s="62">
        <f>IF($V235&lt;&gt;"Sub","",N($X235)*IF(AND(ISNUMBER($G235),$G235&lt;=IF($S235=MesCiclo,InicioCiclo,$S235+MOD(2-WEEKDAY($S235),7))+13),1,MIN(1,MAX(0,IF(ISNUMBER(OFFSET($A$1,ROW()-1,9)),OFFSET($A$1,ROW()-1,9),IF(ISNUMBER(OFFSET($A$1,ROW()-1,8)),OFFSET($A$1,ROW()-1,8),0))))))</f>
        <v/>
      </c>
      <c r="AF235" s="62">
        <f>IF($V235&lt;&gt;"Sub","",N($X235)*IF(AND(ISNUMBER($G235),$G235&lt;=IF($S235=MesCiclo,InicioCiclo,$S235+MOD(2-WEEKDAY($S235),7))+20),1,MIN(1,MAX(0,IF(ISNUMBER(OFFSET($A$1,ROW()-1,10)),OFFSET($A$1,ROW()-1,10),IF(ISNUMBER(OFFSET($A$1,ROW()-1,9)),OFFSET($A$1,ROW()-1,9),IF(ISNUMBER(OFFSET($A$1,ROW()-1,8)),OFFSET($A$1,ROW()-1,8),0)))))))</f>
        <v/>
      </c>
      <c r="AG235" s="62">
        <f>IF($V235&lt;&gt;"Sub","",N($X235)*IF(AND(ISNUMBER($G235),$G235&lt;=IF($S235=MesCiclo,InicioCiclo,$S235+MOD(2-WEEKDAY($S235),7))+27),1,MIN(1,MAX(0,IF(ISNUMBER(OFFSET($A$1,ROW()-1,11)),OFFSET($A$1,ROW()-1,11),IF(ISNUMBER(OFFSET($A$1,ROW()-1,10)),OFFSET($A$1,ROW()-1,10),IF(ISNUMBER(OFFSET($A$1,ROW()-1,9)),OFFSET($A$1,ROW()-1,9),IF(ISNUMBER(OFFSET($A$1,ROW()-1,8)),OFFSET($A$1,ROW()-1,8),0))))))))</f>
        <v/>
      </c>
      <c r="AH235" s="62">
        <f>IF($V235="","",IF(AND(ISNUMBER($G235),$G235&lt;=IF($S235=MesCiclo,InicioCiclo,$S235+MOD(2-WEEKDAY($S235),7))+6),1,IF(N($W235)&gt;0,MIN(1,SUMIFS($AD$5:$AD$1000,$U$5:$U$1000,ROW(),$V$5:$V$1000,"Sub")),$Z235)))</f>
        <v/>
      </c>
      <c r="AI235" s="62">
        <f>IF($V235="","",IF(AND(ISNUMBER($G235),$G235&lt;=IF($S235=MesCiclo,InicioCiclo,$S235+MOD(2-WEEKDAY($S235),7))+13),1,IF(N($W235)&gt;0,MIN(1,SUMIFS($AE$5:$AE$1000,$U$5:$U$1000,ROW(),$V$5:$V$1000,"Sub")),$AA235)))</f>
        <v/>
      </c>
      <c r="AJ235" s="62">
        <f>IF($V235="","",IF(AND(ISNUMBER($G235),$G235&lt;=IF($S235=MesCiclo,InicioCiclo,$S235+MOD(2-WEEKDAY($S235),7))+20),1,IF(N($W235)&gt;0,MIN(1,SUMIFS($AF$5:$AF$1000,$U$5:$U$1000,ROW(),$V$5:$V$1000,"Sub")),$AB235)))</f>
        <v/>
      </c>
      <c r="AK235" s="62">
        <f>IF($V235="","",IF(AND(ISNUMBER($G235),$G235&lt;=IF($S235=MesCiclo,InicioCiclo,$S235+MOD(2-WEEKDAY($S235),7))+27),1,IF(N($W235)&gt;0,MIN(1,SUMIFS($AG$5:$AG$1000,$U$5:$U$1000,ROW(),$V$5:$V$1000,"Sub")),$AC235)))</f>
        <v/>
      </c>
      <c r="AL235" s="62">
        <f>IF($V235&lt;&gt;"Macro","",IF(COUNTIFS($S$5:$S$1000,$S235,$V$5:$V$1000,"Macro",$H$5:$H$1000,"&gt;0")=0,1/COUNTIFS($S$5:$S$1000,$S235,$V$5:$V$1000,"Macro"),IF(AND(ISNUMBER($H235),N($H235)&gt;0),$H235,SUMIFS($H$5:$H$1000,$S$5:$S$1000,$S235,$V$5:$V$1000,"Macro")/COUNTIFS($S$5:$S$1000,$S235,$V$5:$V$1000,"Macro",$H$5:$H$1000,"&gt;0"))/(COUNTIFS($S$5:$S$1000,$S235,$V$5:$V$1000,"Macro")*SUMIFS($H$5:$H$1000,$S$5:$S$1000,$S235,$V$5:$V$1000,"Macro")/COUNTIFS($S$5:$S$1000,$S235,$V$5:$V$1000,"Macro",$H$5:$H$1000,"&gt;0"))))</f>
        <v/>
      </c>
      <c r="AM235" s="62" t="n"/>
      <c r="AN235" s="62" t="n"/>
      <c r="AO235" s="62" t="n"/>
      <c r="AP235" s="62" t="n"/>
      <c r="AQ235" s="62">
        <f>IF(LEFT($C235,11)="[Jefatura] ",IFERROR(MATCH("Asistente Técnico de Riesgo|"&amp;MID($C235,12,500),rDname_ADM,0),0),"")</f>
        <v/>
      </c>
      <c r="AR235" s="62">
        <f>IF(N($AQ235)&gt;0,INDEX(rIni_ADM,$AQ235),IF(ISNUMBER($E235),$E235,""))</f>
        <v/>
      </c>
      <c r="AS235" s="62">
        <f>IF(N($AQ235)&gt;0,INDEX(rLim_ADM,$AQ235),IF(ISNUMBER($F235),$F235,""))</f>
        <v/>
      </c>
    </row>
    <row r="236">
      <c r="A236" s="56">
        <f>IF(NOT((COUNTA($B236:$D236)+COUNTA($G236:$H236)+COUNTA($Q236))&gt;0),"",IF($V236="Macro",COUNTIFS($V$5:$V236,"Macro",$S$5:$S236,$S236),IF(N($U236)=0,"?",COUNTIFS(INDEX($V$5:$V$1000,1):INDEX($V$5:$V$1000,$U236-4),"Macro",INDEX($S$5:$S$1000,1):INDEX($S$5:$S$1000,$U236-4),INDEX($S$5:$S$1000,$U236-4))&amp;"."&amp;COUNTIFS($U$5:$U236,$U236,$V$5:$V236,"Sub"))))</f>
        <v/>
      </c>
      <c r="B236" s="57" t="n"/>
      <c r="C236" s="58" t="n"/>
      <c r="D236" s="58" t="n"/>
      <c r="E236" s="59">
        <f>IF(N($AQ236)&gt;0,INDEX(rIni_ADM,$AQ236),"")</f>
        <v/>
      </c>
      <c r="F236" s="59">
        <f>IF(N($AQ236)&gt;0,INDEX(rLim_ADM,$AQ236),"")</f>
        <v/>
      </c>
      <c r="G236" s="59" t="n"/>
      <c r="H236" s="60" t="n"/>
      <c r="I236" s="60">
        <f>IF(N($W236)=0,"",IF(AND($S236=MesCiclo,1&gt;SemanaActual),"",MIN(1,SUMIFS(OFFSET($A$1,ROW(),29,1000-ROW(),1),OFFSET($A$1,ROW(),20,1000-ROW(),1),ROW(),OFFSET($A$1,ROW(),21,1000-ROW(),1),"Sub"))))</f>
        <v/>
      </c>
      <c r="J236" s="60">
        <f>IF(N($W236)=0,"",IF(AND($S236=MesCiclo,2&gt;SemanaActual),"",MIN(1,SUMIFS(OFFSET($A$1,ROW(),30,1000-ROW(),1),OFFSET($A$1,ROW(),20,1000-ROW(),1),ROW(),OFFSET($A$1,ROW(),21,1000-ROW(),1),"Sub"))))</f>
        <v/>
      </c>
      <c r="K236" s="60">
        <f>IF(N($W236)=0,"",IF(AND($S236=MesCiclo,3&gt;SemanaActual),"",MIN(1,SUMIFS(OFFSET($A$1,ROW(),31,1000-ROW(),1),OFFSET($A$1,ROW(),20,1000-ROW(),1),ROW(),OFFSET($A$1,ROW(),21,1000-ROW(),1),"Sub"))))</f>
        <v/>
      </c>
      <c r="L236" s="60">
        <f>IF(N($W236)=0,"",IF(AND($S236=MesCiclo,4&gt;SemanaActual),"",MIN(1,SUMIFS(OFFSET($A$1,ROW(),32,1000-ROW(),1),OFFSET($A$1,ROW(),20,1000-ROW(),1),ROW(),OFFSET($A$1,ROW(),21,1000-ROW(),1),"Sub"))))</f>
        <v/>
      </c>
      <c r="M236" s="61">
        <f>IF(OR(NOT((COUNTA($B236:$D236)+COUNTA($G236:$H236)+COUNTA($Q236))&gt;0),$V236="Sub"),"",IF(ISNUMBER($G236),1,IF(N($W236)&gt;0,MIN(1,SUMIFS($Y$5:$Y$1000,$U$5:$U$1000,ROW(),$V$5:$V$1000,"Sub")),$Y236)))</f>
        <v/>
      </c>
      <c r="N236" s="56">
        <f>IF(OR($M236="",$V236="Sub"),"",IF($M236&gt;=1,"Completado",IF($M236&gt;0,"En curso","Pendiente")))</f>
        <v/>
      </c>
      <c r="O236" s="56">
        <f>IF(OR(NOT((COUNTA($B236:$D236)+COUNTA($G236:$H236)+COUNTA($Q236))&gt;0),$V236="Sub"),"",IF(ISNUMBER($G236),IF(AND(ISNUMBER($AS236),$G236&gt;$AS236),"Cumplida con "&amp;($G236-$AS236)&amp;IF($G236-$AS236=1," día"," días")&amp;" de retraso","Cumplida"),IF(N($M236)&gt;=1,"Cumplida",IF(NOT(ISNUMBER($AS236)),"Sin fecha límite",IF($AS236&lt;FechaRef,"Vencida hace "&amp;(FechaRef-$AS236)&amp;IF(FechaRef-$AS236=1," día"," días"),IF($AS236=FechaRef,"Vence hoy",IF($AS236-FechaRef&lt;=DiasAlerta,"Vence en "&amp;($AS236-FechaRef)&amp;IF($AS236-FechaRef=1," día"," días"),"En plazo")))))))</f>
        <v/>
      </c>
      <c r="P236" s="62" t="n"/>
      <c r="Q236" s="58" t="n"/>
      <c r="R236" s="63">
        <f>IF(NOT((COUNTA($B236:$D236)+COUNTA($G236:$H236)+COUNTA($Q236))&gt;0),"",IF((IF($C236="","Falta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 OK","⚠ "&amp;LEFT(IF($C236="","Falta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",""),LEN(IF($C236="","Falta el nombre de la actividad"&amp;" · ","")&amp;IF(AND($V236="Sub",N($U236)=0),"Subactividad sin macroactividad arriba"&amp;" · ","")&amp;IF(AND($V236="Macro",$AR236=""),"Sin fecha de inicio"&amp;" · ","")&amp;IF(AND($V236="Macro",$AS236=""),"Sin fecha límite"&amp;" · ","")&amp;IF(AND(LEFT($C236,11)="[Jefatura] ",N($AQ236)=0),"No se encuentra en la hoja de la jefatura (elíjala de nuevo en la lista)"&amp;" · ","")&amp;IF(OR(AND($E236&lt;&gt;"",NOT(ISNUMBER($E236))),AND($F236&lt;&gt;"",NOT(ISNUMBER($F236))),AND($G236&lt;&gt;"",NOT(ISNUMBER($G236)))),"Fecha no válida"&amp;" · ","")&amp;IF(AND(ISNUMBER($AR236),ISNUMBER($AS236),$AR236&gt;$AS236),"Inicio posterior a fecha límite"&amp;" · ","")&amp;IF(AND($V236="Macro",$H236&lt;&gt;"",OR(NOT(ISNUMBER($H236)),$H236&lt;0,$H236&gt;1)),"Peso fuera de rango"&amp;" · ","")&amp;IF(AND($V236="Sub",$H236&lt;&gt;"",OR(NOT(ISNUMBER($H236)),$H236&lt;0,$H236&gt;1)),"% de la subactividad fuera de rango 0-100%"&amp;" · ","")&amp;IF(AND(N($W236)&gt;0,SUMIFS($H$5:$H$1000,$U$5:$U$1000,ROW(),$V$5:$V$1000,"Sub")&gt;1.0001),"Las subactividades suman más de 100%"&amp;" · ","")&amp;IF(AND(N($W236)&gt;0,OR(IF(ISNUMBER($I236),ROUND($I236,6)&lt;&gt;ROUND(MIN(1,SUMIFS($AD$5:$AD$1000,$U$5:$U$1000,ROW(),$V$5:$V$1000,"Sub")),6),FALSE),IF(ISNUMBER($J236),ROUND($J236,6)&lt;&gt;ROUND(MIN(1,SUMIFS($AE$5:$AE$1000,$U$5:$U$1000,ROW(),$V$5:$V$1000,"Sub")),6),FALSE),IF(ISNUMBER($K236),ROUND($K236,6)&lt;&gt;ROUND(MIN(1,SUMIFS($AF$5:$AF$1000,$U$5:$U$1000,ROW(),$V$5:$V$1000,"Sub")),6),FALSE),IF(ISNUMBER($L236),ROUND($L236,6)&lt;&gt;ROUND(MIN(1,SUMIFS($AG$5:$AG$1000,$U$5:$U$1000,ROW(),$V$5:$V$1000,"Sub")),6),FALSE))),"Con subactividades: no escriba en las semanas (se llenan solas)"&amp;" · ","")&amp;IF((COUNTIF($I236:$L236,"&gt;1")+COUNTIF($I236:$L236,"&lt;0")+SUMPRODUCT((LEN($I236:$L236)&gt;0)*NOT(ISNUMBER($I236:$L236))))&gt;0,"Avance fuera de rango 0-100%"&amp;" · ","")&amp;IF(OR(AND(ISNUMBER($J236),$J236&lt;N($I236)),AND(ISNUMBER($K236),$K236&lt;MAX($I236:$J236)),AND(ISNUMBER($L236),$L236&lt;MAX($I236:$K236))),"Avance semanal decreciente"&amp;" · ","")&amp;IF(AND(ISNUMBER($AS236),$AS236&lt;FechaRef,IF($V236="Sub",1,N($M236))&lt;1),"Vencida"&amp;" · ","")&amp;IF(AND(ObsObligatoria="Sí",ISNUMBER($AS236),$AS236&lt;FechaRef,IF($V236="Sub",1,N($M236))&lt;1,$Q236=""),"Vencida sin observación"&amp;" · ",""))-3)))</f>
        <v/>
      </c>
      <c r="S236" s="64">
        <f>IF(NOT((COUNTA($B236:$D236)+COUNTA($G236:$H236)+COUNTA($Q236))&gt;0),"",IF(AND($V236="Sub",N($U236)&gt;0),IF(ISNUMBER(INDEX($AR$5:$AR$1000,$U236-4)),DATE(YEAR(INDEX($AR$5:$AR$1000,$U236-4)),MONTH(INDEX($AR$5:$AR$1000,$U236-4)),1),IF(ISNUMBER(INDEX($AS$5:$AS$1000,$U236-4)),DATE(YEAR(INDEX($AS$5:$AS$1000,$U236-4)),MONTH(INDEX($AS$5:$AS$1000,$U236-4)),1),MesCiclo)),IF(ISNUMBER($AR236),DATE(YEAR($AR236),MONTH($AR236),1),IF(ISNUMBER($AS236),DATE(YEAR($AS236),MONTH($AS236),1),MesCiclo))))</f>
        <v/>
      </c>
      <c r="T236" s="62">
        <f>IF(OR($S236="",$S236&lt;&gt;MesCiclo,$V236&lt;&gt;"Macro"),"",COUNTIFS($S$5:$S236,MesCiclo,$V$5:$V236,"Macro"))</f>
        <v/>
      </c>
      <c r="U236" s="62">
        <f>IF($V236="","",IF($V236="Macro",ROW(),IFERROR(LOOKUP(2,1/($V$5:$V236="Macro"),ROW($V$5:$V236)),0)))</f>
        <v/>
      </c>
      <c r="V236" s="62">
        <f>IF(NOT((COUNTA($B236:$D236)+COUNTA($G236:$H236)+COUNTA($Q236))&gt;0),"",IF($B236="Subactividad","Sub","Macro"))</f>
        <v/>
      </c>
      <c r="W236" s="62">
        <f>IF($V236="Macro",COUNTIFS($U$5:$U$1000,ROW(),$V$5:$V$1000,"Sub"),"")</f>
        <v/>
      </c>
      <c r="X236" s="62">
        <f>IF($V236&lt;&gt;"Sub","",IF(AND(ISNUMBER($H236),N($H236)&gt;0),$H236,IFERROR(MAX(0,1-SUMIFS($H$5:$H$1000,$U$5:$U$1000,$U236,$V$5:$V$1000,"Sub"))/(COUNTIFS($U$5:$U$1000,$U236,$V$5:$V$1000,"Sub")-COUNTIFS($U$5:$U$1000,$U236,$V$5:$V$1000,"Sub",$H$5:$H$1000,"&gt;0")),0)))</f>
        <v/>
      </c>
      <c r="Y236" s="62">
        <f>IF($V236="","",IF($V236="Sub",N($X236)*IF(ISNUMBER($G236),1,MIN(1,MAX(0,IFERROR(LOOKUP(2,1/ISNUMBER($I236:$L236),$I236:$L236),0)))),IF(ISNUMBER($G236),1,IFERROR(LOOKUP(2,1/($I236:$L236&lt;&gt;""),$I236:$L236),0))))</f>
        <v/>
      </c>
      <c r="Z236" s="62">
        <f>IF($V236="","",IF(AND(ISNUMBER($G236),$G236&lt;=IF($S236=MesCiclo,InicioCiclo,$S236+MOD(2-WEEKDAY($S236),7))+6),1,IF(ISNUMBER($I236),$I236,0)))</f>
        <v/>
      </c>
      <c r="AA236" s="62">
        <f>IF($V236="","",IF(AND(ISNUMBER($G236),$G236&lt;=IF($S236=MesCiclo,InicioCiclo,$S236+MOD(2-WEEKDAY($S236),7))+13),1,IF(ISNUMBER($J236),$J236,$Z236)))</f>
        <v/>
      </c>
      <c r="AB236" s="62">
        <f>IF($V236="","",IF(AND(ISNUMBER($G236),$G236&lt;=IF($S236=MesCiclo,InicioCiclo,$S236+MOD(2-WEEKDAY($S236),7))+20),1,IF(ISNUMBER($K236),$K236,$AA236)))</f>
        <v/>
      </c>
      <c r="AC236" s="62">
        <f>IF($V236="","",IF(AND(ISNUMBER($G236),$G236&lt;=IF($S236=MesCiclo,InicioCiclo,$S236+MOD(2-WEEKDAY($S236),7))+27),1,IF(ISNUMBER($L236),$L236,$AB236)))</f>
        <v/>
      </c>
      <c r="AD236" s="62">
        <f>IF($V236&lt;&gt;"Sub","",N($X236)*IF(AND(ISNUMBER($G236),$G236&lt;=IF($S236=MesCiclo,InicioCiclo,$S236+MOD(2-WEEKDAY($S236),7))+6),1,MIN(1,MAX(0,IF(ISNUMBER(OFFSET($A$1,ROW()-1,8)),OFFSET($A$1,ROW()-1,8),0)))))</f>
        <v/>
      </c>
      <c r="AE236" s="62">
        <f>IF($V236&lt;&gt;"Sub","",N($X236)*IF(AND(ISNUMBER($G236),$G236&lt;=IF($S236=MesCiclo,InicioCiclo,$S236+MOD(2-WEEKDAY($S236),7))+13),1,MIN(1,MAX(0,IF(ISNUMBER(OFFSET($A$1,ROW()-1,9)),OFFSET($A$1,ROW()-1,9),IF(ISNUMBER(OFFSET($A$1,ROW()-1,8)),OFFSET($A$1,ROW()-1,8),0))))))</f>
        <v/>
      </c>
      <c r="AF236" s="62">
        <f>IF($V236&lt;&gt;"Sub","",N($X236)*IF(AND(ISNUMBER($G236),$G236&lt;=IF($S236=MesCiclo,InicioCiclo,$S236+MOD(2-WEEKDAY($S236),7))+20),1,MIN(1,MAX(0,IF(ISNUMBER(OFFSET($A$1,ROW()-1,10)),OFFSET($A$1,ROW()-1,10),IF(ISNUMBER(OFFSET($A$1,ROW()-1,9)),OFFSET($A$1,ROW()-1,9),IF(ISNUMBER(OFFSET($A$1,ROW()-1,8)),OFFSET($A$1,ROW()-1,8),0)))))))</f>
        <v/>
      </c>
      <c r="AG236" s="62">
        <f>IF($V236&lt;&gt;"Sub","",N($X236)*IF(AND(ISNUMBER($G236),$G236&lt;=IF($S236=MesCiclo,InicioCiclo,$S236+MOD(2-WEEKDAY($S236),7))+27),1,MIN(1,MAX(0,IF(ISNUMBER(OFFSET($A$1,ROW()-1,11)),OFFSET($A$1,ROW()-1,11),IF(ISNUMBER(OFFSET($A$1,ROW()-1,10)),OFFSET($A$1,ROW()-1,10),IF(ISNUMBER(OFFSET($A$1,ROW()-1,9)),OFFSET($A$1,ROW()-1,9),IF(ISNUMBER(OFFSET($A$1,ROW()-1,8)),OFFSET($A$1,ROW()-1,8),0))))))))</f>
        <v/>
      </c>
      <c r="AH236" s="62">
        <f>IF($V236="","",IF(AND(ISNUMBER($G236),$G236&lt;=IF($S236=MesCiclo,InicioCiclo,$S236+MOD(2-WEEKDAY($S236),7))+6),1,IF(N($W236)&gt;0,MIN(1,SUMIFS($AD$5:$AD$1000,$U$5:$U$1000,ROW(),$V$5:$V$1000,"Sub")),$Z236)))</f>
        <v/>
      </c>
      <c r="AI236" s="62">
        <f>IF($V236="","",IF(AND(ISNUMBER($G236),$G236&lt;=IF($S236=MesCiclo,InicioCiclo,$S236+MOD(2-WEEKDAY($S236),7))+13),1,IF(N($W236)&gt;0,MIN(1,SUMIFS($AE$5:$AE$1000,$U$5:$U$1000,ROW(),$V$5:$V$1000,"Sub")),$AA236)))</f>
        <v/>
      </c>
      <c r="AJ236" s="62">
        <f>IF($V236="","",IF(AND(ISNUMBER($G236),$G236&lt;=IF($S236=MesCiclo,InicioCiclo,$S236+MOD(2-WEEKDAY($S236),7))+20),1,IF(N($W236)&gt;0,MIN(1,SUMIFS($AF$5:$AF$1000,$U$5:$U$1000,ROW(),$V$5:$V$1000,"Sub")),$AB236)))</f>
        <v/>
      </c>
      <c r="AK236" s="62">
        <f>IF($V236="","",IF(AND(ISNUMBER($G236),$G236&lt;=IF($S236=MesCiclo,InicioCiclo,$S236+MOD(2-WEEKDAY($S236),7))+27),1,IF(N($W236)&gt;0,MIN(1,SUMIFS($AG$5:$AG$1000,$U$5:$U$1000,ROW(),$V$5:$V$1000,"Sub")),$AC236)))</f>
        <v/>
      </c>
      <c r="AL236" s="62">
        <f>IF($V236&lt;&gt;"Macro","",IF(COUNTIFS($S$5:$S$1000,$S236,$V$5:$V$1000,"Macro",$H$5:$H$1000,"&gt;0")=0,1/COUNTIFS($S$5:$S$1000,$S236,$V$5:$V$1000,"Macro"),IF(AND(ISNUMBER($H236),N($H236)&gt;0),$H236,SUMIFS($H$5:$H$1000,$S$5:$S$1000,$S236,$V$5:$V$1000,"Macro")/COUNTIFS($S$5:$S$1000,$S236,$V$5:$V$1000,"Macro",$H$5:$H$1000,"&gt;0"))/(COUNTIFS($S$5:$S$1000,$S236,$V$5:$V$1000,"Macro")*SUMIFS($H$5:$H$1000,$S$5:$S$1000,$S236,$V$5:$V$1000,"Macro")/COUNTIFS($S$5:$S$1000,$S236,$V$5:$V$1000,"Macro",$H$5:$H$1000,"&gt;0"))))</f>
        <v/>
      </c>
      <c r="AM236" s="62" t="n"/>
      <c r="AN236" s="62" t="n"/>
      <c r="AO236" s="62" t="n"/>
      <c r="AP236" s="62" t="n"/>
      <c r="AQ236" s="62">
        <f>IF(LEFT($C236,11)="[Jefatura] ",IFERROR(MATCH("Asistente Técnico de Riesgo|"&amp;MID($C236,12,500),rDname_ADM,0),0),"")</f>
        <v/>
      </c>
      <c r="AR236" s="62">
        <f>IF(N($AQ236)&gt;0,INDEX(rIni_ADM,$AQ236),IF(ISNUMBER($E236),$E236,""))</f>
        <v/>
      </c>
      <c r="AS236" s="62">
        <f>IF(N($AQ236)&gt;0,INDEX(rLim_ADM,$AQ236),IF(ISNUMBER($F236),$F236,""))</f>
        <v/>
      </c>
    </row>
    <row r="237">
      <c r="A237" s="56">
        <f>IF(NOT((COUNTA($B237:$D237)+COUNTA($G237:$H237)+COUNTA($Q237))&gt;0),"",IF($V237="Macro",COUNTIFS($V$5:$V237,"Macro",$S$5:$S237,$S237),IF(N($U237)=0,"?",COUNTIFS(INDEX($V$5:$V$1000,1):INDEX($V$5:$V$1000,$U237-4),"Macro",INDEX($S$5:$S$1000,1):INDEX($S$5:$S$1000,$U237-4),INDEX($S$5:$S$1000,$U237-4))&amp;"."&amp;COUNTIFS($U$5:$U237,$U237,$V$5:$V237,"Sub"))))</f>
        <v/>
      </c>
      <c r="B237" s="57" t="n"/>
      <c r="C237" s="58" t="n"/>
      <c r="D237" s="58" t="n"/>
      <c r="E237" s="59">
        <f>IF(N($AQ237)&gt;0,INDEX(rIni_ADM,$AQ237),"")</f>
        <v/>
      </c>
      <c r="F237" s="59">
        <f>IF(N($AQ237)&gt;0,INDEX(rLim_ADM,$AQ237),"")</f>
        <v/>
      </c>
      <c r="G237" s="59" t="n"/>
      <c r="H237" s="60" t="n"/>
      <c r="I237" s="60">
        <f>IF(N($W237)=0,"",IF(AND($S237=MesCiclo,1&gt;SemanaActual),"",MIN(1,SUMIFS(OFFSET($A$1,ROW(),29,1000-ROW(),1),OFFSET($A$1,ROW(),20,1000-ROW(),1),ROW(),OFFSET($A$1,ROW(),21,1000-ROW(),1),"Sub"))))</f>
        <v/>
      </c>
      <c r="J237" s="60">
        <f>IF(N($W237)=0,"",IF(AND($S237=MesCiclo,2&gt;SemanaActual),"",MIN(1,SUMIFS(OFFSET($A$1,ROW(),30,1000-ROW(),1),OFFSET($A$1,ROW(),20,1000-ROW(),1),ROW(),OFFSET($A$1,ROW(),21,1000-ROW(),1),"Sub"))))</f>
        <v/>
      </c>
      <c r="K237" s="60">
        <f>IF(N($W237)=0,"",IF(AND($S237=MesCiclo,3&gt;SemanaActual),"",MIN(1,SUMIFS(OFFSET($A$1,ROW(),31,1000-ROW(),1),OFFSET($A$1,ROW(),20,1000-ROW(),1),ROW(),OFFSET($A$1,ROW(),21,1000-ROW(),1),"Sub"))))</f>
        <v/>
      </c>
      <c r="L237" s="60">
        <f>IF(N($W237)=0,"",IF(AND($S237=MesCiclo,4&gt;SemanaActual),"",MIN(1,SUMIFS(OFFSET($A$1,ROW(),32,1000-ROW(),1),OFFSET($A$1,ROW(),20,1000-ROW(),1),ROW(),OFFSET($A$1,ROW(),21,1000-ROW(),1),"Sub"))))</f>
        <v/>
      </c>
      <c r="M237" s="61">
        <f>IF(OR(NOT((COUNTA($B237:$D237)+COUNTA($G237:$H237)+COUNTA($Q237))&gt;0),$V237="Sub"),"",IF(ISNUMBER($G237),1,IF(N($W237)&gt;0,MIN(1,SUMIFS($Y$5:$Y$1000,$U$5:$U$1000,ROW(),$V$5:$V$1000,"Sub")),$Y237)))</f>
        <v/>
      </c>
      <c r="N237" s="56">
        <f>IF(OR($M237="",$V237="Sub"),"",IF($M237&gt;=1,"Completado",IF($M237&gt;0,"En curso","Pendiente")))</f>
        <v/>
      </c>
      <c r="O237" s="56">
        <f>IF(OR(NOT((COUNTA($B237:$D237)+COUNTA($G237:$H237)+COUNTA($Q237))&gt;0),$V237="Sub"),"",IF(ISNUMBER($G237),IF(AND(ISNUMBER($AS237),$G237&gt;$AS237),"Cumplida con "&amp;($G237-$AS237)&amp;IF($G237-$AS237=1," día"," días")&amp;" de retraso","Cumplida"),IF(N($M237)&gt;=1,"Cumplida",IF(NOT(ISNUMBER($AS237)),"Sin fecha límite",IF($AS237&lt;FechaRef,"Vencida hace "&amp;(FechaRef-$AS237)&amp;IF(FechaRef-$AS237=1," día"," días"),IF($AS237=FechaRef,"Vence hoy",IF($AS237-FechaRef&lt;=DiasAlerta,"Vence en "&amp;($AS237-FechaRef)&amp;IF($AS237-FechaRef=1," día"," días"),"En plazo")))))))</f>
        <v/>
      </c>
      <c r="P237" s="62" t="n"/>
      <c r="Q237" s="58" t="n"/>
      <c r="R237" s="63">
        <f>IF(NOT((COUNTA($B237:$D237)+COUNTA($G237:$H237)+COUNTA($Q237))&gt;0),"",IF((IF($C237="","Falta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 OK","⚠ "&amp;LEFT(IF($C237="","Falta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",""),LEN(IF($C237="","Falta el nombre de la actividad"&amp;" · ","")&amp;IF(AND($V237="Sub",N($U237)=0),"Subactividad sin macroactividad arriba"&amp;" · ","")&amp;IF(AND($V237="Macro",$AR237=""),"Sin fecha de inicio"&amp;" · ","")&amp;IF(AND($V237="Macro",$AS237=""),"Sin fecha límite"&amp;" · ","")&amp;IF(AND(LEFT($C237,11)="[Jefatura] ",N($AQ237)=0),"No se encuentra en la hoja de la jefatura (elíjala de nuevo en la lista)"&amp;" · ","")&amp;IF(OR(AND($E237&lt;&gt;"",NOT(ISNUMBER($E237))),AND($F237&lt;&gt;"",NOT(ISNUMBER($F237))),AND($G237&lt;&gt;"",NOT(ISNUMBER($G237)))),"Fecha no válida"&amp;" · ","")&amp;IF(AND(ISNUMBER($AR237),ISNUMBER($AS237),$AR237&gt;$AS237),"Inicio posterior a fecha límite"&amp;" · ","")&amp;IF(AND($V237="Macro",$H237&lt;&gt;"",OR(NOT(ISNUMBER($H237)),$H237&lt;0,$H237&gt;1)),"Peso fuera de rango"&amp;" · ","")&amp;IF(AND($V237="Sub",$H237&lt;&gt;"",OR(NOT(ISNUMBER($H237)),$H237&lt;0,$H237&gt;1)),"% de la subactividad fuera de rango 0-100%"&amp;" · ","")&amp;IF(AND(N($W237)&gt;0,SUMIFS($H$5:$H$1000,$U$5:$U$1000,ROW(),$V$5:$V$1000,"Sub")&gt;1.0001),"Las subactividades suman más de 100%"&amp;" · ","")&amp;IF(AND(N($W237)&gt;0,OR(IF(ISNUMBER($I237),ROUND($I237,6)&lt;&gt;ROUND(MIN(1,SUMIFS($AD$5:$AD$1000,$U$5:$U$1000,ROW(),$V$5:$V$1000,"Sub")),6),FALSE),IF(ISNUMBER($J237),ROUND($J237,6)&lt;&gt;ROUND(MIN(1,SUMIFS($AE$5:$AE$1000,$U$5:$U$1000,ROW(),$V$5:$V$1000,"Sub")),6),FALSE),IF(ISNUMBER($K237),ROUND($K237,6)&lt;&gt;ROUND(MIN(1,SUMIFS($AF$5:$AF$1000,$U$5:$U$1000,ROW(),$V$5:$V$1000,"Sub")),6),FALSE),IF(ISNUMBER($L237),ROUND($L237,6)&lt;&gt;ROUND(MIN(1,SUMIFS($AG$5:$AG$1000,$U$5:$U$1000,ROW(),$V$5:$V$1000,"Sub")),6),FALSE))),"Con subactividades: no escriba en las semanas (se llenan solas)"&amp;" · ","")&amp;IF((COUNTIF($I237:$L237,"&gt;1")+COUNTIF($I237:$L237,"&lt;0")+SUMPRODUCT((LEN($I237:$L237)&gt;0)*NOT(ISNUMBER($I237:$L237))))&gt;0,"Avance fuera de rango 0-100%"&amp;" · ","")&amp;IF(OR(AND(ISNUMBER($J237),$J237&lt;N($I237)),AND(ISNUMBER($K237),$K237&lt;MAX($I237:$J237)),AND(ISNUMBER($L237),$L237&lt;MAX($I237:$K237))),"Avance semanal decreciente"&amp;" · ","")&amp;IF(AND(ISNUMBER($AS237),$AS237&lt;FechaRef,IF($V237="Sub",1,N($M237))&lt;1),"Vencida"&amp;" · ","")&amp;IF(AND(ObsObligatoria="Sí",ISNUMBER($AS237),$AS237&lt;FechaRef,IF($V237="Sub",1,N($M237))&lt;1,$Q237=""),"Vencida sin observación"&amp;" · ",""))-3)))</f>
        <v/>
      </c>
      <c r="S237" s="64">
        <f>IF(NOT((COUNTA($B237:$D237)+COUNTA($G237:$H237)+COUNTA($Q237))&gt;0),"",IF(AND($V237="Sub",N($U237)&gt;0),IF(ISNUMBER(INDEX($AR$5:$AR$1000,$U237-4)),DATE(YEAR(INDEX($AR$5:$AR$1000,$U237-4)),MONTH(INDEX($AR$5:$AR$1000,$U237-4)),1),IF(ISNUMBER(INDEX($AS$5:$AS$1000,$U237-4)),DATE(YEAR(INDEX($AS$5:$AS$1000,$U237-4)),MONTH(INDEX($AS$5:$AS$1000,$U237-4)),1),MesCiclo)),IF(ISNUMBER($AR237),DATE(YEAR($AR237),MONTH($AR237),1),IF(ISNUMBER($AS237),DATE(YEAR($AS237),MONTH($AS237),1),MesCiclo))))</f>
        <v/>
      </c>
      <c r="T237" s="62">
        <f>IF(OR($S237="",$S237&lt;&gt;MesCiclo,$V237&lt;&gt;"Macro"),"",COUNTIFS($S$5:$S237,MesCiclo,$V$5:$V237,"Macro"))</f>
        <v/>
      </c>
      <c r="U237" s="62">
        <f>IF($V237="","",IF($V237="Macro",ROW(),IFERROR(LOOKUP(2,1/($V$5:$V237="Macro"),ROW($V$5:$V237)),0)))</f>
        <v/>
      </c>
      <c r="V237" s="62">
        <f>IF(NOT((COUNTA($B237:$D237)+COUNTA($G237:$H237)+COUNTA($Q237))&gt;0),"",IF($B237="Subactividad","Sub","Macro"))</f>
        <v/>
      </c>
      <c r="W237" s="62">
        <f>IF($V237="Macro",COUNTIFS($U$5:$U$1000,ROW(),$V$5:$V$1000,"Sub"),"")</f>
        <v/>
      </c>
      <c r="X237" s="62">
        <f>IF($V237&lt;&gt;"Sub","",IF(AND(ISNUMBER($H237),N($H237)&gt;0),$H237,IFERROR(MAX(0,1-SUMIFS($H$5:$H$1000,$U$5:$U$1000,$U237,$V$5:$V$1000,"Sub"))/(COUNTIFS($U$5:$U$1000,$U237,$V$5:$V$1000,"Sub")-COUNTIFS($U$5:$U$1000,$U237,$V$5:$V$1000,"Sub",$H$5:$H$1000,"&gt;0")),0)))</f>
        <v/>
      </c>
      <c r="Y237" s="62">
        <f>IF($V237="","",IF($V237="Sub",N($X237)*IF(ISNUMBER($G237),1,MIN(1,MAX(0,IFERROR(LOOKUP(2,1/ISNUMBER($I237:$L237),$I237:$L237),0)))),IF(ISNUMBER($G237),1,IFERROR(LOOKUP(2,1/($I237:$L237&lt;&gt;""),$I237:$L237),0))))</f>
        <v/>
      </c>
      <c r="Z237" s="62">
        <f>IF($V237="","",IF(AND(ISNUMBER($G237),$G237&lt;=IF($S237=MesCiclo,InicioCiclo,$S237+MOD(2-WEEKDAY($S237),7))+6),1,IF(ISNUMBER($I237),$I237,0)))</f>
        <v/>
      </c>
      <c r="AA237" s="62">
        <f>IF($V237="","",IF(AND(ISNUMBER($G237),$G237&lt;=IF($S237=MesCiclo,InicioCiclo,$S237+MOD(2-WEEKDAY($S237),7))+13),1,IF(ISNUMBER($J237),$J237,$Z237)))</f>
        <v/>
      </c>
      <c r="AB237" s="62">
        <f>IF($V237="","",IF(AND(ISNUMBER($G237),$G237&lt;=IF($S237=MesCiclo,InicioCiclo,$S237+MOD(2-WEEKDAY($S237),7))+20),1,IF(ISNUMBER($K237),$K237,$AA237)))</f>
        <v/>
      </c>
      <c r="AC237" s="62">
        <f>IF($V237="","",IF(AND(ISNUMBER($G237),$G237&lt;=IF($S237=MesCiclo,InicioCiclo,$S237+MOD(2-WEEKDAY($S237),7))+27),1,IF(ISNUMBER($L237),$L237,$AB237)))</f>
        <v/>
      </c>
      <c r="AD237" s="62">
        <f>IF($V237&lt;&gt;"Sub","",N($X237)*IF(AND(ISNUMBER($G237),$G237&lt;=IF($S237=MesCiclo,InicioCiclo,$S237+MOD(2-WEEKDAY($S237),7))+6),1,MIN(1,MAX(0,IF(ISNUMBER(OFFSET($A$1,ROW()-1,8)),OFFSET($A$1,ROW()-1,8),0)))))</f>
        <v/>
      </c>
      <c r="AE237" s="62">
        <f>IF($V237&lt;&gt;"Sub","",N($X237)*IF(AND(ISNUMBER($G237),$G237&lt;=IF($S237=MesCiclo,InicioCiclo,$S237+MOD(2-WEEKDAY($S237),7))+13),1,MIN(1,MAX(0,IF(ISNUMBER(OFFSET($A$1,ROW()-1,9)),OFFSET($A$1,ROW()-1,9),IF(ISNUMBER(OFFSET($A$1,ROW()-1,8)),OFFSET($A$1,ROW()-1,8),0))))))</f>
        <v/>
      </c>
      <c r="AF237" s="62">
        <f>IF($V237&lt;&gt;"Sub","",N($X237)*IF(AND(ISNUMBER($G237),$G237&lt;=IF($S237=MesCiclo,InicioCiclo,$S237+MOD(2-WEEKDAY($S237),7))+20),1,MIN(1,MAX(0,IF(ISNUMBER(OFFSET($A$1,ROW()-1,10)),OFFSET($A$1,ROW()-1,10),IF(ISNUMBER(OFFSET($A$1,ROW()-1,9)),OFFSET($A$1,ROW()-1,9),IF(ISNUMBER(OFFSET($A$1,ROW()-1,8)),OFFSET($A$1,ROW()-1,8),0)))))))</f>
        <v/>
      </c>
      <c r="AG237" s="62">
        <f>IF($V237&lt;&gt;"Sub","",N($X237)*IF(AND(ISNUMBER($G237),$G237&lt;=IF($S237=MesCiclo,InicioCiclo,$S237+MOD(2-WEEKDAY($S237),7))+27),1,MIN(1,MAX(0,IF(ISNUMBER(OFFSET($A$1,ROW()-1,11)),OFFSET($A$1,ROW()-1,11),IF(ISNUMBER(OFFSET($A$1,ROW()-1,10)),OFFSET($A$1,ROW()-1,10),IF(ISNUMBER(OFFSET($A$1,ROW()-1,9)),OFFSET($A$1,ROW()-1,9),IF(ISNUMBER(OFFSET($A$1,ROW()-1,8)),OFFSET($A$1,ROW()-1,8),0))))))))</f>
        <v/>
      </c>
      <c r="AH237" s="62">
        <f>IF($V237="","",IF(AND(ISNUMBER($G237),$G237&lt;=IF($S237=MesCiclo,InicioCiclo,$S237+MOD(2-WEEKDAY($S237),7))+6),1,IF(N($W237)&gt;0,MIN(1,SUMIFS($AD$5:$AD$1000,$U$5:$U$1000,ROW(),$V$5:$V$1000,"Sub")),$Z237)))</f>
        <v/>
      </c>
      <c r="AI237" s="62">
        <f>IF($V237="","",IF(AND(ISNUMBER($G237),$G237&lt;=IF($S237=MesCiclo,InicioCiclo,$S237+MOD(2-WEEKDAY($S237),7))+13),1,IF(N($W237)&gt;0,MIN(1,SUMIFS($AE$5:$AE$1000,$U$5:$U$1000,ROW(),$V$5:$V$1000,"Sub")),$AA237)))</f>
        <v/>
      </c>
      <c r="AJ237" s="62">
        <f>IF($V237="","",IF(AND(ISNUMBER($G237),$G237&lt;=IF($S237=MesCiclo,InicioCiclo,$S237+MOD(2-WEEKDAY($S237),7))+20),1,IF(N($W237)&gt;0,MIN(1,SUMIFS($AF$5:$AF$1000,$U$5:$U$1000,ROW(),$V$5:$V$1000,"Sub")),$AB237)))</f>
        <v/>
      </c>
      <c r="AK237" s="62">
        <f>IF($V237="","",IF(AND(ISNUMBER($G237),$G237&lt;=IF($S237=MesCiclo,InicioCiclo,$S237+MOD(2-WEEKDAY($S237),7))+27),1,IF(N($W237)&gt;0,MIN(1,SUMIFS($AG$5:$AG$1000,$U$5:$U$1000,ROW(),$V$5:$V$1000,"Sub")),$AC237)))</f>
        <v/>
      </c>
      <c r="AL237" s="62">
        <f>IF($V237&lt;&gt;"Macro","",IF(COUNTIFS($S$5:$S$1000,$S237,$V$5:$V$1000,"Macro",$H$5:$H$1000,"&gt;0")=0,1/COUNTIFS($S$5:$S$1000,$S237,$V$5:$V$1000,"Macro"),IF(AND(ISNUMBER($H237),N($H237)&gt;0),$H237,SUMIFS($H$5:$H$1000,$S$5:$S$1000,$S237,$V$5:$V$1000,"Macro")/COUNTIFS($S$5:$S$1000,$S237,$V$5:$V$1000,"Macro",$H$5:$H$1000,"&gt;0"))/(COUNTIFS($S$5:$S$1000,$S237,$V$5:$V$1000,"Macro")*SUMIFS($H$5:$H$1000,$S$5:$S$1000,$S237,$V$5:$V$1000,"Macro")/COUNTIFS($S$5:$S$1000,$S237,$V$5:$V$1000,"Macro",$H$5:$H$1000,"&gt;0"))))</f>
        <v/>
      </c>
      <c r="AM237" s="62" t="n"/>
      <c r="AN237" s="62" t="n"/>
      <c r="AO237" s="62" t="n"/>
      <c r="AP237" s="62" t="n"/>
      <c r="AQ237" s="62">
        <f>IF(LEFT($C237,11)="[Jefatura] ",IFERROR(MATCH("Asistente Técnico de Riesgo|"&amp;MID($C237,12,500),rDname_ADM,0),0),"")</f>
        <v/>
      </c>
      <c r="AR237" s="62">
        <f>IF(N($AQ237)&gt;0,INDEX(rIni_ADM,$AQ237),IF(ISNUMBER($E237),$E237,""))</f>
        <v/>
      </c>
      <c r="AS237" s="62">
        <f>IF(N($AQ237)&gt;0,INDEX(rLim_ADM,$AQ237),IF(ISNUMBER($F237),$F237,""))</f>
        <v/>
      </c>
    </row>
    <row r="238">
      <c r="A238" s="56">
        <f>IF(NOT((COUNTA($B238:$D238)+COUNTA($G238:$H238)+COUNTA($Q238))&gt;0),"",IF($V238="Macro",COUNTIFS($V$5:$V238,"Macro",$S$5:$S238,$S238),IF(N($U238)=0,"?",COUNTIFS(INDEX($V$5:$V$1000,1):INDEX($V$5:$V$1000,$U238-4),"Macro",INDEX($S$5:$S$1000,1):INDEX($S$5:$S$1000,$U238-4),INDEX($S$5:$S$1000,$U238-4))&amp;"."&amp;COUNTIFS($U$5:$U238,$U238,$V$5:$V238,"Sub"))))</f>
        <v/>
      </c>
      <c r="B238" s="57" t="n"/>
      <c r="C238" s="58" t="n"/>
      <c r="D238" s="58" t="n"/>
      <c r="E238" s="59">
        <f>IF(N($AQ238)&gt;0,INDEX(rIni_ADM,$AQ238),"")</f>
        <v/>
      </c>
      <c r="F238" s="59">
        <f>IF(N($AQ238)&gt;0,INDEX(rLim_ADM,$AQ238),"")</f>
        <v/>
      </c>
      <c r="G238" s="59" t="n"/>
      <c r="H238" s="60" t="n"/>
      <c r="I238" s="60">
        <f>IF(N($W238)=0,"",IF(AND($S238=MesCiclo,1&gt;SemanaActual),"",MIN(1,SUMIFS(OFFSET($A$1,ROW(),29,1000-ROW(),1),OFFSET($A$1,ROW(),20,1000-ROW(),1),ROW(),OFFSET($A$1,ROW(),21,1000-ROW(),1),"Sub"))))</f>
        <v/>
      </c>
      <c r="J238" s="60">
        <f>IF(N($W238)=0,"",IF(AND($S238=MesCiclo,2&gt;SemanaActual),"",MIN(1,SUMIFS(OFFSET($A$1,ROW(),30,1000-ROW(),1),OFFSET($A$1,ROW(),20,1000-ROW(),1),ROW(),OFFSET($A$1,ROW(),21,1000-ROW(),1),"Sub"))))</f>
        <v/>
      </c>
      <c r="K238" s="60">
        <f>IF(N($W238)=0,"",IF(AND($S238=MesCiclo,3&gt;SemanaActual),"",MIN(1,SUMIFS(OFFSET($A$1,ROW(),31,1000-ROW(),1),OFFSET($A$1,ROW(),20,1000-ROW(),1),ROW(),OFFSET($A$1,ROW(),21,1000-ROW(),1),"Sub"))))</f>
        <v/>
      </c>
      <c r="L238" s="60">
        <f>IF(N($W238)=0,"",IF(AND($S238=MesCiclo,4&gt;SemanaActual),"",MIN(1,SUMIFS(OFFSET($A$1,ROW(),32,1000-ROW(),1),OFFSET($A$1,ROW(),20,1000-ROW(),1),ROW(),OFFSET($A$1,ROW(),21,1000-ROW(),1),"Sub"))))</f>
        <v/>
      </c>
      <c r="M238" s="61">
        <f>IF(OR(NOT((COUNTA($B238:$D238)+COUNTA($G238:$H238)+COUNTA($Q238))&gt;0),$V238="Sub"),"",IF(ISNUMBER($G238),1,IF(N($W238)&gt;0,MIN(1,SUMIFS($Y$5:$Y$1000,$U$5:$U$1000,ROW(),$V$5:$V$1000,"Sub")),$Y238)))</f>
        <v/>
      </c>
      <c r="N238" s="56">
        <f>IF(OR($M238="",$V238="Sub"),"",IF($M238&gt;=1,"Completado",IF($M238&gt;0,"En curso","Pendiente")))</f>
        <v/>
      </c>
      <c r="O238" s="56">
        <f>IF(OR(NOT((COUNTA($B238:$D238)+COUNTA($G238:$H238)+COUNTA($Q238))&gt;0),$V238="Sub"),"",IF(ISNUMBER($G238),IF(AND(ISNUMBER($AS238),$G238&gt;$AS238),"Cumplida con "&amp;($G238-$AS238)&amp;IF($G238-$AS238=1," día"," días")&amp;" de retraso","Cumplida"),IF(N($M238)&gt;=1,"Cumplida",IF(NOT(ISNUMBER($AS238)),"Sin fecha límite",IF($AS238&lt;FechaRef,"Vencida hace "&amp;(FechaRef-$AS238)&amp;IF(FechaRef-$AS238=1," día"," días"),IF($AS238=FechaRef,"Vence hoy",IF($AS238-FechaRef&lt;=DiasAlerta,"Vence en "&amp;($AS238-FechaRef)&amp;IF($AS238-FechaRef=1," día"," días"),"En plazo")))))))</f>
        <v/>
      </c>
      <c r="P238" s="62" t="n"/>
      <c r="Q238" s="58" t="n"/>
      <c r="R238" s="63">
        <f>IF(NOT((COUNTA($B238:$D238)+COUNTA($G238:$H238)+COUNTA($Q238))&gt;0),"",IF((IF($C238="","Falta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 OK","⚠ "&amp;LEFT(IF($C238="","Falta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",""),LEN(IF($C238="","Falta el nombre de la actividad"&amp;" · ","")&amp;IF(AND($V238="Sub",N($U238)=0),"Subactividad sin macroactividad arriba"&amp;" · ","")&amp;IF(AND($V238="Macro",$AR238=""),"Sin fecha de inicio"&amp;" · ","")&amp;IF(AND($V238="Macro",$AS238=""),"Sin fecha límite"&amp;" · ","")&amp;IF(AND(LEFT($C238,11)="[Jefatura] ",N($AQ238)=0),"No se encuentra en la hoja de la jefatura (elíjala de nuevo en la lista)"&amp;" · ","")&amp;IF(OR(AND($E238&lt;&gt;"",NOT(ISNUMBER($E238))),AND($F238&lt;&gt;"",NOT(ISNUMBER($F238))),AND($G238&lt;&gt;"",NOT(ISNUMBER($G238)))),"Fecha no válida"&amp;" · ","")&amp;IF(AND(ISNUMBER($AR238),ISNUMBER($AS238),$AR238&gt;$AS238),"Inicio posterior a fecha límite"&amp;" · ","")&amp;IF(AND($V238="Macro",$H238&lt;&gt;"",OR(NOT(ISNUMBER($H238)),$H238&lt;0,$H238&gt;1)),"Peso fuera de rango"&amp;" · ","")&amp;IF(AND($V238="Sub",$H238&lt;&gt;"",OR(NOT(ISNUMBER($H238)),$H238&lt;0,$H238&gt;1)),"% de la subactividad fuera de rango 0-100%"&amp;" · ","")&amp;IF(AND(N($W238)&gt;0,SUMIFS($H$5:$H$1000,$U$5:$U$1000,ROW(),$V$5:$V$1000,"Sub")&gt;1.0001),"Las subactividades suman más de 100%"&amp;" · ","")&amp;IF(AND(N($W238)&gt;0,OR(IF(ISNUMBER($I238),ROUND($I238,6)&lt;&gt;ROUND(MIN(1,SUMIFS($AD$5:$AD$1000,$U$5:$U$1000,ROW(),$V$5:$V$1000,"Sub")),6),FALSE),IF(ISNUMBER($J238),ROUND($J238,6)&lt;&gt;ROUND(MIN(1,SUMIFS($AE$5:$AE$1000,$U$5:$U$1000,ROW(),$V$5:$V$1000,"Sub")),6),FALSE),IF(ISNUMBER($K238),ROUND($K238,6)&lt;&gt;ROUND(MIN(1,SUMIFS($AF$5:$AF$1000,$U$5:$U$1000,ROW(),$V$5:$V$1000,"Sub")),6),FALSE),IF(ISNUMBER($L238),ROUND($L238,6)&lt;&gt;ROUND(MIN(1,SUMIFS($AG$5:$AG$1000,$U$5:$U$1000,ROW(),$V$5:$V$1000,"Sub")),6),FALSE))),"Con subactividades: no escriba en las semanas (se llenan solas)"&amp;" · ","")&amp;IF((COUNTIF($I238:$L238,"&gt;1")+COUNTIF($I238:$L238,"&lt;0")+SUMPRODUCT((LEN($I238:$L238)&gt;0)*NOT(ISNUMBER($I238:$L238))))&gt;0,"Avance fuera de rango 0-100%"&amp;" · ","")&amp;IF(OR(AND(ISNUMBER($J238),$J238&lt;N($I238)),AND(ISNUMBER($K238),$K238&lt;MAX($I238:$J238)),AND(ISNUMBER($L238),$L238&lt;MAX($I238:$K238))),"Avance semanal decreciente"&amp;" · ","")&amp;IF(AND(ISNUMBER($AS238),$AS238&lt;FechaRef,IF($V238="Sub",1,N($M238))&lt;1),"Vencida"&amp;" · ","")&amp;IF(AND(ObsObligatoria="Sí",ISNUMBER($AS238),$AS238&lt;FechaRef,IF($V238="Sub",1,N($M238))&lt;1,$Q238=""),"Vencida sin observación"&amp;" · ",""))-3)))</f>
        <v/>
      </c>
      <c r="S238" s="64">
        <f>IF(NOT((COUNTA($B238:$D238)+COUNTA($G238:$H238)+COUNTA($Q238))&gt;0),"",IF(AND($V238="Sub",N($U238)&gt;0),IF(ISNUMBER(INDEX($AR$5:$AR$1000,$U238-4)),DATE(YEAR(INDEX($AR$5:$AR$1000,$U238-4)),MONTH(INDEX($AR$5:$AR$1000,$U238-4)),1),IF(ISNUMBER(INDEX($AS$5:$AS$1000,$U238-4)),DATE(YEAR(INDEX($AS$5:$AS$1000,$U238-4)),MONTH(INDEX($AS$5:$AS$1000,$U238-4)),1),MesCiclo)),IF(ISNUMBER($AR238),DATE(YEAR($AR238),MONTH($AR238),1),IF(ISNUMBER($AS238),DATE(YEAR($AS238),MONTH($AS238),1),MesCiclo))))</f>
        <v/>
      </c>
      <c r="T238" s="62">
        <f>IF(OR($S238="",$S238&lt;&gt;MesCiclo,$V238&lt;&gt;"Macro"),"",COUNTIFS($S$5:$S238,MesCiclo,$V$5:$V238,"Macro"))</f>
        <v/>
      </c>
      <c r="U238" s="62">
        <f>IF($V238="","",IF($V238="Macro",ROW(),IFERROR(LOOKUP(2,1/($V$5:$V238="Macro"),ROW($V$5:$V238)),0)))</f>
        <v/>
      </c>
      <c r="V238" s="62">
        <f>IF(NOT((COUNTA($B238:$D238)+COUNTA($G238:$H238)+COUNTA($Q238))&gt;0),"",IF($B238="Subactividad","Sub","Macro"))</f>
        <v/>
      </c>
      <c r="W238" s="62">
        <f>IF($V238="Macro",COUNTIFS($U$5:$U$1000,ROW(),$V$5:$V$1000,"Sub"),"")</f>
        <v/>
      </c>
      <c r="X238" s="62">
        <f>IF($V238&lt;&gt;"Sub","",IF(AND(ISNUMBER($H238),N($H238)&gt;0),$H238,IFERROR(MAX(0,1-SUMIFS($H$5:$H$1000,$U$5:$U$1000,$U238,$V$5:$V$1000,"Sub"))/(COUNTIFS($U$5:$U$1000,$U238,$V$5:$V$1000,"Sub")-COUNTIFS($U$5:$U$1000,$U238,$V$5:$V$1000,"Sub",$H$5:$H$1000,"&gt;0")),0)))</f>
        <v/>
      </c>
      <c r="Y238" s="62">
        <f>IF($V238="","",IF($V238="Sub",N($X238)*IF(ISNUMBER($G238),1,MIN(1,MAX(0,IFERROR(LOOKUP(2,1/ISNUMBER($I238:$L238),$I238:$L238),0)))),IF(ISNUMBER($G238),1,IFERROR(LOOKUP(2,1/($I238:$L238&lt;&gt;""),$I238:$L238),0))))</f>
        <v/>
      </c>
      <c r="Z238" s="62">
        <f>IF($V238="","",IF(AND(ISNUMBER($G238),$G238&lt;=IF($S238=MesCiclo,InicioCiclo,$S238+MOD(2-WEEKDAY($S238),7))+6),1,IF(ISNUMBER($I238),$I238,0)))</f>
        <v/>
      </c>
      <c r="AA238" s="62">
        <f>IF($V238="","",IF(AND(ISNUMBER($G238),$G238&lt;=IF($S238=MesCiclo,InicioCiclo,$S238+MOD(2-WEEKDAY($S238),7))+13),1,IF(ISNUMBER($J238),$J238,$Z238)))</f>
        <v/>
      </c>
      <c r="AB238" s="62">
        <f>IF($V238="","",IF(AND(ISNUMBER($G238),$G238&lt;=IF($S238=MesCiclo,InicioCiclo,$S238+MOD(2-WEEKDAY($S238),7))+20),1,IF(ISNUMBER($K238),$K238,$AA238)))</f>
        <v/>
      </c>
      <c r="AC238" s="62">
        <f>IF($V238="","",IF(AND(ISNUMBER($G238),$G238&lt;=IF($S238=MesCiclo,InicioCiclo,$S238+MOD(2-WEEKDAY($S238),7))+27),1,IF(ISNUMBER($L238),$L238,$AB238)))</f>
        <v/>
      </c>
      <c r="AD238" s="62">
        <f>IF($V238&lt;&gt;"Sub","",N($X238)*IF(AND(ISNUMBER($G238),$G238&lt;=IF($S238=MesCiclo,InicioCiclo,$S238+MOD(2-WEEKDAY($S238),7))+6),1,MIN(1,MAX(0,IF(ISNUMBER(OFFSET($A$1,ROW()-1,8)),OFFSET($A$1,ROW()-1,8),0)))))</f>
        <v/>
      </c>
      <c r="AE238" s="62">
        <f>IF($V238&lt;&gt;"Sub","",N($X238)*IF(AND(ISNUMBER($G238),$G238&lt;=IF($S238=MesCiclo,InicioCiclo,$S238+MOD(2-WEEKDAY($S238),7))+13),1,MIN(1,MAX(0,IF(ISNUMBER(OFFSET($A$1,ROW()-1,9)),OFFSET($A$1,ROW()-1,9),IF(ISNUMBER(OFFSET($A$1,ROW()-1,8)),OFFSET($A$1,ROW()-1,8),0))))))</f>
        <v/>
      </c>
      <c r="AF238" s="62">
        <f>IF($V238&lt;&gt;"Sub","",N($X238)*IF(AND(ISNUMBER($G238),$G238&lt;=IF($S238=MesCiclo,InicioCiclo,$S238+MOD(2-WEEKDAY($S238),7))+20),1,MIN(1,MAX(0,IF(ISNUMBER(OFFSET($A$1,ROW()-1,10)),OFFSET($A$1,ROW()-1,10),IF(ISNUMBER(OFFSET($A$1,ROW()-1,9)),OFFSET($A$1,ROW()-1,9),IF(ISNUMBER(OFFSET($A$1,ROW()-1,8)),OFFSET($A$1,ROW()-1,8),0)))))))</f>
        <v/>
      </c>
      <c r="AG238" s="62">
        <f>IF($V238&lt;&gt;"Sub","",N($X238)*IF(AND(ISNUMBER($G238),$G238&lt;=IF($S238=MesCiclo,InicioCiclo,$S238+MOD(2-WEEKDAY($S238),7))+27),1,MIN(1,MAX(0,IF(ISNUMBER(OFFSET($A$1,ROW()-1,11)),OFFSET($A$1,ROW()-1,11),IF(ISNUMBER(OFFSET($A$1,ROW()-1,10)),OFFSET($A$1,ROW()-1,10),IF(ISNUMBER(OFFSET($A$1,ROW()-1,9)),OFFSET($A$1,ROW()-1,9),IF(ISNUMBER(OFFSET($A$1,ROW()-1,8)),OFFSET($A$1,ROW()-1,8),0))))))))</f>
        <v/>
      </c>
      <c r="AH238" s="62">
        <f>IF($V238="","",IF(AND(ISNUMBER($G238),$G238&lt;=IF($S238=MesCiclo,InicioCiclo,$S238+MOD(2-WEEKDAY($S238),7))+6),1,IF(N($W238)&gt;0,MIN(1,SUMIFS($AD$5:$AD$1000,$U$5:$U$1000,ROW(),$V$5:$V$1000,"Sub")),$Z238)))</f>
        <v/>
      </c>
      <c r="AI238" s="62">
        <f>IF($V238="","",IF(AND(ISNUMBER($G238),$G238&lt;=IF($S238=MesCiclo,InicioCiclo,$S238+MOD(2-WEEKDAY($S238),7))+13),1,IF(N($W238)&gt;0,MIN(1,SUMIFS($AE$5:$AE$1000,$U$5:$U$1000,ROW(),$V$5:$V$1000,"Sub")),$AA238)))</f>
        <v/>
      </c>
      <c r="AJ238" s="62">
        <f>IF($V238="","",IF(AND(ISNUMBER($G238),$G238&lt;=IF($S238=MesCiclo,InicioCiclo,$S238+MOD(2-WEEKDAY($S238),7))+20),1,IF(N($W238)&gt;0,MIN(1,SUMIFS($AF$5:$AF$1000,$U$5:$U$1000,ROW(),$V$5:$V$1000,"Sub")),$AB238)))</f>
        <v/>
      </c>
      <c r="AK238" s="62">
        <f>IF($V238="","",IF(AND(ISNUMBER($G238),$G238&lt;=IF($S238=MesCiclo,InicioCiclo,$S238+MOD(2-WEEKDAY($S238),7))+27),1,IF(N($W238)&gt;0,MIN(1,SUMIFS($AG$5:$AG$1000,$U$5:$U$1000,ROW(),$V$5:$V$1000,"Sub")),$AC238)))</f>
        <v/>
      </c>
      <c r="AL238" s="62">
        <f>IF($V238&lt;&gt;"Macro","",IF(COUNTIFS($S$5:$S$1000,$S238,$V$5:$V$1000,"Macro",$H$5:$H$1000,"&gt;0")=0,1/COUNTIFS($S$5:$S$1000,$S238,$V$5:$V$1000,"Macro"),IF(AND(ISNUMBER($H238),N($H238)&gt;0),$H238,SUMIFS($H$5:$H$1000,$S$5:$S$1000,$S238,$V$5:$V$1000,"Macro")/COUNTIFS($S$5:$S$1000,$S238,$V$5:$V$1000,"Macro",$H$5:$H$1000,"&gt;0"))/(COUNTIFS($S$5:$S$1000,$S238,$V$5:$V$1000,"Macro")*SUMIFS($H$5:$H$1000,$S$5:$S$1000,$S238,$V$5:$V$1000,"Macro")/COUNTIFS($S$5:$S$1000,$S238,$V$5:$V$1000,"Macro",$H$5:$H$1000,"&gt;0"))))</f>
        <v/>
      </c>
      <c r="AM238" s="62" t="n"/>
      <c r="AN238" s="62" t="n"/>
      <c r="AO238" s="62" t="n"/>
      <c r="AP238" s="62" t="n"/>
      <c r="AQ238" s="62">
        <f>IF(LEFT($C238,11)="[Jefatura] ",IFERROR(MATCH("Asistente Técnico de Riesgo|"&amp;MID($C238,12,500),rDname_ADM,0),0),"")</f>
        <v/>
      </c>
      <c r="AR238" s="62">
        <f>IF(N($AQ238)&gt;0,INDEX(rIni_ADM,$AQ238),IF(ISNUMBER($E238),$E238,""))</f>
        <v/>
      </c>
      <c r="AS238" s="62">
        <f>IF(N($AQ238)&gt;0,INDEX(rLim_ADM,$AQ238),IF(ISNUMBER($F238),$F238,""))</f>
        <v/>
      </c>
    </row>
    <row r="239">
      <c r="A239" s="56">
        <f>IF(NOT((COUNTA($B239:$D239)+COUNTA($G239:$H239)+COUNTA($Q239))&gt;0),"",IF($V239="Macro",COUNTIFS($V$5:$V239,"Macro",$S$5:$S239,$S239),IF(N($U239)=0,"?",COUNTIFS(INDEX($V$5:$V$1000,1):INDEX($V$5:$V$1000,$U239-4),"Macro",INDEX($S$5:$S$1000,1):INDEX($S$5:$S$1000,$U239-4),INDEX($S$5:$S$1000,$U239-4))&amp;"."&amp;COUNTIFS($U$5:$U239,$U239,$V$5:$V239,"Sub"))))</f>
        <v/>
      </c>
      <c r="B239" s="57" t="n"/>
      <c r="C239" s="58" t="n"/>
      <c r="D239" s="58" t="n"/>
      <c r="E239" s="59">
        <f>IF(N($AQ239)&gt;0,INDEX(rIni_ADM,$AQ239),"")</f>
        <v/>
      </c>
      <c r="F239" s="59">
        <f>IF(N($AQ239)&gt;0,INDEX(rLim_ADM,$AQ239),"")</f>
        <v/>
      </c>
      <c r="G239" s="59" t="n"/>
      <c r="H239" s="60" t="n"/>
      <c r="I239" s="60">
        <f>IF(N($W239)=0,"",IF(AND($S239=MesCiclo,1&gt;SemanaActual),"",MIN(1,SUMIFS(OFFSET($A$1,ROW(),29,1000-ROW(),1),OFFSET($A$1,ROW(),20,1000-ROW(),1),ROW(),OFFSET($A$1,ROW(),21,1000-ROW(),1),"Sub"))))</f>
        <v/>
      </c>
      <c r="J239" s="60">
        <f>IF(N($W239)=0,"",IF(AND($S239=MesCiclo,2&gt;SemanaActual),"",MIN(1,SUMIFS(OFFSET($A$1,ROW(),30,1000-ROW(),1),OFFSET($A$1,ROW(),20,1000-ROW(),1),ROW(),OFFSET($A$1,ROW(),21,1000-ROW(),1),"Sub"))))</f>
        <v/>
      </c>
      <c r="K239" s="60">
        <f>IF(N($W239)=0,"",IF(AND($S239=MesCiclo,3&gt;SemanaActual),"",MIN(1,SUMIFS(OFFSET($A$1,ROW(),31,1000-ROW(),1),OFFSET($A$1,ROW(),20,1000-ROW(),1),ROW(),OFFSET($A$1,ROW(),21,1000-ROW(),1),"Sub"))))</f>
        <v/>
      </c>
      <c r="L239" s="60">
        <f>IF(N($W239)=0,"",IF(AND($S239=MesCiclo,4&gt;SemanaActual),"",MIN(1,SUMIFS(OFFSET($A$1,ROW(),32,1000-ROW(),1),OFFSET($A$1,ROW(),20,1000-ROW(),1),ROW(),OFFSET($A$1,ROW(),21,1000-ROW(),1),"Sub"))))</f>
        <v/>
      </c>
      <c r="M239" s="61">
        <f>IF(OR(NOT((COUNTA($B239:$D239)+COUNTA($G239:$H239)+COUNTA($Q239))&gt;0),$V239="Sub"),"",IF(ISNUMBER($G239),1,IF(N($W239)&gt;0,MIN(1,SUMIFS($Y$5:$Y$1000,$U$5:$U$1000,ROW(),$V$5:$V$1000,"Sub")),$Y239)))</f>
        <v/>
      </c>
      <c r="N239" s="56">
        <f>IF(OR($M239="",$V239="Sub"),"",IF($M239&gt;=1,"Completado",IF($M239&gt;0,"En curso","Pendiente")))</f>
        <v/>
      </c>
      <c r="O239" s="56">
        <f>IF(OR(NOT((COUNTA($B239:$D239)+COUNTA($G239:$H239)+COUNTA($Q239))&gt;0),$V239="Sub"),"",IF(ISNUMBER($G239),IF(AND(ISNUMBER($AS239),$G239&gt;$AS239),"Cumplida con "&amp;($G239-$AS239)&amp;IF($G239-$AS239=1," día"," días")&amp;" de retraso","Cumplida"),IF(N($M239)&gt;=1,"Cumplida",IF(NOT(ISNUMBER($AS239)),"Sin fecha límite",IF($AS239&lt;FechaRef,"Vencida hace "&amp;(FechaRef-$AS239)&amp;IF(FechaRef-$AS239=1," día"," días"),IF($AS239=FechaRef,"Vence hoy",IF($AS239-FechaRef&lt;=DiasAlerta,"Vence en "&amp;($AS239-FechaRef)&amp;IF($AS239-FechaRef=1," día"," días"),"En plazo")))))))</f>
        <v/>
      </c>
      <c r="P239" s="62" t="n"/>
      <c r="Q239" s="58" t="n"/>
      <c r="R239" s="63">
        <f>IF(NOT((COUNTA($B239:$D239)+COUNTA($G239:$H239)+COUNTA($Q239))&gt;0),"",IF((IF($C239="","Falta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 OK","⚠ "&amp;LEFT(IF($C239="","Falta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",""),LEN(IF($C239="","Falta el nombre de la actividad"&amp;" · ","")&amp;IF(AND($V239="Sub",N($U239)=0),"Subactividad sin macroactividad arriba"&amp;" · ","")&amp;IF(AND($V239="Macro",$AR239=""),"Sin fecha de inicio"&amp;" · ","")&amp;IF(AND($V239="Macro",$AS239=""),"Sin fecha límite"&amp;" · ","")&amp;IF(AND(LEFT($C239,11)="[Jefatura] ",N($AQ239)=0),"No se encuentra en la hoja de la jefatura (elíjala de nuevo en la lista)"&amp;" · ","")&amp;IF(OR(AND($E239&lt;&gt;"",NOT(ISNUMBER($E239))),AND($F239&lt;&gt;"",NOT(ISNUMBER($F239))),AND($G239&lt;&gt;"",NOT(ISNUMBER($G239)))),"Fecha no válida"&amp;" · ","")&amp;IF(AND(ISNUMBER($AR239),ISNUMBER($AS239),$AR239&gt;$AS239),"Inicio posterior a fecha límite"&amp;" · ","")&amp;IF(AND($V239="Macro",$H239&lt;&gt;"",OR(NOT(ISNUMBER($H239)),$H239&lt;0,$H239&gt;1)),"Peso fuera de rango"&amp;" · ","")&amp;IF(AND($V239="Sub",$H239&lt;&gt;"",OR(NOT(ISNUMBER($H239)),$H239&lt;0,$H239&gt;1)),"% de la subactividad fuera de rango 0-100%"&amp;" · ","")&amp;IF(AND(N($W239)&gt;0,SUMIFS($H$5:$H$1000,$U$5:$U$1000,ROW(),$V$5:$V$1000,"Sub")&gt;1.0001),"Las subactividades suman más de 100%"&amp;" · ","")&amp;IF(AND(N($W239)&gt;0,OR(IF(ISNUMBER($I239),ROUND($I239,6)&lt;&gt;ROUND(MIN(1,SUMIFS($AD$5:$AD$1000,$U$5:$U$1000,ROW(),$V$5:$V$1000,"Sub")),6),FALSE),IF(ISNUMBER($J239),ROUND($J239,6)&lt;&gt;ROUND(MIN(1,SUMIFS($AE$5:$AE$1000,$U$5:$U$1000,ROW(),$V$5:$V$1000,"Sub")),6),FALSE),IF(ISNUMBER($K239),ROUND($K239,6)&lt;&gt;ROUND(MIN(1,SUMIFS($AF$5:$AF$1000,$U$5:$U$1000,ROW(),$V$5:$V$1000,"Sub")),6),FALSE),IF(ISNUMBER($L239),ROUND($L239,6)&lt;&gt;ROUND(MIN(1,SUMIFS($AG$5:$AG$1000,$U$5:$U$1000,ROW(),$V$5:$V$1000,"Sub")),6),FALSE))),"Con subactividades: no escriba en las semanas (se llenan solas)"&amp;" · ","")&amp;IF((COUNTIF($I239:$L239,"&gt;1")+COUNTIF($I239:$L239,"&lt;0")+SUMPRODUCT((LEN($I239:$L239)&gt;0)*NOT(ISNUMBER($I239:$L239))))&gt;0,"Avance fuera de rango 0-100%"&amp;" · ","")&amp;IF(OR(AND(ISNUMBER($J239),$J239&lt;N($I239)),AND(ISNUMBER($K239),$K239&lt;MAX($I239:$J239)),AND(ISNUMBER($L239),$L239&lt;MAX($I239:$K239))),"Avance semanal decreciente"&amp;" · ","")&amp;IF(AND(ISNUMBER($AS239),$AS239&lt;FechaRef,IF($V239="Sub",1,N($M239))&lt;1),"Vencida"&amp;" · ","")&amp;IF(AND(ObsObligatoria="Sí",ISNUMBER($AS239),$AS239&lt;FechaRef,IF($V239="Sub",1,N($M239))&lt;1,$Q239=""),"Vencida sin observación"&amp;" · ",""))-3)))</f>
        <v/>
      </c>
      <c r="S239" s="64">
        <f>IF(NOT((COUNTA($B239:$D239)+COUNTA($G239:$H239)+COUNTA($Q239))&gt;0),"",IF(AND($V239="Sub",N($U239)&gt;0),IF(ISNUMBER(INDEX($AR$5:$AR$1000,$U239-4)),DATE(YEAR(INDEX($AR$5:$AR$1000,$U239-4)),MONTH(INDEX($AR$5:$AR$1000,$U239-4)),1),IF(ISNUMBER(INDEX($AS$5:$AS$1000,$U239-4)),DATE(YEAR(INDEX($AS$5:$AS$1000,$U239-4)),MONTH(INDEX($AS$5:$AS$1000,$U239-4)),1),MesCiclo)),IF(ISNUMBER($AR239),DATE(YEAR($AR239),MONTH($AR239),1),IF(ISNUMBER($AS239),DATE(YEAR($AS239),MONTH($AS239),1),MesCiclo))))</f>
        <v/>
      </c>
      <c r="T239" s="62">
        <f>IF(OR($S239="",$S239&lt;&gt;MesCiclo,$V239&lt;&gt;"Macro"),"",COUNTIFS($S$5:$S239,MesCiclo,$V$5:$V239,"Macro"))</f>
        <v/>
      </c>
      <c r="U239" s="62">
        <f>IF($V239="","",IF($V239="Macro",ROW(),IFERROR(LOOKUP(2,1/($V$5:$V239="Macro"),ROW($V$5:$V239)),0)))</f>
        <v/>
      </c>
      <c r="V239" s="62">
        <f>IF(NOT((COUNTA($B239:$D239)+COUNTA($G239:$H239)+COUNTA($Q239))&gt;0),"",IF($B239="Subactividad","Sub","Macro"))</f>
        <v/>
      </c>
      <c r="W239" s="62">
        <f>IF($V239="Macro",COUNTIFS($U$5:$U$1000,ROW(),$V$5:$V$1000,"Sub"),"")</f>
        <v/>
      </c>
      <c r="X239" s="62">
        <f>IF($V239&lt;&gt;"Sub","",IF(AND(ISNUMBER($H239),N($H239)&gt;0),$H239,IFERROR(MAX(0,1-SUMIFS($H$5:$H$1000,$U$5:$U$1000,$U239,$V$5:$V$1000,"Sub"))/(COUNTIFS($U$5:$U$1000,$U239,$V$5:$V$1000,"Sub")-COUNTIFS($U$5:$U$1000,$U239,$V$5:$V$1000,"Sub",$H$5:$H$1000,"&gt;0")),0)))</f>
        <v/>
      </c>
      <c r="Y239" s="62">
        <f>IF($V239="","",IF($V239="Sub",N($X239)*IF(ISNUMBER($G239),1,MIN(1,MAX(0,IFERROR(LOOKUP(2,1/ISNUMBER($I239:$L239),$I239:$L239),0)))),IF(ISNUMBER($G239),1,IFERROR(LOOKUP(2,1/($I239:$L239&lt;&gt;""),$I239:$L239),0))))</f>
        <v/>
      </c>
      <c r="Z239" s="62">
        <f>IF($V239="","",IF(AND(ISNUMBER($G239),$G239&lt;=IF($S239=MesCiclo,InicioCiclo,$S239+MOD(2-WEEKDAY($S239),7))+6),1,IF(ISNUMBER($I239),$I239,0)))</f>
        <v/>
      </c>
      <c r="AA239" s="62">
        <f>IF($V239="","",IF(AND(ISNUMBER($G239),$G239&lt;=IF($S239=MesCiclo,InicioCiclo,$S239+MOD(2-WEEKDAY($S239),7))+13),1,IF(ISNUMBER($J239),$J239,$Z239)))</f>
        <v/>
      </c>
      <c r="AB239" s="62">
        <f>IF($V239="","",IF(AND(ISNUMBER($G239),$G239&lt;=IF($S239=MesCiclo,InicioCiclo,$S239+MOD(2-WEEKDAY($S239),7))+20),1,IF(ISNUMBER($K239),$K239,$AA239)))</f>
        <v/>
      </c>
      <c r="AC239" s="62">
        <f>IF($V239="","",IF(AND(ISNUMBER($G239),$G239&lt;=IF($S239=MesCiclo,InicioCiclo,$S239+MOD(2-WEEKDAY($S239),7))+27),1,IF(ISNUMBER($L239),$L239,$AB239)))</f>
        <v/>
      </c>
      <c r="AD239" s="62">
        <f>IF($V239&lt;&gt;"Sub","",N($X239)*IF(AND(ISNUMBER($G239),$G239&lt;=IF($S239=MesCiclo,InicioCiclo,$S239+MOD(2-WEEKDAY($S239),7))+6),1,MIN(1,MAX(0,IF(ISNUMBER(OFFSET($A$1,ROW()-1,8)),OFFSET($A$1,ROW()-1,8),0)))))</f>
        <v/>
      </c>
      <c r="AE239" s="62">
        <f>IF($V239&lt;&gt;"Sub","",N($X239)*IF(AND(ISNUMBER($G239),$G239&lt;=IF($S239=MesCiclo,InicioCiclo,$S239+MOD(2-WEEKDAY($S239),7))+13),1,MIN(1,MAX(0,IF(ISNUMBER(OFFSET($A$1,ROW()-1,9)),OFFSET($A$1,ROW()-1,9),IF(ISNUMBER(OFFSET($A$1,ROW()-1,8)),OFFSET($A$1,ROW()-1,8),0))))))</f>
        <v/>
      </c>
      <c r="AF239" s="62">
        <f>IF($V239&lt;&gt;"Sub","",N($X239)*IF(AND(ISNUMBER($G239),$G239&lt;=IF($S239=MesCiclo,InicioCiclo,$S239+MOD(2-WEEKDAY($S239),7))+20),1,MIN(1,MAX(0,IF(ISNUMBER(OFFSET($A$1,ROW()-1,10)),OFFSET($A$1,ROW()-1,10),IF(ISNUMBER(OFFSET($A$1,ROW()-1,9)),OFFSET($A$1,ROW()-1,9),IF(ISNUMBER(OFFSET($A$1,ROW()-1,8)),OFFSET($A$1,ROW()-1,8),0)))))))</f>
        <v/>
      </c>
      <c r="AG239" s="62">
        <f>IF($V239&lt;&gt;"Sub","",N($X239)*IF(AND(ISNUMBER($G239),$G239&lt;=IF($S239=MesCiclo,InicioCiclo,$S239+MOD(2-WEEKDAY($S239),7))+27),1,MIN(1,MAX(0,IF(ISNUMBER(OFFSET($A$1,ROW()-1,11)),OFFSET($A$1,ROW()-1,11),IF(ISNUMBER(OFFSET($A$1,ROW()-1,10)),OFFSET($A$1,ROW()-1,10),IF(ISNUMBER(OFFSET($A$1,ROW()-1,9)),OFFSET($A$1,ROW()-1,9),IF(ISNUMBER(OFFSET($A$1,ROW()-1,8)),OFFSET($A$1,ROW()-1,8),0))))))))</f>
        <v/>
      </c>
      <c r="AH239" s="62">
        <f>IF($V239="","",IF(AND(ISNUMBER($G239),$G239&lt;=IF($S239=MesCiclo,InicioCiclo,$S239+MOD(2-WEEKDAY($S239),7))+6),1,IF(N($W239)&gt;0,MIN(1,SUMIFS($AD$5:$AD$1000,$U$5:$U$1000,ROW(),$V$5:$V$1000,"Sub")),$Z239)))</f>
        <v/>
      </c>
      <c r="AI239" s="62">
        <f>IF($V239="","",IF(AND(ISNUMBER($G239),$G239&lt;=IF($S239=MesCiclo,InicioCiclo,$S239+MOD(2-WEEKDAY($S239),7))+13),1,IF(N($W239)&gt;0,MIN(1,SUMIFS($AE$5:$AE$1000,$U$5:$U$1000,ROW(),$V$5:$V$1000,"Sub")),$AA239)))</f>
        <v/>
      </c>
      <c r="AJ239" s="62">
        <f>IF($V239="","",IF(AND(ISNUMBER($G239),$G239&lt;=IF($S239=MesCiclo,InicioCiclo,$S239+MOD(2-WEEKDAY($S239),7))+20),1,IF(N($W239)&gt;0,MIN(1,SUMIFS($AF$5:$AF$1000,$U$5:$U$1000,ROW(),$V$5:$V$1000,"Sub")),$AB239)))</f>
        <v/>
      </c>
      <c r="AK239" s="62">
        <f>IF($V239="","",IF(AND(ISNUMBER($G239),$G239&lt;=IF($S239=MesCiclo,InicioCiclo,$S239+MOD(2-WEEKDAY($S239),7))+27),1,IF(N($W239)&gt;0,MIN(1,SUMIFS($AG$5:$AG$1000,$U$5:$U$1000,ROW(),$V$5:$V$1000,"Sub")),$AC239)))</f>
        <v/>
      </c>
      <c r="AL239" s="62">
        <f>IF($V239&lt;&gt;"Macro","",IF(COUNTIFS($S$5:$S$1000,$S239,$V$5:$V$1000,"Macro",$H$5:$H$1000,"&gt;0")=0,1/COUNTIFS($S$5:$S$1000,$S239,$V$5:$V$1000,"Macro"),IF(AND(ISNUMBER($H239),N($H239)&gt;0),$H239,SUMIFS($H$5:$H$1000,$S$5:$S$1000,$S239,$V$5:$V$1000,"Macro")/COUNTIFS($S$5:$S$1000,$S239,$V$5:$V$1000,"Macro",$H$5:$H$1000,"&gt;0"))/(COUNTIFS($S$5:$S$1000,$S239,$V$5:$V$1000,"Macro")*SUMIFS($H$5:$H$1000,$S$5:$S$1000,$S239,$V$5:$V$1000,"Macro")/COUNTIFS($S$5:$S$1000,$S239,$V$5:$V$1000,"Macro",$H$5:$H$1000,"&gt;0"))))</f>
        <v/>
      </c>
      <c r="AM239" s="62" t="n"/>
      <c r="AN239" s="62" t="n"/>
      <c r="AO239" s="62" t="n"/>
      <c r="AP239" s="62" t="n"/>
      <c r="AQ239" s="62">
        <f>IF(LEFT($C239,11)="[Jefatura] ",IFERROR(MATCH("Asistente Técnico de Riesgo|"&amp;MID($C239,12,500),rDname_ADM,0),0),"")</f>
        <v/>
      </c>
      <c r="AR239" s="62">
        <f>IF(N($AQ239)&gt;0,INDEX(rIni_ADM,$AQ239),IF(ISNUMBER($E239),$E239,""))</f>
        <v/>
      </c>
      <c r="AS239" s="62">
        <f>IF(N($AQ239)&gt;0,INDEX(rLim_ADM,$AQ239),IF(ISNUMBER($F239),$F239,""))</f>
        <v/>
      </c>
    </row>
    <row r="240">
      <c r="A240" s="56">
        <f>IF(NOT((COUNTA($B240:$D240)+COUNTA($G240:$H240)+COUNTA($Q240))&gt;0),"",IF($V240="Macro",COUNTIFS($V$5:$V240,"Macro",$S$5:$S240,$S240),IF(N($U240)=0,"?",COUNTIFS(INDEX($V$5:$V$1000,1):INDEX($V$5:$V$1000,$U240-4),"Macro",INDEX($S$5:$S$1000,1):INDEX($S$5:$S$1000,$U240-4),INDEX($S$5:$S$1000,$U240-4))&amp;"."&amp;COUNTIFS($U$5:$U240,$U240,$V$5:$V240,"Sub"))))</f>
        <v/>
      </c>
      <c r="B240" s="57" t="n"/>
      <c r="C240" s="58" t="n"/>
      <c r="D240" s="58" t="n"/>
      <c r="E240" s="59">
        <f>IF(N($AQ240)&gt;0,INDEX(rIni_ADM,$AQ240),"")</f>
        <v/>
      </c>
      <c r="F240" s="59">
        <f>IF(N($AQ240)&gt;0,INDEX(rLim_ADM,$AQ240),"")</f>
        <v/>
      </c>
      <c r="G240" s="59" t="n"/>
      <c r="H240" s="60" t="n"/>
      <c r="I240" s="60">
        <f>IF(N($W240)=0,"",IF(AND($S240=MesCiclo,1&gt;SemanaActual),"",MIN(1,SUMIFS(OFFSET($A$1,ROW(),29,1000-ROW(),1),OFFSET($A$1,ROW(),20,1000-ROW(),1),ROW(),OFFSET($A$1,ROW(),21,1000-ROW(),1),"Sub"))))</f>
        <v/>
      </c>
      <c r="J240" s="60">
        <f>IF(N($W240)=0,"",IF(AND($S240=MesCiclo,2&gt;SemanaActual),"",MIN(1,SUMIFS(OFFSET($A$1,ROW(),30,1000-ROW(),1),OFFSET($A$1,ROW(),20,1000-ROW(),1),ROW(),OFFSET($A$1,ROW(),21,1000-ROW(),1),"Sub"))))</f>
        <v/>
      </c>
      <c r="K240" s="60">
        <f>IF(N($W240)=0,"",IF(AND($S240=MesCiclo,3&gt;SemanaActual),"",MIN(1,SUMIFS(OFFSET($A$1,ROW(),31,1000-ROW(),1),OFFSET($A$1,ROW(),20,1000-ROW(),1),ROW(),OFFSET($A$1,ROW(),21,1000-ROW(),1),"Sub"))))</f>
        <v/>
      </c>
      <c r="L240" s="60">
        <f>IF(N($W240)=0,"",IF(AND($S240=MesCiclo,4&gt;SemanaActual),"",MIN(1,SUMIFS(OFFSET($A$1,ROW(),32,1000-ROW(),1),OFFSET($A$1,ROW(),20,1000-ROW(),1),ROW(),OFFSET($A$1,ROW(),21,1000-ROW(),1),"Sub"))))</f>
        <v/>
      </c>
      <c r="M240" s="61">
        <f>IF(OR(NOT((COUNTA($B240:$D240)+COUNTA($G240:$H240)+COUNTA($Q240))&gt;0),$V240="Sub"),"",IF(ISNUMBER($G240),1,IF(N($W240)&gt;0,MIN(1,SUMIFS($Y$5:$Y$1000,$U$5:$U$1000,ROW(),$V$5:$V$1000,"Sub")),$Y240)))</f>
        <v/>
      </c>
      <c r="N240" s="56">
        <f>IF(OR($M240="",$V240="Sub"),"",IF($M240&gt;=1,"Completado",IF($M240&gt;0,"En curso","Pendiente")))</f>
        <v/>
      </c>
      <c r="O240" s="56">
        <f>IF(OR(NOT((COUNTA($B240:$D240)+COUNTA($G240:$H240)+COUNTA($Q240))&gt;0),$V240="Sub"),"",IF(ISNUMBER($G240),IF(AND(ISNUMBER($AS240),$G240&gt;$AS240),"Cumplida con "&amp;($G240-$AS240)&amp;IF($G240-$AS240=1," día"," días")&amp;" de retraso","Cumplida"),IF(N($M240)&gt;=1,"Cumplida",IF(NOT(ISNUMBER($AS240)),"Sin fecha límite",IF($AS240&lt;FechaRef,"Vencida hace "&amp;(FechaRef-$AS240)&amp;IF(FechaRef-$AS240=1," día"," días"),IF($AS240=FechaRef,"Vence hoy",IF($AS240-FechaRef&lt;=DiasAlerta,"Vence en "&amp;($AS240-FechaRef)&amp;IF($AS240-FechaRef=1," día"," días"),"En plazo")))))))</f>
        <v/>
      </c>
      <c r="P240" s="62" t="n"/>
      <c r="Q240" s="58" t="n"/>
      <c r="R240" s="63">
        <f>IF(NOT((COUNTA($B240:$D240)+COUNTA($G240:$H240)+COUNTA($Q240))&gt;0),"",IF((IF($C240="","Falta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 OK","⚠ "&amp;LEFT(IF($C240="","Falta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",""),LEN(IF($C240="","Falta el nombre de la actividad"&amp;" · ","")&amp;IF(AND($V240="Sub",N($U240)=0),"Subactividad sin macroactividad arriba"&amp;" · ","")&amp;IF(AND($V240="Macro",$AR240=""),"Sin fecha de inicio"&amp;" · ","")&amp;IF(AND($V240="Macro",$AS240=""),"Sin fecha límite"&amp;" · ","")&amp;IF(AND(LEFT($C240,11)="[Jefatura] ",N($AQ240)=0),"No se encuentra en la hoja de la jefatura (elíjala de nuevo en la lista)"&amp;" · ","")&amp;IF(OR(AND($E240&lt;&gt;"",NOT(ISNUMBER($E240))),AND($F240&lt;&gt;"",NOT(ISNUMBER($F240))),AND($G240&lt;&gt;"",NOT(ISNUMBER($G240)))),"Fecha no válida"&amp;" · ","")&amp;IF(AND(ISNUMBER($AR240),ISNUMBER($AS240),$AR240&gt;$AS240),"Inicio posterior a fecha límite"&amp;" · ","")&amp;IF(AND($V240="Macro",$H240&lt;&gt;"",OR(NOT(ISNUMBER($H240)),$H240&lt;0,$H240&gt;1)),"Peso fuera de rango"&amp;" · ","")&amp;IF(AND($V240="Sub",$H240&lt;&gt;"",OR(NOT(ISNUMBER($H240)),$H240&lt;0,$H240&gt;1)),"% de la subactividad fuera de rango 0-100%"&amp;" · ","")&amp;IF(AND(N($W240)&gt;0,SUMIFS($H$5:$H$1000,$U$5:$U$1000,ROW(),$V$5:$V$1000,"Sub")&gt;1.0001),"Las subactividades suman más de 100%"&amp;" · ","")&amp;IF(AND(N($W240)&gt;0,OR(IF(ISNUMBER($I240),ROUND($I240,6)&lt;&gt;ROUND(MIN(1,SUMIFS($AD$5:$AD$1000,$U$5:$U$1000,ROW(),$V$5:$V$1000,"Sub")),6),FALSE),IF(ISNUMBER($J240),ROUND($J240,6)&lt;&gt;ROUND(MIN(1,SUMIFS($AE$5:$AE$1000,$U$5:$U$1000,ROW(),$V$5:$V$1000,"Sub")),6),FALSE),IF(ISNUMBER($K240),ROUND($K240,6)&lt;&gt;ROUND(MIN(1,SUMIFS($AF$5:$AF$1000,$U$5:$U$1000,ROW(),$V$5:$V$1000,"Sub")),6),FALSE),IF(ISNUMBER($L240),ROUND($L240,6)&lt;&gt;ROUND(MIN(1,SUMIFS($AG$5:$AG$1000,$U$5:$U$1000,ROW(),$V$5:$V$1000,"Sub")),6),FALSE))),"Con subactividades: no escriba en las semanas (se llenan solas)"&amp;" · ","")&amp;IF((COUNTIF($I240:$L240,"&gt;1")+COUNTIF($I240:$L240,"&lt;0")+SUMPRODUCT((LEN($I240:$L240)&gt;0)*NOT(ISNUMBER($I240:$L240))))&gt;0,"Avance fuera de rango 0-100%"&amp;" · ","")&amp;IF(OR(AND(ISNUMBER($J240),$J240&lt;N($I240)),AND(ISNUMBER($K240),$K240&lt;MAX($I240:$J240)),AND(ISNUMBER($L240),$L240&lt;MAX($I240:$K240))),"Avance semanal decreciente"&amp;" · ","")&amp;IF(AND(ISNUMBER($AS240),$AS240&lt;FechaRef,IF($V240="Sub",1,N($M240))&lt;1),"Vencida"&amp;" · ","")&amp;IF(AND(ObsObligatoria="Sí",ISNUMBER($AS240),$AS240&lt;FechaRef,IF($V240="Sub",1,N($M240))&lt;1,$Q240=""),"Vencida sin observación"&amp;" · ",""))-3)))</f>
        <v/>
      </c>
      <c r="S240" s="64">
        <f>IF(NOT((COUNTA($B240:$D240)+COUNTA($G240:$H240)+COUNTA($Q240))&gt;0),"",IF(AND($V240="Sub",N($U240)&gt;0),IF(ISNUMBER(INDEX($AR$5:$AR$1000,$U240-4)),DATE(YEAR(INDEX($AR$5:$AR$1000,$U240-4)),MONTH(INDEX($AR$5:$AR$1000,$U240-4)),1),IF(ISNUMBER(INDEX($AS$5:$AS$1000,$U240-4)),DATE(YEAR(INDEX($AS$5:$AS$1000,$U240-4)),MONTH(INDEX($AS$5:$AS$1000,$U240-4)),1),MesCiclo)),IF(ISNUMBER($AR240),DATE(YEAR($AR240),MONTH($AR240),1),IF(ISNUMBER($AS240),DATE(YEAR($AS240),MONTH($AS240),1),MesCiclo))))</f>
        <v/>
      </c>
      <c r="T240" s="62">
        <f>IF(OR($S240="",$S240&lt;&gt;MesCiclo,$V240&lt;&gt;"Macro"),"",COUNTIFS($S$5:$S240,MesCiclo,$V$5:$V240,"Macro"))</f>
        <v/>
      </c>
      <c r="U240" s="62">
        <f>IF($V240="","",IF($V240="Macro",ROW(),IFERROR(LOOKUP(2,1/($V$5:$V240="Macro"),ROW($V$5:$V240)),0)))</f>
        <v/>
      </c>
      <c r="V240" s="62">
        <f>IF(NOT((COUNTA($B240:$D240)+COUNTA($G240:$H240)+COUNTA($Q240))&gt;0),"",IF($B240="Subactividad","Sub","Macro"))</f>
        <v/>
      </c>
      <c r="W240" s="62">
        <f>IF($V240="Macro",COUNTIFS($U$5:$U$1000,ROW(),$V$5:$V$1000,"Sub"),"")</f>
        <v/>
      </c>
      <c r="X240" s="62">
        <f>IF($V240&lt;&gt;"Sub","",IF(AND(ISNUMBER($H240),N($H240)&gt;0),$H240,IFERROR(MAX(0,1-SUMIFS($H$5:$H$1000,$U$5:$U$1000,$U240,$V$5:$V$1000,"Sub"))/(COUNTIFS($U$5:$U$1000,$U240,$V$5:$V$1000,"Sub")-COUNTIFS($U$5:$U$1000,$U240,$V$5:$V$1000,"Sub",$H$5:$H$1000,"&gt;0")),0)))</f>
        <v/>
      </c>
      <c r="Y240" s="62">
        <f>IF($V240="","",IF($V240="Sub",N($X240)*IF(ISNUMBER($G240),1,MIN(1,MAX(0,IFERROR(LOOKUP(2,1/ISNUMBER($I240:$L240),$I240:$L240),0)))),IF(ISNUMBER($G240),1,IFERROR(LOOKUP(2,1/($I240:$L240&lt;&gt;""),$I240:$L240),0))))</f>
        <v/>
      </c>
      <c r="Z240" s="62">
        <f>IF($V240="","",IF(AND(ISNUMBER($G240),$G240&lt;=IF($S240=MesCiclo,InicioCiclo,$S240+MOD(2-WEEKDAY($S240),7))+6),1,IF(ISNUMBER($I240),$I240,0)))</f>
        <v/>
      </c>
      <c r="AA240" s="62">
        <f>IF($V240="","",IF(AND(ISNUMBER($G240),$G240&lt;=IF($S240=MesCiclo,InicioCiclo,$S240+MOD(2-WEEKDAY($S240),7))+13),1,IF(ISNUMBER($J240),$J240,$Z240)))</f>
        <v/>
      </c>
      <c r="AB240" s="62">
        <f>IF($V240="","",IF(AND(ISNUMBER($G240),$G240&lt;=IF($S240=MesCiclo,InicioCiclo,$S240+MOD(2-WEEKDAY($S240),7))+20),1,IF(ISNUMBER($K240),$K240,$AA240)))</f>
        <v/>
      </c>
      <c r="AC240" s="62">
        <f>IF($V240="","",IF(AND(ISNUMBER($G240),$G240&lt;=IF($S240=MesCiclo,InicioCiclo,$S240+MOD(2-WEEKDAY($S240),7))+27),1,IF(ISNUMBER($L240),$L240,$AB240)))</f>
        <v/>
      </c>
      <c r="AD240" s="62">
        <f>IF($V240&lt;&gt;"Sub","",N($X240)*IF(AND(ISNUMBER($G240),$G240&lt;=IF($S240=MesCiclo,InicioCiclo,$S240+MOD(2-WEEKDAY($S240),7))+6),1,MIN(1,MAX(0,IF(ISNUMBER(OFFSET($A$1,ROW()-1,8)),OFFSET($A$1,ROW()-1,8),0)))))</f>
        <v/>
      </c>
      <c r="AE240" s="62">
        <f>IF($V240&lt;&gt;"Sub","",N($X240)*IF(AND(ISNUMBER($G240),$G240&lt;=IF($S240=MesCiclo,InicioCiclo,$S240+MOD(2-WEEKDAY($S240),7))+13),1,MIN(1,MAX(0,IF(ISNUMBER(OFFSET($A$1,ROW()-1,9)),OFFSET($A$1,ROW()-1,9),IF(ISNUMBER(OFFSET($A$1,ROW()-1,8)),OFFSET($A$1,ROW()-1,8),0))))))</f>
        <v/>
      </c>
      <c r="AF240" s="62">
        <f>IF($V240&lt;&gt;"Sub","",N($X240)*IF(AND(ISNUMBER($G240),$G240&lt;=IF($S240=MesCiclo,InicioCiclo,$S240+MOD(2-WEEKDAY($S240),7))+20),1,MIN(1,MAX(0,IF(ISNUMBER(OFFSET($A$1,ROW()-1,10)),OFFSET($A$1,ROW()-1,10),IF(ISNUMBER(OFFSET($A$1,ROW()-1,9)),OFFSET($A$1,ROW()-1,9),IF(ISNUMBER(OFFSET($A$1,ROW()-1,8)),OFFSET($A$1,ROW()-1,8),0)))))))</f>
        <v/>
      </c>
      <c r="AG240" s="62">
        <f>IF($V240&lt;&gt;"Sub","",N($X240)*IF(AND(ISNUMBER($G240),$G240&lt;=IF($S240=MesCiclo,InicioCiclo,$S240+MOD(2-WEEKDAY($S240),7))+27),1,MIN(1,MAX(0,IF(ISNUMBER(OFFSET($A$1,ROW()-1,11)),OFFSET($A$1,ROW()-1,11),IF(ISNUMBER(OFFSET($A$1,ROW()-1,10)),OFFSET($A$1,ROW()-1,10),IF(ISNUMBER(OFFSET($A$1,ROW()-1,9)),OFFSET($A$1,ROW()-1,9),IF(ISNUMBER(OFFSET($A$1,ROW()-1,8)),OFFSET($A$1,ROW()-1,8),0))))))))</f>
        <v/>
      </c>
      <c r="AH240" s="62">
        <f>IF($V240="","",IF(AND(ISNUMBER($G240),$G240&lt;=IF($S240=MesCiclo,InicioCiclo,$S240+MOD(2-WEEKDAY($S240),7))+6),1,IF(N($W240)&gt;0,MIN(1,SUMIFS($AD$5:$AD$1000,$U$5:$U$1000,ROW(),$V$5:$V$1000,"Sub")),$Z240)))</f>
        <v/>
      </c>
      <c r="AI240" s="62">
        <f>IF($V240="","",IF(AND(ISNUMBER($G240),$G240&lt;=IF($S240=MesCiclo,InicioCiclo,$S240+MOD(2-WEEKDAY($S240),7))+13),1,IF(N($W240)&gt;0,MIN(1,SUMIFS($AE$5:$AE$1000,$U$5:$U$1000,ROW(),$V$5:$V$1000,"Sub")),$AA240)))</f>
        <v/>
      </c>
      <c r="AJ240" s="62">
        <f>IF($V240="","",IF(AND(ISNUMBER($G240),$G240&lt;=IF($S240=MesCiclo,InicioCiclo,$S240+MOD(2-WEEKDAY($S240),7))+20),1,IF(N($W240)&gt;0,MIN(1,SUMIFS($AF$5:$AF$1000,$U$5:$U$1000,ROW(),$V$5:$V$1000,"Sub")),$AB240)))</f>
        <v/>
      </c>
      <c r="AK240" s="62">
        <f>IF($V240="","",IF(AND(ISNUMBER($G240),$G240&lt;=IF($S240=MesCiclo,InicioCiclo,$S240+MOD(2-WEEKDAY($S240),7))+27),1,IF(N($W240)&gt;0,MIN(1,SUMIFS($AG$5:$AG$1000,$U$5:$U$1000,ROW(),$V$5:$V$1000,"Sub")),$AC240)))</f>
        <v/>
      </c>
      <c r="AL240" s="62">
        <f>IF($V240&lt;&gt;"Macro","",IF(COUNTIFS($S$5:$S$1000,$S240,$V$5:$V$1000,"Macro",$H$5:$H$1000,"&gt;0")=0,1/COUNTIFS($S$5:$S$1000,$S240,$V$5:$V$1000,"Macro"),IF(AND(ISNUMBER($H240),N($H240)&gt;0),$H240,SUMIFS($H$5:$H$1000,$S$5:$S$1000,$S240,$V$5:$V$1000,"Macro")/COUNTIFS($S$5:$S$1000,$S240,$V$5:$V$1000,"Macro",$H$5:$H$1000,"&gt;0"))/(COUNTIFS($S$5:$S$1000,$S240,$V$5:$V$1000,"Macro")*SUMIFS($H$5:$H$1000,$S$5:$S$1000,$S240,$V$5:$V$1000,"Macro")/COUNTIFS($S$5:$S$1000,$S240,$V$5:$V$1000,"Macro",$H$5:$H$1000,"&gt;0"))))</f>
        <v/>
      </c>
      <c r="AM240" s="62" t="n"/>
      <c r="AN240" s="62" t="n"/>
      <c r="AO240" s="62" t="n"/>
      <c r="AP240" s="62" t="n"/>
      <c r="AQ240" s="62">
        <f>IF(LEFT($C240,11)="[Jefatura] ",IFERROR(MATCH("Asistente Técnico de Riesgo|"&amp;MID($C240,12,500),rDname_ADM,0),0),"")</f>
        <v/>
      </c>
      <c r="AR240" s="62">
        <f>IF(N($AQ240)&gt;0,INDEX(rIni_ADM,$AQ240),IF(ISNUMBER($E240),$E240,""))</f>
        <v/>
      </c>
      <c r="AS240" s="62">
        <f>IF(N($AQ240)&gt;0,INDEX(rLim_ADM,$AQ240),IF(ISNUMBER($F240),$F240,""))</f>
        <v/>
      </c>
    </row>
    <row r="241">
      <c r="A241" s="56">
        <f>IF(NOT((COUNTA($B241:$D241)+COUNTA($G241:$H241)+COUNTA($Q241))&gt;0),"",IF($V241="Macro",COUNTIFS($V$5:$V241,"Macro",$S$5:$S241,$S241),IF(N($U241)=0,"?",COUNTIFS(INDEX($V$5:$V$1000,1):INDEX($V$5:$V$1000,$U241-4),"Macro",INDEX($S$5:$S$1000,1):INDEX($S$5:$S$1000,$U241-4),INDEX($S$5:$S$1000,$U241-4))&amp;"."&amp;COUNTIFS($U$5:$U241,$U241,$V$5:$V241,"Sub"))))</f>
        <v/>
      </c>
      <c r="B241" s="57" t="n"/>
      <c r="C241" s="58" t="n"/>
      <c r="D241" s="58" t="n"/>
      <c r="E241" s="59">
        <f>IF(N($AQ241)&gt;0,INDEX(rIni_ADM,$AQ241),"")</f>
        <v/>
      </c>
      <c r="F241" s="59">
        <f>IF(N($AQ241)&gt;0,INDEX(rLim_ADM,$AQ241),"")</f>
        <v/>
      </c>
      <c r="G241" s="59" t="n"/>
      <c r="H241" s="60" t="n"/>
      <c r="I241" s="60">
        <f>IF(N($W241)=0,"",IF(AND($S241=MesCiclo,1&gt;SemanaActual),"",MIN(1,SUMIFS(OFFSET($A$1,ROW(),29,1000-ROW(),1),OFFSET($A$1,ROW(),20,1000-ROW(),1),ROW(),OFFSET($A$1,ROW(),21,1000-ROW(),1),"Sub"))))</f>
        <v/>
      </c>
      <c r="J241" s="60">
        <f>IF(N($W241)=0,"",IF(AND($S241=MesCiclo,2&gt;SemanaActual),"",MIN(1,SUMIFS(OFFSET($A$1,ROW(),30,1000-ROW(),1),OFFSET($A$1,ROW(),20,1000-ROW(),1),ROW(),OFFSET($A$1,ROW(),21,1000-ROW(),1),"Sub"))))</f>
        <v/>
      </c>
      <c r="K241" s="60">
        <f>IF(N($W241)=0,"",IF(AND($S241=MesCiclo,3&gt;SemanaActual),"",MIN(1,SUMIFS(OFFSET($A$1,ROW(),31,1000-ROW(),1),OFFSET($A$1,ROW(),20,1000-ROW(),1),ROW(),OFFSET($A$1,ROW(),21,1000-ROW(),1),"Sub"))))</f>
        <v/>
      </c>
      <c r="L241" s="60">
        <f>IF(N($W241)=0,"",IF(AND($S241=MesCiclo,4&gt;SemanaActual),"",MIN(1,SUMIFS(OFFSET($A$1,ROW(),32,1000-ROW(),1),OFFSET($A$1,ROW(),20,1000-ROW(),1),ROW(),OFFSET($A$1,ROW(),21,1000-ROW(),1),"Sub"))))</f>
        <v/>
      </c>
      <c r="M241" s="61">
        <f>IF(OR(NOT((COUNTA($B241:$D241)+COUNTA($G241:$H241)+COUNTA($Q241))&gt;0),$V241="Sub"),"",IF(ISNUMBER($G241),1,IF(N($W241)&gt;0,MIN(1,SUMIFS($Y$5:$Y$1000,$U$5:$U$1000,ROW(),$V$5:$V$1000,"Sub")),$Y241)))</f>
        <v/>
      </c>
      <c r="N241" s="56">
        <f>IF(OR($M241="",$V241="Sub"),"",IF($M241&gt;=1,"Completado",IF($M241&gt;0,"En curso","Pendiente")))</f>
        <v/>
      </c>
      <c r="O241" s="56">
        <f>IF(OR(NOT((COUNTA($B241:$D241)+COUNTA($G241:$H241)+COUNTA($Q241))&gt;0),$V241="Sub"),"",IF(ISNUMBER($G241),IF(AND(ISNUMBER($AS241),$G241&gt;$AS241),"Cumplida con "&amp;($G241-$AS241)&amp;IF($G241-$AS241=1," día"," días")&amp;" de retraso","Cumplida"),IF(N($M241)&gt;=1,"Cumplida",IF(NOT(ISNUMBER($AS241)),"Sin fecha límite",IF($AS241&lt;FechaRef,"Vencida hace "&amp;(FechaRef-$AS241)&amp;IF(FechaRef-$AS241=1," día"," días"),IF($AS241=FechaRef,"Vence hoy",IF($AS241-FechaRef&lt;=DiasAlerta,"Vence en "&amp;($AS241-FechaRef)&amp;IF($AS241-FechaRef=1," día"," días"),"En plazo")))))))</f>
        <v/>
      </c>
      <c r="P241" s="62" t="n"/>
      <c r="Q241" s="58" t="n"/>
      <c r="R241" s="63">
        <f>IF(NOT((COUNTA($B241:$D241)+COUNTA($G241:$H241)+COUNTA($Q241))&gt;0),"",IF((IF($C241="","Falta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 OK","⚠ "&amp;LEFT(IF($C241="","Falta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",""),LEN(IF($C241="","Falta el nombre de la actividad"&amp;" · ","")&amp;IF(AND($V241="Sub",N($U241)=0),"Subactividad sin macroactividad arriba"&amp;" · ","")&amp;IF(AND($V241="Macro",$AR241=""),"Sin fecha de inicio"&amp;" · ","")&amp;IF(AND($V241="Macro",$AS241=""),"Sin fecha límite"&amp;" · ","")&amp;IF(AND(LEFT($C241,11)="[Jefatura] ",N($AQ241)=0),"No se encuentra en la hoja de la jefatura (elíjala de nuevo en la lista)"&amp;" · ","")&amp;IF(OR(AND($E241&lt;&gt;"",NOT(ISNUMBER($E241))),AND($F241&lt;&gt;"",NOT(ISNUMBER($F241))),AND($G241&lt;&gt;"",NOT(ISNUMBER($G241)))),"Fecha no válida"&amp;" · ","")&amp;IF(AND(ISNUMBER($AR241),ISNUMBER($AS241),$AR241&gt;$AS241),"Inicio posterior a fecha límite"&amp;" · ","")&amp;IF(AND($V241="Macro",$H241&lt;&gt;"",OR(NOT(ISNUMBER($H241)),$H241&lt;0,$H241&gt;1)),"Peso fuera de rango"&amp;" · ","")&amp;IF(AND($V241="Sub",$H241&lt;&gt;"",OR(NOT(ISNUMBER($H241)),$H241&lt;0,$H241&gt;1)),"% de la subactividad fuera de rango 0-100%"&amp;" · ","")&amp;IF(AND(N($W241)&gt;0,SUMIFS($H$5:$H$1000,$U$5:$U$1000,ROW(),$V$5:$V$1000,"Sub")&gt;1.0001),"Las subactividades suman más de 100%"&amp;" · ","")&amp;IF(AND(N($W241)&gt;0,OR(IF(ISNUMBER($I241),ROUND($I241,6)&lt;&gt;ROUND(MIN(1,SUMIFS($AD$5:$AD$1000,$U$5:$U$1000,ROW(),$V$5:$V$1000,"Sub")),6),FALSE),IF(ISNUMBER($J241),ROUND($J241,6)&lt;&gt;ROUND(MIN(1,SUMIFS($AE$5:$AE$1000,$U$5:$U$1000,ROW(),$V$5:$V$1000,"Sub")),6),FALSE),IF(ISNUMBER($K241),ROUND($K241,6)&lt;&gt;ROUND(MIN(1,SUMIFS($AF$5:$AF$1000,$U$5:$U$1000,ROW(),$V$5:$V$1000,"Sub")),6),FALSE),IF(ISNUMBER($L241),ROUND($L241,6)&lt;&gt;ROUND(MIN(1,SUMIFS($AG$5:$AG$1000,$U$5:$U$1000,ROW(),$V$5:$V$1000,"Sub")),6),FALSE))),"Con subactividades: no escriba en las semanas (se llenan solas)"&amp;" · ","")&amp;IF((COUNTIF($I241:$L241,"&gt;1")+COUNTIF($I241:$L241,"&lt;0")+SUMPRODUCT((LEN($I241:$L241)&gt;0)*NOT(ISNUMBER($I241:$L241))))&gt;0,"Avance fuera de rango 0-100%"&amp;" · ","")&amp;IF(OR(AND(ISNUMBER($J241),$J241&lt;N($I241)),AND(ISNUMBER($K241),$K241&lt;MAX($I241:$J241)),AND(ISNUMBER($L241),$L241&lt;MAX($I241:$K241))),"Avance semanal decreciente"&amp;" · ","")&amp;IF(AND(ISNUMBER($AS241),$AS241&lt;FechaRef,IF($V241="Sub",1,N($M241))&lt;1),"Vencida"&amp;" · ","")&amp;IF(AND(ObsObligatoria="Sí",ISNUMBER($AS241),$AS241&lt;FechaRef,IF($V241="Sub",1,N($M241))&lt;1,$Q241=""),"Vencida sin observación"&amp;" · ",""))-3)))</f>
        <v/>
      </c>
      <c r="S241" s="64">
        <f>IF(NOT((COUNTA($B241:$D241)+COUNTA($G241:$H241)+COUNTA($Q241))&gt;0),"",IF(AND($V241="Sub",N($U241)&gt;0),IF(ISNUMBER(INDEX($AR$5:$AR$1000,$U241-4)),DATE(YEAR(INDEX($AR$5:$AR$1000,$U241-4)),MONTH(INDEX($AR$5:$AR$1000,$U241-4)),1),IF(ISNUMBER(INDEX($AS$5:$AS$1000,$U241-4)),DATE(YEAR(INDEX($AS$5:$AS$1000,$U241-4)),MONTH(INDEX($AS$5:$AS$1000,$U241-4)),1),MesCiclo)),IF(ISNUMBER($AR241),DATE(YEAR($AR241),MONTH($AR241),1),IF(ISNUMBER($AS241),DATE(YEAR($AS241),MONTH($AS241),1),MesCiclo))))</f>
        <v/>
      </c>
      <c r="T241" s="62">
        <f>IF(OR($S241="",$S241&lt;&gt;MesCiclo,$V241&lt;&gt;"Macro"),"",COUNTIFS($S$5:$S241,MesCiclo,$V$5:$V241,"Macro"))</f>
        <v/>
      </c>
      <c r="U241" s="62">
        <f>IF($V241="","",IF($V241="Macro",ROW(),IFERROR(LOOKUP(2,1/($V$5:$V241="Macro"),ROW($V$5:$V241)),0)))</f>
        <v/>
      </c>
      <c r="V241" s="62">
        <f>IF(NOT((COUNTA($B241:$D241)+COUNTA($G241:$H241)+COUNTA($Q241))&gt;0),"",IF($B241="Subactividad","Sub","Macro"))</f>
        <v/>
      </c>
      <c r="W241" s="62">
        <f>IF($V241="Macro",COUNTIFS($U$5:$U$1000,ROW(),$V$5:$V$1000,"Sub"),"")</f>
        <v/>
      </c>
      <c r="X241" s="62">
        <f>IF($V241&lt;&gt;"Sub","",IF(AND(ISNUMBER($H241),N($H241)&gt;0),$H241,IFERROR(MAX(0,1-SUMIFS($H$5:$H$1000,$U$5:$U$1000,$U241,$V$5:$V$1000,"Sub"))/(COUNTIFS($U$5:$U$1000,$U241,$V$5:$V$1000,"Sub")-COUNTIFS($U$5:$U$1000,$U241,$V$5:$V$1000,"Sub",$H$5:$H$1000,"&gt;0")),0)))</f>
        <v/>
      </c>
      <c r="Y241" s="62">
        <f>IF($V241="","",IF($V241="Sub",N($X241)*IF(ISNUMBER($G241),1,MIN(1,MAX(0,IFERROR(LOOKUP(2,1/ISNUMBER($I241:$L241),$I241:$L241),0)))),IF(ISNUMBER($G241),1,IFERROR(LOOKUP(2,1/($I241:$L241&lt;&gt;""),$I241:$L241),0))))</f>
        <v/>
      </c>
      <c r="Z241" s="62">
        <f>IF($V241="","",IF(AND(ISNUMBER($G241),$G241&lt;=IF($S241=MesCiclo,InicioCiclo,$S241+MOD(2-WEEKDAY($S241),7))+6),1,IF(ISNUMBER($I241),$I241,0)))</f>
        <v/>
      </c>
      <c r="AA241" s="62">
        <f>IF($V241="","",IF(AND(ISNUMBER($G241),$G241&lt;=IF($S241=MesCiclo,InicioCiclo,$S241+MOD(2-WEEKDAY($S241),7))+13),1,IF(ISNUMBER($J241),$J241,$Z241)))</f>
        <v/>
      </c>
      <c r="AB241" s="62">
        <f>IF($V241="","",IF(AND(ISNUMBER($G241),$G241&lt;=IF($S241=MesCiclo,InicioCiclo,$S241+MOD(2-WEEKDAY($S241),7))+20),1,IF(ISNUMBER($K241),$K241,$AA241)))</f>
        <v/>
      </c>
      <c r="AC241" s="62">
        <f>IF($V241="","",IF(AND(ISNUMBER($G241),$G241&lt;=IF($S241=MesCiclo,InicioCiclo,$S241+MOD(2-WEEKDAY($S241),7))+27),1,IF(ISNUMBER($L241),$L241,$AB241)))</f>
        <v/>
      </c>
      <c r="AD241" s="62">
        <f>IF($V241&lt;&gt;"Sub","",N($X241)*IF(AND(ISNUMBER($G241),$G241&lt;=IF($S241=MesCiclo,InicioCiclo,$S241+MOD(2-WEEKDAY($S241),7))+6),1,MIN(1,MAX(0,IF(ISNUMBER(OFFSET($A$1,ROW()-1,8)),OFFSET($A$1,ROW()-1,8),0)))))</f>
        <v/>
      </c>
      <c r="AE241" s="62">
        <f>IF($V241&lt;&gt;"Sub","",N($X241)*IF(AND(ISNUMBER($G241),$G241&lt;=IF($S241=MesCiclo,InicioCiclo,$S241+MOD(2-WEEKDAY($S241),7))+13),1,MIN(1,MAX(0,IF(ISNUMBER(OFFSET($A$1,ROW()-1,9)),OFFSET($A$1,ROW()-1,9),IF(ISNUMBER(OFFSET($A$1,ROW()-1,8)),OFFSET($A$1,ROW()-1,8),0))))))</f>
        <v/>
      </c>
      <c r="AF241" s="62">
        <f>IF($V241&lt;&gt;"Sub","",N($X241)*IF(AND(ISNUMBER($G241),$G241&lt;=IF($S241=MesCiclo,InicioCiclo,$S241+MOD(2-WEEKDAY($S241),7))+20),1,MIN(1,MAX(0,IF(ISNUMBER(OFFSET($A$1,ROW()-1,10)),OFFSET($A$1,ROW()-1,10),IF(ISNUMBER(OFFSET($A$1,ROW()-1,9)),OFFSET($A$1,ROW()-1,9),IF(ISNUMBER(OFFSET($A$1,ROW()-1,8)),OFFSET($A$1,ROW()-1,8),0)))))))</f>
        <v/>
      </c>
      <c r="AG241" s="62">
        <f>IF($V241&lt;&gt;"Sub","",N($X241)*IF(AND(ISNUMBER($G241),$G241&lt;=IF($S241=MesCiclo,InicioCiclo,$S241+MOD(2-WEEKDAY($S241),7))+27),1,MIN(1,MAX(0,IF(ISNUMBER(OFFSET($A$1,ROW()-1,11)),OFFSET($A$1,ROW()-1,11),IF(ISNUMBER(OFFSET($A$1,ROW()-1,10)),OFFSET($A$1,ROW()-1,10),IF(ISNUMBER(OFFSET($A$1,ROW()-1,9)),OFFSET($A$1,ROW()-1,9),IF(ISNUMBER(OFFSET($A$1,ROW()-1,8)),OFFSET($A$1,ROW()-1,8),0))))))))</f>
        <v/>
      </c>
      <c r="AH241" s="62">
        <f>IF($V241="","",IF(AND(ISNUMBER($G241),$G241&lt;=IF($S241=MesCiclo,InicioCiclo,$S241+MOD(2-WEEKDAY($S241),7))+6),1,IF(N($W241)&gt;0,MIN(1,SUMIFS($AD$5:$AD$1000,$U$5:$U$1000,ROW(),$V$5:$V$1000,"Sub")),$Z241)))</f>
        <v/>
      </c>
      <c r="AI241" s="62">
        <f>IF($V241="","",IF(AND(ISNUMBER($G241),$G241&lt;=IF($S241=MesCiclo,InicioCiclo,$S241+MOD(2-WEEKDAY($S241),7))+13),1,IF(N($W241)&gt;0,MIN(1,SUMIFS($AE$5:$AE$1000,$U$5:$U$1000,ROW(),$V$5:$V$1000,"Sub")),$AA241)))</f>
        <v/>
      </c>
      <c r="AJ241" s="62">
        <f>IF($V241="","",IF(AND(ISNUMBER($G241),$G241&lt;=IF($S241=MesCiclo,InicioCiclo,$S241+MOD(2-WEEKDAY($S241),7))+20),1,IF(N($W241)&gt;0,MIN(1,SUMIFS($AF$5:$AF$1000,$U$5:$U$1000,ROW(),$V$5:$V$1000,"Sub")),$AB241)))</f>
        <v/>
      </c>
      <c r="AK241" s="62">
        <f>IF($V241="","",IF(AND(ISNUMBER($G241),$G241&lt;=IF($S241=MesCiclo,InicioCiclo,$S241+MOD(2-WEEKDAY($S241),7))+27),1,IF(N($W241)&gt;0,MIN(1,SUMIFS($AG$5:$AG$1000,$U$5:$U$1000,ROW(),$V$5:$V$1000,"Sub")),$AC241)))</f>
        <v/>
      </c>
      <c r="AL241" s="62">
        <f>IF($V241&lt;&gt;"Macro","",IF(COUNTIFS($S$5:$S$1000,$S241,$V$5:$V$1000,"Macro",$H$5:$H$1000,"&gt;0")=0,1/COUNTIFS($S$5:$S$1000,$S241,$V$5:$V$1000,"Macro"),IF(AND(ISNUMBER($H241),N($H241)&gt;0),$H241,SUMIFS($H$5:$H$1000,$S$5:$S$1000,$S241,$V$5:$V$1000,"Macro")/COUNTIFS($S$5:$S$1000,$S241,$V$5:$V$1000,"Macro",$H$5:$H$1000,"&gt;0"))/(COUNTIFS($S$5:$S$1000,$S241,$V$5:$V$1000,"Macro")*SUMIFS($H$5:$H$1000,$S$5:$S$1000,$S241,$V$5:$V$1000,"Macro")/COUNTIFS($S$5:$S$1000,$S241,$V$5:$V$1000,"Macro",$H$5:$H$1000,"&gt;0"))))</f>
        <v/>
      </c>
      <c r="AM241" s="62" t="n"/>
      <c r="AN241" s="62" t="n"/>
      <c r="AO241" s="62" t="n"/>
      <c r="AP241" s="62" t="n"/>
      <c r="AQ241" s="62">
        <f>IF(LEFT($C241,11)="[Jefatura] ",IFERROR(MATCH("Asistente Técnico de Riesgo|"&amp;MID($C241,12,500),rDname_ADM,0),0),"")</f>
        <v/>
      </c>
      <c r="AR241" s="62">
        <f>IF(N($AQ241)&gt;0,INDEX(rIni_ADM,$AQ241),IF(ISNUMBER($E241),$E241,""))</f>
        <v/>
      </c>
      <c r="AS241" s="62">
        <f>IF(N($AQ241)&gt;0,INDEX(rLim_ADM,$AQ241),IF(ISNUMBER($F241),$F241,""))</f>
        <v/>
      </c>
    </row>
    <row r="242">
      <c r="A242" s="56">
        <f>IF(NOT((COUNTA($B242:$D242)+COUNTA($G242:$H242)+COUNTA($Q242))&gt;0),"",IF($V242="Macro",COUNTIFS($V$5:$V242,"Macro",$S$5:$S242,$S242),IF(N($U242)=0,"?",COUNTIFS(INDEX($V$5:$V$1000,1):INDEX($V$5:$V$1000,$U242-4),"Macro",INDEX($S$5:$S$1000,1):INDEX($S$5:$S$1000,$U242-4),INDEX($S$5:$S$1000,$U242-4))&amp;"."&amp;COUNTIFS($U$5:$U242,$U242,$V$5:$V242,"Sub"))))</f>
        <v/>
      </c>
      <c r="B242" s="57" t="n"/>
      <c r="C242" s="58" t="n"/>
      <c r="D242" s="58" t="n"/>
      <c r="E242" s="59">
        <f>IF(N($AQ242)&gt;0,INDEX(rIni_ADM,$AQ242),"")</f>
        <v/>
      </c>
      <c r="F242" s="59">
        <f>IF(N($AQ242)&gt;0,INDEX(rLim_ADM,$AQ242),"")</f>
        <v/>
      </c>
      <c r="G242" s="59" t="n"/>
      <c r="H242" s="60" t="n"/>
      <c r="I242" s="60">
        <f>IF(N($W242)=0,"",IF(AND($S242=MesCiclo,1&gt;SemanaActual),"",MIN(1,SUMIFS(OFFSET($A$1,ROW(),29,1000-ROW(),1),OFFSET($A$1,ROW(),20,1000-ROW(),1),ROW(),OFFSET($A$1,ROW(),21,1000-ROW(),1),"Sub"))))</f>
        <v/>
      </c>
      <c r="J242" s="60">
        <f>IF(N($W242)=0,"",IF(AND($S242=MesCiclo,2&gt;SemanaActual),"",MIN(1,SUMIFS(OFFSET($A$1,ROW(),30,1000-ROW(),1),OFFSET($A$1,ROW(),20,1000-ROW(),1),ROW(),OFFSET($A$1,ROW(),21,1000-ROW(),1),"Sub"))))</f>
        <v/>
      </c>
      <c r="K242" s="60">
        <f>IF(N($W242)=0,"",IF(AND($S242=MesCiclo,3&gt;SemanaActual),"",MIN(1,SUMIFS(OFFSET($A$1,ROW(),31,1000-ROW(),1),OFFSET($A$1,ROW(),20,1000-ROW(),1),ROW(),OFFSET($A$1,ROW(),21,1000-ROW(),1),"Sub"))))</f>
        <v/>
      </c>
      <c r="L242" s="60">
        <f>IF(N($W242)=0,"",IF(AND($S242=MesCiclo,4&gt;SemanaActual),"",MIN(1,SUMIFS(OFFSET($A$1,ROW(),32,1000-ROW(),1),OFFSET($A$1,ROW(),20,1000-ROW(),1),ROW(),OFFSET($A$1,ROW(),21,1000-ROW(),1),"Sub"))))</f>
        <v/>
      </c>
      <c r="M242" s="61">
        <f>IF(OR(NOT((COUNTA($B242:$D242)+COUNTA($G242:$H242)+COUNTA($Q242))&gt;0),$V242="Sub"),"",IF(ISNUMBER($G242),1,IF(N($W242)&gt;0,MIN(1,SUMIFS($Y$5:$Y$1000,$U$5:$U$1000,ROW(),$V$5:$V$1000,"Sub")),$Y242)))</f>
        <v/>
      </c>
      <c r="N242" s="56">
        <f>IF(OR($M242="",$V242="Sub"),"",IF($M242&gt;=1,"Completado",IF($M242&gt;0,"En curso","Pendiente")))</f>
        <v/>
      </c>
      <c r="O242" s="56">
        <f>IF(OR(NOT((COUNTA($B242:$D242)+COUNTA($G242:$H242)+COUNTA($Q242))&gt;0),$V242="Sub"),"",IF(ISNUMBER($G242),IF(AND(ISNUMBER($AS242),$G242&gt;$AS242),"Cumplida con "&amp;($G242-$AS242)&amp;IF($G242-$AS242=1," día"," días")&amp;" de retraso","Cumplida"),IF(N($M242)&gt;=1,"Cumplida",IF(NOT(ISNUMBER($AS242)),"Sin fecha límite",IF($AS242&lt;FechaRef,"Vencida hace "&amp;(FechaRef-$AS242)&amp;IF(FechaRef-$AS242=1," día"," días"),IF($AS242=FechaRef,"Vence hoy",IF($AS242-FechaRef&lt;=DiasAlerta,"Vence en "&amp;($AS242-FechaRef)&amp;IF($AS242-FechaRef=1," día"," días"),"En plazo")))))))</f>
        <v/>
      </c>
      <c r="P242" s="62" t="n"/>
      <c r="Q242" s="58" t="n"/>
      <c r="R242" s="63">
        <f>IF(NOT((COUNTA($B242:$D242)+COUNTA($G242:$H242)+COUNTA($Q242))&gt;0),"",IF((IF($C242="","Falta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 OK","⚠ "&amp;LEFT(IF($C242="","Falta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",""),LEN(IF($C242="","Falta el nombre de la actividad"&amp;" · ","")&amp;IF(AND($V242="Sub",N($U242)=0),"Subactividad sin macroactividad arriba"&amp;" · ","")&amp;IF(AND($V242="Macro",$AR242=""),"Sin fecha de inicio"&amp;" · ","")&amp;IF(AND($V242="Macro",$AS242=""),"Sin fecha límite"&amp;" · ","")&amp;IF(AND(LEFT($C242,11)="[Jefatura] ",N($AQ242)=0),"No se encuentra en la hoja de la jefatura (elíjala de nuevo en la lista)"&amp;" · ","")&amp;IF(OR(AND($E242&lt;&gt;"",NOT(ISNUMBER($E242))),AND($F242&lt;&gt;"",NOT(ISNUMBER($F242))),AND($G242&lt;&gt;"",NOT(ISNUMBER($G242)))),"Fecha no válida"&amp;" · ","")&amp;IF(AND(ISNUMBER($AR242),ISNUMBER($AS242),$AR242&gt;$AS242),"Inicio posterior a fecha límite"&amp;" · ","")&amp;IF(AND($V242="Macro",$H242&lt;&gt;"",OR(NOT(ISNUMBER($H242)),$H242&lt;0,$H242&gt;1)),"Peso fuera de rango"&amp;" · ","")&amp;IF(AND($V242="Sub",$H242&lt;&gt;"",OR(NOT(ISNUMBER($H242)),$H242&lt;0,$H242&gt;1)),"% de la subactividad fuera de rango 0-100%"&amp;" · ","")&amp;IF(AND(N($W242)&gt;0,SUMIFS($H$5:$H$1000,$U$5:$U$1000,ROW(),$V$5:$V$1000,"Sub")&gt;1.0001),"Las subactividades suman más de 100%"&amp;" · ","")&amp;IF(AND(N($W242)&gt;0,OR(IF(ISNUMBER($I242),ROUND($I242,6)&lt;&gt;ROUND(MIN(1,SUMIFS($AD$5:$AD$1000,$U$5:$U$1000,ROW(),$V$5:$V$1000,"Sub")),6),FALSE),IF(ISNUMBER($J242),ROUND($J242,6)&lt;&gt;ROUND(MIN(1,SUMIFS($AE$5:$AE$1000,$U$5:$U$1000,ROW(),$V$5:$V$1000,"Sub")),6),FALSE),IF(ISNUMBER($K242),ROUND($K242,6)&lt;&gt;ROUND(MIN(1,SUMIFS($AF$5:$AF$1000,$U$5:$U$1000,ROW(),$V$5:$V$1000,"Sub")),6),FALSE),IF(ISNUMBER($L242),ROUND($L242,6)&lt;&gt;ROUND(MIN(1,SUMIFS($AG$5:$AG$1000,$U$5:$U$1000,ROW(),$V$5:$V$1000,"Sub")),6),FALSE))),"Con subactividades: no escriba en las semanas (se llenan solas)"&amp;" · ","")&amp;IF((COUNTIF($I242:$L242,"&gt;1")+COUNTIF($I242:$L242,"&lt;0")+SUMPRODUCT((LEN($I242:$L242)&gt;0)*NOT(ISNUMBER($I242:$L242))))&gt;0,"Avance fuera de rango 0-100%"&amp;" · ","")&amp;IF(OR(AND(ISNUMBER($J242),$J242&lt;N($I242)),AND(ISNUMBER($K242),$K242&lt;MAX($I242:$J242)),AND(ISNUMBER($L242),$L242&lt;MAX($I242:$K242))),"Avance semanal decreciente"&amp;" · ","")&amp;IF(AND(ISNUMBER($AS242),$AS242&lt;FechaRef,IF($V242="Sub",1,N($M242))&lt;1),"Vencida"&amp;" · ","")&amp;IF(AND(ObsObligatoria="Sí",ISNUMBER($AS242),$AS242&lt;FechaRef,IF($V242="Sub",1,N($M242))&lt;1,$Q242=""),"Vencida sin observación"&amp;" · ",""))-3)))</f>
        <v/>
      </c>
      <c r="S242" s="64">
        <f>IF(NOT((COUNTA($B242:$D242)+COUNTA($G242:$H242)+COUNTA($Q242))&gt;0),"",IF(AND($V242="Sub",N($U242)&gt;0),IF(ISNUMBER(INDEX($AR$5:$AR$1000,$U242-4)),DATE(YEAR(INDEX($AR$5:$AR$1000,$U242-4)),MONTH(INDEX($AR$5:$AR$1000,$U242-4)),1),IF(ISNUMBER(INDEX($AS$5:$AS$1000,$U242-4)),DATE(YEAR(INDEX($AS$5:$AS$1000,$U242-4)),MONTH(INDEX($AS$5:$AS$1000,$U242-4)),1),MesCiclo)),IF(ISNUMBER($AR242),DATE(YEAR($AR242),MONTH($AR242),1),IF(ISNUMBER($AS242),DATE(YEAR($AS242),MONTH($AS242),1),MesCiclo))))</f>
        <v/>
      </c>
      <c r="T242" s="62">
        <f>IF(OR($S242="",$S242&lt;&gt;MesCiclo,$V242&lt;&gt;"Macro"),"",COUNTIFS($S$5:$S242,MesCiclo,$V$5:$V242,"Macro"))</f>
        <v/>
      </c>
      <c r="U242" s="62">
        <f>IF($V242="","",IF($V242="Macro",ROW(),IFERROR(LOOKUP(2,1/($V$5:$V242="Macro"),ROW($V$5:$V242)),0)))</f>
        <v/>
      </c>
      <c r="V242" s="62">
        <f>IF(NOT((COUNTA($B242:$D242)+COUNTA($G242:$H242)+COUNTA($Q242))&gt;0),"",IF($B242="Subactividad","Sub","Macro"))</f>
        <v/>
      </c>
      <c r="W242" s="62">
        <f>IF($V242="Macro",COUNTIFS($U$5:$U$1000,ROW(),$V$5:$V$1000,"Sub"),"")</f>
        <v/>
      </c>
      <c r="X242" s="62">
        <f>IF($V242&lt;&gt;"Sub","",IF(AND(ISNUMBER($H242),N($H242)&gt;0),$H242,IFERROR(MAX(0,1-SUMIFS($H$5:$H$1000,$U$5:$U$1000,$U242,$V$5:$V$1000,"Sub"))/(COUNTIFS($U$5:$U$1000,$U242,$V$5:$V$1000,"Sub")-COUNTIFS($U$5:$U$1000,$U242,$V$5:$V$1000,"Sub",$H$5:$H$1000,"&gt;0")),0)))</f>
        <v/>
      </c>
      <c r="Y242" s="62">
        <f>IF($V242="","",IF($V242="Sub",N($X242)*IF(ISNUMBER($G242),1,MIN(1,MAX(0,IFERROR(LOOKUP(2,1/ISNUMBER($I242:$L242),$I242:$L242),0)))),IF(ISNUMBER($G242),1,IFERROR(LOOKUP(2,1/($I242:$L242&lt;&gt;""),$I242:$L242),0))))</f>
        <v/>
      </c>
      <c r="Z242" s="62">
        <f>IF($V242="","",IF(AND(ISNUMBER($G242),$G242&lt;=IF($S242=MesCiclo,InicioCiclo,$S242+MOD(2-WEEKDAY($S242),7))+6),1,IF(ISNUMBER($I242),$I242,0)))</f>
        <v/>
      </c>
      <c r="AA242" s="62">
        <f>IF($V242="","",IF(AND(ISNUMBER($G242),$G242&lt;=IF($S242=MesCiclo,InicioCiclo,$S242+MOD(2-WEEKDAY($S242),7))+13),1,IF(ISNUMBER($J242),$J242,$Z242)))</f>
        <v/>
      </c>
      <c r="AB242" s="62">
        <f>IF($V242="","",IF(AND(ISNUMBER($G242),$G242&lt;=IF($S242=MesCiclo,InicioCiclo,$S242+MOD(2-WEEKDAY($S242),7))+20),1,IF(ISNUMBER($K242),$K242,$AA242)))</f>
        <v/>
      </c>
      <c r="AC242" s="62">
        <f>IF($V242="","",IF(AND(ISNUMBER($G242),$G242&lt;=IF($S242=MesCiclo,InicioCiclo,$S242+MOD(2-WEEKDAY($S242),7))+27),1,IF(ISNUMBER($L242),$L242,$AB242)))</f>
        <v/>
      </c>
      <c r="AD242" s="62">
        <f>IF($V242&lt;&gt;"Sub","",N($X242)*IF(AND(ISNUMBER($G242),$G242&lt;=IF($S242=MesCiclo,InicioCiclo,$S242+MOD(2-WEEKDAY($S242),7))+6),1,MIN(1,MAX(0,IF(ISNUMBER(OFFSET($A$1,ROW()-1,8)),OFFSET($A$1,ROW()-1,8),0)))))</f>
        <v/>
      </c>
      <c r="AE242" s="62">
        <f>IF($V242&lt;&gt;"Sub","",N($X242)*IF(AND(ISNUMBER($G242),$G242&lt;=IF($S242=MesCiclo,InicioCiclo,$S242+MOD(2-WEEKDAY($S242),7))+13),1,MIN(1,MAX(0,IF(ISNUMBER(OFFSET($A$1,ROW()-1,9)),OFFSET($A$1,ROW()-1,9),IF(ISNUMBER(OFFSET($A$1,ROW()-1,8)),OFFSET($A$1,ROW()-1,8),0))))))</f>
        <v/>
      </c>
      <c r="AF242" s="62">
        <f>IF($V242&lt;&gt;"Sub","",N($X242)*IF(AND(ISNUMBER($G242),$G242&lt;=IF($S242=MesCiclo,InicioCiclo,$S242+MOD(2-WEEKDAY($S242),7))+20),1,MIN(1,MAX(0,IF(ISNUMBER(OFFSET($A$1,ROW()-1,10)),OFFSET($A$1,ROW()-1,10),IF(ISNUMBER(OFFSET($A$1,ROW()-1,9)),OFFSET($A$1,ROW()-1,9),IF(ISNUMBER(OFFSET($A$1,ROW()-1,8)),OFFSET($A$1,ROW()-1,8),0)))))))</f>
        <v/>
      </c>
      <c r="AG242" s="62">
        <f>IF($V242&lt;&gt;"Sub","",N($X242)*IF(AND(ISNUMBER($G242),$G242&lt;=IF($S242=MesCiclo,InicioCiclo,$S242+MOD(2-WEEKDAY($S242),7))+27),1,MIN(1,MAX(0,IF(ISNUMBER(OFFSET($A$1,ROW()-1,11)),OFFSET($A$1,ROW()-1,11),IF(ISNUMBER(OFFSET($A$1,ROW()-1,10)),OFFSET($A$1,ROW()-1,10),IF(ISNUMBER(OFFSET($A$1,ROW()-1,9)),OFFSET($A$1,ROW()-1,9),IF(ISNUMBER(OFFSET($A$1,ROW()-1,8)),OFFSET($A$1,ROW()-1,8),0))))))))</f>
        <v/>
      </c>
      <c r="AH242" s="62">
        <f>IF($V242="","",IF(AND(ISNUMBER($G242),$G242&lt;=IF($S242=MesCiclo,InicioCiclo,$S242+MOD(2-WEEKDAY($S242),7))+6),1,IF(N($W242)&gt;0,MIN(1,SUMIFS($AD$5:$AD$1000,$U$5:$U$1000,ROW(),$V$5:$V$1000,"Sub")),$Z242)))</f>
        <v/>
      </c>
      <c r="AI242" s="62">
        <f>IF($V242="","",IF(AND(ISNUMBER($G242),$G242&lt;=IF($S242=MesCiclo,InicioCiclo,$S242+MOD(2-WEEKDAY($S242),7))+13),1,IF(N($W242)&gt;0,MIN(1,SUMIFS($AE$5:$AE$1000,$U$5:$U$1000,ROW(),$V$5:$V$1000,"Sub")),$AA242)))</f>
        <v/>
      </c>
      <c r="AJ242" s="62">
        <f>IF($V242="","",IF(AND(ISNUMBER($G242),$G242&lt;=IF($S242=MesCiclo,InicioCiclo,$S242+MOD(2-WEEKDAY($S242),7))+20),1,IF(N($W242)&gt;0,MIN(1,SUMIFS($AF$5:$AF$1000,$U$5:$U$1000,ROW(),$V$5:$V$1000,"Sub")),$AB242)))</f>
        <v/>
      </c>
      <c r="AK242" s="62">
        <f>IF($V242="","",IF(AND(ISNUMBER($G242),$G242&lt;=IF($S242=MesCiclo,InicioCiclo,$S242+MOD(2-WEEKDAY($S242),7))+27),1,IF(N($W242)&gt;0,MIN(1,SUMIFS($AG$5:$AG$1000,$U$5:$U$1000,ROW(),$V$5:$V$1000,"Sub")),$AC242)))</f>
        <v/>
      </c>
      <c r="AL242" s="62">
        <f>IF($V242&lt;&gt;"Macro","",IF(COUNTIFS($S$5:$S$1000,$S242,$V$5:$V$1000,"Macro",$H$5:$H$1000,"&gt;0")=0,1/COUNTIFS($S$5:$S$1000,$S242,$V$5:$V$1000,"Macro"),IF(AND(ISNUMBER($H242),N($H242)&gt;0),$H242,SUMIFS($H$5:$H$1000,$S$5:$S$1000,$S242,$V$5:$V$1000,"Macro")/COUNTIFS($S$5:$S$1000,$S242,$V$5:$V$1000,"Macro",$H$5:$H$1000,"&gt;0"))/(COUNTIFS($S$5:$S$1000,$S242,$V$5:$V$1000,"Macro")*SUMIFS($H$5:$H$1000,$S$5:$S$1000,$S242,$V$5:$V$1000,"Macro")/COUNTIFS($S$5:$S$1000,$S242,$V$5:$V$1000,"Macro",$H$5:$H$1000,"&gt;0"))))</f>
        <v/>
      </c>
      <c r="AM242" s="62" t="n"/>
      <c r="AN242" s="62" t="n"/>
      <c r="AO242" s="62" t="n"/>
      <c r="AP242" s="62" t="n"/>
      <c r="AQ242" s="62">
        <f>IF(LEFT($C242,11)="[Jefatura] ",IFERROR(MATCH("Asistente Técnico de Riesgo|"&amp;MID($C242,12,500),rDname_ADM,0),0),"")</f>
        <v/>
      </c>
      <c r="AR242" s="62">
        <f>IF(N($AQ242)&gt;0,INDEX(rIni_ADM,$AQ242),IF(ISNUMBER($E242),$E242,""))</f>
        <v/>
      </c>
      <c r="AS242" s="62">
        <f>IF(N($AQ242)&gt;0,INDEX(rLim_ADM,$AQ242),IF(ISNUMBER($F242),$F242,""))</f>
        <v/>
      </c>
    </row>
    <row r="243">
      <c r="A243" s="56">
        <f>IF(NOT((COUNTA($B243:$D243)+COUNTA($G243:$H243)+COUNTA($Q243))&gt;0),"",IF($V243="Macro",COUNTIFS($V$5:$V243,"Macro",$S$5:$S243,$S243),IF(N($U243)=0,"?",COUNTIFS(INDEX($V$5:$V$1000,1):INDEX($V$5:$V$1000,$U243-4),"Macro",INDEX($S$5:$S$1000,1):INDEX($S$5:$S$1000,$U243-4),INDEX($S$5:$S$1000,$U243-4))&amp;"."&amp;COUNTIFS($U$5:$U243,$U243,$V$5:$V243,"Sub"))))</f>
        <v/>
      </c>
      <c r="B243" s="57" t="n"/>
      <c r="C243" s="58" t="n"/>
      <c r="D243" s="58" t="n"/>
      <c r="E243" s="59">
        <f>IF(N($AQ243)&gt;0,INDEX(rIni_ADM,$AQ243),"")</f>
        <v/>
      </c>
      <c r="F243" s="59">
        <f>IF(N($AQ243)&gt;0,INDEX(rLim_ADM,$AQ243),"")</f>
        <v/>
      </c>
      <c r="G243" s="59" t="n"/>
      <c r="H243" s="60" t="n"/>
      <c r="I243" s="60">
        <f>IF(N($W243)=0,"",IF(AND($S243=MesCiclo,1&gt;SemanaActual),"",MIN(1,SUMIFS(OFFSET($A$1,ROW(),29,1000-ROW(),1),OFFSET($A$1,ROW(),20,1000-ROW(),1),ROW(),OFFSET($A$1,ROW(),21,1000-ROW(),1),"Sub"))))</f>
        <v/>
      </c>
      <c r="J243" s="60">
        <f>IF(N($W243)=0,"",IF(AND($S243=MesCiclo,2&gt;SemanaActual),"",MIN(1,SUMIFS(OFFSET($A$1,ROW(),30,1000-ROW(),1),OFFSET($A$1,ROW(),20,1000-ROW(),1),ROW(),OFFSET($A$1,ROW(),21,1000-ROW(),1),"Sub"))))</f>
        <v/>
      </c>
      <c r="K243" s="60">
        <f>IF(N($W243)=0,"",IF(AND($S243=MesCiclo,3&gt;SemanaActual),"",MIN(1,SUMIFS(OFFSET($A$1,ROW(),31,1000-ROW(),1),OFFSET($A$1,ROW(),20,1000-ROW(),1),ROW(),OFFSET($A$1,ROW(),21,1000-ROW(),1),"Sub"))))</f>
        <v/>
      </c>
      <c r="L243" s="60">
        <f>IF(N($W243)=0,"",IF(AND($S243=MesCiclo,4&gt;SemanaActual),"",MIN(1,SUMIFS(OFFSET($A$1,ROW(),32,1000-ROW(),1),OFFSET($A$1,ROW(),20,1000-ROW(),1),ROW(),OFFSET($A$1,ROW(),21,1000-ROW(),1),"Sub"))))</f>
        <v/>
      </c>
      <c r="M243" s="61">
        <f>IF(OR(NOT((COUNTA($B243:$D243)+COUNTA($G243:$H243)+COUNTA($Q243))&gt;0),$V243="Sub"),"",IF(ISNUMBER($G243),1,IF(N($W243)&gt;0,MIN(1,SUMIFS($Y$5:$Y$1000,$U$5:$U$1000,ROW(),$V$5:$V$1000,"Sub")),$Y243)))</f>
        <v/>
      </c>
      <c r="N243" s="56">
        <f>IF(OR($M243="",$V243="Sub"),"",IF($M243&gt;=1,"Completado",IF($M243&gt;0,"En curso","Pendiente")))</f>
        <v/>
      </c>
      <c r="O243" s="56">
        <f>IF(OR(NOT((COUNTA($B243:$D243)+COUNTA($G243:$H243)+COUNTA($Q243))&gt;0),$V243="Sub"),"",IF(ISNUMBER($G243),IF(AND(ISNUMBER($AS243),$G243&gt;$AS243),"Cumplida con "&amp;($G243-$AS243)&amp;IF($G243-$AS243=1," día"," días")&amp;" de retraso","Cumplida"),IF(N($M243)&gt;=1,"Cumplida",IF(NOT(ISNUMBER($AS243)),"Sin fecha límite",IF($AS243&lt;FechaRef,"Vencida hace "&amp;(FechaRef-$AS243)&amp;IF(FechaRef-$AS243=1," día"," días"),IF($AS243=FechaRef,"Vence hoy",IF($AS243-FechaRef&lt;=DiasAlerta,"Vence en "&amp;($AS243-FechaRef)&amp;IF($AS243-FechaRef=1," día"," días"),"En plazo")))))))</f>
        <v/>
      </c>
      <c r="P243" s="62" t="n"/>
      <c r="Q243" s="58" t="n"/>
      <c r="R243" s="63">
        <f>IF(NOT((COUNTA($B243:$D243)+COUNTA($G243:$H243)+COUNTA($Q243))&gt;0),"",IF((IF($C243="","Falta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 OK","⚠ "&amp;LEFT(IF($C243="","Falta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",""),LEN(IF($C243="","Falta el nombre de la actividad"&amp;" · ","")&amp;IF(AND($V243="Sub",N($U243)=0),"Subactividad sin macroactividad arriba"&amp;" · ","")&amp;IF(AND($V243="Macro",$AR243=""),"Sin fecha de inicio"&amp;" · ","")&amp;IF(AND($V243="Macro",$AS243=""),"Sin fecha límite"&amp;" · ","")&amp;IF(AND(LEFT($C243,11)="[Jefatura] ",N($AQ243)=0),"No se encuentra en la hoja de la jefatura (elíjala de nuevo en la lista)"&amp;" · ","")&amp;IF(OR(AND($E243&lt;&gt;"",NOT(ISNUMBER($E243))),AND($F243&lt;&gt;"",NOT(ISNUMBER($F243))),AND($G243&lt;&gt;"",NOT(ISNUMBER($G243)))),"Fecha no válida"&amp;" · ","")&amp;IF(AND(ISNUMBER($AR243),ISNUMBER($AS243),$AR243&gt;$AS243),"Inicio posterior a fecha límite"&amp;" · ","")&amp;IF(AND($V243="Macro",$H243&lt;&gt;"",OR(NOT(ISNUMBER($H243)),$H243&lt;0,$H243&gt;1)),"Peso fuera de rango"&amp;" · ","")&amp;IF(AND($V243="Sub",$H243&lt;&gt;"",OR(NOT(ISNUMBER($H243)),$H243&lt;0,$H243&gt;1)),"% de la subactividad fuera de rango 0-100%"&amp;" · ","")&amp;IF(AND(N($W243)&gt;0,SUMIFS($H$5:$H$1000,$U$5:$U$1000,ROW(),$V$5:$V$1000,"Sub")&gt;1.0001),"Las subactividades suman más de 100%"&amp;" · ","")&amp;IF(AND(N($W243)&gt;0,OR(IF(ISNUMBER($I243),ROUND($I243,6)&lt;&gt;ROUND(MIN(1,SUMIFS($AD$5:$AD$1000,$U$5:$U$1000,ROW(),$V$5:$V$1000,"Sub")),6),FALSE),IF(ISNUMBER($J243),ROUND($J243,6)&lt;&gt;ROUND(MIN(1,SUMIFS($AE$5:$AE$1000,$U$5:$U$1000,ROW(),$V$5:$V$1000,"Sub")),6),FALSE),IF(ISNUMBER($K243),ROUND($K243,6)&lt;&gt;ROUND(MIN(1,SUMIFS($AF$5:$AF$1000,$U$5:$U$1000,ROW(),$V$5:$V$1000,"Sub")),6),FALSE),IF(ISNUMBER($L243),ROUND($L243,6)&lt;&gt;ROUND(MIN(1,SUMIFS($AG$5:$AG$1000,$U$5:$U$1000,ROW(),$V$5:$V$1000,"Sub")),6),FALSE))),"Con subactividades: no escriba en las semanas (se llenan solas)"&amp;" · ","")&amp;IF((COUNTIF($I243:$L243,"&gt;1")+COUNTIF($I243:$L243,"&lt;0")+SUMPRODUCT((LEN($I243:$L243)&gt;0)*NOT(ISNUMBER($I243:$L243))))&gt;0,"Avance fuera de rango 0-100%"&amp;" · ","")&amp;IF(OR(AND(ISNUMBER($J243),$J243&lt;N($I243)),AND(ISNUMBER($K243),$K243&lt;MAX($I243:$J243)),AND(ISNUMBER($L243),$L243&lt;MAX($I243:$K243))),"Avance semanal decreciente"&amp;" · ","")&amp;IF(AND(ISNUMBER($AS243),$AS243&lt;FechaRef,IF($V243="Sub",1,N($M243))&lt;1),"Vencida"&amp;" · ","")&amp;IF(AND(ObsObligatoria="Sí",ISNUMBER($AS243),$AS243&lt;FechaRef,IF($V243="Sub",1,N($M243))&lt;1,$Q243=""),"Vencida sin observación"&amp;" · ",""))-3)))</f>
        <v/>
      </c>
      <c r="S243" s="64">
        <f>IF(NOT((COUNTA($B243:$D243)+COUNTA($G243:$H243)+COUNTA($Q243))&gt;0),"",IF(AND($V243="Sub",N($U243)&gt;0),IF(ISNUMBER(INDEX($AR$5:$AR$1000,$U243-4)),DATE(YEAR(INDEX($AR$5:$AR$1000,$U243-4)),MONTH(INDEX($AR$5:$AR$1000,$U243-4)),1),IF(ISNUMBER(INDEX($AS$5:$AS$1000,$U243-4)),DATE(YEAR(INDEX($AS$5:$AS$1000,$U243-4)),MONTH(INDEX($AS$5:$AS$1000,$U243-4)),1),MesCiclo)),IF(ISNUMBER($AR243),DATE(YEAR($AR243),MONTH($AR243),1),IF(ISNUMBER($AS243),DATE(YEAR($AS243),MONTH($AS243),1),MesCiclo))))</f>
        <v/>
      </c>
      <c r="T243" s="62">
        <f>IF(OR($S243="",$S243&lt;&gt;MesCiclo,$V243&lt;&gt;"Macro"),"",COUNTIFS($S$5:$S243,MesCiclo,$V$5:$V243,"Macro"))</f>
        <v/>
      </c>
      <c r="U243" s="62">
        <f>IF($V243="","",IF($V243="Macro",ROW(),IFERROR(LOOKUP(2,1/($V$5:$V243="Macro"),ROW($V$5:$V243)),0)))</f>
        <v/>
      </c>
      <c r="V243" s="62">
        <f>IF(NOT((COUNTA($B243:$D243)+COUNTA($G243:$H243)+COUNTA($Q243))&gt;0),"",IF($B243="Subactividad","Sub","Macro"))</f>
        <v/>
      </c>
      <c r="W243" s="62">
        <f>IF($V243="Macro",COUNTIFS($U$5:$U$1000,ROW(),$V$5:$V$1000,"Sub"),"")</f>
        <v/>
      </c>
      <c r="X243" s="62">
        <f>IF($V243&lt;&gt;"Sub","",IF(AND(ISNUMBER($H243),N($H243)&gt;0),$H243,IFERROR(MAX(0,1-SUMIFS($H$5:$H$1000,$U$5:$U$1000,$U243,$V$5:$V$1000,"Sub"))/(COUNTIFS($U$5:$U$1000,$U243,$V$5:$V$1000,"Sub")-COUNTIFS($U$5:$U$1000,$U243,$V$5:$V$1000,"Sub",$H$5:$H$1000,"&gt;0")),0)))</f>
        <v/>
      </c>
      <c r="Y243" s="62">
        <f>IF($V243="","",IF($V243="Sub",N($X243)*IF(ISNUMBER($G243),1,MIN(1,MAX(0,IFERROR(LOOKUP(2,1/ISNUMBER($I243:$L243),$I243:$L243),0)))),IF(ISNUMBER($G243),1,IFERROR(LOOKUP(2,1/($I243:$L243&lt;&gt;""),$I243:$L243),0))))</f>
        <v/>
      </c>
      <c r="Z243" s="62">
        <f>IF($V243="","",IF(AND(ISNUMBER($G243),$G243&lt;=IF($S243=MesCiclo,InicioCiclo,$S243+MOD(2-WEEKDAY($S243),7))+6),1,IF(ISNUMBER($I243),$I243,0)))</f>
        <v/>
      </c>
      <c r="AA243" s="62">
        <f>IF($V243="","",IF(AND(ISNUMBER($G243),$G243&lt;=IF($S243=MesCiclo,InicioCiclo,$S243+MOD(2-WEEKDAY($S243),7))+13),1,IF(ISNUMBER($J243),$J243,$Z243)))</f>
        <v/>
      </c>
      <c r="AB243" s="62">
        <f>IF($V243="","",IF(AND(ISNUMBER($G243),$G243&lt;=IF($S243=MesCiclo,InicioCiclo,$S243+MOD(2-WEEKDAY($S243),7))+20),1,IF(ISNUMBER($K243),$K243,$AA243)))</f>
        <v/>
      </c>
      <c r="AC243" s="62">
        <f>IF($V243="","",IF(AND(ISNUMBER($G243),$G243&lt;=IF($S243=MesCiclo,InicioCiclo,$S243+MOD(2-WEEKDAY($S243),7))+27),1,IF(ISNUMBER($L243),$L243,$AB243)))</f>
        <v/>
      </c>
      <c r="AD243" s="62">
        <f>IF($V243&lt;&gt;"Sub","",N($X243)*IF(AND(ISNUMBER($G243),$G243&lt;=IF($S243=MesCiclo,InicioCiclo,$S243+MOD(2-WEEKDAY($S243),7))+6),1,MIN(1,MAX(0,IF(ISNUMBER(OFFSET($A$1,ROW()-1,8)),OFFSET($A$1,ROW()-1,8),0)))))</f>
        <v/>
      </c>
      <c r="AE243" s="62">
        <f>IF($V243&lt;&gt;"Sub","",N($X243)*IF(AND(ISNUMBER($G243),$G243&lt;=IF($S243=MesCiclo,InicioCiclo,$S243+MOD(2-WEEKDAY($S243),7))+13),1,MIN(1,MAX(0,IF(ISNUMBER(OFFSET($A$1,ROW()-1,9)),OFFSET($A$1,ROW()-1,9),IF(ISNUMBER(OFFSET($A$1,ROW()-1,8)),OFFSET($A$1,ROW()-1,8),0))))))</f>
        <v/>
      </c>
      <c r="AF243" s="62">
        <f>IF($V243&lt;&gt;"Sub","",N($X243)*IF(AND(ISNUMBER($G243),$G243&lt;=IF($S243=MesCiclo,InicioCiclo,$S243+MOD(2-WEEKDAY($S243),7))+20),1,MIN(1,MAX(0,IF(ISNUMBER(OFFSET($A$1,ROW()-1,10)),OFFSET($A$1,ROW()-1,10),IF(ISNUMBER(OFFSET($A$1,ROW()-1,9)),OFFSET($A$1,ROW()-1,9),IF(ISNUMBER(OFFSET($A$1,ROW()-1,8)),OFFSET($A$1,ROW()-1,8),0)))))))</f>
        <v/>
      </c>
      <c r="AG243" s="62">
        <f>IF($V243&lt;&gt;"Sub","",N($X243)*IF(AND(ISNUMBER($G243),$G243&lt;=IF($S243=MesCiclo,InicioCiclo,$S243+MOD(2-WEEKDAY($S243),7))+27),1,MIN(1,MAX(0,IF(ISNUMBER(OFFSET($A$1,ROW()-1,11)),OFFSET($A$1,ROW()-1,11),IF(ISNUMBER(OFFSET($A$1,ROW()-1,10)),OFFSET($A$1,ROW()-1,10),IF(ISNUMBER(OFFSET($A$1,ROW()-1,9)),OFFSET($A$1,ROW()-1,9),IF(ISNUMBER(OFFSET($A$1,ROW()-1,8)),OFFSET($A$1,ROW()-1,8),0))))))))</f>
        <v/>
      </c>
      <c r="AH243" s="62">
        <f>IF($V243="","",IF(AND(ISNUMBER($G243),$G243&lt;=IF($S243=MesCiclo,InicioCiclo,$S243+MOD(2-WEEKDAY($S243),7))+6),1,IF(N($W243)&gt;0,MIN(1,SUMIFS($AD$5:$AD$1000,$U$5:$U$1000,ROW(),$V$5:$V$1000,"Sub")),$Z243)))</f>
        <v/>
      </c>
      <c r="AI243" s="62">
        <f>IF($V243="","",IF(AND(ISNUMBER($G243),$G243&lt;=IF($S243=MesCiclo,InicioCiclo,$S243+MOD(2-WEEKDAY($S243),7))+13),1,IF(N($W243)&gt;0,MIN(1,SUMIFS($AE$5:$AE$1000,$U$5:$U$1000,ROW(),$V$5:$V$1000,"Sub")),$AA243)))</f>
        <v/>
      </c>
      <c r="AJ243" s="62">
        <f>IF($V243="","",IF(AND(ISNUMBER($G243),$G243&lt;=IF($S243=MesCiclo,InicioCiclo,$S243+MOD(2-WEEKDAY($S243),7))+20),1,IF(N($W243)&gt;0,MIN(1,SUMIFS($AF$5:$AF$1000,$U$5:$U$1000,ROW(),$V$5:$V$1000,"Sub")),$AB243)))</f>
        <v/>
      </c>
      <c r="AK243" s="62">
        <f>IF($V243="","",IF(AND(ISNUMBER($G243),$G243&lt;=IF($S243=MesCiclo,InicioCiclo,$S243+MOD(2-WEEKDAY($S243),7))+27),1,IF(N($W243)&gt;0,MIN(1,SUMIFS($AG$5:$AG$1000,$U$5:$U$1000,ROW(),$V$5:$V$1000,"Sub")),$AC243)))</f>
        <v/>
      </c>
      <c r="AL243" s="62">
        <f>IF($V243&lt;&gt;"Macro","",IF(COUNTIFS($S$5:$S$1000,$S243,$V$5:$V$1000,"Macro",$H$5:$H$1000,"&gt;0")=0,1/COUNTIFS($S$5:$S$1000,$S243,$V$5:$V$1000,"Macro"),IF(AND(ISNUMBER($H243),N($H243)&gt;0),$H243,SUMIFS($H$5:$H$1000,$S$5:$S$1000,$S243,$V$5:$V$1000,"Macro")/COUNTIFS($S$5:$S$1000,$S243,$V$5:$V$1000,"Macro",$H$5:$H$1000,"&gt;0"))/(COUNTIFS($S$5:$S$1000,$S243,$V$5:$V$1000,"Macro")*SUMIFS($H$5:$H$1000,$S$5:$S$1000,$S243,$V$5:$V$1000,"Macro")/COUNTIFS($S$5:$S$1000,$S243,$V$5:$V$1000,"Macro",$H$5:$H$1000,"&gt;0"))))</f>
        <v/>
      </c>
      <c r="AM243" s="62" t="n"/>
      <c r="AN243" s="62" t="n"/>
      <c r="AO243" s="62" t="n"/>
      <c r="AP243" s="62" t="n"/>
      <c r="AQ243" s="62">
        <f>IF(LEFT($C243,11)="[Jefatura] ",IFERROR(MATCH("Asistente Técnico de Riesgo|"&amp;MID($C243,12,500),rDname_ADM,0),0),"")</f>
        <v/>
      </c>
      <c r="AR243" s="62">
        <f>IF(N($AQ243)&gt;0,INDEX(rIni_ADM,$AQ243),IF(ISNUMBER($E243),$E243,""))</f>
        <v/>
      </c>
      <c r="AS243" s="62">
        <f>IF(N($AQ243)&gt;0,INDEX(rLim_ADM,$AQ243),IF(ISNUMBER($F243),$F243,""))</f>
        <v/>
      </c>
    </row>
    <row r="244">
      <c r="A244" s="56">
        <f>IF(NOT((COUNTA($B244:$D244)+COUNTA($G244:$H244)+COUNTA($Q244))&gt;0),"",IF($V244="Macro",COUNTIFS($V$5:$V244,"Macro",$S$5:$S244,$S244),IF(N($U244)=0,"?",COUNTIFS(INDEX($V$5:$V$1000,1):INDEX($V$5:$V$1000,$U244-4),"Macro",INDEX($S$5:$S$1000,1):INDEX($S$5:$S$1000,$U244-4),INDEX($S$5:$S$1000,$U244-4))&amp;"."&amp;COUNTIFS($U$5:$U244,$U244,$V$5:$V244,"Sub"))))</f>
        <v/>
      </c>
      <c r="B244" s="57" t="n"/>
      <c r="C244" s="58" t="n"/>
      <c r="D244" s="58" t="n"/>
      <c r="E244" s="59">
        <f>IF(N($AQ244)&gt;0,INDEX(rIni_ADM,$AQ244),"")</f>
        <v/>
      </c>
      <c r="F244" s="59">
        <f>IF(N($AQ244)&gt;0,INDEX(rLim_ADM,$AQ244),"")</f>
        <v/>
      </c>
      <c r="G244" s="59" t="n"/>
      <c r="H244" s="60" t="n"/>
      <c r="I244" s="60">
        <f>IF(N($W244)=0,"",IF(AND($S244=MesCiclo,1&gt;SemanaActual),"",MIN(1,SUMIFS(OFFSET($A$1,ROW(),29,1000-ROW(),1),OFFSET($A$1,ROW(),20,1000-ROW(),1),ROW(),OFFSET($A$1,ROW(),21,1000-ROW(),1),"Sub"))))</f>
        <v/>
      </c>
      <c r="J244" s="60">
        <f>IF(N($W244)=0,"",IF(AND($S244=MesCiclo,2&gt;SemanaActual),"",MIN(1,SUMIFS(OFFSET($A$1,ROW(),30,1000-ROW(),1),OFFSET($A$1,ROW(),20,1000-ROW(),1),ROW(),OFFSET($A$1,ROW(),21,1000-ROW(),1),"Sub"))))</f>
        <v/>
      </c>
      <c r="K244" s="60">
        <f>IF(N($W244)=0,"",IF(AND($S244=MesCiclo,3&gt;SemanaActual),"",MIN(1,SUMIFS(OFFSET($A$1,ROW(),31,1000-ROW(),1),OFFSET($A$1,ROW(),20,1000-ROW(),1),ROW(),OFFSET($A$1,ROW(),21,1000-ROW(),1),"Sub"))))</f>
        <v/>
      </c>
      <c r="L244" s="60">
        <f>IF(N($W244)=0,"",IF(AND($S244=MesCiclo,4&gt;SemanaActual),"",MIN(1,SUMIFS(OFFSET($A$1,ROW(),32,1000-ROW(),1),OFFSET($A$1,ROW(),20,1000-ROW(),1),ROW(),OFFSET($A$1,ROW(),21,1000-ROW(),1),"Sub"))))</f>
        <v/>
      </c>
      <c r="M244" s="61">
        <f>IF(OR(NOT((COUNTA($B244:$D244)+COUNTA($G244:$H244)+COUNTA($Q244))&gt;0),$V244="Sub"),"",IF(ISNUMBER($G244),1,IF(N($W244)&gt;0,MIN(1,SUMIFS($Y$5:$Y$1000,$U$5:$U$1000,ROW(),$V$5:$V$1000,"Sub")),$Y244)))</f>
        <v/>
      </c>
      <c r="N244" s="56">
        <f>IF(OR($M244="",$V244="Sub"),"",IF($M244&gt;=1,"Completado",IF($M244&gt;0,"En curso","Pendiente")))</f>
        <v/>
      </c>
      <c r="O244" s="56">
        <f>IF(OR(NOT((COUNTA($B244:$D244)+COUNTA($G244:$H244)+COUNTA($Q244))&gt;0),$V244="Sub"),"",IF(ISNUMBER($G244),IF(AND(ISNUMBER($AS244),$G244&gt;$AS244),"Cumplida con "&amp;($G244-$AS244)&amp;IF($G244-$AS244=1," día"," días")&amp;" de retraso","Cumplida"),IF(N($M244)&gt;=1,"Cumplida",IF(NOT(ISNUMBER($AS244)),"Sin fecha límite",IF($AS244&lt;FechaRef,"Vencida hace "&amp;(FechaRef-$AS244)&amp;IF(FechaRef-$AS244=1," día"," días"),IF($AS244=FechaRef,"Vence hoy",IF($AS244-FechaRef&lt;=DiasAlerta,"Vence en "&amp;($AS244-FechaRef)&amp;IF($AS244-FechaRef=1," día"," días"),"En plazo")))))))</f>
        <v/>
      </c>
      <c r="P244" s="62" t="n"/>
      <c r="Q244" s="58" t="n"/>
      <c r="R244" s="63">
        <f>IF(NOT((COUNTA($B244:$D244)+COUNTA($G244:$H244)+COUNTA($Q244))&gt;0),"",IF((IF($C244="","Falta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 OK","⚠ "&amp;LEFT(IF($C244="","Falta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",""),LEN(IF($C244="","Falta el nombre de la actividad"&amp;" · ","")&amp;IF(AND($V244="Sub",N($U244)=0),"Subactividad sin macroactividad arriba"&amp;" · ","")&amp;IF(AND($V244="Macro",$AR244=""),"Sin fecha de inicio"&amp;" · ","")&amp;IF(AND($V244="Macro",$AS244=""),"Sin fecha límite"&amp;" · ","")&amp;IF(AND(LEFT($C244,11)="[Jefatura] ",N($AQ244)=0),"No se encuentra en la hoja de la jefatura (elíjala de nuevo en la lista)"&amp;" · ","")&amp;IF(OR(AND($E244&lt;&gt;"",NOT(ISNUMBER($E244))),AND($F244&lt;&gt;"",NOT(ISNUMBER($F244))),AND($G244&lt;&gt;"",NOT(ISNUMBER($G244)))),"Fecha no válida"&amp;" · ","")&amp;IF(AND(ISNUMBER($AR244),ISNUMBER($AS244),$AR244&gt;$AS244),"Inicio posterior a fecha límite"&amp;" · ","")&amp;IF(AND($V244="Macro",$H244&lt;&gt;"",OR(NOT(ISNUMBER($H244)),$H244&lt;0,$H244&gt;1)),"Peso fuera de rango"&amp;" · ","")&amp;IF(AND($V244="Sub",$H244&lt;&gt;"",OR(NOT(ISNUMBER($H244)),$H244&lt;0,$H244&gt;1)),"% de la subactividad fuera de rango 0-100%"&amp;" · ","")&amp;IF(AND(N($W244)&gt;0,SUMIFS($H$5:$H$1000,$U$5:$U$1000,ROW(),$V$5:$V$1000,"Sub")&gt;1.0001),"Las subactividades suman más de 100%"&amp;" · ","")&amp;IF(AND(N($W244)&gt;0,OR(IF(ISNUMBER($I244),ROUND($I244,6)&lt;&gt;ROUND(MIN(1,SUMIFS($AD$5:$AD$1000,$U$5:$U$1000,ROW(),$V$5:$V$1000,"Sub")),6),FALSE),IF(ISNUMBER($J244),ROUND($J244,6)&lt;&gt;ROUND(MIN(1,SUMIFS($AE$5:$AE$1000,$U$5:$U$1000,ROW(),$V$5:$V$1000,"Sub")),6),FALSE),IF(ISNUMBER($K244),ROUND($K244,6)&lt;&gt;ROUND(MIN(1,SUMIFS($AF$5:$AF$1000,$U$5:$U$1000,ROW(),$V$5:$V$1000,"Sub")),6),FALSE),IF(ISNUMBER($L244),ROUND($L244,6)&lt;&gt;ROUND(MIN(1,SUMIFS($AG$5:$AG$1000,$U$5:$U$1000,ROW(),$V$5:$V$1000,"Sub")),6),FALSE))),"Con subactividades: no escriba en las semanas (se llenan solas)"&amp;" · ","")&amp;IF((COUNTIF($I244:$L244,"&gt;1")+COUNTIF($I244:$L244,"&lt;0")+SUMPRODUCT((LEN($I244:$L244)&gt;0)*NOT(ISNUMBER($I244:$L244))))&gt;0,"Avance fuera de rango 0-100%"&amp;" · ","")&amp;IF(OR(AND(ISNUMBER($J244),$J244&lt;N($I244)),AND(ISNUMBER($K244),$K244&lt;MAX($I244:$J244)),AND(ISNUMBER($L244),$L244&lt;MAX($I244:$K244))),"Avance semanal decreciente"&amp;" · ","")&amp;IF(AND(ISNUMBER($AS244),$AS244&lt;FechaRef,IF($V244="Sub",1,N($M244))&lt;1),"Vencida"&amp;" · ","")&amp;IF(AND(ObsObligatoria="Sí",ISNUMBER($AS244),$AS244&lt;FechaRef,IF($V244="Sub",1,N($M244))&lt;1,$Q244=""),"Vencida sin observación"&amp;" · ",""))-3)))</f>
        <v/>
      </c>
      <c r="S244" s="64">
        <f>IF(NOT((COUNTA($B244:$D244)+COUNTA($G244:$H244)+COUNTA($Q244))&gt;0),"",IF(AND($V244="Sub",N($U244)&gt;0),IF(ISNUMBER(INDEX($AR$5:$AR$1000,$U244-4)),DATE(YEAR(INDEX($AR$5:$AR$1000,$U244-4)),MONTH(INDEX($AR$5:$AR$1000,$U244-4)),1),IF(ISNUMBER(INDEX($AS$5:$AS$1000,$U244-4)),DATE(YEAR(INDEX($AS$5:$AS$1000,$U244-4)),MONTH(INDEX($AS$5:$AS$1000,$U244-4)),1),MesCiclo)),IF(ISNUMBER($AR244),DATE(YEAR($AR244),MONTH($AR244),1),IF(ISNUMBER($AS244),DATE(YEAR($AS244),MONTH($AS244),1),MesCiclo))))</f>
        <v/>
      </c>
      <c r="T244" s="62">
        <f>IF(OR($S244="",$S244&lt;&gt;MesCiclo,$V244&lt;&gt;"Macro"),"",COUNTIFS($S$5:$S244,MesCiclo,$V$5:$V244,"Macro"))</f>
        <v/>
      </c>
      <c r="U244" s="62">
        <f>IF($V244="","",IF($V244="Macro",ROW(),IFERROR(LOOKUP(2,1/($V$5:$V244="Macro"),ROW($V$5:$V244)),0)))</f>
        <v/>
      </c>
      <c r="V244" s="62">
        <f>IF(NOT((COUNTA($B244:$D244)+COUNTA($G244:$H244)+COUNTA($Q244))&gt;0),"",IF($B244="Subactividad","Sub","Macro"))</f>
        <v/>
      </c>
      <c r="W244" s="62">
        <f>IF($V244="Macro",COUNTIFS($U$5:$U$1000,ROW(),$V$5:$V$1000,"Sub"),"")</f>
        <v/>
      </c>
      <c r="X244" s="62">
        <f>IF($V244&lt;&gt;"Sub","",IF(AND(ISNUMBER($H244),N($H244)&gt;0),$H244,IFERROR(MAX(0,1-SUMIFS($H$5:$H$1000,$U$5:$U$1000,$U244,$V$5:$V$1000,"Sub"))/(COUNTIFS($U$5:$U$1000,$U244,$V$5:$V$1000,"Sub")-COUNTIFS($U$5:$U$1000,$U244,$V$5:$V$1000,"Sub",$H$5:$H$1000,"&gt;0")),0)))</f>
        <v/>
      </c>
      <c r="Y244" s="62">
        <f>IF($V244="","",IF($V244="Sub",N($X244)*IF(ISNUMBER($G244),1,MIN(1,MAX(0,IFERROR(LOOKUP(2,1/ISNUMBER($I244:$L244),$I244:$L244),0)))),IF(ISNUMBER($G244),1,IFERROR(LOOKUP(2,1/($I244:$L244&lt;&gt;""),$I244:$L244),0))))</f>
        <v/>
      </c>
      <c r="Z244" s="62">
        <f>IF($V244="","",IF(AND(ISNUMBER($G244),$G244&lt;=IF($S244=MesCiclo,InicioCiclo,$S244+MOD(2-WEEKDAY($S244),7))+6),1,IF(ISNUMBER($I244),$I244,0)))</f>
        <v/>
      </c>
      <c r="AA244" s="62">
        <f>IF($V244="","",IF(AND(ISNUMBER($G244),$G244&lt;=IF($S244=MesCiclo,InicioCiclo,$S244+MOD(2-WEEKDAY($S244),7))+13),1,IF(ISNUMBER($J244),$J244,$Z244)))</f>
        <v/>
      </c>
      <c r="AB244" s="62">
        <f>IF($V244="","",IF(AND(ISNUMBER($G244),$G244&lt;=IF($S244=MesCiclo,InicioCiclo,$S244+MOD(2-WEEKDAY($S244),7))+20),1,IF(ISNUMBER($K244),$K244,$AA244)))</f>
        <v/>
      </c>
      <c r="AC244" s="62">
        <f>IF($V244="","",IF(AND(ISNUMBER($G244),$G244&lt;=IF($S244=MesCiclo,InicioCiclo,$S244+MOD(2-WEEKDAY($S244),7))+27),1,IF(ISNUMBER($L244),$L244,$AB244)))</f>
        <v/>
      </c>
      <c r="AD244" s="62">
        <f>IF($V244&lt;&gt;"Sub","",N($X244)*IF(AND(ISNUMBER($G244),$G244&lt;=IF($S244=MesCiclo,InicioCiclo,$S244+MOD(2-WEEKDAY($S244),7))+6),1,MIN(1,MAX(0,IF(ISNUMBER(OFFSET($A$1,ROW()-1,8)),OFFSET($A$1,ROW()-1,8),0)))))</f>
        <v/>
      </c>
      <c r="AE244" s="62">
        <f>IF($V244&lt;&gt;"Sub","",N($X244)*IF(AND(ISNUMBER($G244),$G244&lt;=IF($S244=MesCiclo,InicioCiclo,$S244+MOD(2-WEEKDAY($S244),7))+13),1,MIN(1,MAX(0,IF(ISNUMBER(OFFSET($A$1,ROW()-1,9)),OFFSET($A$1,ROW()-1,9),IF(ISNUMBER(OFFSET($A$1,ROW()-1,8)),OFFSET($A$1,ROW()-1,8),0))))))</f>
        <v/>
      </c>
      <c r="AF244" s="62">
        <f>IF($V244&lt;&gt;"Sub","",N($X244)*IF(AND(ISNUMBER($G244),$G244&lt;=IF($S244=MesCiclo,InicioCiclo,$S244+MOD(2-WEEKDAY($S244),7))+20),1,MIN(1,MAX(0,IF(ISNUMBER(OFFSET($A$1,ROW()-1,10)),OFFSET($A$1,ROW()-1,10),IF(ISNUMBER(OFFSET($A$1,ROW()-1,9)),OFFSET($A$1,ROW()-1,9),IF(ISNUMBER(OFFSET($A$1,ROW()-1,8)),OFFSET($A$1,ROW()-1,8),0)))))))</f>
        <v/>
      </c>
      <c r="AG244" s="62">
        <f>IF($V244&lt;&gt;"Sub","",N($X244)*IF(AND(ISNUMBER($G244),$G244&lt;=IF($S244=MesCiclo,InicioCiclo,$S244+MOD(2-WEEKDAY($S244),7))+27),1,MIN(1,MAX(0,IF(ISNUMBER(OFFSET($A$1,ROW()-1,11)),OFFSET($A$1,ROW()-1,11),IF(ISNUMBER(OFFSET($A$1,ROW()-1,10)),OFFSET($A$1,ROW()-1,10),IF(ISNUMBER(OFFSET($A$1,ROW()-1,9)),OFFSET($A$1,ROW()-1,9),IF(ISNUMBER(OFFSET($A$1,ROW()-1,8)),OFFSET($A$1,ROW()-1,8),0))))))))</f>
        <v/>
      </c>
      <c r="AH244" s="62">
        <f>IF($V244="","",IF(AND(ISNUMBER($G244),$G244&lt;=IF($S244=MesCiclo,InicioCiclo,$S244+MOD(2-WEEKDAY($S244),7))+6),1,IF(N($W244)&gt;0,MIN(1,SUMIFS($AD$5:$AD$1000,$U$5:$U$1000,ROW(),$V$5:$V$1000,"Sub")),$Z244)))</f>
        <v/>
      </c>
      <c r="AI244" s="62">
        <f>IF($V244="","",IF(AND(ISNUMBER($G244),$G244&lt;=IF($S244=MesCiclo,InicioCiclo,$S244+MOD(2-WEEKDAY($S244),7))+13),1,IF(N($W244)&gt;0,MIN(1,SUMIFS($AE$5:$AE$1000,$U$5:$U$1000,ROW(),$V$5:$V$1000,"Sub")),$AA244)))</f>
        <v/>
      </c>
      <c r="AJ244" s="62">
        <f>IF($V244="","",IF(AND(ISNUMBER($G244),$G244&lt;=IF($S244=MesCiclo,InicioCiclo,$S244+MOD(2-WEEKDAY($S244),7))+20),1,IF(N($W244)&gt;0,MIN(1,SUMIFS($AF$5:$AF$1000,$U$5:$U$1000,ROW(),$V$5:$V$1000,"Sub")),$AB244)))</f>
        <v/>
      </c>
      <c r="AK244" s="62">
        <f>IF($V244="","",IF(AND(ISNUMBER($G244),$G244&lt;=IF($S244=MesCiclo,InicioCiclo,$S244+MOD(2-WEEKDAY($S244),7))+27),1,IF(N($W244)&gt;0,MIN(1,SUMIFS($AG$5:$AG$1000,$U$5:$U$1000,ROW(),$V$5:$V$1000,"Sub")),$AC244)))</f>
        <v/>
      </c>
      <c r="AL244" s="62">
        <f>IF($V244&lt;&gt;"Macro","",IF(COUNTIFS($S$5:$S$1000,$S244,$V$5:$V$1000,"Macro",$H$5:$H$1000,"&gt;0")=0,1/COUNTIFS($S$5:$S$1000,$S244,$V$5:$V$1000,"Macro"),IF(AND(ISNUMBER($H244),N($H244)&gt;0),$H244,SUMIFS($H$5:$H$1000,$S$5:$S$1000,$S244,$V$5:$V$1000,"Macro")/COUNTIFS($S$5:$S$1000,$S244,$V$5:$V$1000,"Macro",$H$5:$H$1000,"&gt;0"))/(COUNTIFS($S$5:$S$1000,$S244,$V$5:$V$1000,"Macro")*SUMIFS($H$5:$H$1000,$S$5:$S$1000,$S244,$V$5:$V$1000,"Macro")/COUNTIFS($S$5:$S$1000,$S244,$V$5:$V$1000,"Macro",$H$5:$H$1000,"&gt;0"))))</f>
        <v/>
      </c>
      <c r="AM244" s="62" t="n"/>
      <c r="AN244" s="62" t="n"/>
      <c r="AO244" s="62" t="n"/>
      <c r="AP244" s="62" t="n"/>
      <c r="AQ244" s="62">
        <f>IF(LEFT($C244,11)="[Jefatura] ",IFERROR(MATCH("Asistente Técnico de Riesgo|"&amp;MID($C244,12,500),rDname_ADM,0),0),"")</f>
        <v/>
      </c>
      <c r="AR244" s="62">
        <f>IF(N($AQ244)&gt;0,INDEX(rIni_ADM,$AQ244),IF(ISNUMBER($E244),$E244,""))</f>
        <v/>
      </c>
      <c r="AS244" s="62">
        <f>IF(N($AQ244)&gt;0,INDEX(rLim_ADM,$AQ244),IF(ISNUMBER($F244),$F244,""))</f>
        <v/>
      </c>
    </row>
    <row r="245">
      <c r="A245" s="56">
        <f>IF(NOT((COUNTA($B245:$D245)+COUNTA($G245:$H245)+COUNTA($Q245))&gt;0),"",IF($V245="Macro",COUNTIFS($V$5:$V245,"Macro",$S$5:$S245,$S245),IF(N($U245)=0,"?",COUNTIFS(INDEX($V$5:$V$1000,1):INDEX($V$5:$V$1000,$U245-4),"Macro",INDEX($S$5:$S$1000,1):INDEX($S$5:$S$1000,$U245-4),INDEX($S$5:$S$1000,$U245-4))&amp;"."&amp;COUNTIFS($U$5:$U245,$U245,$V$5:$V245,"Sub"))))</f>
        <v/>
      </c>
      <c r="B245" s="57" t="n"/>
      <c r="C245" s="58" t="n"/>
      <c r="D245" s="58" t="n"/>
      <c r="E245" s="59">
        <f>IF(N($AQ245)&gt;0,INDEX(rIni_ADM,$AQ245),"")</f>
        <v/>
      </c>
      <c r="F245" s="59">
        <f>IF(N($AQ245)&gt;0,INDEX(rLim_ADM,$AQ245),"")</f>
        <v/>
      </c>
      <c r="G245" s="59" t="n"/>
      <c r="H245" s="60" t="n"/>
      <c r="I245" s="60">
        <f>IF(N($W245)=0,"",IF(AND($S245=MesCiclo,1&gt;SemanaActual),"",MIN(1,SUMIFS(OFFSET($A$1,ROW(),29,1000-ROW(),1),OFFSET($A$1,ROW(),20,1000-ROW(),1),ROW(),OFFSET($A$1,ROW(),21,1000-ROW(),1),"Sub"))))</f>
        <v/>
      </c>
      <c r="J245" s="60">
        <f>IF(N($W245)=0,"",IF(AND($S245=MesCiclo,2&gt;SemanaActual),"",MIN(1,SUMIFS(OFFSET($A$1,ROW(),30,1000-ROW(),1),OFFSET($A$1,ROW(),20,1000-ROW(),1),ROW(),OFFSET($A$1,ROW(),21,1000-ROW(),1),"Sub"))))</f>
        <v/>
      </c>
      <c r="K245" s="60">
        <f>IF(N($W245)=0,"",IF(AND($S245=MesCiclo,3&gt;SemanaActual),"",MIN(1,SUMIFS(OFFSET($A$1,ROW(),31,1000-ROW(),1),OFFSET($A$1,ROW(),20,1000-ROW(),1),ROW(),OFFSET($A$1,ROW(),21,1000-ROW(),1),"Sub"))))</f>
        <v/>
      </c>
      <c r="L245" s="60">
        <f>IF(N($W245)=0,"",IF(AND($S245=MesCiclo,4&gt;SemanaActual),"",MIN(1,SUMIFS(OFFSET($A$1,ROW(),32,1000-ROW(),1),OFFSET($A$1,ROW(),20,1000-ROW(),1),ROW(),OFFSET($A$1,ROW(),21,1000-ROW(),1),"Sub"))))</f>
        <v/>
      </c>
      <c r="M245" s="61">
        <f>IF(OR(NOT((COUNTA($B245:$D245)+COUNTA($G245:$H245)+COUNTA($Q245))&gt;0),$V245="Sub"),"",IF(ISNUMBER($G245),1,IF(N($W245)&gt;0,MIN(1,SUMIFS($Y$5:$Y$1000,$U$5:$U$1000,ROW(),$V$5:$V$1000,"Sub")),$Y245)))</f>
        <v/>
      </c>
      <c r="N245" s="56">
        <f>IF(OR($M245="",$V245="Sub"),"",IF($M245&gt;=1,"Completado",IF($M245&gt;0,"En curso","Pendiente")))</f>
        <v/>
      </c>
      <c r="O245" s="56">
        <f>IF(OR(NOT((COUNTA($B245:$D245)+COUNTA($G245:$H245)+COUNTA($Q245))&gt;0),$V245="Sub"),"",IF(ISNUMBER($G245),IF(AND(ISNUMBER($AS245),$G245&gt;$AS245),"Cumplida con "&amp;($G245-$AS245)&amp;IF($G245-$AS245=1," día"," días")&amp;" de retraso","Cumplida"),IF(N($M245)&gt;=1,"Cumplida",IF(NOT(ISNUMBER($AS245)),"Sin fecha límite",IF($AS245&lt;FechaRef,"Vencida hace "&amp;(FechaRef-$AS245)&amp;IF(FechaRef-$AS245=1," día"," días"),IF($AS245=FechaRef,"Vence hoy",IF($AS245-FechaRef&lt;=DiasAlerta,"Vence en "&amp;($AS245-FechaRef)&amp;IF($AS245-FechaRef=1," día"," días"),"En plazo")))))))</f>
        <v/>
      </c>
      <c r="P245" s="62" t="n"/>
      <c r="Q245" s="58" t="n"/>
      <c r="R245" s="63">
        <f>IF(NOT((COUNTA($B245:$D245)+COUNTA($G245:$H245)+COUNTA($Q245))&gt;0),"",IF((IF($C245="","Falta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 OK","⚠ "&amp;LEFT(IF($C245="","Falta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",""),LEN(IF($C245="","Falta el nombre de la actividad"&amp;" · ","")&amp;IF(AND($V245="Sub",N($U245)=0),"Subactividad sin macroactividad arriba"&amp;" · ","")&amp;IF(AND($V245="Macro",$AR245=""),"Sin fecha de inicio"&amp;" · ","")&amp;IF(AND($V245="Macro",$AS245=""),"Sin fecha límite"&amp;" · ","")&amp;IF(AND(LEFT($C245,11)="[Jefatura] ",N($AQ245)=0),"No se encuentra en la hoja de la jefatura (elíjala de nuevo en la lista)"&amp;" · ","")&amp;IF(OR(AND($E245&lt;&gt;"",NOT(ISNUMBER($E245))),AND($F245&lt;&gt;"",NOT(ISNUMBER($F245))),AND($G245&lt;&gt;"",NOT(ISNUMBER($G245)))),"Fecha no válida"&amp;" · ","")&amp;IF(AND(ISNUMBER($AR245),ISNUMBER($AS245),$AR245&gt;$AS245),"Inicio posterior a fecha límite"&amp;" · ","")&amp;IF(AND($V245="Macro",$H245&lt;&gt;"",OR(NOT(ISNUMBER($H245)),$H245&lt;0,$H245&gt;1)),"Peso fuera de rango"&amp;" · ","")&amp;IF(AND($V245="Sub",$H245&lt;&gt;"",OR(NOT(ISNUMBER($H245)),$H245&lt;0,$H245&gt;1)),"% de la subactividad fuera de rango 0-100%"&amp;" · ","")&amp;IF(AND(N($W245)&gt;0,SUMIFS($H$5:$H$1000,$U$5:$U$1000,ROW(),$V$5:$V$1000,"Sub")&gt;1.0001),"Las subactividades suman más de 100%"&amp;" · ","")&amp;IF(AND(N($W245)&gt;0,OR(IF(ISNUMBER($I245),ROUND($I245,6)&lt;&gt;ROUND(MIN(1,SUMIFS($AD$5:$AD$1000,$U$5:$U$1000,ROW(),$V$5:$V$1000,"Sub")),6),FALSE),IF(ISNUMBER($J245),ROUND($J245,6)&lt;&gt;ROUND(MIN(1,SUMIFS($AE$5:$AE$1000,$U$5:$U$1000,ROW(),$V$5:$V$1000,"Sub")),6),FALSE),IF(ISNUMBER($K245),ROUND($K245,6)&lt;&gt;ROUND(MIN(1,SUMIFS($AF$5:$AF$1000,$U$5:$U$1000,ROW(),$V$5:$V$1000,"Sub")),6),FALSE),IF(ISNUMBER($L245),ROUND($L245,6)&lt;&gt;ROUND(MIN(1,SUMIFS($AG$5:$AG$1000,$U$5:$U$1000,ROW(),$V$5:$V$1000,"Sub")),6),FALSE))),"Con subactividades: no escriba en las semanas (se llenan solas)"&amp;" · ","")&amp;IF((COUNTIF($I245:$L245,"&gt;1")+COUNTIF($I245:$L245,"&lt;0")+SUMPRODUCT((LEN($I245:$L245)&gt;0)*NOT(ISNUMBER($I245:$L245))))&gt;0,"Avance fuera de rango 0-100%"&amp;" · ","")&amp;IF(OR(AND(ISNUMBER($J245),$J245&lt;N($I245)),AND(ISNUMBER($K245),$K245&lt;MAX($I245:$J245)),AND(ISNUMBER($L245),$L245&lt;MAX($I245:$K245))),"Avance semanal decreciente"&amp;" · ","")&amp;IF(AND(ISNUMBER($AS245),$AS245&lt;FechaRef,IF($V245="Sub",1,N($M245))&lt;1),"Vencida"&amp;" · ","")&amp;IF(AND(ObsObligatoria="Sí",ISNUMBER($AS245),$AS245&lt;FechaRef,IF($V245="Sub",1,N($M245))&lt;1,$Q245=""),"Vencida sin observación"&amp;" · ",""))-3)))</f>
        <v/>
      </c>
      <c r="S245" s="64">
        <f>IF(NOT((COUNTA($B245:$D245)+COUNTA($G245:$H245)+COUNTA($Q245))&gt;0),"",IF(AND($V245="Sub",N($U245)&gt;0),IF(ISNUMBER(INDEX($AR$5:$AR$1000,$U245-4)),DATE(YEAR(INDEX($AR$5:$AR$1000,$U245-4)),MONTH(INDEX($AR$5:$AR$1000,$U245-4)),1),IF(ISNUMBER(INDEX($AS$5:$AS$1000,$U245-4)),DATE(YEAR(INDEX($AS$5:$AS$1000,$U245-4)),MONTH(INDEX($AS$5:$AS$1000,$U245-4)),1),MesCiclo)),IF(ISNUMBER($AR245),DATE(YEAR($AR245),MONTH($AR245),1),IF(ISNUMBER($AS245),DATE(YEAR($AS245),MONTH($AS245),1),MesCiclo))))</f>
        <v/>
      </c>
      <c r="T245" s="62">
        <f>IF(OR($S245="",$S245&lt;&gt;MesCiclo,$V245&lt;&gt;"Macro"),"",COUNTIFS($S$5:$S245,MesCiclo,$V$5:$V245,"Macro"))</f>
        <v/>
      </c>
      <c r="U245" s="62">
        <f>IF($V245="","",IF($V245="Macro",ROW(),IFERROR(LOOKUP(2,1/($V$5:$V245="Macro"),ROW($V$5:$V245)),0)))</f>
        <v/>
      </c>
      <c r="V245" s="62">
        <f>IF(NOT((COUNTA($B245:$D245)+COUNTA($G245:$H245)+COUNTA($Q245))&gt;0),"",IF($B245="Subactividad","Sub","Macro"))</f>
        <v/>
      </c>
      <c r="W245" s="62">
        <f>IF($V245="Macro",COUNTIFS($U$5:$U$1000,ROW(),$V$5:$V$1000,"Sub"),"")</f>
        <v/>
      </c>
      <c r="X245" s="62">
        <f>IF($V245&lt;&gt;"Sub","",IF(AND(ISNUMBER($H245),N($H245)&gt;0),$H245,IFERROR(MAX(0,1-SUMIFS($H$5:$H$1000,$U$5:$U$1000,$U245,$V$5:$V$1000,"Sub"))/(COUNTIFS($U$5:$U$1000,$U245,$V$5:$V$1000,"Sub")-COUNTIFS($U$5:$U$1000,$U245,$V$5:$V$1000,"Sub",$H$5:$H$1000,"&gt;0")),0)))</f>
        <v/>
      </c>
      <c r="Y245" s="62">
        <f>IF($V245="","",IF($V245="Sub",N($X245)*IF(ISNUMBER($G245),1,MIN(1,MAX(0,IFERROR(LOOKUP(2,1/ISNUMBER($I245:$L245),$I245:$L245),0)))),IF(ISNUMBER($G245),1,IFERROR(LOOKUP(2,1/($I245:$L245&lt;&gt;""),$I245:$L245),0))))</f>
        <v/>
      </c>
      <c r="Z245" s="62">
        <f>IF($V245="","",IF(AND(ISNUMBER($G245),$G245&lt;=IF($S245=MesCiclo,InicioCiclo,$S245+MOD(2-WEEKDAY($S245),7))+6),1,IF(ISNUMBER($I245),$I245,0)))</f>
        <v/>
      </c>
      <c r="AA245" s="62">
        <f>IF($V245="","",IF(AND(ISNUMBER($G245),$G245&lt;=IF($S245=MesCiclo,InicioCiclo,$S245+MOD(2-WEEKDAY($S245),7))+13),1,IF(ISNUMBER($J245),$J245,$Z245)))</f>
        <v/>
      </c>
      <c r="AB245" s="62">
        <f>IF($V245="","",IF(AND(ISNUMBER($G245),$G245&lt;=IF($S245=MesCiclo,InicioCiclo,$S245+MOD(2-WEEKDAY($S245),7))+20),1,IF(ISNUMBER($K245),$K245,$AA245)))</f>
        <v/>
      </c>
      <c r="AC245" s="62">
        <f>IF($V245="","",IF(AND(ISNUMBER($G245),$G245&lt;=IF($S245=MesCiclo,InicioCiclo,$S245+MOD(2-WEEKDAY($S245),7))+27),1,IF(ISNUMBER($L245),$L245,$AB245)))</f>
        <v/>
      </c>
      <c r="AD245" s="62">
        <f>IF($V245&lt;&gt;"Sub","",N($X245)*IF(AND(ISNUMBER($G245),$G245&lt;=IF($S245=MesCiclo,InicioCiclo,$S245+MOD(2-WEEKDAY($S245),7))+6),1,MIN(1,MAX(0,IF(ISNUMBER(OFFSET($A$1,ROW()-1,8)),OFFSET($A$1,ROW()-1,8),0)))))</f>
        <v/>
      </c>
      <c r="AE245" s="62">
        <f>IF($V245&lt;&gt;"Sub","",N($X245)*IF(AND(ISNUMBER($G245),$G245&lt;=IF($S245=MesCiclo,InicioCiclo,$S245+MOD(2-WEEKDAY($S245),7))+13),1,MIN(1,MAX(0,IF(ISNUMBER(OFFSET($A$1,ROW()-1,9)),OFFSET($A$1,ROW()-1,9),IF(ISNUMBER(OFFSET($A$1,ROW()-1,8)),OFFSET($A$1,ROW()-1,8),0))))))</f>
        <v/>
      </c>
      <c r="AF245" s="62">
        <f>IF($V245&lt;&gt;"Sub","",N($X245)*IF(AND(ISNUMBER($G245),$G245&lt;=IF($S245=MesCiclo,InicioCiclo,$S245+MOD(2-WEEKDAY($S245),7))+20),1,MIN(1,MAX(0,IF(ISNUMBER(OFFSET($A$1,ROW()-1,10)),OFFSET($A$1,ROW()-1,10),IF(ISNUMBER(OFFSET($A$1,ROW()-1,9)),OFFSET($A$1,ROW()-1,9),IF(ISNUMBER(OFFSET($A$1,ROW()-1,8)),OFFSET($A$1,ROW()-1,8),0)))))))</f>
        <v/>
      </c>
      <c r="AG245" s="62">
        <f>IF($V245&lt;&gt;"Sub","",N($X245)*IF(AND(ISNUMBER($G245),$G245&lt;=IF($S245=MesCiclo,InicioCiclo,$S245+MOD(2-WEEKDAY($S245),7))+27),1,MIN(1,MAX(0,IF(ISNUMBER(OFFSET($A$1,ROW()-1,11)),OFFSET($A$1,ROW()-1,11),IF(ISNUMBER(OFFSET($A$1,ROW()-1,10)),OFFSET($A$1,ROW()-1,10),IF(ISNUMBER(OFFSET($A$1,ROW()-1,9)),OFFSET($A$1,ROW()-1,9),IF(ISNUMBER(OFFSET($A$1,ROW()-1,8)),OFFSET($A$1,ROW()-1,8),0))))))))</f>
        <v/>
      </c>
      <c r="AH245" s="62">
        <f>IF($V245="","",IF(AND(ISNUMBER($G245),$G245&lt;=IF($S245=MesCiclo,InicioCiclo,$S245+MOD(2-WEEKDAY($S245),7))+6),1,IF(N($W245)&gt;0,MIN(1,SUMIFS($AD$5:$AD$1000,$U$5:$U$1000,ROW(),$V$5:$V$1000,"Sub")),$Z245)))</f>
        <v/>
      </c>
      <c r="AI245" s="62">
        <f>IF($V245="","",IF(AND(ISNUMBER($G245),$G245&lt;=IF($S245=MesCiclo,InicioCiclo,$S245+MOD(2-WEEKDAY($S245),7))+13),1,IF(N($W245)&gt;0,MIN(1,SUMIFS($AE$5:$AE$1000,$U$5:$U$1000,ROW(),$V$5:$V$1000,"Sub")),$AA245)))</f>
        <v/>
      </c>
      <c r="AJ245" s="62">
        <f>IF($V245="","",IF(AND(ISNUMBER($G245),$G245&lt;=IF($S245=MesCiclo,InicioCiclo,$S245+MOD(2-WEEKDAY($S245),7))+20),1,IF(N($W245)&gt;0,MIN(1,SUMIFS($AF$5:$AF$1000,$U$5:$U$1000,ROW(),$V$5:$V$1000,"Sub")),$AB245)))</f>
        <v/>
      </c>
      <c r="AK245" s="62">
        <f>IF($V245="","",IF(AND(ISNUMBER($G245),$G245&lt;=IF($S245=MesCiclo,InicioCiclo,$S245+MOD(2-WEEKDAY($S245),7))+27),1,IF(N($W245)&gt;0,MIN(1,SUMIFS($AG$5:$AG$1000,$U$5:$U$1000,ROW(),$V$5:$V$1000,"Sub")),$AC245)))</f>
        <v/>
      </c>
      <c r="AL245" s="62">
        <f>IF($V245&lt;&gt;"Macro","",IF(COUNTIFS($S$5:$S$1000,$S245,$V$5:$V$1000,"Macro",$H$5:$H$1000,"&gt;0")=0,1/COUNTIFS($S$5:$S$1000,$S245,$V$5:$V$1000,"Macro"),IF(AND(ISNUMBER($H245),N($H245)&gt;0),$H245,SUMIFS($H$5:$H$1000,$S$5:$S$1000,$S245,$V$5:$V$1000,"Macro")/COUNTIFS($S$5:$S$1000,$S245,$V$5:$V$1000,"Macro",$H$5:$H$1000,"&gt;0"))/(COUNTIFS($S$5:$S$1000,$S245,$V$5:$V$1000,"Macro")*SUMIFS($H$5:$H$1000,$S$5:$S$1000,$S245,$V$5:$V$1000,"Macro")/COUNTIFS($S$5:$S$1000,$S245,$V$5:$V$1000,"Macro",$H$5:$H$1000,"&gt;0"))))</f>
        <v/>
      </c>
      <c r="AM245" s="62" t="n"/>
      <c r="AN245" s="62" t="n"/>
      <c r="AO245" s="62" t="n"/>
      <c r="AP245" s="62" t="n"/>
      <c r="AQ245" s="62">
        <f>IF(LEFT($C245,11)="[Jefatura] ",IFERROR(MATCH("Asistente Técnico de Riesgo|"&amp;MID($C245,12,500),rDname_ADM,0),0),"")</f>
        <v/>
      </c>
      <c r="AR245" s="62">
        <f>IF(N($AQ245)&gt;0,INDEX(rIni_ADM,$AQ245),IF(ISNUMBER($E245),$E245,""))</f>
        <v/>
      </c>
      <c r="AS245" s="62">
        <f>IF(N($AQ245)&gt;0,INDEX(rLim_ADM,$AQ245),IF(ISNUMBER($F245),$F245,""))</f>
        <v/>
      </c>
    </row>
    <row r="246">
      <c r="A246" s="56">
        <f>IF(NOT((COUNTA($B246:$D246)+COUNTA($G246:$H246)+COUNTA($Q246))&gt;0),"",IF($V246="Macro",COUNTIFS($V$5:$V246,"Macro",$S$5:$S246,$S246),IF(N($U246)=0,"?",COUNTIFS(INDEX($V$5:$V$1000,1):INDEX($V$5:$V$1000,$U246-4),"Macro",INDEX($S$5:$S$1000,1):INDEX($S$5:$S$1000,$U246-4),INDEX($S$5:$S$1000,$U246-4))&amp;"."&amp;COUNTIFS($U$5:$U246,$U246,$V$5:$V246,"Sub"))))</f>
        <v/>
      </c>
      <c r="B246" s="57" t="n"/>
      <c r="C246" s="58" t="n"/>
      <c r="D246" s="58" t="n"/>
      <c r="E246" s="59">
        <f>IF(N($AQ246)&gt;0,INDEX(rIni_ADM,$AQ246),"")</f>
        <v/>
      </c>
      <c r="F246" s="59">
        <f>IF(N($AQ246)&gt;0,INDEX(rLim_ADM,$AQ246),"")</f>
        <v/>
      </c>
      <c r="G246" s="59" t="n"/>
      <c r="H246" s="60" t="n"/>
      <c r="I246" s="60">
        <f>IF(N($W246)=0,"",IF(AND($S246=MesCiclo,1&gt;SemanaActual),"",MIN(1,SUMIFS(OFFSET($A$1,ROW(),29,1000-ROW(),1),OFFSET($A$1,ROW(),20,1000-ROW(),1),ROW(),OFFSET($A$1,ROW(),21,1000-ROW(),1),"Sub"))))</f>
        <v/>
      </c>
      <c r="J246" s="60">
        <f>IF(N($W246)=0,"",IF(AND($S246=MesCiclo,2&gt;SemanaActual),"",MIN(1,SUMIFS(OFFSET($A$1,ROW(),30,1000-ROW(),1),OFFSET($A$1,ROW(),20,1000-ROW(),1),ROW(),OFFSET($A$1,ROW(),21,1000-ROW(),1),"Sub"))))</f>
        <v/>
      </c>
      <c r="K246" s="60">
        <f>IF(N($W246)=0,"",IF(AND($S246=MesCiclo,3&gt;SemanaActual),"",MIN(1,SUMIFS(OFFSET($A$1,ROW(),31,1000-ROW(),1),OFFSET($A$1,ROW(),20,1000-ROW(),1),ROW(),OFFSET($A$1,ROW(),21,1000-ROW(),1),"Sub"))))</f>
        <v/>
      </c>
      <c r="L246" s="60">
        <f>IF(N($W246)=0,"",IF(AND($S246=MesCiclo,4&gt;SemanaActual),"",MIN(1,SUMIFS(OFFSET($A$1,ROW(),32,1000-ROW(),1),OFFSET($A$1,ROW(),20,1000-ROW(),1),ROW(),OFFSET($A$1,ROW(),21,1000-ROW(),1),"Sub"))))</f>
        <v/>
      </c>
      <c r="M246" s="61">
        <f>IF(OR(NOT((COUNTA($B246:$D246)+COUNTA($G246:$H246)+COUNTA($Q246))&gt;0),$V246="Sub"),"",IF(ISNUMBER($G246),1,IF(N($W246)&gt;0,MIN(1,SUMIFS($Y$5:$Y$1000,$U$5:$U$1000,ROW(),$V$5:$V$1000,"Sub")),$Y246)))</f>
        <v/>
      </c>
      <c r="N246" s="56">
        <f>IF(OR($M246="",$V246="Sub"),"",IF($M246&gt;=1,"Completado",IF($M246&gt;0,"En curso","Pendiente")))</f>
        <v/>
      </c>
      <c r="O246" s="56">
        <f>IF(OR(NOT((COUNTA($B246:$D246)+COUNTA($G246:$H246)+COUNTA($Q246))&gt;0),$V246="Sub"),"",IF(ISNUMBER($G246),IF(AND(ISNUMBER($AS246),$G246&gt;$AS246),"Cumplida con "&amp;($G246-$AS246)&amp;IF($G246-$AS246=1," día"," días")&amp;" de retraso","Cumplida"),IF(N($M246)&gt;=1,"Cumplida",IF(NOT(ISNUMBER($AS246)),"Sin fecha límite",IF($AS246&lt;FechaRef,"Vencida hace "&amp;(FechaRef-$AS246)&amp;IF(FechaRef-$AS246=1," día"," días"),IF($AS246=FechaRef,"Vence hoy",IF($AS246-FechaRef&lt;=DiasAlerta,"Vence en "&amp;($AS246-FechaRef)&amp;IF($AS246-FechaRef=1," día"," días"),"En plazo")))))))</f>
        <v/>
      </c>
      <c r="P246" s="62" t="n"/>
      <c r="Q246" s="58" t="n"/>
      <c r="R246" s="63">
        <f>IF(NOT((COUNTA($B246:$D246)+COUNTA($G246:$H246)+COUNTA($Q246))&gt;0),"",IF((IF($C246="","Falta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 OK","⚠ "&amp;LEFT(IF($C246="","Falta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",""),LEN(IF($C246="","Falta el nombre de la actividad"&amp;" · ","")&amp;IF(AND($V246="Sub",N($U246)=0),"Subactividad sin macroactividad arriba"&amp;" · ","")&amp;IF(AND($V246="Macro",$AR246=""),"Sin fecha de inicio"&amp;" · ","")&amp;IF(AND($V246="Macro",$AS246=""),"Sin fecha límite"&amp;" · ","")&amp;IF(AND(LEFT($C246,11)="[Jefatura] ",N($AQ246)=0),"No se encuentra en la hoja de la jefatura (elíjala de nuevo en la lista)"&amp;" · ","")&amp;IF(OR(AND($E246&lt;&gt;"",NOT(ISNUMBER($E246))),AND($F246&lt;&gt;"",NOT(ISNUMBER($F246))),AND($G246&lt;&gt;"",NOT(ISNUMBER($G246)))),"Fecha no válida"&amp;" · ","")&amp;IF(AND(ISNUMBER($AR246),ISNUMBER($AS246),$AR246&gt;$AS246),"Inicio posterior a fecha límite"&amp;" · ","")&amp;IF(AND($V246="Macro",$H246&lt;&gt;"",OR(NOT(ISNUMBER($H246)),$H246&lt;0,$H246&gt;1)),"Peso fuera de rango"&amp;" · ","")&amp;IF(AND($V246="Sub",$H246&lt;&gt;"",OR(NOT(ISNUMBER($H246)),$H246&lt;0,$H246&gt;1)),"% de la subactividad fuera de rango 0-100%"&amp;" · ","")&amp;IF(AND(N($W246)&gt;0,SUMIFS($H$5:$H$1000,$U$5:$U$1000,ROW(),$V$5:$V$1000,"Sub")&gt;1.0001),"Las subactividades suman más de 100%"&amp;" · ","")&amp;IF(AND(N($W246)&gt;0,OR(IF(ISNUMBER($I246),ROUND($I246,6)&lt;&gt;ROUND(MIN(1,SUMIFS($AD$5:$AD$1000,$U$5:$U$1000,ROW(),$V$5:$V$1000,"Sub")),6),FALSE),IF(ISNUMBER($J246),ROUND($J246,6)&lt;&gt;ROUND(MIN(1,SUMIFS($AE$5:$AE$1000,$U$5:$U$1000,ROW(),$V$5:$V$1000,"Sub")),6),FALSE),IF(ISNUMBER($K246),ROUND($K246,6)&lt;&gt;ROUND(MIN(1,SUMIFS($AF$5:$AF$1000,$U$5:$U$1000,ROW(),$V$5:$V$1000,"Sub")),6),FALSE),IF(ISNUMBER($L246),ROUND($L246,6)&lt;&gt;ROUND(MIN(1,SUMIFS($AG$5:$AG$1000,$U$5:$U$1000,ROW(),$V$5:$V$1000,"Sub")),6),FALSE))),"Con subactividades: no escriba en las semanas (se llenan solas)"&amp;" · ","")&amp;IF((COUNTIF($I246:$L246,"&gt;1")+COUNTIF($I246:$L246,"&lt;0")+SUMPRODUCT((LEN($I246:$L246)&gt;0)*NOT(ISNUMBER($I246:$L246))))&gt;0,"Avance fuera de rango 0-100%"&amp;" · ","")&amp;IF(OR(AND(ISNUMBER($J246),$J246&lt;N($I246)),AND(ISNUMBER($K246),$K246&lt;MAX($I246:$J246)),AND(ISNUMBER($L246),$L246&lt;MAX($I246:$K246))),"Avance semanal decreciente"&amp;" · ","")&amp;IF(AND(ISNUMBER($AS246),$AS246&lt;FechaRef,IF($V246="Sub",1,N($M246))&lt;1),"Vencida"&amp;" · ","")&amp;IF(AND(ObsObligatoria="Sí",ISNUMBER($AS246),$AS246&lt;FechaRef,IF($V246="Sub",1,N($M246))&lt;1,$Q246=""),"Vencida sin observación"&amp;" · ",""))-3)))</f>
        <v/>
      </c>
      <c r="S246" s="64">
        <f>IF(NOT((COUNTA($B246:$D246)+COUNTA($G246:$H246)+COUNTA($Q246))&gt;0),"",IF(AND($V246="Sub",N($U246)&gt;0),IF(ISNUMBER(INDEX($AR$5:$AR$1000,$U246-4)),DATE(YEAR(INDEX($AR$5:$AR$1000,$U246-4)),MONTH(INDEX($AR$5:$AR$1000,$U246-4)),1),IF(ISNUMBER(INDEX($AS$5:$AS$1000,$U246-4)),DATE(YEAR(INDEX($AS$5:$AS$1000,$U246-4)),MONTH(INDEX($AS$5:$AS$1000,$U246-4)),1),MesCiclo)),IF(ISNUMBER($AR246),DATE(YEAR($AR246),MONTH($AR246),1),IF(ISNUMBER($AS246),DATE(YEAR($AS246),MONTH($AS246),1),MesCiclo))))</f>
        <v/>
      </c>
      <c r="T246" s="62">
        <f>IF(OR($S246="",$S246&lt;&gt;MesCiclo,$V246&lt;&gt;"Macro"),"",COUNTIFS($S$5:$S246,MesCiclo,$V$5:$V246,"Macro"))</f>
        <v/>
      </c>
      <c r="U246" s="62">
        <f>IF($V246="","",IF($V246="Macro",ROW(),IFERROR(LOOKUP(2,1/($V$5:$V246="Macro"),ROW($V$5:$V246)),0)))</f>
        <v/>
      </c>
      <c r="V246" s="62">
        <f>IF(NOT((COUNTA($B246:$D246)+COUNTA($G246:$H246)+COUNTA($Q246))&gt;0),"",IF($B246="Subactividad","Sub","Macro"))</f>
        <v/>
      </c>
      <c r="W246" s="62">
        <f>IF($V246="Macro",COUNTIFS($U$5:$U$1000,ROW(),$V$5:$V$1000,"Sub"),"")</f>
        <v/>
      </c>
      <c r="X246" s="62">
        <f>IF($V246&lt;&gt;"Sub","",IF(AND(ISNUMBER($H246),N($H246)&gt;0),$H246,IFERROR(MAX(0,1-SUMIFS($H$5:$H$1000,$U$5:$U$1000,$U246,$V$5:$V$1000,"Sub"))/(COUNTIFS($U$5:$U$1000,$U246,$V$5:$V$1000,"Sub")-COUNTIFS($U$5:$U$1000,$U246,$V$5:$V$1000,"Sub",$H$5:$H$1000,"&gt;0")),0)))</f>
        <v/>
      </c>
      <c r="Y246" s="62">
        <f>IF($V246="","",IF($V246="Sub",N($X246)*IF(ISNUMBER($G246),1,MIN(1,MAX(0,IFERROR(LOOKUP(2,1/ISNUMBER($I246:$L246),$I246:$L246),0)))),IF(ISNUMBER($G246),1,IFERROR(LOOKUP(2,1/($I246:$L246&lt;&gt;""),$I246:$L246),0))))</f>
        <v/>
      </c>
      <c r="Z246" s="62">
        <f>IF($V246="","",IF(AND(ISNUMBER($G246),$G246&lt;=IF($S246=MesCiclo,InicioCiclo,$S246+MOD(2-WEEKDAY($S246),7))+6),1,IF(ISNUMBER($I246),$I246,0)))</f>
        <v/>
      </c>
      <c r="AA246" s="62">
        <f>IF($V246="","",IF(AND(ISNUMBER($G246),$G246&lt;=IF($S246=MesCiclo,InicioCiclo,$S246+MOD(2-WEEKDAY($S246),7))+13),1,IF(ISNUMBER($J246),$J246,$Z246)))</f>
        <v/>
      </c>
      <c r="AB246" s="62">
        <f>IF($V246="","",IF(AND(ISNUMBER($G246),$G246&lt;=IF($S246=MesCiclo,InicioCiclo,$S246+MOD(2-WEEKDAY($S246),7))+20),1,IF(ISNUMBER($K246),$K246,$AA246)))</f>
        <v/>
      </c>
      <c r="AC246" s="62">
        <f>IF($V246="","",IF(AND(ISNUMBER($G246),$G246&lt;=IF($S246=MesCiclo,InicioCiclo,$S246+MOD(2-WEEKDAY($S246),7))+27),1,IF(ISNUMBER($L246),$L246,$AB246)))</f>
        <v/>
      </c>
      <c r="AD246" s="62">
        <f>IF($V246&lt;&gt;"Sub","",N($X246)*IF(AND(ISNUMBER($G246),$G246&lt;=IF($S246=MesCiclo,InicioCiclo,$S246+MOD(2-WEEKDAY($S246),7))+6),1,MIN(1,MAX(0,IF(ISNUMBER(OFFSET($A$1,ROW()-1,8)),OFFSET($A$1,ROW()-1,8),0)))))</f>
        <v/>
      </c>
      <c r="AE246" s="62">
        <f>IF($V246&lt;&gt;"Sub","",N($X246)*IF(AND(ISNUMBER($G246),$G246&lt;=IF($S246=MesCiclo,InicioCiclo,$S246+MOD(2-WEEKDAY($S246),7))+13),1,MIN(1,MAX(0,IF(ISNUMBER(OFFSET($A$1,ROW()-1,9)),OFFSET($A$1,ROW()-1,9),IF(ISNUMBER(OFFSET($A$1,ROW()-1,8)),OFFSET($A$1,ROW()-1,8),0))))))</f>
        <v/>
      </c>
      <c r="AF246" s="62">
        <f>IF($V246&lt;&gt;"Sub","",N($X246)*IF(AND(ISNUMBER($G246),$G246&lt;=IF($S246=MesCiclo,InicioCiclo,$S246+MOD(2-WEEKDAY($S246),7))+20),1,MIN(1,MAX(0,IF(ISNUMBER(OFFSET($A$1,ROW()-1,10)),OFFSET($A$1,ROW()-1,10),IF(ISNUMBER(OFFSET($A$1,ROW()-1,9)),OFFSET($A$1,ROW()-1,9),IF(ISNUMBER(OFFSET($A$1,ROW()-1,8)),OFFSET($A$1,ROW()-1,8),0)))))))</f>
        <v/>
      </c>
      <c r="AG246" s="62">
        <f>IF($V246&lt;&gt;"Sub","",N($X246)*IF(AND(ISNUMBER($G246),$G246&lt;=IF($S246=MesCiclo,InicioCiclo,$S246+MOD(2-WEEKDAY($S246),7))+27),1,MIN(1,MAX(0,IF(ISNUMBER(OFFSET($A$1,ROW()-1,11)),OFFSET($A$1,ROW()-1,11),IF(ISNUMBER(OFFSET($A$1,ROW()-1,10)),OFFSET($A$1,ROW()-1,10),IF(ISNUMBER(OFFSET($A$1,ROW()-1,9)),OFFSET($A$1,ROW()-1,9),IF(ISNUMBER(OFFSET($A$1,ROW()-1,8)),OFFSET($A$1,ROW()-1,8),0))))))))</f>
        <v/>
      </c>
      <c r="AH246" s="62">
        <f>IF($V246="","",IF(AND(ISNUMBER($G246),$G246&lt;=IF($S246=MesCiclo,InicioCiclo,$S246+MOD(2-WEEKDAY($S246),7))+6),1,IF(N($W246)&gt;0,MIN(1,SUMIFS($AD$5:$AD$1000,$U$5:$U$1000,ROW(),$V$5:$V$1000,"Sub")),$Z246)))</f>
        <v/>
      </c>
      <c r="AI246" s="62">
        <f>IF($V246="","",IF(AND(ISNUMBER($G246),$G246&lt;=IF($S246=MesCiclo,InicioCiclo,$S246+MOD(2-WEEKDAY($S246),7))+13),1,IF(N($W246)&gt;0,MIN(1,SUMIFS($AE$5:$AE$1000,$U$5:$U$1000,ROW(),$V$5:$V$1000,"Sub")),$AA246)))</f>
        <v/>
      </c>
      <c r="AJ246" s="62">
        <f>IF($V246="","",IF(AND(ISNUMBER($G246),$G246&lt;=IF($S246=MesCiclo,InicioCiclo,$S246+MOD(2-WEEKDAY($S246),7))+20),1,IF(N($W246)&gt;0,MIN(1,SUMIFS($AF$5:$AF$1000,$U$5:$U$1000,ROW(),$V$5:$V$1000,"Sub")),$AB246)))</f>
        <v/>
      </c>
      <c r="AK246" s="62">
        <f>IF($V246="","",IF(AND(ISNUMBER($G246),$G246&lt;=IF($S246=MesCiclo,InicioCiclo,$S246+MOD(2-WEEKDAY($S246),7))+27),1,IF(N($W246)&gt;0,MIN(1,SUMIFS($AG$5:$AG$1000,$U$5:$U$1000,ROW(),$V$5:$V$1000,"Sub")),$AC246)))</f>
        <v/>
      </c>
      <c r="AL246" s="62">
        <f>IF($V246&lt;&gt;"Macro","",IF(COUNTIFS($S$5:$S$1000,$S246,$V$5:$V$1000,"Macro",$H$5:$H$1000,"&gt;0")=0,1/COUNTIFS($S$5:$S$1000,$S246,$V$5:$V$1000,"Macro"),IF(AND(ISNUMBER($H246),N($H246)&gt;0),$H246,SUMIFS($H$5:$H$1000,$S$5:$S$1000,$S246,$V$5:$V$1000,"Macro")/COUNTIFS($S$5:$S$1000,$S246,$V$5:$V$1000,"Macro",$H$5:$H$1000,"&gt;0"))/(COUNTIFS($S$5:$S$1000,$S246,$V$5:$V$1000,"Macro")*SUMIFS($H$5:$H$1000,$S$5:$S$1000,$S246,$V$5:$V$1000,"Macro")/COUNTIFS($S$5:$S$1000,$S246,$V$5:$V$1000,"Macro",$H$5:$H$1000,"&gt;0"))))</f>
        <v/>
      </c>
      <c r="AM246" s="62" t="n"/>
      <c r="AN246" s="62" t="n"/>
      <c r="AO246" s="62" t="n"/>
      <c r="AP246" s="62" t="n"/>
      <c r="AQ246" s="62">
        <f>IF(LEFT($C246,11)="[Jefatura] ",IFERROR(MATCH("Asistente Técnico de Riesgo|"&amp;MID($C246,12,500),rDname_ADM,0),0),"")</f>
        <v/>
      </c>
      <c r="AR246" s="62">
        <f>IF(N($AQ246)&gt;0,INDEX(rIni_ADM,$AQ246),IF(ISNUMBER($E246),$E246,""))</f>
        <v/>
      </c>
      <c r="AS246" s="62">
        <f>IF(N($AQ246)&gt;0,INDEX(rLim_ADM,$AQ246),IF(ISNUMBER($F246),$F246,""))</f>
        <v/>
      </c>
    </row>
    <row r="247">
      <c r="A247" s="56">
        <f>IF(NOT((COUNTA($B247:$D247)+COUNTA($G247:$H247)+COUNTA($Q247))&gt;0),"",IF($V247="Macro",COUNTIFS($V$5:$V247,"Macro",$S$5:$S247,$S247),IF(N($U247)=0,"?",COUNTIFS(INDEX($V$5:$V$1000,1):INDEX($V$5:$V$1000,$U247-4),"Macro",INDEX($S$5:$S$1000,1):INDEX($S$5:$S$1000,$U247-4),INDEX($S$5:$S$1000,$U247-4))&amp;"."&amp;COUNTIFS($U$5:$U247,$U247,$V$5:$V247,"Sub"))))</f>
        <v/>
      </c>
      <c r="B247" s="57" t="n"/>
      <c r="C247" s="58" t="n"/>
      <c r="D247" s="58" t="n"/>
      <c r="E247" s="59">
        <f>IF(N($AQ247)&gt;0,INDEX(rIni_ADM,$AQ247),"")</f>
        <v/>
      </c>
      <c r="F247" s="59">
        <f>IF(N($AQ247)&gt;0,INDEX(rLim_ADM,$AQ247),"")</f>
        <v/>
      </c>
      <c r="G247" s="59" t="n"/>
      <c r="H247" s="60" t="n"/>
      <c r="I247" s="60">
        <f>IF(N($W247)=0,"",IF(AND($S247=MesCiclo,1&gt;SemanaActual),"",MIN(1,SUMIFS(OFFSET($A$1,ROW(),29,1000-ROW(),1),OFFSET($A$1,ROW(),20,1000-ROW(),1),ROW(),OFFSET($A$1,ROW(),21,1000-ROW(),1),"Sub"))))</f>
        <v/>
      </c>
      <c r="J247" s="60">
        <f>IF(N($W247)=0,"",IF(AND($S247=MesCiclo,2&gt;SemanaActual),"",MIN(1,SUMIFS(OFFSET($A$1,ROW(),30,1000-ROW(),1),OFFSET($A$1,ROW(),20,1000-ROW(),1),ROW(),OFFSET($A$1,ROW(),21,1000-ROW(),1),"Sub"))))</f>
        <v/>
      </c>
      <c r="K247" s="60">
        <f>IF(N($W247)=0,"",IF(AND($S247=MesCiclo,3&gt;SemanaActual),"",MIN(1,SUMIFS(OFFSET($A$1,ROW(),31,1000-ROW(),1),OFFSET($A$1,ROW(),20,1000-ROW(),1),ROW(),OFFSET($A$1,ROW(),21,1000-ROW(),1),"Sub"))))</f>
        <v/>
      </c>
      <c r="L247" s="60">
        <f>IF(N($W247)=0,"",IF(AND($S247=MesCiclo,4&gt;SemanaActual),"",MIN(1,SUMIFS(OFFSET($A$1,ROW(),32,1000-ROW(),1),OFFSET($A$1,ROW(),20,1000-ROW(),1),ROW(),OFFSET($A$1,ROW(),21,1000-ROW(),1),"Sub"))))</f>
        <v/>
      </c>
      <c r="M247" s="61">
        <f>IF(OR(NOT((COUNTA($B247:$D247)+COUNTA($G247:$H247)+COUNTA($Q247))&gt;0),$V247="Sub"),"",IF(ISNUMBER($G247),1,IF(N($W247)&gt;0,MIN(1,SUMIFS($Y$5:$Y$1000,$U$5:$U$1000,ROW(),$V$5:$V$1000,"Sub")),$Y247)))</f>
        <v/>
      </c>
      <c r="N247" s="56">
        <f>IF(OR($M247="",$V247="Sub"),"",IF($M247&gt;=1,"Completado",IF($M247&gt;0,"En curso","Pendiente")))</f>
        <v/>
      </c>
      <c r="O247" s="56">
        <f>IF(OR(NOT((COUNTA($B247:$D247)+COUNTA($G247:$H247)+COUNTA($Q247))&gt;0),$V247="Sub"),"",IF(ISNUMBER($G247),IF(AND(ISNUMBER($AS247),$G247&gt;$AS247),"Cumplida con "&amp;($G247-$AS247)&amp;IF($G247-$AS247=1," día"," días")&amp;" de retraso","Cumplida"),IF(N($M247)&gt;=1,"Cumplida",IF(NOT(ISNUMBER($AS247)),"Sin fecha límite",IF($AS247&lt;FechaRef,"Vencida hace "&amp;(FechaRef-$AS247)&amp;IF(FechaRef-$AS247=1," día"," días"),IF($AS247=FechaRef,"Vence hoy",IF($AS247-FechaRef&lt;=DiasAlerta,"Vence en "&amp;($AS247-FechaRef)&amp;IF($AS247-FechaRef=1," día"," días"),"En plazo")))))))</f>
        <v/>
      </c>
      <c r="P247" s="62" t="n"/>
      <c r="Q247" s="58" t="n"/>
      <c r="R247" s="63">
        <f>IF(NOT((COUNTA($B247:$D247)+COUNTA($G247:$H247)+COUNTA($Q247))&gt;0),"",IF((IF($C247="","Falta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 OK","⚠ "&amp;LEFT(IF($C247="","Falta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",""),LEN(IF($C247="","Falta el nombre de la actividad"&amp;" · ","")&amp;IF(AND($V247="Sub",N($U247)=0),"Subactividad sin macroactividad arriba"&amp;" · ","")&amp;IF(AND($V247="Macro",$AR247=""),"Sin fecha de inicio"&amp;" · ","")&amp;IF(AND($V247="Macro",$AS247=""),"Sin fecha límite"&amp;" · ","")&amp;IF(AND(LEFT($C247,11)="[Jefatura] ",N($AQ247)=0),"No se encuentra en la hoja de la jefatura (elíjala de nuevo en la lista)"&amp;" · ","")&amp;IF(OR(AND($E247&lt;&gt;"",NOT(ISNUMBER($E247))),AND($F247&lt;&gt;"",NOT(ISNUMBER($F247))),AND($G247&lt;&gt;"",NOT(ISNUMBER($G247)))),"Fecha no válida"&amp;" · ","")&amp;IF(AND(ISNUMBER($AR247),ISNUMBER($AS247),$AR247&gt;$AS247),"Inicio posterior a fecha límite"&amp;" · ","")&amp;IF(AND($V247="Macro",$H247&lt;&gt;"",OR(NOT(ISNUMBER($H247)),$H247&lt;0,$H247&gt;1)),"Peso fuera de rango"&amp;" · ","")&amp;IF(AND($V247="Sub",$H247&lt;&gt;"",OR(NOT(ISNUMBER($H247)),$H247&lt;0,$H247&gt;1)),"% de la subactividad fuera de rango 0-100%"&amp;" · ","")&amp;IF(AND(N($W247)&gt;0,SUMIFS($H$5:$H$1000,$U$5:$U$1000,ROW(),$V$5:$V$1000,"Sub")&gt;1.0001),"Las subactividades suman más de 100%"&amp;" · ","")&amp;IF(AND(N($W247)&gt;0,OR(IF(ISNUMBER($I247),ROUND($I247,6)&lt;&gt;ROUND(MIN(1,SUMIFS($AD$5:$AD$1000,$U$5:$U$1000,ROW(),$V$5:$V$1000,"Sub")),6),FALSE),IF(ISNUMBER($J247),ROUND($J247,6)&lt;&gt;ROUND(MIN(1,SUMIFS($AE$5:$AE$1000,$U$5:$U$1000,ROW(),$V$5:$V$1000,"Sub")),6),FALSE),IF(ISNUMBER($K247),ROUND($K247,6)&lt;&gt;ROUND(MIN(1,SUMIFS($AF$5:$AF$1000,$U$5:$U$1000,ROW(),$V$5:$V$1000,"Sub")),6),FALSE),IF(ISNUMBER($L247),ROUND($L247,6)&lt;&gt;ROUND(MIN(1,SUMIFS($AG$5:$AG$1000,$U$5:$U$1000,ROW(),$V$5:$V$1000,"Sub")),6),FALSE))),"Con subactividades: no escriba en las semanas (se llenan solas)"&amp;" · ","")&amp;IF((COUNTIF($I247:$L247,"&gt;1")+COUNTIF($I247:$L247,"&lt;0")+SUMPRODUCT((LEN($I247:$L247)&gt;0)*NOT(ISNUMBER($I247:$L247))))&gt;0,"Avance fuera de rango 0-100%"&amp;" · ","")&amp;IF(OR(AND(ISNUMBER($J247),$J247&lt;N($I247)),AND(ISNUMBER($K247),$K247&lt;MAX($I247:$J247)),AND(ISNUMBER($L247),$L247&lt;MAX($I247:$K247))),"Avance semanal decreciente"&amp;" · ","")&amp;IF(AND(ISNUMBER($AS247),$AS247&lt;FechaRef,IF($V247="Sub",1,N($M247))&lt;1),"Vencida"&amp;" · ","")&amp;IF(AND(ObsObligatoria="Sí",ISNUMBER($AS247),$AS247&lt;FechaRef,IF($V247="Sub",1,N($M247))&lt;1,$Q247=""),"Vencida sin observación"&amp;" · ",""))-3)))</f>
        <v/>
      </c>
      <c r="S247" s="64">
        <f>IF(NOT((COUNTA($B247:$D247)+COUNTA($G247:$H247)+COUNTA($Q247))&gt;0),"",IF(AND($V247="Sub",N($U247)&gt;0),IF(ISNUMBER(INDEX($AR$5:$AR$1000,$U247-4)),DATE(YEAR(INDEX($AR$5:$AR$1000,$U247-4)),MONTH(INDEX($AR$5:$AR$1000,$U247-4)),1),IF(ISNUMBER(INDEX($AS$5:$AS$1000,$U247-4)),DATE(YEAR(INDEX($AS$5:$AS$1000,$U247-4)),MONTH(INDEX($AS$5:$AS$1000,$U247-4)),1),MesCiclo)),IF(ISNUMBER($AR247),DATE(YEAR($AR247),MONTH($AR247),1),IF(ISNUMBER($AS247),DATE(YEAR($AS247),MONTH($AS247),1),MesCiclo))))</f>
        <v/>
      </c>
      <c r="T247" s="62">
        <f>IF(OR($S247="",$S247&lt;&gt;MesCiclo,$V247&lt;&gt;"Macro"),"",COUNTIFS($S$5:$S247,MesCiclo,$V$5:$V247,"Macro"))</f>
        <v/>
      </c>
      <c r="U247" s="62">
        <f>IF($V247="","",IF($V247="Macro",ROW(),IFERROR(LOOKUP(2,1/($V$5:$V247="Macro"),ROW($V$5:$V247)),0)))</f>
        <v/>
      </c>
      <c r="V247" s="62">
        <f>IF(NOT((COUNTA($B247:$D247)+COUNTA($G247:$H247)+COUNTA($Q247))&gt;0),"",IF($B247="Subactividad","Sub","Macro"))</f>
        <v/>
      </c>
      <c r="W247" s="62">
        <f>IF($V247="Macro",COUNTIFS($U$5:$U$1000,ROW(),$V$5:$V$1000,"Sub"),"")</f>
        <v/>
      </c>
      <c r="X247" s="62">
        <f>IF($V247&lt;&gt;"Sub","",IF(AND(ISNUMBER($H247),N($H247)&gt;0),$H247,IFERROR(MAX(0,1-SUMIFS($H$5:$H$1000,$U$5:$U$1000,$U247,$V$5:$V$1000,"Sub"))/(COUNTIFS($U$5:$U$1000,$U247,$V$5:$V$1000,"Sub")-COUNTIFS($U$5:$U$1000,$U247,$V$5:$V$1000,"Sub",$H$5:$H$1000,"&gt;0")),0)))</f>
        <v/>
      </c>
      <c r="Y247" s="62">
        <f>IF($V247="","",IF($V247="Sub",N($X247)*IF(ISNUMBER($G247),1,MIN(1,MAX(0,IFERROR(LOOKUP(2,1/ISNUMBER($I247:$L247),$I247:$L247),0)))),IF(ISNUMBER($G247),1,IFERROR(LOOKUP(2,1/($I247:$L247&lt;&gt;""),$I247:$L247),0))))</f>
        <v/>
      </c>
      <c r="Z247" s="62">
        <f>IF($V247="","",IF(AND(ISNUMBER($G247),$G247&lt;=IF($S247=MesCiclo,InicioCiclo,$S247+MOD(2-WEEKDAY($S247),7))+6),1,IF(ISNUMBER($I247),$I247,0)))</f>
        <v/>
      </c>
      <c r="AA247" s="62">
        <f>IF($V247="","",IF(AND(ISNUMBER($G247),$G247&lt;=IF($S247=MesCiclo,InicioCiclo,$S247+MOD(2-WEEKDAY($S247),7))+13),1,IF(ISNUMBER($J247),$J247,$Z247)))</f>
        <v/>
      </c>
      <c r="AB247" s="62">
        <f>IF($V247="","",IF(AND(ISNUMBER($G247),$G247&lt;=IF($S247=MesCiclo,InicioCiclo,$S247+MOD(2-WEEKDAY($S247),7))+20),1,IF(ISNUMBER($K247),$K247,$AA247)))</f>
        <v/>
      </c>
      <c r="AC247" s="62">
        <f>IF($V247="","",IF(AND(ISNUMBER($G247),$G247&lt;=IF($S247=MesCiclo,InicioCiclo,$S247+MOD(2-WEEKDAY($S247),7))+27),1,IF(ISNUMBER($L247),$L247,$AB247)))</f>
        <v/>
      </c>
      <c r="AD247" s="62">
        <f>IF($V247&lt;&gt;"Sub","",N($X247)*IF(AND(ISNUMBER($G247),$G247&lt;=IF($S247=MesCiclo,InicioCiclo,$S247+MOD(2-WEEKDAY($S247),7))+6),1,MIN(1,MAX(0,IF(ISNUMBER(OFFSET($A$1,ROW()-1,8)),OFFSET($A$1,ROW()-1,8),0)))))</f>
        <v/>
      </c>
      <c r="AE247" s="62">
        <f>IF($V247&lt;&gt;"Sub","",N($X247)*IF(AND(ISNUMBER($G247),$G247&lt;=IF($S247=MesCiclo,InicioCiclo,$S247+MOD(2-WEEKDAY($S247),7))+13),1,MIN(1,MAX(0,IF(ISNUMBER(OFFSET($A$1,ROW()-1,9)),OFFSET($A$1,ROW()-1,9),IF(ISNUMBER(OFFSET($A$1,ROW()-1,8)),OFFSET($A$1,ROW()-1,8),0))))))</f>
        <v/>
      </c>
      <c r="AF247" s="62">
        <f>IF($V247&lt;&gt;"Sub","",N($X247)*IF(AND(ISNUMBER($G247),$G247&lt;=IF($S247=MesCiclo,InicioCiclo,$S247+MOD(2-WEEKDAY($S247),7))+20),1,MIN(1,MAX(0,IF(ISNUMBER(OFFSET($A$1,ROW()-1,10)),OFFSET($A$1,ROW()-1,10),IF(ISNUMBER(OFFSET($A$1,ROW()-1,9)),OFFSET($A$1,ROW()-1,9),IF(ISNUMBER(OFFSET($A$1,ROW()-1,8)),OFFSET($A$1,ROW()-1,8),0)))))))</f>
        <v/>
      </c>
      <c r="AG247" s="62">
        <f>IF($V247&lt;&gt;"Sub","",N($X247)*IF(AND(ISNUMBER($G247),$G247&lt;=IF($S247=MesCiclo,InicioCiclo,$S247+MOD(2-WEEKDAY($S247),7))+27),1,MIN(1,MAX(0,IF(ISNUMBER(OFFSET($A$1,ROW()-1,11)),OFFSET($A$1,ROW()-1,11),IF(ISNUMBER(OFFSET($A$1,ROW()-1,10)),OFFSET($A$1,ROW()-1,10),IF(ISNUMBER(OFFSET($A$1,ROW()-1,9)),OFFSET($A$1,ROW()-1,9),IF(ISNUMBER(OFFSET($A$1,ROW()-1,8)),OFFSET($A$1,ROW()-1,8),0))))))))</f>
        <v/>
      </c>
      <c r="AH247" s="62">
        <f>IF($V247="","",IF(AND(ISNUMBER($G247),$G247&lt;=IF($S247=MesCiclo,InicioCiclo,$S247+MOD(2-WEEKDAY($S247),7))+6),1,IF(N($W247)&gt;0,MIN(1,SUMIFS($AD$5:$AD$1000,$U$5:$U$1000,ROW(),$V$5:$V$1000,"Sub")),$Z247)))</f>
        <v/>
      </c>
      <c r="AI247" s="62">
        <f>IF($V247="","",IF(AND(ISNUMBER($G247),$G247&lt;=IF($S247=MesCiclo,InicioCiclo,$S247+MOD(2-WEEKDAY($S247),7))+13),1,IF(N($W247)&gt;0,MIN(1,SUMIFS($AE$5:$AE$1000,$U$5:$U$1000,ROW(),$V$5:$V$1000,"Sub")),$AA247)))</f>
        <v/>
      </c>
      <c r="AJ247" s="62">
        <f>IF($V247="","",IF(AND(ISNUMBER($G247),$G247&lt;=IF($S247=MesCiclo,InicioCiclo,$S247+MOD(2-WEEKDAY($S247),7))+20),1,IF(N($W247)&gt;0,MIN(1,SUMIFS($AF$5:$AF$1000,$U$5:$U$1000,ROW(),$V$5:$V$1000,"Sub")),$AB247)))</f>
        <v/>
      </c>
      <c r="AK247" s="62">
        <f>IF($V247="","",IF(AND(ISNUMBER($G247),$G247&lt;=IF($S247=MesCiclo,InicioCiclo,$S247+MOD(2-WEEKDAY($S247),7))+27),1,IF(N($W247)&gt;0,MIN(1,SUMIFS($AG$5:$AG$1000,$U$5:$U$1000,ROW(),$V$5:$V$1000,"Sub")),$AC247)))</f>
        <v/>
      </c>
      <c r="AL247" s="62">
        <f>IF($V247&lt;&gt;"Macro","",IF(COUNTIFS($S$5:$S$1000,$S247,$V$5:$V$1000,"Macro",$H$5:$H$1000,"&gt;0")=0,1/COUNTIFS($S$5:$S$1000,$S247,$V$5:$V$1000,"Macro"),IF(AND(ISNUMBER($H247),N($H247)&gt;0),$H247,SUMIFS($H$5:$H$1000,$S$5:$S$1000,$S247,$V$5:$V$1000,"Macro")/COUNTIFS($S$5:$S$1000,$S247,$V$5:$V$1000,"Macro",$H$5:$H$1000,"&gt;0"))/(COUNTIFS($S$5:$S$1000,$S247,$V$5:$V$1000,"Macro")*SUMIFS($H$5:$H$1000,$S$5:$S$1000,$S247,$V$5:$V$1000,"Macro")/COUNTIFS($S$5:$S$1000,$S247,$V$5:$V$1000,"Macro",$H$5:$H$1000,"&gt;0"))))</f>
        <v/>
      </c>
      <c r="AM247" s="62" t="n"/>
      <c r="AN247" s="62" t="n"/>
      <c r="AO247" s="62" t="n"/>
      <c r="AP247" s="62" t="n"/>
      <c r="AQ247" s="62">
        <f>IF(LEFT($C247,11)="[Jefatura] ",IFERROR(MATCH("Asistente Técnico de Riesgo|"&amp;MID($C247,12,500),rDname_ADM,0),0),"")</f>
        <v/>
      </c>
      <c r="AR247" s="62">
        <f>IF(N($AQ247)&gt;0,INDEX(rIni_ADM,$AQ247),IF(ISNUMBER($E247),$E247,""))</f>
        <v/>
      </c>
      <c r="AS247" s="62">
        <f>IF(N($AQ247)&gt;0,INDEX(rLim_ADM,$AQ247),IF(ISNUMBER($F247),$F247,""))</f>
        <v/>
      </c>
    </row>
    <row r="248">
      <c r="A248" s="56">
        <f>IF(NOT((COUNTA($B248:$D248)+COUNTA($G248:$H248)+COUNTA($Q248))&gt;0),"",IF($V248="Macro",COUNTIFS($V$5:$V248,"Macro",$S$5:$S248,$S248),IF(N($U248)=0,"?",COUNTIFS(INDEX($V$5:$V$1000,1):INDEX($V$5:$V$1000,$U248-4),"Macro",INDEX($S$5:$S$1000,1):INDEX($S$5:$S$1000,$U248-4),INDEX($S$5:$S$1000,$U248-4))&amp;"."&amp;COUNTIFS($U$5:$U248,$U248,$V$5:$V248,"Sub"))))</f>
        <v/>
      </c>
      <c r="B248" s="57" t="n"/>
      <c r="C248" s="58" t="n"/>
      <c r="D248" s="58" t="n"/>
      <c r="E248" s="59">
        <f>IF(N($AQ248)&gt;0,INDEX(rIni_ADM,$AQ248),"")</f>
        <v/>
      </c>
      <c r="F248" s="59">
        <f>IF(N($AQ248)&gt;0,INDEX(rLim_ADM,$AQ248),"")</f>
        <v/>
      </c>
      <c r="G248" s="59" t="n"/>
      <c r="H248" s="60" t="n"/>
      <c r="I248" s="60">
        <f>IF(N($W248)=0,"",IF(AND($S248=MesCiclo,1&gt;SemanaActual),"",MIN(1,SUMIFS(OFFSET($A$1,ROW(),29,1000-ROW(),1),OFFSET($A$1,ROW(),20,1000-ROW(),1),ROW(),OFFSET($A$1,ROW(),21,1000-ROW(),1),"Sub"))))</f>
        <v/>
      </c>
      <c r="J248" s="60">
        <f>IF(N($W248)=0,"",IF(AND($S248=MesCiclo,2&gt;SemanaActual),"",MIN(1,SUMIFS(OFFSET($A$1,ROW(),30,1000-ROW(),1),OFFSET($A$1,ROW(),20,1000-ROW(),1),ROW(),OFFSET($A$1,ROW(),21,1000-ROW(),1),"Sub"))))</f>
        <v/>
      </c>
      <c r="K248" s="60">
        <f>IF(N($W248)=0,"",IF(AND($S248=MesCiclo,3&gt;SemanaActual),"",MIN(1,SUMIFS(OFFSET($A$1,ROW(),31,1000-ROW(),1),OFFSET($A$1,ROW(),20,1000-ROW(),1),ROW(),OFFSET($A$1,ROW(),21,1000-ROW(),1),"Sub"))))</f>
        <v/>
      </c>
      <c r="L248" s="60">
        <f>IF(N($W248)=0,"",IF(AND($S248=MesCiclo,4&gt;SemanaActual),"",MIN(1,SUMIFS(OFFSET($A$1,ROW(),32,1000-ROW(),1),OFFSET($A$1,ROW(),20,1000-ROW(),1),ROW(),OFFSET($A$1,ROW(),21,1000-ROW(),1),"Sub"))))</f>
        <v/>
      </c>
      <c r="M248" s="61">
        <f>IF(OR(NOT((COUNTA($B248:$D248)+COUNTA($G248:$H248)+COUNTA($Q248))&gt;0),$V248="Sub"),"",IF(ISNUMBER($G248),1,IF(N($W248)&gt;0,MIN(1,SUMIFS($Y$5:$Y$1000,$U$5:$U$1000,ROW(),$V$5:$V$1000,"Sub")),$Y248)))</f>
        <v/>
      </c>
      <c r="N248" s="56">
        <f>IF(OR($M248="",$V248="Sub"),"",IF($M248&gt;=1,"Completado",IF($M248&gt;0,"En curso","Pendiente")))</f>
        <v/>
      </c>
      <c r="O248" s="56">
        <f>IF(OR(NOT((COUNTA($B248:$D248)+COUNTA($G248:$H248)+COUNTA($Q248))&gt;0),$V248="Sub"),"",IF(ISNUMBER($G248),IF(AND(ISNUMBER($AS248),$G248&gt;$AS248),"Cumplida con "&amp;($G248-$AS248)&amp;IF($G248-$AS248=1," día"," días")&amp;" de retraso","Cumplida"),IF(N($M248)&gt;=1,"Cumplida",IF(NOT(ISNUMBER($AS248)),"Sin fecha límite",IF($AS248&lt;FechaRef,"Vencida hace "&amp;(FechaRef-$AS248)&amp;IF(FechaRef-$AS248=1," día"," días"),IF($AS248=FechaRef,"Vence hoy",IF($AS248-FechaRef&lt;=DiasAlerta,"Vence en "&amp;($AS248-FechaRef)&amp;IF($AS248-FechaRef=1," día"," días"),"En plazo")))))))</f>
        <v/>
      </c>
      <c r="P248" s="62" t="n"/>
      <c r="Q248" s="58" t="n"/>
      <c r="R248" s="63">
        <f>IF(NOT((COUNTA($B248:$D248)+COUNTA($G248:$H248)+COUNTA($Q248))&gt;0),"",IF((IF($C248="","Falta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 OK","⚠ "&amp;LEFT(IF($C248="","Falta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",""),LEN(IF($C248="","Falta el nombre de la actividad"&amp;" · ","")&amp;IF(AND($V248="Sub",N($U248)=0),"Subactividad sin macroactividad arriba"&amp;" · ","")&amp;IF(AND($V248="Macro",$AR248=""),"Sin fecha de inicio"&amp;" · ","")&amp;IF(AND($V248="Macro",$AS248=""),"Sin fecha límite"&amp;" · ","")&amp;IF(AND(LEFT($C248,11)="[Jefatura] ",N($AQ248)=0),"No se encuentra en la hoja de la jefatura (elíjala de nuevo en la lista)"&amp;" · ","")&amp;IF(OR(AND($E248&lt;&gt;"",NOT(ISNUMBER($E248))),AND($F248&lt;&gt;"",NOT(ISNUMBER($F248))),AND($G248&lt;&gt;"",NOT(ISNUMBER($G248)))),"Fecha no válida"&amp;" · ","")&amp;IF(AND(ISNUMBER($AR248),ISNUMBER($AS248),$AR248&gt;$AS248),"Inicio posterior a fecha límite"&amp;" · ","")&amp;IF(AND($V248="Macro",$H248&lt;&gt;"",OR(NOT(ISNUMBER($H248)),$H248&lt;0,$H248&gt;1)),"Peso fuera de rango"&amp;" · ","")&amp;IF(AND($V248="Sub",$H248&lt;&gt;"",OR(NOT(ISNUMBER($H248)),$H248&lt;0,$H248&gt;1)),"% de la subactividad fuera de rango 0-100%"&amp;" · ","")&amp;IF(AND(N($W248)&gt;0,SUMIFS($H$5:$H$1000,$U$5:$U$1000,ROW(),$V$5:$V$1000,"Sub")&gt;1.0001),"Las subactividades suman más de 100%"&amp;" · ","")&amp;IF(AND(N($W248)&gt;0,OR(IF(ISNUMBER($I248),ROUND($I248,6)&lt;&gt;ROUND(MIN(1,SUMIFS($AD$5:$AD$1000,$U$5:$U$1000,ROW(),$V$5:$V$1000,"Sub")),6),FALSE),IF(ISNUMBER($J248),ROUND($J248,6)&lt;&gt;ROUND(MIN(1,SUMIFS($AE$5:$AE$1000,$U$5:$U$1000,ROW(),$V$5:$V$1000,"Sub")),6),FALSE),IF(ISNUMBER($K248),ROUND($K248,6)&lt;&gt;ROUND(MIN(1,SUMIFS($AF$5:$AF$1000,$U$5:$U$1000,ROW(),$V$5:$V$1000,"Sub")),6),FALSE),IF(ISNUMBER($L248),ROUND($L248,6)&lt;&gt;ROUND(MIN(1,SUMIFS($AG$5:$AG$1000,$U$5:$U$1000,ROW(),$V$5:$V$1000,"Sub")),6),FALSE))),"Con subactividades: no escriba en las semanas (se llenan solas)"&amp;" · ","")&amp;IF((COUNTIF($I248:$L248,"&gt;1")+COUNTIF($I248:$L248,"&lt;0")+SUMPRODUCT((LEN($I248:$L248)&gt;0)*NOT(ISNUMBER($I248:$L248))))&gt;0,"Avance fuera de rango 0-100%"&amp;" · ","")&amp;IF(OR(AND(ISNUMBER($J248),$J248&lt;N($I248)),AND(ISNUMBER($K248),$K248&lt;MAX($I248:$J248)),AND(ISNUMBER($L248),$L248&lt;MAX($I248:$K248))),"Avance semanal decreciente"&amp;" · ","")&amp;IF(AND(ISNUMBER($AS248),$AS248&lt;FechaRef,IF($V248="Sub",1,N($M248))&lt;1),"Vencida"&amp;" · ","")&amp;IF(AND(ObsObligatoria="Sí",ISNUMBER($AS248),$AS248&lt;FechaRef,IF($V248="Sub",1,N($M248))&lt;1,$Q248=""),"Vencida sin observación"&amp;" · ",""))-3)))</f>
        <v/>
      </c>
      <c r="S248" s="64">
        <f>IF(NOT((COUNTA($B248:$D248)+COUNTA($G248:$H248)+COUNTA($Q248))&gt;0),"",IF(AND($V248="Sub",N($U248)&gt;0),IF(ISNUMBER(INDEX($AR$5:$AR$1000,$U248-4)),DATE(YEAR(INDEX($AR$5:$AR$1000,$U248-4)),MONTH(INDEX($AR$5:$AR$1000,$U248-4)),1),IF(ISNUMBER(INDEX($AS$5:$AS$1000,$U248-4)),DATE(YEAR(INDEX($AS$5:$AS$1000,$U248-4)),MONTH(INDEX($AS$5:$AS$1000,$U248-4)),1),MesCiclo)),IF(ISNUMBER($AR248),DATE(YEAR($AR248),MONTH($AR248),1),IF(ISNUMBER($AS248),DATE(YEAR($AS248),MONTH($AS248),1),MesCiclo))))</f>
        <v/>
      </c>
      <c r="T248" s="62">
        <f>IF(OR($S248="",$S248&lt;&gt;MesCiclo,$V248&lt;&gt;"Macro"),"",COUNTIFS($S$5:$S248,MesCiclo,$V$5:$V248,"Macro"))</f>
        <v/>
      </c>
      <c r="U248" s="62">
        <f>IF($V248="","",IF($V248="Macro",ROW(),IFERROR(LOOKUP(2,1/($V$5:$V248="Macro"),ROW($V$5:$V248)),0)))</f>
        <v/>
      </c>
      <c r="V248" s="62">
        <f>IF(NOT((COUNTA($B248:$D248)+COUNTA($G248:$H248)+COUNTA($Q248))&gt;0),"",IF($B248="Subactividad","Sub","Macro"))</f>
        <v/>
      </c>
      <c r="W248" s="62">
        <f>IF($V248="Macro",COUNTIFS($U$5:$U$1000,ROW(),$V$5:$V$1000,"Sub"),"")</f>
        <v/>
      </c>
      <c r="X248" s="62">
        <f>IF($V248&lt;&gt;"Sub","",IF(AND(ISNUMBER($H248),N($H248)&gt;0),$H248,IFERROR(MAX(0,1-SUMIFS($H$5:$H$1000,$U$5:$U$1000,$U248,$V$5:$V$1000,"Sub"))/(COUNTIFS($U$5:$U$1000,$U248,$V$5:$V$1000,"Sub")-COUNTIFS($U$5:$U$1000,$U248,$V$5:$V$1000,"Sub",$H$5:$H$1000,"&gt;0")),0)))</f>
        <v/>
      </c>
      <c r="Y248" s="62">
        <f>IF($V248="","",IF($V248="Sub",N($X248)*IF(ISNUMBER($G248),1,MIN(1,MAX(0,IFERROR(LOOKUP(2,1/ISNUMBER($I248:$L248),$I248:$L248),0)))),IF(ISNUMBER($G248),1,IFERROR(LOOKUP(2,1/($I248:$L248&lt;&gt;""),$I248:$L248),0))))</f>
        <v/>
      </c>
      <c r="Z248" s="62">
        <f>IF($V248="","",IF(AND(ISNUMBER($G248),$G248&lt;=IF($S248=MesCiclo,InicioCiclo,$S248+MOD(2-WEEKDAY($S248),7))+6),1,IF(ISNUMBER($I248),$I248,0)))</f>
        <v/>
      </c>
      <c r="AA248" s="62">
        <f>IF($V248="","",IF(AND(ISNUMBER($G248),$G248&lt;=IF($S248=MesCiclo,InicioCiclo,$S248+MOD(2-WEEKDAY($S248),7))+13),1,IF(ISNUMBER($J248),$J248,$Z248)))</f>
        <v/>
      </c>
      <c r="AB248" s="62">
        <f>IF($V248="","",IF(AND(ISNUMBER($G248),$G248&lt;=IF($S248=MesCiclo,InicioCiclo,$S248+MOD(2-WEEKDAY($S248),7))+20),1,IF(ISNUMBER($K248),$K248,$AA248)))</f>
        <v/>
      </c>
      <c r="AC248" s="62">
        <f>IF($V248="","",IF(AND(ISNUMBER($G248),$G248&lt;=IF($S248=MesCiclo,InicioCiclo,$S248+MOD(2-WEEKDAY($S248),7))+27),1,IF(ISNUMBER($L248),$L248,$AB248)))</f>
        <v/>
      </c>
      <c r="AD248" s="62">
        <f>IF($V248&lt;&gt;"Sub","",N($X248)*IF(AND(ISNUMBER($G248),$G248&lt;=IF($S248=MesCiclo,InicioCiclo,$S248+MOD(2-WEEKDAY($S248),7))+6),1,MIN(1,MAX(0,IF(ISNUMBER(OFFSET($A$1,ROW()-1,8)),OFFSET($A$1,ROW()-1,8),0)))))</f>
        <v/>
      </c>
      <c r="AE248" s="62">
        <f>IF($V248&lt;&gt;"Sub","",N($X248)*IF(AND(ISNUMBER($G248),$G248&lt;=IF($S248=MesCiclo,InicioCiclo,$S248+MOD(2-WEEKDAY($S248),7))+13),1,MIN(1,MAX(0,IF(ISNUMBER(OFFSET($A$1,ROW()-1,9)),OFFSET($A$1,ROW()-1,9),IF(ISNUMBER(OFFSET($A$1,ROW()-1,8)),OFFSET($A$1,ROW()-1,8),0))))))</f>
        <v/>
      </c>
      <c r="AF248" s="62">
        <f>IF($V248&lt;&gt;"Sub","",N($X248)*IF(AND(ISNUMBER($G248),$G248&lt;=IF($S248=MesCiclo,InicioCiclo,$S248+MOD(2-WEEKDAY($S248),7))+20),1,MIN(1,MAX(0,IF(ISNUMBER(OFFSET($A$1,ROW()-1,10)),OFFSET($A$1,ROW()-1,10),IF(ISNUMBER(OFFSET($A$1,ROW()-1,9)),OFFSET($A$1,ROW()-1,9),IF(ISNUMBER(OFFSET($A$1,ROW()-1,8)),OFFSET($A$1,ROW()-1,8),0)))))))</f>
        <v/>
      </c>
      <c r="AG248" s="62">
        <f>IF($V248&lt;&gt;"Sub","",N($X248)*IF(AND(ISNUMBER($G248),$G248&lt;=IF($S248=MesCiclo,InicioCiclo,$S248+MOD(2-WEEKDAY($S248),7))+27),1,MIN(1,MAX(0,IF(ISNUMBER(OFFSET($A$1,ROW()-1,11)),OFFSET($A$1,ROW()-1,11),IF(ISNUMBER(OFFSET($A$1,ROW()-1,10)),OFFSET($A$1,ROW()-1,10),IF(ISNUMBER(OFFSET($A$1,ROW()-1,9)),OFFSET($A$1,ROW()-1,9),IF(ISNUMBER(OFFSET($A$1,ROW()-1,8)),OFFSET($A$1,ROW()-1,8),0))))))))</f>
        <v/>
      </c>
      <c r="AH248" s="62">
        <f>IF($V248="","",IF(AND(ISNUMBER($G248),$G248&lt;=IF($S248=MesCiclo,InicioCiclo,$S248+MOD(2-WEEKDAY($S248),7))+6),1,IF(N($W248)&gt;0,MIN(1,SUMIFS($AD$5:$AD$1000,$U$5:$U$1000,ROW(),$V$5:$V$1000,"Sub")),$Z248)))</f>
        <v/>
      </c>
      <c r="AI248" s="62">
        <f>IF($V248="","",IF(AND(ISNUMBER($G248),$G248&lt;=IF($S248=MesCiclo,InicioCiclo,$S248+MOD(2-WEEKDAY($S248),7))+13),1,IF(N($W248)&gt;0,MIN(1,SUMIFS($AE$5:$AE$1000,$U$5:$U$1000,ROW(),$V$5:$V$1000,"Sub")),$AA248)))</f>
        <v/>
      </c>
      <c r="AJ248" s="62">
        <f>IF($V248="","",IF(AND(ISNUMBER($G248),$G248&lt;=IF($S248=MesCiclo,InicioCiclo,$S248+MOD(2-WEEKDAY($S248),7))+20),1,IF(N($W248)&gt;0,MIN(1,SUMIFS($AF$5:$AF$1000,$U$5:$U$1000,ROW(),$V$5:$V$1000,"Sub")),$AB248)))</f>
        <v/>
      </c>
      <c r="AK248" s="62">
        <f>IF($V248="","",IF(AND(ISNUMBER($G248),$G248&lt;=IF($S248=MesCiclo,InicioCiclo,$S248+MOD(2-WEEKDAY($S248),7))+27),1,IF(N($W248)&gt;0,MIN(1,SUMIFS($AG$5:$AG$1000,$U$5:$U$1000,ROW(),$V$5:$V$1000,"Sub")),$AC248)))</f>
        <v/>
      </c>
      <c r="AL248" s="62">
        <f>IF($V248&lt;&gt;"Macro","",IF(COUNTIFS($S$5:$S$1000,$S248,$V$5:$V$1000,"Macro",$H$5:$H$1000,"&gt;0")=0,1/COUNTIFS($S$5:$S$1000,$S248,$V$5:$V$1000,"Macro"),IF(AND(ISNUMBER($H248),N($H248)&gt;0),$H248,SUMIFS($H$5:$H$1000,$S$5:$S$1000,$S248,$V$5:$V$1000,"Macro")/COUNTIFS($S$5:$S$1000,$S248,$V$5:$V$1000,"Macro",$H$5:$H$1000,"&gt;0"))/(COUNTIFS($S$5:$S$1000,$S248,$V$5:$V$1000,"Macro")*SUMIFS($H$5:$H$1000,$S$5:$S$1000,$S248,$V$5:$V$1000,"Macro")/COUNTIFS($S$5:$S$1000,$S248,$V$5:$V$1000,"Macro",$H$5:$H$1000,"&gt;0"))))</f>
        <v/>
      </c>
      <c r="AM248" s="62" t="n"/>
      <c r="AN248" s="62" t="n"/>
      <c r="AO248" s="62" t="n"/>
      <c r="AP248" s="62" t="n"/>
      <c r="AQ248" s="62">
        <f>IF(LEFT($C248,11)="[Jefatura] ",IFERROR(MATCH("Asistente Técnico de Riesgo|"&amp;MID($C248,12,500),rDname_ADM,0),0),"")</f>
        <v/>
      </c>
      <c r="AR248" s="62">
        <f>IF(N($AQ248)&gt;0,INDEX(rIni_ADM,$AQ248),IF(ISNUMBER($E248),$E248,""))</f>
        <v/>
      </c>
      <c r="AS248" s="62">
        <f>IF(N($AQ248)&gt;0,INDEX(rLim_ADM,$AQ248),IF(ISNUMBER($F248),$F248,""))</f>
        <v/>
      </c>
    </row>
    <row r="249">
      <c r="A249" s="56">
        <f>IF(NOT((COUNTA($B249:$D249)+COUNTA($G249:$H249)+COUNTA($Q249))&gt;0),"",IF($V249="Macro",COUNTIFS($V$5:$V249,"Macro",$S$5:$S249,$S249),IF(N($U249)=0,"?",COUNTIFS(INDEX($V$5:$V$1000,1):INDEX($V$5:$V$1000,$U249-4),"Macro",INDEX($S$5:$S$1000,1):INDEX($S$5:$S$1000,$U249-4),INDEX($S$5:$S$1000,$U249-4))&amp;"."&amp;COUNTIFS($U$5:$U249,$U249,$V$5:$V249,"Sub"))))</f>
        <v/>
      </c>
      <c r="B249" s="57" t="n"/>
      <c r="C249" s="58" t="n"/>
      <c r="D249" s="58" t="n"/>
      <c r="E249" s="59">
        <f>IF(N($AQ249)&gt;0,INDEX(rIni_ADM,$AQ249),"")</f>
        <v/>
      </c>
      <c r="F249" s="59">
        <f>IF(N($AQ249)&gt;0,INDEX(rLim_ADM,$AQ249),"")</f>
        <v/>
      </c>
      <c r="G249" s="59" t="n"/>
      <c r="H249" s="60" t="n"/>
      <c r="I249" s="60">
        <f>IF(N($W249)=0,"",IF(AND($S249=MesCiclo,1&gt;SemanaActual),"",MIN(1,SUMIFS(OFFSET($A$1,ROW(),29,1000-ROW(),1),OFFSET($A$1,ROW(),20,1000-ROW(),1),ROW(),OFFSET($A$1,ROW(),21,1000-ROW(),1),"Sub"))))</f>
        <v/>
      </c>
      <c r="J249" s="60">
        <f>IF(N($W249)=0,"",IF(AND($S249=MesCiclo,2&gt;SemanaActual),"",MIN(1,SUMIFS(OFFSET($A$1,ROW(),30,1000-ROW(),1),OFFSET($A$1,ROW(),20,1000-ROW(),1),ROW(),OFFSET($A$1,ROW(),21,1000-ROW(),1),"Sub"))))</f>
        <v/>
      </c>
      <c r="K249" s="60">
        <f>IF(N($W249)=0,"",IF(AND($S249=MesCiclo,3&gt;SemanaActual),"",MIN(1,SUMIFS(OFFSET($A$1,ROW(),31,1000-ROW(),1),OFFSET($A$1,ROW(),20,1000-ROW(),1),ROW(),OFFSET($A$1,ROW(),21,1000-ROW(),1),"Sub"))))</f>
        <v/>
      </c>
      <c r="L249" s="60">
        <f>IF(N($W249)=0,"",IF(AND($S249=MesCiclo,4&gt;SemanaActual),"",MIN(1,SUMIFS(OFFSET($A$1,ROW(),32,1000-ROW(),1),OFFSET($A$1,ROW(),20,1000-ROW(),1),ROW(),OFFSET($A$1,ROW(),21,1000-ROW(),1),"Sub"))))</f>
        <v/>
      </c>
      <c r="M249" s="61">
        <f>IF(OR(NOT((COUNTA($B249:$D249)+COUNTA($G249:$H249)+COUNTA($Q249))&gt;0),$V249="Sub"),"",IF(ISNUMBER($G249),1,IF(N($W249)&gt;0,MIN(1,SUMIFS($Y$5:$Y$1000,$U$5:$U$1000,ROW(),$V$5:$V$1000,"Sub")),$Y249)))</f>
        <v/>
      </c>
      <c r="N249" s="56">
        <f>IF(OR($M249="",$V249="Sub"),"",IF($M249&gt;=1,"Completado",IF($M249&gt;0,"En curso","Pendiente")))</f>
        <v/>
      </c>
      <c r="O249" s="56">
        <f>IF(OR(NOT((COUNTA($B249:$D249)+COUNTA($G249:$H249)+COUNTA($Q249))&gt;0),$V249="Sub"),"",IF(ISNUMBER($G249),IF(AND(ISNUMBER($AS249),$G249&gt;$AS249),"Cumplida con "&amp;($G249-$AS249)&amp;IF($G249-$AS249=1," día"," días")&amp;" de retraso","Cumplida"),IF(N($M249)&gt;=1,"Cumplida",IF(NOT(ISNUMBER($AS249)),"Sin fecha límite",IF($AS249&lt;FechaRef,"Vencida hace "&amp;(FechaRef-$AS249)&amp;IF(FechaRef-$AS249=1," día"," días"),IF($AS249=FechaRef,"Vence hoy",IF($AS249-FechaRef&lt;=DiasAlerta,"Vence en "&amp;($AS249-FechaRef)&amp;IF($AS249-FechaRef=1," día"," días"),"En plazo")))))))</f>
        <v/>
      </c>
      <c r="P249" s="62" t="n"/>
      <c r="Q249" s="58" t="n"/>
      <c r="R249" s="63">
        <f>IF(NOT((COUNTA($B249:$D249)+COUNTA($G249:$H249)+COUNTA($Q249))&gt;0),"",IF((IF($C249="","Falta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 OK","⚠ "&amp;LEFT(IF($C249="","Falta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",""),LEN(IF($C249="","Falta el nombre de la actividad"&amp;" · ","")&amp;IF(AND($V249="Sub",N($U249)=0),"Subactividad sin macroactividad arriba"&amp;" · ","")&amp;IF(AND($V249="Macro",$AR249=""),"Sin fecha de inicio"&amp;" · ","")&amp;IF(AND($V249="Macro",$AS249=""),"Sin fecha límite"&amp;" · ","")&amp;IF(AND(LEFT($C249,11)="[Jefatura] ",N($AQ249)=0),"No se encuentra en la hoja de la jefatura (elíjala de nuevo en la lista)"&amp;" · ","")&amp;IF(OR(AND($E249&lt;&gt;"",NOT(ISNUMBER($E249))),AND($F249&lt;&gt;"",NOT(ISNUMBER($F249))),AND($G249&lt;&gt;"",NOT(ISNUMBER($G249)))),"Fecha no válida"&amp;" · ","")&amp;IF(AND(ISNUMBER($AR249),ISNUMBER($AS249),$AR249&gt;$AS249),"Inicio posterior a fecha límite"&amp;" · ","")&amp;IF(AND($V249="Macro",$H249&lt;&gt;"",OR(NOT(ISNUMBER($H249)),$H249&lt;0,$H249&gt;1)),"Peso fuera de rango"&amp;" · ","")&amp;IF(AND($V249="Sub",$H249&lt;&gt;"",OR(NOT(ISNUMBER($H249)),$H249&lt;0,$H249&gt;1)),"% de la subactividad fuera de rango 0-100%"&amp;" · ","")&amp;IF(AND(N($W249)&gt;0,SUMIFS($H$5:$H$1000,$U$5:$U$1000,ROW(),$V$5:$V$1000,"Sub")&gt;1.0001),"Las subactividades suman más de 100%"&amp;" · ","")&amp;IF(AND(N($W249)&gt;0,OR(IF(ISNUMBER($I249),ROUND($I249,6)&lt;&gt;ROUND(MIN(1,SUMIFS($AD$5:$AD$1000,$U$5:$U$1000,ROW(),$V$5:$V$1000,"Sub")),6),FALSE),IF(ISNUMBER($J249),ROUND($J249,6)&lt;&gt;ROUND(MIN(1,SUMIFS($AE$5:$AE$1000,$U$5:$U$1000,ROW(),$V$5:$V$1000,"Sub")),6),FALSE),IF(ISNUMBER($K249),ROUND($K249,6)&lt;&gt;ROUND(MIN(1,SUMIFS($AF$5:$AF$1000,$U$5:$U$1000,ROW(),$V$5:$V$1000,"Sub")),6),FALSE),IF(ISNUMBER($L249),ROUND($L249,6)&lt;&gt;ROUND(MIN(1,SUMIFS($AG$5:$AG$1000,$U$5:$U$1000,ROW(),$V$5:$V$1000,"Sub")),6),FALSE))),"Con subactividades: no escriba en las semanas (se llenan solas)"&amp;" · ","")&amp;IF((COUNTIF($I249:$L249,"&gt;1")+COUNTIF($I249:$L249,"&lt;0")+SUMPRODUCT((LEN($I249:$L249)&gt;0)*NOT(ISNUMBER($I249:$L249))))&gt;0,"Avance fuera de rango 0-100%"&amp;" · ","")&amp;IF(OR(AND(ISNUMBER($J249),$J249&lt;N($I249)),AND(ISNUMBER($K249),$K249&lt;MAX($I249:$J249)),AND(ISNUMBER($L249),$L249&lt;MAX($I249:$K249))),"Avance semanal decreciente"&amp;" · ","")&amp;IF(AND(ISNUMBER($AS249),$AS249&lt;FechaRef,IF($V249="Sub",1,N($M249))&lt;1),"Vencida"&amp;" · ","")&amp;IF(AND(ObsObligatoria="Sí",ISNUMBER($AS249),$AS249&lt;FechaRef,IF($V249="Sub",1,N($M249))&lt;1,$Q249=""),"Vencida sin observación"&amp;" · ",""))-3)))</f>
        <v/>
      </c>
      <c r="S249" s="64">
        <f>IF(NOT((COUNTA($B249:$D249)+COUNTA($G249:$H249)+COUNTA($Q249))&gt;0),"",IF(AND($V249="Sub",N($U249)&gt;0),IF(ISNUMBER(INDEX($AR$5:$AR$1000,$U249-4)),DATE(YEAR(INDEX($AR$5:$AR$1000,$U249-4)),MONTH(INDEX($AR$5:$AR$1000,$U249-4)),1),IF(ISNUMBER(INDEX($AS$5:$AS$1000,$U249-4)),DATE(YEAR(INDEX($AS$5:$AS$1000,$U249-4)),MONTH(INDEX($AS$5:$AS$1000,$U249-4)),1),MesCiclo)),IF(ISNUMBER($AR249),DATE(YEAR($AR249),MONTH($AR249),1),IF(ISNUMBER($AS249),DATE(YEAR($AS249),MONTH($AS249),1),MesCiclo))))</f>
        <v/>
      </c>
      <c r="T249" s="62">
        <f>IF(OR($S249="",$S249&lt;&gt;MesCiclo,$V249&lt;&gt;"Macro"),"",COUNTIFS($S$5:$S249,MesCiclo,$V$5:$V249,"Macro"))</f>
        <v/>
      </c>
      <c r="U249" s="62">
        <f>IF($V249="","",IF($V249="Macro",ROW(),IFERROR(LOOKUP(2,1/($V$5:$V249="Macro"),ROW($V$5:$V249)),0)))</f>
        <v/>
      </c>
      <c r="V249" s="62">
        <f>IF(NOT((COUNTA($B249:$D249)+COUNTA($G249:$H249)+COUNTA($Q249))&gt;0),"",IF($B249="Subactividad","Sub","Macro"))</f>
        <v/>
      </c>
      <c r="W249" s="62">
        <f>IF($V249="Macro",COUNTIFS($U$5:$U$1000,ROW(),$V$5:$V$1000,"Sub"),"")</f>
        <v/>
      </c>
      <c r="X249" s="62">
        <f>IF($V249&lt;&gt;"Sub","",IF(AND(ISNUMBER($H249),N($H249)&gt;0),$H249,IFERROR(MAX(0,1-SUMIFS($H$5:$H$1000,$U$5:$U$1000,$U249,$V$5:$V$1000,"Sub"))/(COUNTIFS($U$5:$U$1000,$U249,$V$5:$V$1000,"Sub")-COUNTIFS($U$5:$U$1000,$U249,$V$5:$V$1000,"Sub",$H$5:$H$1000,"&gt;0")),0)))</f>
        <v/>
      </c>
      <c r="Y249" s="62">
        <f>IF($V249="","",IF($V249="Sub",N($X249)*IF(ISNUMBER($G249),1,MIN(1,MAX(0,IFERROR(LOOKUP(2,1/ISNUMBER($I249:$L249),$I249:$L249),0)))),IF(ISNUMBER($G249),1,IFERROR(LOOKUP(2,1/($I249:$L249&lt;&gt;""),$I249:$L249),0))))</f>
        <v/>
      </c>
      <c r="Z249" s="62">
        <f>IF($V249="","",IF(AND(ISNUMBER($G249),$G249&lt;=IF($S249=MesCiclo,InicioCiclo,$S249+MOD(2-WEEKDAY($S249),7))+6),1,IF(ISNUMBER($I249),$I249,0)))</f>
        <v/>
      </c>
      <c r="AA249" s="62">
        <f>IF($V249="","",IF(AND(ISNUMBER($G249),$G249&lt;=IF($S249=MesCiclo,InicioCiclo,$S249+MOD(2-WEEKDAY($S249),7))+13),1,IF(ISNUMBER($J249),$J249,$Z249)))</f>
        <v/>
      </c>
      <c r="AB249" s="62">
        <f>IF($V249="","",IF(AND(ISNUMBER($G249),$G249&lt;=IF($S249=MesCiclo,InicioCiclo,$S249+MOD(2-WEEKDAY($S249),7))+20),1,IF(ISNUMBER($K249),$K249,$AA249)))</f>
        <v/>
      </c>
      <c r="AC249" s="62">
        <f>IF($V249="","",IF(AND(ISNUMBER($G249),$G249&lt;=IF($S249=MesCiclo,InicioCiclo,$S249+MOD(2-WEEKDAY($S249),7))+27),1,IF(ISNUMBER($L249),$L249,$AB249)))</f>
        <v/>
      </c>
      <c r="AD249" s="62">
        <f>IF($V249&lt;&gt;"Sub","",N($X249)*IF(AND(ISNUMBER($G249),$G249&lt;=IF($S249=MesCiclo,InicioCiclo,$S249+MOD(2-WEEKDAY($S249),7))+6),1,MIN(1,MAX(0,IF(ISNUMBER(OFFSET($A$1,ROW()-1,8)),OFFSET($A$1,ROW()-1,8),0)))))</f>
        <v/>
      </c>
      <c r="AE249" s="62">
        <f>IF($V249&lt;&gt;"Sub","",N($X249)*IF(AND(ISNUMBER($G249),$G249&lt;=IF($S249=MesCiclo,InicioCiclo,$S249+MOD(2-WEEKDAY($S249),7))+13),1,MIN(1,MAX(0,IF(ISNUMBER(OFFSET($A$1,ROW()-1,9)),OFFSET($A$1,ROW()-1,9),IF(ISNUMBER(OFFSET($A$1,ROW()-1,8)),OFFSET($A$1,ROW()-1,8),0))))))</f>
        <v/>
      </c>
      <c r="AF249" s="62">
        <f>IF($V249&lt;&gt;"Sub","",N($X249)*IF(AND(ISNUMBER($G249),$G249&lt;=IF($S249=MesCiclo,InicioCiclo,$S249+MOD(2-WEEKDAY($S249),7))+20),1,MIN(1,MAX(0,IF(ISNUMBER(OFFSET($A$1,ROW()-1,10)),OFFSET($A$1,ROW()-1,10),IF(ISNUMBER(OFFSET($A$1,ROW()-1,9)),OFFSET($A$1,ROW()-1,9),IF(ISNUMBER(OFFSET($A$1,ROW()-1,8)),OFFSET($A$1,ROW()-1,8),0)))))))</f>
        <v/>
      </c>
      <c r="AG249" s="62">
        <f>IF($V249&lt;&gt;"Sub","",N($X249)*IF(AND(ISNUMBER($G249),$G249&lt;=IF($S249=MesCiclo,InicioCiclo,$S249+MOD(2-WEEKDAY($S249),7))+27),1,MIN(1,MAX(0,IF(ISNUMBER(OFFSET($A$1,ROW()-1,11)),OFFSET($A$1,ROW()-1,11),IF(ISNUMBER(OFFSET($A$1,ROW()-1,10)),OFFSET($A$1,ROW()-1,10),IF(ISNUMBER(OFFSET($A$1,ROW()-1,9)),OFFSET($A$1,ROW()-1,9),IF(ISNUMBER(OFFSET($A$1,ROW()-1,8)),OFFSET($A$1,ROW()-1,8),0))))))))</f>
        <v/>
      </c>
      <c r="AH249" s="62">
        <f>IF($V249="","",IF(AND(ISNUMBER($G249),$G249&lt;=IF($S249=MesCiclo,InicioCiclo,$S249+MOD(2-WEEKDAY($S249),7))+6),1,IF(N($W249)&gt;0,MIN(1,SUMIFS($AD$5:$AD$1000,$U$5:$U$1000,ROW(),$V$5:$V$1000,"Sub")),$Z249)))</f>
        <v/>
      </c>
      <c r="AI249" s="62">
        <f>IF($V249="","",IF(AND(ISNUMBER($G249),$G249&lt;=IF($S249=MesCiclo,InicioCiclo,$S249+MOD(2-WEEKDAY($S249),7))+13),1,IF(N($W249)&gt;0,MIN(1,SUMIFS($AE$5:$AE$1000,$U$5:$U$1000,ROW(),$V$5:$V$1000,"Sub")),$AA249)))</f>
        <v/>
      </c>
      <c r="AJ249" s="62">
        <f>IF($V249="","",IF(AND(ISNUMBER($G249),$G249&lt;=IF($S249=MesCiclo,InicioCiclo,$S249+MOD(2-WEEKDAY($S249),7))+20),1,IF(N($W249)&gt;0,MIN(1,SUMIFS($AF$5:$AF$1000,$U$5:$U$1000,ROW(),$V$5:$V$1000,"Sub")),$AB249)))</f>
        <v/>
      </c>
      <c r="AK249" s="62">
        <f>IF($V249="","",IF(AND(ISNUMBER($G249),$G249&lt;=IF($S249=MesCiclo,InicioCiclo,$S249+MOD(2-WEEKDAY($S249),7))+27),1,IF(N($W249)&gt;0,MIN(1,SUMIFS($AG$5:$AG$1000,$U$5:$U$1000,ROW(),$V$5:$V$1000,"Sub")),$AC249)))</f>
        <v/>
      </c>
      <c r="AL249" s="62">
        <f>IF($V249&lt;&gt;"Macro","",IF(COUNTIFS($S$5:$S$1000,$S249,$V$5:$V$1000,"Macro",$H$5:$H$1000,"&gt;0")=0,1/COUNTIFS($S$5:$S$1000,$S249,$V$5:$V$1000,"Macro"),IF(AND(ISNUMBER($H249),N($H249)&gt;0),$H249,SUMIFS($H$5:$H$1000,$S$5:$S$1000,$S249,$V$5:$V$1000,"Macro")/COUNTIFS($S$5:$S$1000,$S249,$V$5:$V$1000,"Macro",$H$5:$H$1000,"&gt;0"))/(COUNTIFS($S$5:$S$1000,$S249,$V$5:$V$1000,"Macro")*SUMIFS($H$5:$H$1000,$S$5:$S$1000,$S249,$V$5:$V$1000,"Macro")/COUNTIFS($S$5:$S$1000,$S249,$V$5:$V$1000,"Macro",$H$5:$H$1000,"&gt;0"))))</f>
        <v/>
      </c>
      <c r="AM249" s="62" t="n"/>
      <c r="AN249" s="62" t="n"/>
      <c r="AO249" s="62" t="n"/>
      <c r="AP249" s="62" t="n"/>
      <c r="AQ249" s="62">
        <f>IF(LEFT($C249,11)="[Jefatura] ",IFERROR(MATCH("Asistente Técnico de Riesgo|"&amp;MID($C249,12,500),rDname_ADM,0),0),"")</f>
        <v/>
      </c>
      <c r="AR249" s="62">
        <f>IF(N($AQ249)&gt;0,INDEX(rIni_ADM,$AQ249),IF(ISNUMBER($E249),$E249,""))</f>
        <v/>
      </c>
      <c r="AS249" s="62">
        <f>IF(N($AQ249)&gt;0,INDEX(rLim_ADM,$AQ249),IF(ISNUMBER($F249),$F249,""))</f>
        <v/>
      </c>
    </row>
    <row r="250">
      <c r="A250" s="56">
        <f>IF(NOT((COUNTA($B250:$D250)+COUNTA($G250:$H250)+COUNTA($Q250))&gt;0),"",IF($V250="Macro",COUNTIFS($V$5:$V250,"Macro",$S$5:$S250,$S250),IF(N($U250)=0,"?",COUNTIFS(INDEX($V$5:$V$1000,1):INDEX($V$5:$V$1000,$U250-4),"Macro",INDEX($S$5:$S$1000,1):INDEX($S$5:$S$1000,$U250-4),INDEX($S$5:$S$1000,$U250-4))&amp;"."&amp;COUNTIFS($U$5:$U250,$U250,$V$5:$V250,"Sub"))))</f>
        <v/>
      </c>
      <c r="B250" s="57" t="n"/>
      <c r="C250" s="58" t="n"/>
      <c r="D250" s="58" t="n"/>
      <c r="E250" s="59">
        <f>IF(N($AQ250)&gt;0,INDEX(rIni_ADM,$AQ250),"")</f>
        <v/>
      </c>
      <c r="F250" s="59">
        <f>IF(N($AQ250)&gt;0,INDEX(rLim_ADM,$AQ250),"")</f>
        <v/>
      </c>
      <c r="G250" s="59" t="n"/>
      <c r="H250" s="60" t="n"/>
      <c r="I250" s="60">
        <f>IF(N($W250)=0,"",IF(AND($S250=MesCiclo,1&gt;SemanaActual),"",MIN(1,SUMIFS(OFFSET($A$1,ROW(),29,1000-ROW(),1),OFFSET($A$1,ROW(),20,1000-ROW(),1),ROW(),OFFSET($A$1,ROW(),21,1000-ROW(),1),"Sub"))))</f>
        <v/>
      </c>
      <c r="J250" s="60">
        <f>IF(N($W250)=0,"",IF(AND($S250=MesCiclo,2&gt;SemanaActual),"",MIN(1,SUMIFS(OFFSET($A$1,ROW(),30,1000-ROW(),1),OFFSET($A$1,ROW(),20,1000-ROW(),1),ROW(),OFFSET($A$1,ROW(),21,1000-ROW(),1),"Sub"))))</f>
        <v/>
      </c>
      <c r="K250" s="60">
        <f>IF(N($W250)=0,"",IF(AND($S250=MesCiclo,3&gt;SemanaActual),"",MIN(1,SUMIFS(OFFSET($A$1,ROW(),31,1000-ROW(),1),OFFSET($A$1,ROW(),20,1000-ROW(),1),ROW(),OFFSET($A$1,ROW(),21,1000-ROW(),1),"Sub"))))</f>
        <v/>
      </c>
      <c r="L250" s="60">
        <f>IF(N($W250)=0,"",IF(AND($S250=MesCiclo,4&gt;SemanaActual),"",MIN(1,SUMIFS(OFFSET($A$1,ROW(),32,1000-ROW(),1),OFFSET($A$1,ROW(),20,1000-ROW(),1),ROW(),OFFSET($A$1,ROW(),21,1000-ROW(),1),"Sub"))))</f>
        <v/>
      </c>
      <c r="M250" s="61">
        <f>IF(OR(NOT((COUNTA($B250:$D250)+COUNTA($G250:$H250)+COUNTA($Q250))&gt;0),$V250="Sub"),"",IF(ISNUMBER($G250),1,IF(N($W250)&gt;0,MIN(1,SUMIFS($Y$5:$Y$1000,$U$5:$U$1000,ROW(),$V$5:$V$1000,"Sub")),$Y250)))</f>
        <v/>
      </c>
      <c r="N250" s="56">
        <f>IF(OR($M250="",$V250="Sub"),"",IF($M250&gt;=1,"Completado",IF($M250&gt;0,"En curso","Pendiente")))</f>
        <v/>
      </c>
      <c r="O250" s="56">
        <f>IF(OR(NOT((COUNTA($B250:$D250)+COUNTA($G250:$H250)+COUNTA($Q250))&gt;0),$V250="Sub"),"",IF(ISNUMBER($G250),IF(AND(ISNUMBER($AS250),$G250&gt;$AS250),"Cumplida con "&amp;($G250-$AS250)&amp;IF($G250-$AS250=1," día"," días")&amp;" de retraso","Cumplida"),IF(N($M250)&gt;=1,"Cumplida",IF(NOT(ISNUMBER($AS250)),"Sin fecha límite",IF($AS250&lt;FechaRef,"Vencida hace "&amp;(FechaRef-$AS250)&amp;IF(FechaRef-$AS250=1," día"," días"),IF($AS250=FechaRef,"Vence hoy",IF($AS250-FechaRef&lt;=DiasAlerta,"Vence en "&amp;($AS250-FechaRef)&amp;IF($AS250-FechaRef=1," día"," días"),"En plazo")))))))</f>
        <v/>
      </c>
      <c r="P250" s="62" t="n"/>
      <c r="Q250" s="58" t="n"/>
      <c r="R250" s="63">
        <f>IF(NOT((COUNTA($B250:$D250)+COUNTA($G250:$H250)+COUNTA($Q250))&gt;0),"",IF((IF($C250="","Falta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 OK","⚠ "&amp;LEFT(IF($C250="","Falta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",""),LEN(IF($C250="","Falta el nombre de la actividad"&amp;" · ","")&amp;IF(AND($V250="Sub",N($U250)=0),"Subactividad sin macroactividad arriba"&amp;" · ","")&amp;IF(AND($V250="Macro",$AR250=""),"Sin fecha de inicio"&amp;" · ","")&amp;IF(AND($V250="Macro",$AS250=""),"Sin fecha límite"&amp;" · ","")&amp;IF(AND(LEFT($C250,11)="[Jefatura] ",N($AQ250)=0),"No se encuentra en la hoja de la jefatura (elíjala de nuevo en la lista)"&amp;" · ","")&amp;IF(OR(AND($E250&lt;&gt;"",NOT(ISNUMBER($E250))),AND($F250&lt;&gt;"",NOT(ISNUMBER($F250))),AND($G250&lt;&gt;"",NOT(ISNUMBER($G250)))),"Fecha no válida"&amp;" · ","")&amp;IF(AND(ISNUMBER($AR250),ISNUMBER($AS250),$AR250&gt;$AS250),"Inicio posterior a fecha límite"&amp;" · ","")&amp;IF(AND($V250="Macro",$H250&lt;&gt;"",OR(NOT(ISNUMBER($H250)),$H250&lt;0,$H250&gt;1)),"Peso fuera de rango"&amp;" · ","")&amp;IF(AND($V250="Sub",$H250&lt;&gt;"",OR(NOT(ISNUMBER($H250)),$H250&lt;0,$H250&gt;1)),"% de la subactividad fuera de rango 0-100%"&amp;" · ","")&amp;IF(AND(N($W250)&gt;0,SUMIFS($H$5:$H$1000,$U$5:$U$1000,ROW(),$V$5:$V$1000,"Sub")&gt;1.0001),"Las subactividades suman más de 100%"&amp;" · ","")&amp;IF(AND(N($W250)&gt;0,OR(IF(ISNUMBER($I250),ROUND($I250,6)&lt;&gt;ROUND(MIN(1,SUMIFS($AD$5:$AD$1000,$U$5:$U$1000,ROW(),$V$5:$V$1000,"Sub")),6),FALSE),IF(ISNUMBER($J250),ROUND($J250,6)&lt;&gt;ROUND(MIN(1,SUMIFS($AE$5:$AE$1000,$U$5:$U$1000,ROW(),$V$5:$V$1000,"Sub")),6),FALSE),IF(ISNUMBER($K250),ROUND($K250,6)&lt;&gt;ROUND(MIN(1,SUMIFS($AF$5:$AF$1000,$U$5:$U$1000,ROW(),$V$5:$V$1000,"Sub")),6),FALSE),IF(ISNUMBER($L250),ROUND($L250,6)&lt;&gt;ROUND(MIN(1,SUMIFS($AG$5:$AG$1000,$U$5:$U$1000,ROW(),$V$5:$V$1000,"Sub")),6),FALSE))),"Con subactividades: no escriba en las semanas (se llenan solas)"&amp;" · ","")&amp;IF((COUNTIF($I250:$L250,"&gt;1")+COUNTIF($I250:$L250,"&lt;0")+SUMPRODUCT((LEN($I250:$L250)&gt;0)*NOT(ISNUMBER($I250:$L250))))&gt;0,"Avance fuera de rango 0-100%"&amp;" · ","")&amp;IF(OR(AND(ISNUMBER($J250),$J250&lt;N($I250)),AND(ISNUMBER($K250),$K250&lt;MAX($I250:$J250)),AND(ISNUMBER($L250),$L250&lt;MAX($I250:$K250))),"Avance semanal decreciente"&amp;" · ","")&amp;IF(AND(ISNUMBER($AS250),$AS250&lt;FechaRef,IF($V250="Sub",1,N($M250))&lt;1),"Vencida"&amp;" · ","")&amp;IF(AND(ObsObligatoria="Sí",ISNUMBER($AS250),$AS250&lt;FechaRef,IF($V250="Sub",1,N($M250))&lt;1,$Q250=""),"Vencida sin observación"&amp;" · ",""))-3)))</f>
        <v/>
      </c>
      <c r="S250" s="64">
        <f>IF(NOT((COUNTA($B250:$D250)+COUNTA($G250:$H250)+COUNTA($Q250))&gt;0),"",IF(AND($V250="Sub",N($U250)&gt;0),IF(ISNUMBER(INDEX($AR$5:$AR$1000,$U250-4)),DATE(YEAR(INDEX($AR$5:$AR$1000,$U250-4)),MONTH(INDEX($AR$5:$AR$1000,$U250-4)),1),IF(ISNUMBER(INDEX($AS$5:$AS$1000,$U250-4)),DATE(YEAR(INDEX($AS$5:$AS$1000,$U250-4)),MONTH(INDEX($AS$5:$AS$1000,$U250-4)),1),MesCiclo)),IF(ISNUMBER($AR250),DATE(YEAR($AR250),MONTH($AR250),1),IF(ISNUMBER($AS250),DATE(YEAR($AS250),MONTH($AS250),1),MesCiclo))))</f>
        <v/>
      </c>
      <c r="T250" s="62">
        <f>IF(OR($S250="",$S250&lt;&gt;MesCiclo,$V250&lt;&gt;"Macro"),"",COUNTIFS($S$5:$S250,MesCiclo,$V$5:$V250,"Macro"))</f>
        <v/>
      </c>
      <c r="U250" s="62">
        <f>IF($V250="","",IF($V250="Macro",ROW(),IFERROR(LOOKUP(2,1/($V$5:$V250="Macro"),ROW($V$5:$V250)),0)))</f>
        <v/>
      </c>
      <c r="V250" s="62">
        <f>IF(NOT((COUNTA($B250:$D250)+COUNTA($G250:$H250)+COUNTA($Q250))&gt;0),"",IF($B250="Subactividad","Sub","Macro"))</f>
        <v/>
      </c>
      <c r="W250" s="62">
        <f>IF($V250="Macro",COUNTIFS($U$5:$U$1000,ROW(),$V$5:$V$1000,"Sub"),"")</f>
        <v/>
      </c>
      <c r="X250" s="62">
        <f>IF($V250&lt;&gt;"Sub","",IF(AND(ISNUMBER($H250),N($H250)&gt;0),$H250,IFERROR(MAX(0,1-SUMIFS($H$5:$H$1000,$U$5:$U$1000,$U250,$V$5:$V$1000,"Sub"))/(COUNTIFS($U$5:$U$1000,$U250,$V$5:$V$1000,"Sub")-COUNTIFS($U$5:$U$1000,$U250,$V$5:$V$1000,"Sub",$H$5:$H$1000,"&gt;0")),0)))</f>
        <v/>
      </c>
      <c r="Y250" s="62">
        <f>IF($V250="","",IF($V250="Sub",N($X250)*IF(ISNUMBER($G250),1,MIN(1,MAX(0,IFERROR(LOOKUP(2,1/ISNUMBER($I250:$L250),$I250:$L250),0)))),IF(ISNUMBER($G250),1,IFERROR(LOOKUP(2,1/($I250:$L250&lt;&gt;""),$I250:$L250),0))))</f>
        <v/>
      </c>
      <c r="Z250" s="62">
        <f>IF($V250="","",IF(AND(ISNUMBER($G250),$G250&lt;=IF($S250=MesCiclo,InicioCiclo,$S250+MOD(2-WEEKDAY($S250),7))+6),1,IF(ISNUMBER($I250),$I250,0)))</f>
        <v/>
      </c>
      <c r="AA250" s="62">
        <f>IF($V250="","",IF(AND(ISNUMBER($G250),$G250&lt;=IF($S250=MesCiclo,InicioCiclo,$S250+MOD(2-WEEKDAY($S250),7))+13),1,IF(ISNUMBER($J250),$J250,$Z250)))</f>
        <v/>
      </c>
      <c r="AB250" s="62">
        <f>IF($V250="","",IF(AND(ISNUMBER($G250),$G250&lt;=IF($S250=MesCiclo,InicioCiclo,$S250+MOD(2-WEEKDAY($S250),7))+20),1,IF(ISNUMBER($K250),$K250,$AA250)))</f>
        <v/>
      </c>
      <c r="AC250" s="62">
        <f>IF($V250="","",IF(AND(ISNUMBER($G250),$G250&lt;=IF($S250=MesCiclo,InicioCiclo,$S250+MOD(2-WEEKDAY($S250),7))+27),1,IF(ISNUMBER($L250),$L250,$AB250)))</f>
        <v/>
      </c>
      <c r="AD250" s="62">
        <f>IF($V250&lt;&gt;"Sub","",N($X250)*IF(AND(ISNUMBER($G250),$G250&lt;=IF($S250=MesCiclo,InicioCiclo,$S250+MOD(2-WEEKDAY($S250),7))+6),1,MIN(1,MAX(0,IF(ISNUMBER(OFFSET($A$1,ROW()-1,8)),OFFSET($A$1,ROW()-1,8),0)))))</f>
        <v/>
      </c>
      <c r="AE250" s="62">
        <f>IF($V250&lt;&gt;"Sub","",N($X250)*IF(AND(ISNUMBER($G250),$G250&lt;=IF($S250=MesCiclo,InicioCiclo,$S250+MOD(2-WEEKDAY($S250),7))+13),1,MIN(1,MAX(0,IF(ISNUMBER(OFFSET($A$1,ROW()-1,9)),OFFSET($A$1,ROW()-1,9),IF(ISNUMBER(OFFSET($A$1,ROW()-1,8)),OFFSET($A$1,ROW()-1,8),0))))))</f>
        <v/>
      </c>
      <c r="AF250" s="62">
        <f>IF($V250&lt;&gt;"Sub","",N($X250)*IF(AND(ISNUMBER($G250),$G250&lt;=IF($S250=MesCiclo,InicioCiclo,$S250+MOD(2-WEEKDAY($S250),7))+20),1,MIN(1,MAX(0,IF(ISNUMBER(OFFSET($A$1,ROW()-1,10)),OFFSET($A$1,ROW()-1,10),IF(ISNUMBER(OFFSET($A$1,ROW()-1,9)),OFFSET($A$1,ROW()-1,9),IF(ISNUMBER(OFFSET($A$1,ROW()-1,8)),OFFSET($A$1,ROW()-1,8),0)))))))</f>
        <v/>
      </c>
      <c r="AG250" s="62">
        <f>IF($V250&lt;&gt;"Sub","",N($X250)*IF(AND(ISNUMBER($G250),$G250&lt;=IF($S250=MesCiclo,InicioCiclo,$S250+MOD(2-WEEKDAY($S250),7))+27),1,MIN(1,MAX(0,IF(ISNUMBER(OFFSET($A$1,ROW()-1,11)),OFFSET($A$1,ROW()-1,11),IF(ISNUMBER(OFFSET($A$1,ROW()-1,10)),OFFSET($A$1,ROW()-1,10),IF(ISNUMBER(OFFSET($A$1,ROW()-1,9)),OFFSET($A$1,ROW()-1,9),IF(ISNUMBER(OFFSET($A$1,ROW()-1,8)),OFFSET($A$1,ROW()-1,8),0))))))))</f>
        <v/>
      </c>
      <c r="AH250" s="62">
        <f>IF($V250="","",IF(AND(ISNUMBER($G250),$G250&lt;=IF($S250=MesCiclo,InicioCiclo,$S250+MOD(2-WEEKDAY($S250),7))+6),1,IF(N($W250)&gt;0,MIN(1,SUMIFS($AD$5:$AD$1000,$U$5:$U$1000,ROW(),$V$5:$V$1000,"Sub")),$Z250)))</f>
        <v/>
      </c>
      <c r="AI250" s="62">
        <f>IF($V250="","",IF(AND(ISNUMBER($G250),$G250&lt;=IF($S250=MesCiclo,InicioCiclo,$S250+MOD(2-WEEKDAY($S250),7))+13),1,IF(N($W250)&gt;0,MIN(1,SUMIFS($AE$5:$AE$1000,$U$5:$U$1000,ROW(),$V$5:$V$1000,"Sub")),$AA250)))</f>
        <v/>
      </c>
      <c r="AJ250" s="62">
        <f>IF($V250="","",IF(AND(ISNUMBER($G250),$G250&lt;=IF($S250=MesCiclo,InicioCiclo,$S250+MOD(2-WEEKDAY($S250),7))+20),1,IF(N($W250)&gt;0,MIN(1,SUMIFS($AF$5:$AF$1000,$U$5:$U$1000,ROW(),$V$5:$V$1000,"Sub")),$AB250)))</f>
        <v/>
      </c>
      <c r="AK250" s="62">
        <f>IF($V250="","",IF(AND(ISNUMBER($G250),$G250&lt;=IF($S250=MesCiclo,InicioCiclo,$S250+MOD(2-WEEKDAY($S250),7))+27),1,IF(N($W250)&gt;0,MIN(1,SUMIFS($AG$5:$AG$1000,$U$5:$U$1000,ROW(),$V$5:$V$1000,"Sub")),$AC250)))</f>
        <v/>
      </c>
      <c r="AL250" s="62">
        <f>IF($V250&lt;&gt;"Macro","",IF(COUNTIFS($S$5:$S$1000,$S250,$V$5:$V$1000,"Macro",$H$5:$H$1000,"&gt;0")=0,1/COUNTIFS($S$5:$S$1000,$S250,$V$5:$V$1000,"Macro"),IF(AND(ISNUMBER($H250),N($H250)&gt;0),$H250,SUMIFS($H$5:$H$1000,$S$5:$S$1000,$S250,$V$5:$V$1000,"Macro")/COUNTIFS($S$5:$S$1000,$S250,$V$5:$V$1000,"Macro",$H$5:$H$1000,"&gt;0"))/(COUNTIFS($S$5:$S$1000,$S250,$V$5:$V$1000,"Macro")*SUMIFS($H$5:$H$1000,$S$5:$S$1000,$S250,$V$5:$V$1000,"Macro")/COUNTIFS($S$5:$S$1000,$S250,$V$5:$V$1000,"Macro",$H$5:$H$1000,"&gt;0"))))</f>
        <v/>
      </c>
      <c r="AM250" s="62" t="n"/>
      <c r="AN250" s="62" t="n"/>
      <c r="AO250" s="62" t="n"/>
      <c r="AP250" s="62" t="n"/>
      <c r="AQ250" s="62">
        <f>IF(LEFT($C250,11)="[Jefatura] ",IFERROR(MATCH("Asistente Técnico de Riesgo|"&amp;MID($C250,12,500),rDname_ADM,0),0),"")</f>
        <v/>
      </c>
      <c r="AR250" s="62">
        <f>IF(N($AQ250)&gt;0,INDEX(rIni_ADM,$AQ250),IF(ISNUMBER($E250),$E250,""))</f>
        <v/>
      </c>
      <c r="AS250" s="62">
        <f>IF(N($AQ250)&gt;0,INDEX(rLim_ADM,$AQ250),IF(ISNUMBER($F250),$F250,""))</f>
        <v/>
      </c>
    </row>
    <row r="251">
      <c r="A251" s="56">
        <f>IF(NOT((COUNTA($B251:$D251)+COUNTA($G251:$H251)+COUNTA($Q251))&gt;0),"",IF($V251="Macro",COUNTIFS($V$5:$V251,"Macro",$S$5:$S251,$S251),IF(N($U251)=0,"?",COUNTIFS(INDEX($V$5:$V$1000,1):INDEX($V$5:$V$1000,$U251-4),"Macro",INDEX($S$5:$S$1000,1):INDEX($S$5:$S$1000,$U251-4),INDEX($S$5:$S$1000,$U251-4))&amp;"."&amp;COUNTIFS($U$5:$U251,$U251,$V$5:$V251,"Sub"))))</f>
        <v/>
      </c>
      <c r="B251" s="57" t="n"/>
      <c r="C251" s="58" t="n"/>
      <c r="D251" s="58" t="n"/>
      <c r="E251" s="59">
        <f>IF(N($AQ251)&gt;0,INDEX(rIni_ADM,$AQ251),"")</f>
        <v/>
      </c>
      <c r="F251" s="59">
        <f>IF(N($AQ251)&gt;0,INDEX(rLim_ADM,$AQ251),"")</f>
        <v/>
      </c>
      <c r="G251" s="59" t="n"/>
      <c r="H251" s="60" t="n"/>
      <c r="I251" s="60">
        <f>IF(N($W251)=0,"",IF(AND($S251=MesCiclo,1&gt;SemanaActual),"",MIN(1,SUMIFS(OFFSET($A$1,ROW(),29,1000-ROW(),1),OFFSET($A$1,ROW(),20,1000-ROW(),1),ROW(),OFFSET($A$1,ROW(),21,1000-ROW(),1),"Sub"))))</f>
        <v/>
      </c>
      <c r="J251" s="60">
        <f>IF(N($W251)=0,"",IF(AND($S251=MesCiclo,2&gt;SemanaActual),"",MIN(1,SUMIFS(OFFSET($A$1,ROW(),30,1000-ROW(),1),OFFSET($A$1,ROW(),20,1000-ROW(),1),ROW(),OFFSET($A$1,ROW(),21,1000-ROW(),1),"Sub"))))</f>
        <v/>
      </c>
      <c r="K251" s="60">
        <f>IF(N($W251)=0,"",IF(AND($S251=MesCiclo,3&gt;SemanaActual),"",MIN(1,SUMIFS(OFFSET($A$1,ROW(),31,1000-ROW(),1),OFFSET($A$1,ROW(),20,1000-ROW(),1),ROW(),OFFSET($A$1,ROW(),21,1000-ROW(),1),"Sub"))))</f>
        <v/>
      </c>
      <c r="L251" s="60">
        <f>IF(N($W251)=0,"",IF(AND($S251=MesCiclo,4&gt;SemanaActual),"",MIN(1,SUMIFS(OFFSET($A$1,ROW(),32,1000-ROW(),1),OFFSET($A$1,ROW(),20,1000-ROW(),1),ROW(),OFFSET($A$1,ROW(),21,1000-ROW(),1),"Sub"))))</f>
        <v/>
      </c>
      <c r="M251" s="61">
        <f>IF(OR(NOT((COUNTA($B251:$D251)+COUNTA($G251:$H251)+COUNTA($Q251))&gt;0),$V251="Sub"),"",IF(ISNUMBER($G251),1,IF(N($W251)&gt;0,MIN(1,SUMIFS($Y$5:$Y$1000,$U$5:$U$1000,ROW(),$V$5:$V$1000,"Sub")),$Y251)))</f>
        <v/>
      </c>
      <c r="N251" s="56">
        <f>IF(OR($M251="",$V251="Sub"),"",IF($M251&gt;=1,"Completado",IF($M251&gt;0,"En curso","Pendiente")))</f>
        <v/>
      </c>
      <c r="O251" s="56">
        <f>IF(OR(NOT((COUNTA($B251:$D251)+COUNTA($G251:$H251)+COUNTA($Q251))&gt;0),$V251="Sub"),"",IF(ISNUMBER($G251),IF(AND(ISNUMBER($AS251),$G251&gt;$AS251),"Cumplida con "&amp;($G251-$AS251)&amp;IF($G251-$AS251=1," día"," días")&amp;" de retraso","Cumplida"),IF(N($M251)&gt;=1,"Cumplida",IF(NOT(ISNUMBER($AS251)),"Sin fecha límite",IF($AS251&lt;FechaRef,"Vencida hace "&amp;(FechaRef-$AS251)&amp;IF(FechaRef-$AS251=1," día"," días"),IF($AS251=FechaRef,"Vence hoy",IF($AS251-FechaRef&lt;=DiasAlerta,"Vence en "&amp;($AS251-FechaRef)&amp;IF($AS251-FechaRef=1," día"," días"),"En plazo")))))))</f>
        <v/>
      </c>
      <c r="P251" s="62" t="n"/>
      <c r="Q251" s="58" t="n"/>
      <c r="R251" s="63">
        <f>IF(NOT((COUNTA($B251:$D251)+COUNTA($G251:$H251)+COUNTA($Q251))&gt;0),"",IF((IF($C251="","Falta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 OK","⚠ "&amp;LEFT(IF($C251="","Falta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",""),LEN(IF($C251="","Falta el nombre de la actividad"&amp;" · ","")&amp;IF(AND($V251="Sub",N($U251)=0),"Subactividad sin macroactividad arriba"&amp;" · ","")&amp;IF(AND($V251="Macro",$AR251=""),"Sin fecha de inicio"&amp;" · ","")&amp;IF(AND($V251="Macro",$AS251=""),"Sin fecha límite"&amp;" · ","")&amp;IF(AND(LEFT($C251,11)="[Jefatura] ",N($AQ251)=0),"No se encuentra en la hoja de la jefatura (elíjala de nuevo en la lista)"&amp;" · ","")&amp;IF(OR(AND($E251&lt;&gt;"",NOT(ISNUMBER($E251))),AND($F251&lt;&gt;"",NOT(ISNUMBER($F251))),AND($G251&lt;&gt;"",NOT(ISNUMBER($G251)))),"Fecha no válida"&amp;" · ","")&amp;IF(AND(ISNUMBER($AR251),ISNUMBER($AS251),$AR251&gt;$AS251),"Inicio posterior a fecha límite"&amp;" · ","")&amp;IF(AND($V251="Macro",$H251&lt;&gt;"",OR(NOT(ISNUMBER($H251)),$H251&lt;0,$H251&gt;1)),"Peso fuera de rango"&amp;" · ","")&amp;IF(AND($V251="Sub",$H251&lt;&gt;"",OR(NOT(ISNUMBER($H251)),$H251&lt;0,$H251&gt;1)),"% de la subactividad fuera de rango 0-100%"&amp;" · ","")&amp;IF(AND(N($W251)&gt;0,SUMIFS($H$5:$H$1000,$U$5:$U$1000,ROW(),$V$5:$V$1000,"Sub")&gt;1.0001),"Las subactividades suman más de 100%"&amp;" · ","")&amp;IF(AND(N($W251)&gt;0,OR(IF(ISNUMBER($I251),ROUND($I251,6)&lt;&gt;ROUND(MIN(1,SUMIFS($AD$5:$AD$1000,$U$5:$U$1000,ROW(),$V$5:$V$1000,"Sub")),6),FALSE),IF(ISNUMBER($J251),ROUND($J251,6)&lt;&gt;ROUND(MIN(1,SUMIFS($AE$5:$AE$1000,$U$5:$U$1000,ROW(),$V$5:$V$1000,"Sub")),6),FALSE),IF(ISNUMBER($K251),ROUND($K251,6)&lt;&gt;ROUND(MIN(1,SUMIFS($AF$5:$AF$1000,$U$5:$U$1000,ROW(),$V$5:$V$1000,"Sub")),6),FALSE),IF(ISNUMBER($L251),ROUND($L251,6)&lt;&gt;ROUND(MIN(1,SUMIFS($AG$5:$AG$1000,$U$5:$U$1000,ROW(),$V$5:$V$1000,"Sub")),6),FALSE))),"Con subactividades: no escriba en las semanas (se llenan solas)"&amp;" · ","")&amp;IF((COUNTIF($I251:$L251,"&gt;1")+COUNTIF($I251:$L251,"&lt;0")+SUMPRODUCT((LEN($I251:$L251)&gt;0)*NOT(ISNUMBER($I251:$L251))))&gt;0,"Avance fuera de rango 0-100%"&amp;" · ","")&amp;IF(OR(AND(ISNUMBER($J251),$J251&lt;N($I251)),AND(ISNUMBER($K251),$K251&lt;MAX($I251:$J251)),AND(ISNUMBER($L251),$L251&lt;MAX($I251:$K251))),"Avance semanal decreciente"&amp;" · ","")&amp;IF(AND(ISNUMBER($AS251),$AS251&lt;FechaRef,IF($V251="Sub",1,N($M251))&lt;1),"Vencida"&amp;" · ","")&amp;IF(AND(ObsObligatoria="Sí",ISNUMBER($AS251),$AS251&lt;FechaRef,IF($V251="Sub",1,N($M251))&lt;1,$Q251=""),"Vencida sin observación"&amp;" · ",""))-3)))</f>
        <v/>
      </c>
      <c r="S251" s="64">
        <f>IF(NOT((COUNTA($B251:$D251)+COUNTA($G251:$H251)+COUNTA($Q251))&gt;0),"",IF(AND($V251="Sub",N($U251)&gt;0),IF(ISNUMBER(INDEX($AR$5:$AR$1000,$U251-4)),DATE(YEAR(INDEX($AR$5:$AR$1000,$U251-4)),MONTH(INDEX($AR$5:$AR$1000,$U251-4)),1),IF(ISNUMBER(INDEX($AS$5:$AS$1000,$U251-4)),DATE(YEAR(INDEX($AS$5:$AS$1000,$U251-4)),MONTH(INDEX($AS$5:$AS$1000,$U251-4)),1),MesCiclo)),IF(ISNUMBER($AR251),DATE(YEAR($AR251),MONTH($AR251),1),IF(ISNUMBER($AS251),DATE(YEAR($AS251),MONTH($AS251),1),MesCiclo))))</f>
        <v/>
      </c>
      <c r="T251" s="62">
        <f>IF(OR($S251="",$S251&lt;&gt;MesCiclo,$V251&lt;&gt;"Macro"),"",COUNTIFS($S$5:$S251,MesCiclo,$V$5:$V251,"Macro"))</f>
        <v/>
      </c>
      <c r="U251" s="62">
        <f>IF($V251="","",IF($V251="Macro",ROW(),IFERROR(LOOKUP(2,1/($V$5:$V251="Macro"),ROW($V$5:$V251)),0)))</f>
        <v/>
      </c>
      <c r="V251" s="62">
        <f>IF(NOT((COUNTA($B251:$D251)+COUNTA($G251:$H251)+COUNTA($Q251))&gt;0),"",IF($B251="Subactividad","Sub","Macro"))</f>
        <v/>
      </c>
      <c r="W251" s="62">
        <f>IF($V251="Macro",COUNTIFS($U$5:$U$1000,ROW(),$V$5:$V$1000,"Sub"),"")</f>
        <v/>
      </c>
      <c r="X251" s="62">
        <f>IF($V251&lt;&gt;"Sub","",IF(AND(ISNUMBER($H251),N($H251)&gt;0),$H251,IFERROR(MAX(0,1-SUMIFS($H$5:$H$1000,$U$5:$U$1000,$U251,$V$5:$V$1000,"Sub"))/(COUNTIFS($U$5:$U$1000,$U251,$V$5:$V$1000,"Sub")-COUNTIFS($U$5:$U$1000,$U251,$V$5:$V$1000,"Sub",$H$5:$H$1000,"&gt;0")),0)))</f>
        <v/>
      </c>
      <c r="Y251" s="62">
        <f>IF($V251="","",IF($V251="Sub",N($X251)*IF(ISNUMBER($G251),1,MIN(1,MAX(0,IFERROR(LOOKUP(2,1/ISNUMBER($I251:$L251),$I251:$L251),0)))),IF(ISNUMBER($G251),1,IFERROR(LOOKUP(2,1/($I251:$L251&lt;&gt;""),$I251:$L251),0))))</f>
        <v/>
      </c>
      <c r="Z251" s="62">
        <f>IF($V251="","",IF(AND(ISNUMBER($G251),$G251&lt;=IF($S251=MesCiclo,InicioCiclo,$S251+MOD(2-WEEKDAY($S251),7))+6),1,IF(ISNUMBER($I251),$I251,0)))</f>
        <v/>
      </c>
      <c r="AA251" s="62">
        <f>IF($V251="","",IF(AND(ISNUMBER($G251),$G251&lt;=IF($S251=MesCiclo,InicioCiclo,$S251+MOD(2-WEEKDAY($S251),7))+13),1,IF(ISNUMBER($J251),$J251,$Z251)))</f>
        <v/>
      </c>
      <c r="AB251" s="62">
        <f>IF($V251="","",IF(AND(ISNUMBER($G251),$G251&lt;=IF($S251=MesCiclo,InicioCiclo,$S251+MOD(2-WEEKDAY($S251),7))+20),1,IF(ISNUMBER($K251),$K251,$AA251)))</f>
        <v/>
      </c>
      <c r="AC251" s="62">
        <f>IF($V251="","",IF(AND(ISNUMBER($G251),$G251&lt;=IF($S251=MesCiclo,InicioCiclo,$S251+MOD(2-WEEKDAY($S251),7))+27),1,IF(ISNUMBER($L251),$L251,$AB251)))</f>
        <v/>
      </c>
      <c r="AD251" s="62">
        <f>IF($V251&lt;&gt;"Sub","",N($X251)*IF(AND(ISNUMBER($G251),$G251&lt;=IF($S251=MesCiclo,InicioCiclo,$S251+MOD(2-WEEKDAY($S251),7))+6),1,MIN(1,MAX(0,IF(ISNUMBER(OFFSET($A$1,ROW()-1,8)),OFFSET($A$1,ROW()-1,8),0)))))</f>
        <v/>
      </c>
      <c r="AE251" s="62">
        <f>IF($V251&lt;&gt;"Sub","",N($X251)*IF(AND(ISNUMBER($G251),$G251&lt;=IF($S251=MesCiclo,InicioCiclo,$S251+MOD(2-WEEKDAY($S251),7))+13),1,MIN(1,MAX(0,IF(ISNUMBER(OFFSET($A$1,ROW()-1,9)),OFFSET($A$1,ROW()-1,9),IF(ISNUMBER(OFFSET($A$1,ROW()-1,8)),OFFSET($A$1,ROW()-1,8),0))))))</f>
        <v/>
      </c>
      <c r="AF251" s="62">
        <f>IF($V251&lt;&gt;"Sub","",N($X251)*IF(AND(ISNUMBER($G251),$G251&lt;=IF($S251=MesCiclo,InicioCiclo,$S251+MOD(2-WEEKDAY($S251),7))+20),1,MIN(1,MAX(0,IF(ISNUMBER(OFFSET($A$1,ROW()-1,10)),OFFSET($A$1,ROW()-1,10),IF(ISNUMBER(OFFSET($A$1,ROW()-1,9)),OFFSET($A$1,ROW()-1,9),IF(ISNUMBER(OFFSET($A$1,ROW()-1,8)),OFFSET($A$1,ROW()-1,8),0)))))))</f>
        <v/>
      </c>
      <c r="AG251" s="62">
        <f>IF($V251&lt;&gt;"Sub","",N($X251)*IF(AND(ISNUMBER($G251),$G251&lt;=IF($S251=MesCiclo,InicioCiclo,$S251+MOD(2-WEEKDAY($S251),7))+27),1,MIN(1,MAX(0,IF(ISNUMBER(OFFSET($A$1,ROW()-1,11)),OFFSET($A$1,ROW()-1,11),IF(ISNUMBER(OFFSET($A$1,ROW()-1,10)),OFFSET($A$1,ROW()-1,10),IF(ISNUMBER(OFFSET($A$1,ROW()-1,9)),OFFSET($A$1,ROW()-1,9),IF(ISNUMBER(OFFSET($A$1,ROW()-1,8)),OFFSET($A$1,ROW()-1,8),0))))))))</f>
        <v/>
      </c>
      <c r="AH251" s="62">
        <f>IF($V251="","",IF(AND(ISNUMBER($G251),$G251&lt;=IF($S251=MesCiclo,InicioCiclo,$S251+MOD(2-WEEKDAY($S251),7))+6),1,IF(N($W251)&gt;0,MIN(1,SUMIFS($AD$5:$AD$1000,$U$5:$U$1000,ROW(),$V$5:$V$1000,"Sub")),$Z251)))</f>
        <v/>
      </c>
      <c r="AI251" s="62">
        <f>IF($V251="","",IF(AND(ISNUMBER($G251),$G251&lt;=IF($S251=MesCiclo,InicioCiclo,$S251+MOD(2-WEEKDAY($S251),7))+13),1,IF(N($W251)&gt;0,MIN(1,SUMIFS($AE$5:$AE$1000,$U$5:$U$1000,ROW(),$V$5:$V$1000,"Sub")),$AA251)))</f>
        <v/>
      </c>
      <c r="AJ251" s="62">
        <f>IF($V251="","",IF(AND(ISNUMBER($G251),$G251&lt;=IF($S251=MesCiclo,InicioCiclo,$S251+MOD(2-WEEKDAY($S251),7))+20),1,IF(N($W251)&gt;0,MIN(1,SUMIFS($AF$5:$AF$1000,$U$5:$U$1000,ROW(),$V$5:$V$1000,"Sub")),$AB251)))</f>
        <v/>
      </c>
      <c r="AK251" s="62">
        <f>IF($V251="","",IF(AND(ISNUMBER($G251),$G251&lt;=IF($S251=MesCiclo,InicioCiclo,$S251+MOD(2-WEEKDAY($S251),7))+27),1,IF(N($W251)&gt;0,MIN(1,SUMIFS($AG$5:$AG$1000,$U$5:$U$1000,ROW(),$V$5:$V$1000,"Sub")),$AC251)))</f>
        <v/>
      </c>
      <c r="AL251" s="62">
        <f>IF($V251&lt;&gt;"Macro","",IF(COUNTIFS($S$5:$S$1000,$S251,$V$5:$V$1000,"Macro",$H$5:$H$1000,"&gt;0")=0,1/COUNTIFS($S$5:$S$1000,$S251,$V$5:$V$1000,"Macro"),IF(AND(ISNUMBER($H251),N($H251)&gt;0),$H251,SUMIFS($H$5:$H$1000,$S$5:$S$1000,$S251,$V$5:$V$1000,"Macro")/COUNTIFS($S$5:$S$1000,$S251,$V$5:$V$1000,"Macro",$H$5:$H$1000,"&gt;0"))/(COUNTIFS($S$5:$S$1000,$S251,$V$5:$V$1000,"Macro")*SUMIFS($H$5:$H$1000,$S$5:$S$1000,$S251,$V$5:$V$1000,"Macro")/COUNTIFS($S$5:$S$1000,$S251,$V$5:$V$1000,"Macro",$H$5:$H$1000,"&gt;0"))))</f>
        <v/>
      </c>
      <c r="AM251" s="62" t="n"/>
      <c r="AN251" s="62" t="n"/>
      <c r="AO251" s="62" t="n"/>
      <c r="AP251" s="62" t="n"/>
      <c r="AQ251" s="62">
        <f>IF(LEFT($C251,11)="[Jefatura] ",IFERROR(MATCH("Asistente Técnico de Riesgo|"&amp;MID($C251,12,500),rDname_ADM,0),0),"")</f>
        <v/>
      </c>
      <c r="AR251" s="62">
        <f>IF(N($AQ251)&gt;0,INDEX(rIni_ADM,$AQ251),IF(ISNUMBER($E251),$E251,""))</f>
        <v/>
      </c>
      <c r="AS251" s="62">
        <f>IF(N($AQ251)&gt;0,INDEX(rLim_ADM,$AQ251),IF(ISNUMBER($F251),$F251,""))</f>
        <v/>
      </c>
    </row>
    <row r="252">
      <c r="A252" s="56">
        <f>IF(NOT((COUNTA($B252:$D252)+COUNTA($G252:$H252)+COUNTA($Q252))&gt;0),"",IF($V252="Macro",COUNTIFS($V$5:$V252,"Macro",$S$5:$S252,$S252),IF(N($U252)=0,"?",COUNTIFS(INDEX($V$5:$V$1000,1):INDEX($V$5:$V$1000,$U252-4),"Macro",INDEX($S$5:$S$1000,1):INDEX($S$5:$S$1000,$U252-4),INDEX($S$5:$S$1000,$U252-4))&amp;"."&amp;COUNTIFS($U$5:$U252,$U252,$V$5:$V252,"Sub"))))</f>
        <v/>
      </c>
      <c r="B252" s="57" t="n"/>
      <c r="C252" s="58" t="n"/>
      <c r="D252" s="58" t="n"/>
      <c r="E252" s="59">
        <f>IF(N($AQ252)&gt;0,INDEX(rIni_ADM,$AQ252),"")</f>
        <v/>
      </c>
      <c r="F252" s="59">
        <f>IF(N($AQ252)&gt;0,INDEX(rLim_ADM,$AQ252),"")</f>
        <v/>
      </c>
      <c r="G252" s="59" t="n"/>
      <c r="H252" s="60" t="n"/>
      <c r="I252" s="60">
        <f>IF(N($W252)=0,"",IF(AND($S252=MesCiclo,1&gt;SemanaActual),"",MIN(1,SUMIFS(OFFSET($A$1,ROW(),29,1000-ROW(),1),OFFSET($A$1,ROW(),20,1000-ROW(),1),ROW(),OFFSET($A$1,ROW(),21,1000-ROW(),1),"Sub"))))</f>
        <v/>
      </c>
      <c r="J252" s="60">
        <f>IF(N($W252)=0,"",IF(AND($S252=MesCiclo,2&gt;SemanaActual),"",MIN(1,SUMIFS(OFFSET($A$1,ROW(),30,1000-ROW(),1),OFFSET($A$1,ROW(),20,1000-ROW(),1),ROW(),OFFSET($A$1,ROW(),21,1000-ROW(),1),"Sub"))))</f>
        <v/>
      </c>
      <c r="K252" s="60">
        <f>IF(N($W252)=0,"",IF(AND($S252=MesCiclo,3&gt;SemanaActual),"",MIN(1,SUMIFS(OFFSET($A$1,ROW(),31,1000-ROW(),1),OFFSET($A$1,ROW(),20,1000-ROW(),1),ROW(),OFFSET($A$1,ROW(),21,1000-ROW(),1),"Sub"))))</f>
        <v/>
      </c>
      <c r="L252" s="60">
        <f>IF(N($W252)=0,"",IF(AND($S252=MesCiclo,4&gt;SemanaActual),"",MIN(1,SUMIFS(OFFSET($A$1,ROW(),32,1000-ROW(),1),OFFSET($A$1,ROW(),20,1000-ROW(),1),ROW(),OFFSET($A$1,ROW(),21,1000-ROW(),1),"Sub"))))</f>
        <v/>
      </c>
      <c r="M252" s="61">
        <f>IF(OR(NOT((COUNTA($B252:$D252)+COUNTA($G252:$H252)+COUNTA($Q252))&gt;0),$V252="Sub"),"",IF(ISNUMBER($G252),1,IF(N($W252)&gt;0,MIN(1,SUMIFS($Y$5:$Y$1000,$U$5:$U$1000,ROW(),$V$5:$V$1000,"Sub")),$Y252)))</f>
        <v/>
      </c>
      <c r="N252" s="56">
        <f>IF(OR($M252="",$V252="Sub"),"",IF($M252&gt;=1,"Completado",IF($M252&gt;0,"En curso","Pendiente")))</f>
        <v/>
      </c>
      <c r="O252" s="56">
        <f>IF(OR(NOT((COUNTA($B252:$D252)+COUNTA($G252:$H252)+COUNTA($Q252))&gt;0),$V252="Sub"),"",IF(ISNUMBER($G252),IF(AND(ISNUMBER($AS252),$G252&gt;$AS252),"Cumplida con "&amp;($G252-$AS252)&amp;IF($G252-$AS252=1," día"," días")&amp;" de retraso","Cumplida"),IF(N($M252)&gt;=1,"Cumplida",IF(NOT(ISNUMBER($AS252)),"Sin fecha límite",IF($AS252&lt;FechaRef,"Vencida hace "&amp;(FechaRef-$AS252)&amp;IF(FechaRef-$AS252=1," día"," días"),IF($AS252=FechaRef,"Vence hoy",IF($AS252-FechaRef&lt;=DiasAlerta,"Vence en "&amp;($AS252-FechaRef)&amp;IF($AS252-FechaRef=1," día"," días"),"En plazo")))))))</f>
        <v/>
      </c>
      <c r="P252" s="62" t="n"/>
      <c r="Q252" s="58" t="n"/>
      <c r="R252" s="63">
        <f>IF(NOT((COUNTA($B252:$D252)+COUNTA($G252:$H252)+COUNTA($Q252))&gt;0),"",IF((IF($C252="","Falta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 OK","⚠ "&amp;LEFT(IF($C252="","Falta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",""),LEN(IF($C252="","Falta el nombre de la actividad"&amp;" · ","")&amp;IF(AND($V252="Sub",N($U252)=0),"Subactividad sin macroactividad arriba"&amp;" · ","")&amp;IF(AND($V252="Macro",$AR252=""),"Sin fecha de inicio"&amp;" · ","")&amp;IF(AND($V252="Macro",$AS252=""),"Sin fecha límite"&amp;" · ","")&amp;IF(AND(LEFT($C252,11)="[Jefatura] ",N($AQ252)=0),"No se encuentra en la hoja de la jefatura (elíjala de nuevo en la lista)"&amp;" · ","")&amp;IF(OR(AND($E252&lt;&gt;"",NOT(ISNUMBER($E252))),AND($F252&lt;&gt;"",NOT(ISNUMBER($F252))),AND($G252&lt;&gt;"",NOT(ISNUMBER($G252)))),"Fecha no válida"&amp;" · ","")&amp;IF(AND(ISNUMBER($AR252),ISNUMBER($AS252),$AR252&gt;$AS252),"Inicio posterior a fecha límite"&amp;" · ","")&amp;IF(AND($V252="Macro",$H252&lt;&gt;"",OR(NOT(ISNUMBER($H252)),$H252&lt;0,$H252&gt;1)),"Peso fuera de rango"&amp;" · ","")&amp;IF(AND($V252="Sub",$H252&lt;&gt;"",OR(NOT(ISNUMBER($H252)),$H252&lt;0,$H252&gt;1)),"% de la subactividad fuera de rango 0-100%"&amp;" · ","")&amp;IF(AND(N($W252)&gt;0,SUMIFS($H$5:$H$1000,$U$5:$U$1000,ROW(),$V$5:$V$1000,"Sub")&gt;1.0001),"Las subactividades suman más de 100%"&amp;" · ","")&amp;IF(AND(N($W252)&gt;0,OR(IF(ISNUMBER($I252),ROUND($I252,6)&lt;&gt;ROUND(MIN(1,SUMIFS($AD$5:$AD$1000,$U$5:$U$1000,ROW(),$V$5:$V$1000,"Sub")),6),FALSE),IF(ISNUMBER($J252),ROUND($J252,6)&lt;&gt;ROUND(MIN(1,SUMIFS($AE$5:$AE$1000,$U$5:$U$1000,ROW(),$V$5:$V$1000,"Sub")),6),FALSE),IF(ISNUMBER($K252),ROUND($K252,6)&lt;&gt;ROUND(MIN(1,SUMIFS($AF$5:$AF$1000,$U$5:$U$1000,ROW(),$V$5:$V$1000,"Sub")),6),FALSE),IF(ISNUMBER($L252),ROUND($L252,6)&lt;&gt;ROUND(MIN(1,SUMIFS($AG$5:$AG$1000,$U$5:$U$1000,ROW(),$V$5:$V$1000,"Sub")),6),FALSE))),"Con subactividades: no escriba en las semanas (se llenan solas)"&amp;" · ","")&amp;IF((COUNTIF($I252:$L252,"&gt;1")+COUNTIF($I252:$L252,"&lt;0")+SUMPRODUCT((LEN($I252:$L252)&gt;0)*NOT(ISNUMBER($I252:$L252))))&gt;0,"Avance fuera de rango 0-100%"&amp;" · ","")&amp;IF(OR(AND(ISNUMBER($J252),$J252&lt;N($I252)),AND(ISNUMBER($K252),$K252&lt;MAX($I252:$J252)),AND(ISNUMBER($L252),$L252&lt;MAX($I252:$K252))),"Avance semanal decreciente"&amp;" · ","")&amp;IF(AND(ISNUMBER($AS252),$AS252&lt;FechaRef,IF($V252="Sub",1,N($M252))&lt;1),"Vencida"&amp;" · ","")&amp;IF(AND(ObsObligatoria="Sí",ISNUMBER($AS252),$AS252&lt;FechaRef,IF($V252="Sub",1,N($M252))&lt;1,$Q252=""),"Vencida sin observación"&amp;" · ",""))-3)))</f>
        <v/>
      </c>
      <c r="S252" s="64">
        <f>IF(NOT((COUNTA($B252:$D252)+COUNTA($G252:$H252)+COUNTA($Q252))&gt;0),"",IF(AND($V252="Sub",N($U252)&gt;0),IF(ISNUMBER(INDEX($AR$5:$AR$1000,$U252-4)),DATE(YEAR(INDEX($AR$5:$AR$1000,$U252-4)),MONTH(INDEX($AR$5:$AR$1000,$U252-4)),1),IF(ISNUMBER(INDEX($AS$5:$AS$1000,$U252-4)),DATE(YEAR(INDEX($AS$5:$AS$1000,$U252-4)),MONTH(INDEX($AS$5:$AS$1000,$U252-4)),1),MesCiclo)),IF(ISNUMBER($AR252),DATE(YEAR($AR252),MONTH($AR252),1),IF(ISNUMBER($AS252),DATE(YEAR($AS252),MONTH($AS252),1),MesCiclo))))</f>
        <v/>
      </c>
      <c r="T252" s="62">
        <f>IF(OR($S252="",$S252&lt;&gt;MesCiclo,$V252&lt;&gt;"Macro"),"",COUNTIFS($S$5:$S252,MesCiclo,$V$5:$V252,"Macro"))</f>
        <v/>
      </c>
      <c r="U252" s="62">
        <f>IF($V252="","",IF($V252="Macro",ROW(),IFERROR(LOOKUP(2,1/($V$5:$V252="Macro"),ROW($V$5:$V252)),0)))</f>
        <v/>
      </c>
      <c r="V252" s="62">
        <f>IF(NOT((COUNTA($B252:$D252)+COUNTA($G252:$H252)+COUNTA($Q252))&gt;0),"",IF($B252="Subactividad","Sub","Macro"))</f>
        <v/>
      </c>
      <c r="W252" s="62">
        <f>IF($V252="Macro",COUNTIFS($U$5:$U$1000,ROW(),$V$5:$V$1000,"Sub"),"")</f>
        <v/>
      </c>
      <c r="X252" s="62">
        <f>IF($V252&lt;&gt;"Sub","",IF(AND(ISNUMBER($H252),N($H252)&gt;0),$H252,IFERROR(MAX(0,1-SUMIFS($H$5:$H$1000,$U$5:$U$1000,$U252,$V$5:$V$1000,"Sub"))/(COUNTIFS($U$5:$U$1000,$U252,$V$5:$V$1000,"Sub")-COUNTIFS($U$5:$U$1000,$U252,$V$5:$V$1000,"Sub",$H$5:$H$1000,"&gt;0")),0)))</f>
        <v/>
      </c>
      <c r="Y252" s="62">
        <f>IF($V252="","",IF($V252="Sub",N($X252)*IF(ISNUMBER($G252),1,MIN(1,MAX(0,IFERROR(LOOKUP(2,1/ISNUMBER($I252:$L252),$I252:$L252),0)))),IF(ISNUMBER($G252),1,IFERROR(LOOKUP(2,1/($I252:$L252&lt;&gt;""),$I252:$L252),0))))</f>
        <v/>
      </c>
      <c r="Z252" s="62">
        <f>IF($V252="","",IF(AND(ISNUMBER($G252),$G252&lt;=IF($S252=MesCiclo,InicioCiclo,$S252+MOD(2-WEEKDAY($S252),7))+6),1,IF(ISNUMBER($I252),$I252,0)))</f>
        <v/>
      </c>
      <c r="AA252" s="62">
        <f>IF($V252="","",IF(AND(ISNUMBER($G252),$G252&lt;=IF($S252=MesCiclo,InicioCiclo,$S252+MOD(2-WEEKDAY($S252),7))+13),1,IF(ISNUMBER($J252),$J252,$Z252)))</f>
        <v/>
      </c>
      <c r="AB252" s="62">
        <f>IF($V252="","",IF(AND(ISNUMBER($G252),$G252&lt;=IF($S252=MesCiclo,InicioCiclo,$S252+MOD(2-WEEKDAY($S252),7))+20),1,IF(ISNUMBER($K252),$K252,$AA252)))</f>
        <v/>
      </c>
      <c r="AC252" s="62">
        <f>IF($V252="","",IF(AND(ISNUMBER($G252),$G252&lt;=IF($S252=MesCiclo,InicioCiclo,$S252+MOD(2-WEEKDAY($S252),7))+27),1,IF(ISNUMBER($L252),$L252,$AB252)))</f>
        <v/>
      </c>
      <c r="AD252" s="62">
        <f>IF($V252&lt;&gt;"Sub","",N($X252)*IF(AND(ISNUMBER($G252),$G252&lt;=IF($S252=MesCiclo,InicioCiclo,$S252+MOD(2-WEEKDAY($S252),7))+6),1,MIN(1,MAX(0,IF(ISNUMBER(OFFSET($A$1,ROW()-1,8)),OFFSET($A$1,ROW()-1,8),0)))))</f>
        <v/>
      </c>
      <c r="AE252" s="62">
        <f>IF($V252&lt;&gt;"Sub","",N($X252)*IF(AND(ISNUMBER($G252),$G252&lt;=IF($S252=MesCiclo,InicioCiclo,$S252+MOD(2-WEEKDAY($S252),7))+13),1,MIN(1,MAX(0,IF(ISNUMBER(OFFSET($A$1,ROW()-1,9)),OFFSET($A$1,ROW()-1,9),IF(ISNUMBER(OFFSET($A$1,ROW()-1,8)),OFFSET($A$1,ROW()-1,8),0))))))</f>
        <v/>
      </c>
      <c r="AF252" s="62">
        <f>IF($V252&lt;&gt;"Sub","",N($X252)*IF(AND(ISNUMBER($G252),$G252&lt;=IF($S252=MesCiclo,InicioCiclo,$S252+MOD(2-WEEKDAY($S252),7))+20),1,MIN(1,MAX(0,IF(ISNUMBER(OFFSET($A$1,ROW()-1,10)),OFFSET($A$1,ROW()-1,10),IF(ISNUMBER(OFFSET($A$1,ROW()-1,9)),OFFSET($A$1,ROW()-1,9),IF(ISNUMBER(OFFSET($A$1,ROW()-1,8)),OFFSET($A$1,ROW()-1,8),0)))))))</f>
        <v/>
      </c>
      <c r="AG252" s="62">
        <f>IF($V252&lt;&gt;"Sub","",N($X252)*IF(AND(ISNUMBER($G252),$G252&lt;=IF($S252=MesCiclo,InicioCiclo,$S252+MOD(2-WEEKDAY($S252),7))+27),1,MIN(1,MAX(0,IF(ISNUMBER(OFFSET($A$1,ROW()-1,11)),OFFSET($A$1,ROW()-1,11),IF(ISNUMBER(OFFSET($A$1,ROW()-1,10)),OFFSET($A$1,ROW()-1,10),IF(ISNUMBER(OFFSET($A$1,ROW()-1,9)),OFFSET($A$1,ROW()-1,9),IF(ISNUMBER(OFFSET($A$1,ROW()-1,8)),OFFSET($A$1,ROW()-1,8),0))))))))</f>
        <v/>
      </c>
      <c r="AH252" s="62">
        <f>IF($V252="","",IF(AND(ISNUMBER($G252),$G252&lt;=IF($S252=MesCiclo,InicioCiclo,$S252+MOD(2-WEEKDAY($S252),7))+6),1,IF(N($W252)&gt;0,MIN(1,SUMIFS($AD$5:$AD$1000,$U$5:$U$1000,ROW(),$V$5:$V$1000,"Sub")),$Z252)))</f>
        <v/>
      </c>
      <c r="AI252" s="62">
        <f>IF($V252="","",IF(AND(ISNUMBER($G252),$G252&lt;=IF($S252=MesCiclo,InicioCiclo,$S252+MOD(2-WEEKDAY($S252),7))+13),1,IF(N($W252)&gt;0,MIN(1,SUMIFS($AE$5:$AE$1000,$U$5:$U$1000,ROW(),$V$5:$V$1000,"Sub")),$AA252)))</f>
        <v/>
      </c>
      <c r="AJ252" s="62">
        <f>IF($V252="","",IF(AND(ISNUMBER($G252),$G252&lt;=IF($S252=MesCiclo,InicioCiclo,$S252+MOD(2-WEEKDAY($S252),7))+20),1,IF(N($W252)&gt;0,MIN(1,SUMIFS($AF$5:$AF$1000,$U$5:$U$1000,ROW(),$V$5:$V$1000,"Sub")),$AB252)))</f>
        <v/>
      </c>
      <c r="AK252" s="62">
        <f>IF($V252="","",IF(AND(ISNUMBER($G252),$G252&lt;=IF($S252=MesCiclo,InicioCiclo,$S252+MOD(2-WEEKDAY($S252),7))+27),1,IF(N($W252)&gt;0,MIN(1,SUMIFS($AG$5:$AG$1000,$U$5:$U$1000,ROW(),$V$5:$V$1000,"Sub")),$AC252)))</f>
        <v/>
      </c>
      <c r="AL252" s="62">
        <f>IF($V252&lt;&gt;"Macro","",IF(COUNTIFS($S$5:$S$1000,$S252,$V$5:$V$1000,"Macro",$H$5:$H$1000,"&gt;0")=0,1/COUNTIFS($S$5:$S$1000,$S252,$V$5:$V$1000,"Macro"),IF(AND(ISNUMBER($H252),N($H252)&gt;0),$H252,SUMIFS($H$5:$H$1000,$S$5:$S$1000,$S252,$V$5:$V$1000,"Macro")/COUNTIFS($S$5:$S$1000,$S252,$V$5:$V$1000,"Macro",$H$5:$H$1000,"&gt;0"))/(COUNTIFS($S$5:$S$1000,$S252,$V$5:$V$1000,"Macro")*SUMIFS($H$5:$H$1000,$S$5:$S$1000,$S252,$V$5:$V$1000,"Macro")/COUNTIFS($S$5:$S$1000,$S252,$V$5:$V$1000,"Macro",$H$5:$H$1000,"&gt;0"))))</f>
        <v/>
      </c>
      <c r="AM252" s="62" t="n"/>
      <c r="AN252" s="62" t="n"/>
      <c r="AO252" s="62" t="n"/>
      <c r="AP252" s="62" t="n"/>
      <c r="AQ252" s="62">
        <f>IF(LEFT($C252,11)="[Jefatura] ",IFERROR(MATCH("Asistente Técnico de Riesgo|"&amp;MID($C252,12,500),rDname_ADM,0),0),"")</f>
        <v/>
      </c>
      <c r="AR252" s="62">
        <f>IF(N($AQ252)&gt;0,INDEX(rIni_ADM,$AQ252),IF(ISNUMBER($E252),$E252,""))</f>
        <v/>
      </c>
      <c r="AS252" s="62">
        <f>IF(N($AQ252)&gt;0,INDEX(rLim_ADM,$AQ252),IF(ISNUMBER($F252),$F252,""))</f>
        <v/>
      </c>
    </row>
    <row r="253">
      <c r="A253" s="56">
        <f>IF(NOT((COUNTA($B253:$D253)+COUNTA($G253:$H253)+COUNTA($Q253))&gt;0),"",IF($V253="Macro",COUNTIFS($V$5:$V253,"Macro",$S$5:$S253,$S253),IF(N($U253)=0,"?",COUNTIFS(INDEX($V$5:$V$1000,1):INDEX($V$5:$V$1000,$U253-4),"Macro",INDEX($S$5:$S$1000,1):INDEX($S$5:$S$1000,$U253-4),INDEX($S$5:$S$1000,$U253-4))&amp;"."&amp;COUNTIFS($U$5:$U253,$U253,$V$5:$V253,"Sub"))))</f>
        <v/>
      </c>
      <c r="B253" s="57" t="n"/>
      <c r="C253" s="58" t="n"/>
      <c r="D253" s="58" t="n"/>
      <c r="E253" s="59">
        <f>IF(N($AQ253)&gt;0,INDEX(rIni_ADM,$AQ253),"")</f>
        <v/>
      </c>
      <c r="F253" s="59">
        <f>IF(N($AQ253)&gt;0,INDEX(rLim_ADM,$AQ253),"")</f>
        <v/>
      </c>
      <c r="G253" s="59" t="n"/>
      <c r="H253" s="60" t="n"/>
      <c r="I253" s="60">
        <f>IF(N($W253)=0,"",IF(AND($S253=MesCiclo,1&gt;SemanaActual),"",MIN(1,SUMIFS(OFFSET($A$1,ROW(),29,1000-ROW(),1),OFFSET($A$1,ROW(),20,1000-ROW(),1),ROW(),OFFSET($A$1,ROW(),21,1000-ROW(),1),"Sub"))))</f>
        <v/>
      </c>
      <c r="J253" s="60">
        <f>IF(N($W253)=0,"",IF(AND($S253=MesCiclo,2&gt;SemanaActual),"",MIN(1,SUMIFS(OFFSET($A$1,ROW(),30,1000-ROW(),1),OFFSET($A$1,ROW(),20,1000-ROW(),1),ROW(),OFFSET($A$1,ROW(),21,1000-ROW(),1),"Sub"))))</f>
        <v/>
      </c>
      <c r="K253" s="60">
        <f>IF(N($W253)=0,"",IF(AND($S253=MesCiclo,3&gt;SemanaActual),"",MIN(1,SUMIFS(OFFSET($A$1,ROW(),31,1000-ROW(),1),OFFSET($A$1,ROW(),20,1000-ROW(),1),ROW(),OFFSET($A$1,ROW(),21,1000-ROW(),1),"Sub"))))</f>
        <v/>
      </c>
      <c r="L253" s="60">
        <f>IF(N($W253)=0,"",IF(AND($S253=MesCiclo,4&gt;SemanaActual),"",MIN(1,SUMIFS(OFFSET($A$1,ROW(),32,1000-ROW(),1),OFFSET($A$1,ROW(),20,1000-ROW(),1),ROW(),OFFSET($A$1,ROW(),21,1000-ROW(),1),"Sub"))))</f>
        <v/>
      </c>
      <c r="M253" s="61">
        <f>IF(OR(NOT((COUNTA($B253:$D253)+COUNTA($G253:$H253)+COUNTA($Q253))&gt;0),$V253="Sub"),"",IF(ISNUMBER($G253),1,IF(N($W253)&gt;0,MIN(1,SUMIFS($Y$5:$Y$1000,$U$5:$U$1000,ROW(),$V$5:$V$1000,"Sub")),$Y253)))</f>
        <v/>
      </c>
      <c r="N253" s="56">
        <f>IF(OR($M253="",$V253="Sub"),"",IF($M253&gt;=1,"Completado",IF($M253&gt;0,"En curso","Pendiente")))</f>
        <v/>
      </c>
      <c r="O253" s="56">
        <f>IF(OR(NOT((COUNTA($B253:$D253)+COUNTA($G253:$H253)+COUNTA($Q253))&gt;0),$V253="Sub"),"",IF(ISNUMBER($G253),IF(AND(ISNUMBER($AS253),$G253&gt;$AS253),"Cumplida con "&amp;($G253-$AS253)&amp;IF($G253-$AS253=1," día"," días")&amp;" de retraso","Cumplida"),IF(N($M253)&gt;=1,"Cumplida",IF(NOT(ISNUMBER($AS253)),"Sin fecha límite",IF($AS253&lt;FechaRef,"Vencida hace "&amp;(FechaRef-$AS253)&amp;IF(FechaRef-$AS253=1," día"," días"),IF($AS253=FechaRef,"Vence hoy",IF($AS253-FechaRef&lt;=DiasAlerta,"Vence en "&amp;($AS253-FechaRef)&amp;IF($AS253-FechaRef=1," día"," días"),"En plazo")))))))</f>
        <v/>
      </c>
      <c r="P253" s="62" t="n"/>
      <c r="Q253" s="58" t="n"/>
      <c r="R253" s="63">
        <f>IF(NOT((COUNTA($B253:$D253)+COUNTA($G253:$H253)+COUNTA($Q253))&gt;0),"",IF((IF($C253="","Falta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 OK","⚠ "&amp;LEFT(IF($C253="","Falta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",""),LEN(IF($C253="","Falta el nombre de la actividad"&amp;" · ","")&amp;IF(AND($V253="Sub",N($U253)=0),"Subactividad sin macroactividad arriba"&amp;" · ","")&amp;IF(AND($V253="Macro",$AR253=""),"Sin fecha de inicio"&amp;" · ","")&amp;IF(AND($V253="Macro",$AS253=""),"Sin fecha límite"&amp;" · ","")&amp;IF(AND(LEFT($C253,11)="[Jefatura] ",N($AQ253)=0),"No se encuentra en la hoja de la jefatura (elíjala de nuevo en la lista)"&amp;" · ","")&amp;IF(OR(AND($E253&lt;&gt;"",NOT(ISNUMBER($E253))),AND($F253&lt;&gt;"",NOT(ISNUMBER($F253))),AND($G253&lt;&gt;"",NOT(ISNUMBER($G253)))),"Fecha no válida"&amp;" · ","")&amp;IF(AND(ISNUMBER($AR253),ISNUMBER($AS253),$AR253&gt;$AS253),"Inicio posterior a fecha límite"&amp;" · ","")&amp;IF(AND($V253="Macro",$H253&lt;&gt;"",OR(NOT(ISNUMBER($H253)),$H253&lt;0,$H253&gt;1)),"Peso fuera de rango"&amp;" · ","")&amp;IF(AND($V253="Sub",$H253&lt;&gt;"",OR(NOT(ISNUMBER($H253)),$H253&lt;0,$H253&gt;1)),"% de la subactividad fuera de rango 0-100%"&amp;" · ","")&amp;IF(AND(N($W253)&gt;0,SUMIFS($H$5:$H$1000,$U$5:$U$1000,ROW(),$V$5:$V$1000,"Sub")&gt;1.0001),"Las subactividades suman más de 100%"&amp;" · ","")&amp;IF(AND(N($W253)&gt;0,OR(IF(ISNUMBER($I253),ROUND($I253,6)&lt;&gt;ROUND(MIN(1,SUMIFS($AD$5:$AD$1000,$U$5:$U$1000,ROW(),$V$5:$V$1000,"Sub")),6),FALSE),IF(ISNUMBER($J253),ROUND($J253,6)&lt;&gt;ROUND(MIN(1,SUMIFS($AE$5:$AE$1000,$U$5:$U$1000,ROW(),$V$5:$V$1000,"Sub")),6),FALSE),IF(ISNUMBER($K253),ROUND($K253,6)&lt;&gt;ROUND(MIN(1,SUMIFS($AF$5:$AF$1000,$U$5:$U$1000,ROW(),$V$5:$V$1000,"Sub")),6),FALSE),IF(ISNUMBER($L253),ROUND($L253,6)&lt;&gt;ROUND(MIN(1,SUMIFS($AG$5:$AG$1000,$U$5:$U$1000,ROW(),$V$5:$V$1000,"Sub")),6),FALSE))),"Con subactividades: no escriba en las semanas (se llenan solas)"&amp;" · ","")&amp;IF((COUNTIF($I253:$L253,"&gt;1")+COUNTIF($I253:$L253,"&lt;0")+SUMPRODUCT((LEN($I253:$L253)&gt;0)*NOT(ISNUMBER($I253:$L253))))&gt;0,"Avance fuera de rango 0-100%"&amp;" · ","")&amp;IF(OR(AND(ISNUMBER($J253),$J253&lt;N($I253)),AND(ISNUMBER($K253),$K253&lt;MAX($I253:$J253)),AND(ISNUMBER($L253),$L253&lt;MAX($I253:$K253))),"Avance semanal decreciente"&amp;" · ","")&amp;IF(AND(ISNUMBER($AS253),$AS253&lt;FechaRef,IF($V253="Sub",1,N($M253))&lt;1),"Vencida"&amp;" · ","")&amp;IF(AND(ObsObligatoria="Sí",ISNUMBER($AS253),$AS253&lt;FechaRef,IF($V253="Sub",1,N($M253))&lt;1,$Q253=""),"Vencida sin observación"&amp;" · ",""))-3)))</f>
        <v/>
      </c>
      <c r="S253" s="64">
        <f>IF(NOT((COUNTA($B253:$D253)+COUNTA($G253:$H253)+COUNTA($Q253))&gt;0),"",IF(AND($V253="Sub",N($U253)&gt;0),IF(ISNUMBER(INDEX($AR$5:$AR$1000,$U253-4)),DATE(YEAR(INDEX($AR$5:$AR$1000,$U253-4)),MONTH(INDEX($AR$5:$AR$1000,$U253-4)),1),IF(ISNUMBER(INDEX($AS$5:$AS$1000,$U253-4)),DATE(YEAR(INDEX($AS$5:$AS$1000,$U253-4)),MONTH(INDEX($AS$5:$AS$1000,$U253-4)),1),MesCiclo)),IF(ISNUMBER($AR253),DATE(YEAR($AR253),MONTH($AR253),1),IF(ISNUMBER($AS253),DATE(YEAR($AS253),MONTH($AS253),1),MesCiclo))))</f>
        <v/>
      </c>
      <c r="T253" s="62">
        <f>IF(OR($S253="",$S253&lt;&gt;MesCiclo,$V253&lt;&gt;"Macro"),"",COUNTIFS($S$5:$S253,MesCiclo,$V$5:$V253,"Macro"))</f>
        <v/>
      </c>
      <c r="U253" s="62">
        <f>IF($V253="","",IF($V253="Macro",ROW(),IFERROR(LOOKUP(2,1/($V$5:$V253="Macro"),ROW($V$5:$V253)),0)))</f>
        <v/>
      </c>
      <c r="V253" s="62">
        <f>IF(NOT((COUNTA($B253:$D253)+COUNTA($G253:$H253)+COUNTA($Q253))&gt;0),"",IF($B253="Subactividad","Sub","Macro"))</f>
        <v/>
      </c>
      <c r="W253" s="62">
        <f>IF($V253="Macro",COUNTIFS($U$5:$U$1000,ROW(),$V$5:$V$1000,"Sub"),"")</f>
        <v/>
      </c>
      <c r="X253" s="62">
        <f>IF($V253&lt;&gt;"Sub","",IF(AND(ISNUMBER($H253),N($H253)&gt;0),$H253,IFERROR(MAX(0,1-SUMIFS($H$5:$H$1000,$U$5:$U$1000,$U253,$V$5:$V$1000,"Sub"))/(COUNTIFS($U$5:$U$1000,$U253,$V$5:$V$1000,"Sub")-COUNTIFS($U$5:$U$1000,$U253,$V$5:$V$1000,"Sub",$H$5:$H$1000,"&gt;0")),0)))</f>
        <v/>
      </c>
      <c r="Y253" s="62">
        <f>IF($V253="","",IF($V253="Sub",N($X253)*IF(ISNUMBER($G253),1,MIN(1,MAX(0,IFERROR(LOOKUP(2,1/ISNUMBER($I253:$L253),$I253:$L253),0)))),IF(ISNUMBER($G253),1,IFERROR(LOOKUP(2,1/($I253:$L253&lt;&gt;""),$I253:$L253),0))))</f>
        <v/>
      </c>
      <c r="Z253" s="62">
        <f>IF($V253="","",IF(AND(ISNUMBER($G253),$G253&lt;=IF($S253=MesCiclo,InicioCiclo,$S253+MOD(2-WEEKDAY($S253),7))+6),1,IF(ISNUMBER($I253),$I253,0)))</f>
        <v/>
      </c>
      <c r="AA253" s="62">
        <f>IF($V253="","",IF(AND(ISNUMBER($G253),$G253&lt;=IF($S253=MesCiclo,InicioCiclo,$S253+MOD(2-WEEKDAY($S253),7))+13),1,IF(ISNUMBER($J253),$J253,$Z253)))</f>
        <v/>
      </c>
      <c r="AB253" s="62">
        <f>IF($V253="","",IF(AND(ISNUMBER($G253),$G253&lt;=IF($S253=MesCiclo,InicioCiclo,$S253+MOD(2-WEEKDAY($S253),7))+20),1,IF(ISNUMBER($K253),$K253,$AA253)))</f>
        <v/>
      </c>
      <c r="AC253" s="62">
        <f>IF($V253="","",IF(AND(ISNUMBER($G253),$G253&lt;=IF($S253=MesCiclo,InicioCiclo,$S253+MOD(2-WEEKDAY($S253),7))+27),1,IF(ISNUMBER($L253),$L253,$AB253)))</f>
        <v/>
      </c>
      <c r="AD253" s="62">
        <f>IF($V253&lt;&gt;"Sub","",N($X253)*IF(AND(ISNUMBER($G253),$G253&lt;=IF($S253=MesCiclo,InicioCiclo,$S253+MOD(2-WEEKDAY($S253),7))+6),1,MIN(1,MAX(0,IF(ISNUMBER(OFFSET($A$1,ROW()-1,8)),OFFSET($A$1,ROW()-1,8),0)))))</f>
        <v/>
      </c>
      <c r="AE253" s="62">
        <f>IF($V253&lt;&gt;"Sub","",N($X253)*IF(AND(ISNUMBER($G253),$G253&lt;=IF($S253=MesCiclo,InicioCiclo,$S253+MOD(2-WEEKDAY($S253),7))+13),1,MIN(1,MAX(0,IF(ISNUMBER(OFFSET($A$1,ROW()-1,9)),OFFSET($A$1,ROW()-1,9),IF(ISNUMBER(OFFSET($A$1,ROW()-1,8)),OFFSET($A$1,ROW()-1,8),0))))))</f>
        <v/>
      </c>
      <c r="AF253" s="62">
        <f>IF($V253&lt;&gt;"Sub","",N($X253)*IF(AND(ISNUMBER($G253),$G253&lt;=IF($S253=MesCiclo,InicioCiclo,$S253+MOD(2-WEEKDAY($S253),7))+20),1,MIN(1,MAX(0,IF(ISNUMBER(OFFSET($A$1,ROW()-1,10)),OFFSET($A$1,ROW()-1,10),IF(ISNUMBER(OFFSET($A$1,ROW()-1,9)),OFFSET($A$1,ROW()-1,9),IF(ISNUMBER(OFFSET($A$1,ROW()-1,8)),OFFSET($A$1,ROW()-1,8),0)))))))</f>
        <v/>
      </c>
      <c r="AG253" s="62">
        <f>IF($V253&lt;&gt;"Sub","",N($X253)*IF(AND(ISNUMBER($G253),$G253&lt;=IF($S253=MesCiclo,InicioCiclo,$S253+MOD(2-WEEKDAY($S253),7))+27),1,MIN(1,MAX(0,IF(ISNUMBER(OFFSET($A$1,ROW()-1,11)),OFFSET($A$1,ROW()-1,11),IF(ISNUMBER(OFFSET($A$1,ROW()-1,10)),OFFSET($A$1,ROW()-1,10),IF(ISNUMBER(OFFSET($A$1,ROW()-1,9)),OFFSET($A$1,ROW()-1,9),IF(ISNUMBER(OFFSET($A$1,ROW()-1,8)),OFFSET($A$1,ROW()-1,8),0))))))))</f>
        <v/>
      </c>
      <c r="AH253" s="62">
        <f>IF($V253="","",IF(AND(ISNUMBER($G253),$G253&lt;=IF($S253=MesCiclo,InicioCiclo,$S253+MOD(2-WEEKDAY($S253),7))+6),1,IF(N($W253)&gt;0,MIN(1,SUMIFS($AD$5:$AD$1000,$U$5:$U$1000,ROW(),$V$5:$V$1000,"Sub")),$Z253)))</f>
        <v/>
      </c>
      <c r="AI253" s="62">
        <f>IF($V253="","",IF(AND(ISNUMBER($G253),$G253&lt;=IF($S253=MesCiclo,InicioCiclo,$S253+MOD(2-WEEKDAY($S253),7))+13),1,IF(N($W253)&gt;0,MIN(1,SUMIFS($AE$5:$AE$1000,$U$5:$U$1000,ROW(),$V$5:$V$1000,"Sub")),$AA253)))</f>
        <v/>
      </c>
      <c r="AJ253" s="62">
        <f>IF($V253="","",IF(AND(ISNUMBER($G253),$G253&lt;=IF($S253=MesCiclo,InicioCiclo,$S253+MOD(2-WEEKDAY($S253),7))+20),1,IF(N($W253)&gt;0,MIN(1,SUMIFS($AF$5:$AF$1000,$U$5:$U$1000,ROW(),$V$5:$V$1000,"Sub")),$AB253)))</f>
        <v/>
      </c>
      <c r="AK253" s="62">
        <f>IF($V253="","",IF(AND(ISNUMBER($G253),$G253&lt;=IF($S253=MesCiclo,InicioCiclo,$S253+MOD(2-WEEKDAY($S253),7))+27),1,IF(N($W253)&gt;0,MIN(1,SUMIFS($AG$5:$AG$1000,$U$5:$U$1000,ROW(),$V$5:$V$1000,"Sub")),$AC253)))</f>
        <v/>
      </c>
      <c r="AL253" s="62">
        <f>IF($V253&lt;&gt;"Macro","",IF(COUNTIFS($S$5:$S$1000,$S253,$V$5:$V$1000,"Macro",$H$5:$H$1000,"&gt;0")=0,1/COUNTIFS($S$5:$S$1000,$S253,$V$5:$V$1000,"Macro"),IF(AND(ISNUMBER($H253),N($H253)&gt;0),$H253,SUMIFS($H$5:$H$1000,$S$5:$S$1000,$S253,$V$5:$V$1000,"Macro")/COUNTIFS($S$5:$S$1000,$S253,$V$5:$V$1000,"Macro",$H$5:$H$1000,"&gt;0"))/(COUNTIFS($S$5:$S$1000,$S253,$V$5:$V$1000,"Macro")*SUMIFS($H$5:$H$1000,$S$5:$S$1000,$S253,$V$5:$V$1000,"Macro")/COUNTIFS($S$5:$S$1000,$S253,$V$5:$V$1000,"Macro",$H$5:$H$1000,"&gt;0"))))</f>
        <v/>
      </c>
      <c r="AM253" s="62" t="n"/>
      <c r="AN253" s="62" t="n"/>
      <c r="AO253" s="62" t="n"/>
      <c r="AP253" s="62" t="n"/>
      <c r="AQ253" s="62">
        <f>IF(LEFT($C253,11)="[Jefatura] ",IFERROR(MATCH("Asistente Técnico de Riesgo|"&amp;MID($C253,12,500),rDname_ADM,0),0),"")</f>
        <v/>
      </c>
      <c r="AR253" s="62">
        <f>IF(N($AQ253)&gt;0,INDEX(rIni_ADM,$AQ253),IF(ISNUMBER($E253),$E253,""))</f>
        <v/>
      </c>
      <c r="AS253" s="62">
        <f>IF(N($AQ253)&gt;0,INDEX(rLim_ADM,$AQ253),IF(ISNUMBER($F253),$F253,""))</f>
        <v/>
      </c>
    </row>
    <row r="254">
      <c r="A254" s="56">
        <f>IF(NOT((COUNTA($B254:$D254)+COUNTA($G254:$H254)+COUNTA($Q254))&gt;0),"",IF($V254="Macro",COUNTIFS($V$5:$V254,"Macro",$S$5:$S254,$S254),IF(N($U254)=0,"?",COUNTIFS(INDEX($V$5:$V$1000,1):INDEX($V$5:$V$1000,$U254-4),"Macro",INDEX($S$5:$S$1000,1):INDEX($S$5:$S$1000,$U254-4),INDEX($S$5:$S$1000,$U254-4))&amp;"."&amp;COUNTIFS($U$5:$U254,$U254,$V$5:$V254,"Sub"))))</f>
        <v/>
      </c>
      <c r="B254" s="57" t="n"/>
      <c r="C254" s="58" t="n"/>
      <c r="D254" s="58" t="n"/>
      <c r="E254" s="59">
        <f>IF(N($AQ254)&gt;0,INDEX(rIni_ADM,$AQ254),"")</f>
        <v/>
      </c>
      <c r="F254" s="59">
        <f>IF(N($AQ254)&gt;0,INDEX(rLim_ADM,$AQ254),"")</f>
        <v/>
      </c>
      <c r="G254" s="59" t="n"/>
      <c r="H254" s="60" t="n"/>
      <c r="I254" s="60">
        <f>IF(N($W254)=0,"",IF(AND($S254=MesCiclo,1&gt;SemanaActual),"",MIN(1,SUMIFS(OFFSET($A$1,ROW(),29,1000-ROW(),1),OFFSET($A$1,ROW(),20,1000-ROW(),1),ROW(),OFFSET($A$1,ROW(),21,1000-ROW(),1),"Sub"))))</f>
        <v/>
      </c>
      <c r="J254" s="60">
        <f>IF(N($W254)=0,"",IF(AND($S254=MesCiclo,2&gt;SemanaActual),"",MIN(1,SUMIFS(OFFSET($A$1,ROW(),30,1000-ROW(),1),OFFSET($A$1,ROW(),20,1000-ROW(),1),ROW(),OFFSET($A$1,ROW(),21,1000-ROW(),1),"Sub"))))</f>
        <v/>
      </c>
      <c r="K254" s="60">
        <f>IF(N($W254)=0,"",IF(AND($S254=MesCiclo,3&gt;SemanaActual),"",MIN(1,SUMIFS(OFFSET($A$1,ROW(),31,1000-ROW(),1),OFFSET($A$1,ROW(),20,1000-ROW(),1),ROW(),OFFSET($A$1,ROW(),21,1000-ROW(),1),"Sub"))))</f>
        <v/>
      </c>
      <c r="L254" s="60">
        <f>IF(N($W254)=0,"",IF(AND($S254=MesCiclo,4&gt;SemanaActual),"",MIN(1,SUMIFS(OFFSET($A$1,ROW(),32,1000-ROW(),1),OFFSET($A$1,ROW(),20,1000-ROW(),1),ROW(),OFFSET($A$1,ROW(),21,1000-ROW(),1),"Sub"))))</f>
        <v/>
      </c>
      <c r="M254" s="61">
        <f>IF(OR(NOT((COUNTA($B254:$D254)+COUNTA($G254:$H254)+COUNTA($Q254))&gt;0),$V254="Sub"),"",IF(ISNUMBER($G254),1,IF(N($W254)&gt;0,MIN(1,SUMIFS($Y$5:$Y$1000,$U$5:$U$1000,ROW(),$V$5:$V$1000,"Sub")),$Y254)))</f>
        <v/>
      </c>
      <c r="N254" s="56">
        <f>IF(OR($M254="",$V254="Sub"),"",IF($M254&gt;=1,"Completado",IF($M254&gt;0,"En curso","Pendiente")))</f>
        <v/>
      </c>
      <c r="O254" s="56">
        <f>IF(OR(NOT((COUNTA($B254:$D254)+COUNTA($G254:$H254)+COUNTA($Q254))&gt;0),$V254="Sub"),"",IF(ISNUMBER($G254),IF(AND(ISNUMBER($AS254),$G254&gt;$AS254),"Cumplida con "&amp;($G254-$AS254)&amp;IF($G254-$AS254=1," día"," días")&amp;" de retraso","Cumplida"),IF(N($M254)&gt;=1,"Cumplida",IF(NOT(ISNUMBER($AS254)),"Sin fecha límite",IF($AS254&lt;FechaRef,"Vencida hace "&amp;(FechaRef-$AS254)&amp;IF(FechaRef-$AS254=1," día"," días"),IF($AS254=FechaRef,"Vence hoy",IF($AS254-FechaRef&lt;=DiasAlerta,"Vence en "&amp;($AS254-FechaRef)&amp;IF($AS254-FechaRef=1," día"," días"),"En plazo")))))))</f>
        <v/>
      </c>
      <c r="P254" s="62" t="n"/>
      <c r="Q254" s="58" t="n"/>
      <c r="R254" s="63">
        <f>IF(NOT((COUNTA($B254:$D254)+COUNTA($G254:$H254)+COUNTA($Q254))&gt;0),"",IF((IF($C254="","Falta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 OK","⚠ "&amp;LEFT(IF($C254="","Falta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",""),LEN(IF($C254="","Falta el nombre de la actividad"&amp;" · ","")&amp;IF(AND($V254="Sub",N($U254)=0),"Subactividad sin macroactividad arriba"&amp;" · ","")&amp;IF(AND($V254="Macro",$AR254=""),"Sin fecha de inicio"&amp;" · ","")&amp;IF(AND($V254="Macro",$AS254=""),"Sin fecha límite"&amp;" · ","")&amp;IF(AND(LEFT($C254,11)="[Jefatura] ",N($AQ254)=0),"No se encuentra en la hoja de la jefatura (elíjala de nuevo en la lista)"&amp;" · ","")&amp;IF(OR(AND($E254&lt;&gt;"",NOT(ISNUMBER($E254))),AND($F254&lt;&gt;"",NOT(ISNUMBER($F254))),AND($G254&lt;&gt;"",NOT(ISNUMBER($G254)))),"Fecha no válida"&amp;" · ","")&amp;IF(AND(ISNUMBER($AR254),ISNUMBER($AS254),$AR254&gt;$AS254),"Inicio posterior a fecha límite"&amp;" · ","")&amp;IF(AND($V254="Macro",$H254&lt;&gt;"",OR(NOT(ISNUMBER($H254)),$H254&lt;0,$H254&gt;1)),"Peso fuera de rango"&amp;" · ","")&amp;IF(AND($V254="Sub",$H254&lt;&gt;"",OR(NOT(ISNUMBER($H254)),$H254&lt;0,$H254&gt;1)),"% de la subactividad fuera de rango 0-100%"&amp;" · ","")&amp;IF(AND(N($W254)&gt;0,SUMIFS($H$5:$H$1000,$U$5:$U$1000,ROW(),$V$5:$V$1000,"Sub")&gt;1.0001),"Las subactividades suman más de 100%"&amp;" · ","")&amp;IF(AND(N($W254)&gt;0,OR(IF(ISNUMBER($I254),ROUND($I254,6)&lt;&gt;ROUND(MIN(1,SUMIFS($AD$5:$AD$1000,$U$5:$U$1000,ROW(),$V$5:$V$1000,"Sub")),6),FALSE),IF(ISNUMBER($J254),ROUND($J254,6)&lt;&gt;ROUND(MIN(1,SUMIFS($AE$5:$AE$1000,$U$5:$U$1000,ROW(),$V$5:$V$1000,"Sub")),6),FALSE),IF(ISNUMBER($K254),ROUND($K254,6)&lt;&gt;ROUND(MIN(1,SUMIFS($AF$5:$AF$1000,$U$5:$U$1000,ROW(),$V$5:$V$1000,"Sub")),6),FALSE),IF(ISNUMBER($L254),ROUND($L254,6)&lt;&gt;ROUND(MIN(1,SUMIFS($AG$5:$AG$1000,$U$5:$U$1000,ROW(),$V$5:$V$1000,"Sub")),6),FALSE))),"Con subactividades: no escriba en las semanas (se llenan solas)"&amp;" · ","")&amp;IF((COUNTIF($I254:$L254,"&gt;1")+COUNTIF($I254:$L254,"&lt;0")+SUMPRODUCT((LEN($I254:$L254)&gt;0)*NOT(ISNUMBER($I254:$L254))))&gt;0,"Avance fuera de rango 0-100%"&amp;" · ","")&amp;IF(OR(AND(ISNUMBER($J254),$J254&lt;N($I254)),AND(ISNUMBER($K254),$K254&lt;MAX($I254:$J254)),AND(ISNUMBER($L254),$L254&lt;MAX($I254:$K254))),"Avance semanal decreciente"&amp;" · ","")&amp;IF(AND(ISNUMBER($AS254),$AS254&lt;FechaRef,IF($V254="Sub",1,N($M254))&lt;1),"Vencida"&amp;" · ","")&amp;IF(AND(ObsObligatoria="Sí",ISNUMBER($AS254),$AS254&lt;FechaRef,IF($V254="Sub",1,N($M254))&lt;1,$Q254=""),"Vencida sin observación"&amp;" · ",""))-3)))</f>
        <v/>
      </c>
      <c r="S254" s="64">
        <f>IF(NOT((COUNTA($B254:$D254)+COUNTA($G254:$H254)+COUNTA($Q254))&gt;0),"",IF(AND($V254="Sub",N($U254)&gt;0),IF(ISNUMBER(INDEX($AR$5:$AR$1000,$U254-4)),DATE(YEAR(INDEX($AR$5:$AR$1000,$U254-4)),MONTH(INDEX($AR$5:$AR$1000,$U254-4)),1),IF(ISNUMBER(INDEX($AS$5:$AS$1000,$U254-4)),DATE(YEAR(INDEX($AS$5:$AS$1000,$U254-4)),MONTH(INDEX($AS$5:$AS$1000,$U254-4)),1),MesCiclo)),IF(ISNUMBER($AR254),DATE(YEAR($AR254),MONTH($AR254),1),IF(ISNUMBER($AS254),DATE(YEAR($AS254),MONTH($AS254),1),MesCiclo))))</f>
        <v/>
      </c>
      <c r="T254" s="62">
        <f>IF(OR($S254="",$S254&lt;&gt;MesCiclo,$V254&lt;&gt;"Macro"),"",COUNTIFS($S$5:$S254,MesCiclo,$V$5:$V254,"Macro"))</f>
        <v/>
      </c>
      <c r="U254" s="62">
        <f>IF($V254="","",IF($V254="Macro",ROW(),IFERROR(LOOKUP(2,1/($V$5:$V254="Macro"),ROW($V$5:$V254)),0)))</f>
        <v/>
      </c>
      <c r="V254" s="62">
        <f>IF(NOT((COUNTA($B254:$D254)+COUNTA($G254:$H254)+COUNTA($Q254))&gt;0),"",IF($B254="Subactividad","Sub","Macro"))</f>
        <v/>
      </c>
      <c r="W254" s="62">
        <f>IF($V254="Macro",COUNTIFS($U$5:$U$1000,ROW(),$V$5:$V$1000,"Sub"),"")</f>
        <v/>
      </c>
      <c r="X254" s="62">
        <f>IF($V254&lt;&gt;"Sub","",IF(AND(ISNUMBER($H254),N($H254)&gt;0),$H254,IFERROR(MAX(0,1-SUMIFS($H$5:$H$1000,$U$5:$U$1000,$U254,$V$5:$V$1000,"Sub"))/(COUNTIFS($U$5:$U$1000,$U254,$V$5:$V$1000,"Sub")-COUNTIFS($U$5:$U$1000,$U254,$V$5:$V$1000,"Sub",$H$5:$H$1000,"&gt;0")),0)))</f>
        <v/>
      </c>
      <c r="Y254" s="62">
        <f>IF($V254="","",IF($V254="Sub",N($X254)*IF(ISNUMBER($G254),1,MIN(1,MAX(0,IFERROR(LOOKUP(2,1/ISNUMBER($I254:$L254),$I254:$L254),0)))),IF(ISNUMBER($G254),1,IFERROR(LOOKUP(2,1/($I254:$L254&lt;&gt;""),$I254:$L254),0))))</f>
        <v/>
      </c>
      <c r="Z254" s="62">
        <f>IF($V254="","",IF(AND(ISNUMBER($G254),$G254&lt;=IF($S254=MesCiclo,InicioCiclo,$S254+MOD(2-WEEKDAY($S254),7))+6),1,IF(ISNUMBER($I254),$I254,0)))</f>
        <v/>
      </c>
      <c r="AA254" s="62">
        <f>IF($V254="","",IF(AND(ISNUMBER($G254),$G254&lt;=IF($S254=MesCiclo,InicioCiclo,$S254+MOD(2-WEEKDAY($S254),7))+13),1,IF(ISNUMBER($J254),$J254,$Z254)))</f>
        <v/>
      </c>
      <c r="AB254" s="62">
        <f>IF($V254="","",IF(AND(ISNUMBER($G254),$G254&lt;=IF($S254=MesCiclo,InicioCiclo,$S254+MOD(2-WEEKDAY($S254),7))+20),1,IF(ISNUMBER($K254),$K254,$AA254)))</f>
        <v/>
      </c>
      <c r="AC254" s="62">
        <f>IF($V254="","",IF(AND(ISNUMBER($G254),$G254&lt;=IF($S254=MesCiclo,InicioCiclo,$S254+MOD(2-WEEKDAY($S254),7))+27),1,IF(ISNUMBER($L254),$L254,$AB254)))</f>
        <v/>
      </c>
      <c r="AD254" s="62">
        <f>IF($V254&lt;&gt;"Sub","",N($X254)*IF(AND(ISNUMBER($G254),$G254&lt;=IF($S254=MesCiclo,InicioCiclo,$S254+MOD(2-WEEKDAY($S254),7))+6),1,MIN(1,MAX(0,IF(ISNUMBER(OFFSET($A$1,ROW()-1,8)),OFFSET($A$1,ROW()-1,8),0)))))</f>
        <v/>
      </c>
      <c r="AE254" s="62">
        <f>IF($V254&lt;&gt;"Sub","",N($X254)*IF(AND(ISNUMBER($G254),$G254&lt;=IF($S254=MesCiclo,InicioCiclo,$S254+MOD(2-WEEKDAY($S254),7))+13),1,MIN(1,MAX(0,IF(ISNUMBER(OFFSET($A$1,ROW()-1,9)),OFFSET($A$1,ROW()-1,9),IF(ISNUMBER(OFFSET($A$1,ROW()-1,8)),OFFSET($A$1,ROW()-1,8),0))))))</f>
        <v/>
      </c>
      <c r="AF254" s="62">
        <f>IF($V254&lt;&gt;"Sub","",N($X254)*IF(AND(ISNUMBER($G254),$G254&lt;=IF($S254=MesCiclo,InicioCiclo,$S254+MOD(2-WEEKDAY($S254),7))+20),1,MIN(1,MAX(0,IF(ISNUMBER(OFFSET($A$1,ROW()-1,10)),OFFSET($A$1,ROW()-1,10),IF(ISNUMBER(OFFSET($A$1,ROW()-1,9)),OFFSET($A$1,ROW()-1,9),IF(ISNUMBER(OFFSET($A$1,ROW()-1,8)),OFFSET($A$1,ROW()-1,8),0)))))))</f>
        <v/>
      </c>
      <c r="AG254" s="62">
        <f>IF($V254&lt;&gt;"Sub","",N($X254)*IF(AND(ISNUMBER($G254),$G254&lt;=IF($S254=MesCiclo,InicioCiclo,$S254+MOD(2-WEEKDAY($S254),7))+27),1,MIN(1,MAX(0,IF(ISNUMBER(OFFSET($A$1,ROW()-1,11)),OFFSET($A$1,ROW()-1,11),IF(ISNUMBER(OFFSET($A$1,ROW()-1,10)),OFFSET($A$1,ROW()-1,10),IF(ISNUMBER(OFFSET($A$1,ROW()-1,9)),OFFSET($A$1,ROW()-1,9),IF(ISNUMBER(OFFSET($A$1,ROW()-1,8)),OFFSET($A$1,ROW()-1,8),0))))))))</f>
        <v/>
      </c>
      <c r="AH254" s="62">
        <f>IF($V254="","",IF(AND(ISNUMBER($G254),$G254&lt;=IF($S254=MesCiclo,InicioCiclo,$S254+MOD(2-WEEKDAY($S254),7))+6),1,IF(N($W254)&gt;0,MIN(1,SUMIFS($AD$5:$AD$1000,$U$5:$U$1000,ROW(),$V$5:$V$1000,"Sub")),$Z254)))</f>
        <v/>
      </c>
      <c r="AI254" s="62">
        <f>IF($V254="","",IF(AND(ISNUMBER($G254),$G254&lt;=IF($S254=MesCiclo,InicioCiclo,$S254+MOD(2-WEEKDAY($S254),7))+13),1,IF(N($W254)&gt;0,MIN(1,SUMIFS($AE$5:$AE$1000,$U$5:$U$1000,ROW(),$V$5:$V$1000,"Sub")),$AA254)))</f>
        <v/>
      </c>
      <c r="AJ254" s="62">
        <f>IF($V254="","",IF(AND(ISNUMBER($G254),$G254&lt;=IF($S254=MesCiclo,InicioCiclo,$S254+MOD(2-WEEKDAY($S254),7))+20),1,IF(N($W254)&gt;0,MIN(1,SUMIFS($AF$5:$AF$1000,$U$5:$U$1000,ROW(),$V$5:$V$1000,"Sub")),$AB254)))</f>
        <v/>
      </c>
      <c r="AK254" s="62">
        <f>IF($V254="","",IF(AND(ISNUMBER($G254),$G254&lt;=IF($S254=MesCiclo,InicioCiclo,$S254+MOD(2-WEEKDAY($S254),7))+27),1,IF(N($W254)&gt;0,MIN(1,SUMIFS($AG$5:$AG$1000,$U$5:$U$1000,ROW(),$V$5:$V$1000,"Sub")),$AC254)))</f>
        <v/>
      </c>
      <c r="AL254" s="62">
        <f>IF($V254&lt;&gt;"Macro","",IF(COUNTIFS($S$5:$S$1000,$S254,$V$5:$V$1000,"Macro",$H$5:$H$1000,"&gt;0")=0,1/COUNTIFS($S$5:$S$1000,$S254,$V$5:$V$1000,"Macro"),IF(AND(ISNUMBER($H254),N($H254)&gt;0),$H254,SUMIFS($H$5:$H$1000,$S$5:$S$1000,$S254,$V$5:$V$1000,"Macro")/COUNTIFS($S$5:$S$1000,$S254,$V$5:$V$1000,"Macro",$H$5:$H$1000,"&gt;0"))/(COUNTIFS($S$5:$S$1000,$S254,$V$5:$V$1000,"Macro")*SUMIFS($H$5:$H$1000,$S$5:$S$1000,$S254,$V$5:$V$1000,"Macro")/COUNTIFS($S$5:$S$1000,$S254,$V$5:$V$1000,"Macro",$H$5:$H$1000,"&gt;0"))))</f>
        <v/>
      </c>
      <c r="AM254" s="62" t="n"/>
      <c r="AN254" s="62" t="n"/>
      <c r="AO254" s="62" t="n"/>
      <c r="AP254" s="62" t="n"/>
      <c r="AQ254" s="62">
        <f>IF(LEFT($C254,11)="[Jefatura] ",IFERROR(MATCH("Asistente Técnico de Riesgo|"&amp;MID($C254,12,500),rDname_ADM,0),0),"")</f>
        <v/>
      </c>
      <c r="AR254" s="62">
        <f>IF(N($AQ254)&gt;0,INDEX(rIni_ADM,$AQ254),IF(ISNUMBER($E254),$E254,""))</f>
        <v/>
      </c>
      <c r="AS254" s="62">
        <f>IF(N($AQ254)&gt;0,INDEX(rLim_ADM,$AQ254),IF(ISNUMBER($F254),$F254,""))</f>
        <v/>
      </c>
    </row>
    <row r="255">
      <c r="A255" s="56">
        <f>IF(NOT((COUNTA($B255:$D255)+COUNTA($G255:$H255)+COUNTA($Q255))&gt;0),"",IF($V255="Macro",COUNTIFS($V$5:$V255,"Macro",$S$5:$S255,$S255),IF(N($U255)=0,"?",COUNTIFS(INDEX($V$5:$V$1000,1):INDEX($V$5:$V$1000,$U255-4),"Macro",INDEX($S$5:$S$1000,1):INDEX($S$5:$S$1000,$U255-4),INDEX($S$5:$S$1000,$U255-4))&amp;"."&amp;COUNTIFS($U$5:$U255,$U255,$V$5:$V255,"Sub"))))</f>
        <v/>
      </c>
      <c r="B255" s="57" t="n"/>
      <c r="C255" s="58" t="n"/>
      <c r="D255" s="58" t="n"/>
      <c r="E255" s="59">
        <f>IF(N($AQ255)&gt;0,INDEX(rIni_ADM,$AQ255),"")</f>
        <v/>
      </c>
      <c r="F255" s="59">
        <f>IF(N($AQ255)&gt;0,INDEX(rLim_ADM,$AQ255),"")</f>
        <v/>
      </c>
      <c r="G255" s="59" t="n"/>
      <c r="H255" s="60" t="n"/>
      <c r="I255" s="60">
        <f>IF(N($W255)=0,"",IF(AND($S255=MesCiclo,1&gt;SemanaActual),"",MIN(1,SUMIFS(OFFSET($A$1,ROW(),29,1000-ROW(),1),OFFSET($A$1,ROW(),20,1000-ROW(),1),ROW(),OFFSET($A$1,ROW(),21,1000-ROW(),1),"Sub"))))</f>
        <v/>
      </c>
      <c r="J255" s="60">
        <f>IF(N($W255)=0,"",IF(AND($S255=MesCiclo,2&gt;SemanaActual),"",MIN(1,SUMIFS(OFFSET($A$1,ROW(),30,1000-ROW(),1),OFFSET($A$1,ROW(),20,1000-ROW(),1),ROW(),OFFSET($A$1,ROW(),21,1000-ROW(),1),"Sub"))))</f>
        <v/>
      </c>
      <c r="K255" s="60">
        <f>IF(N($W255)=0,"",IF(AND($S255=MesCiclo,3&gt;SemanaActual),"",MIN(1,SUMIFS(OFFSET($A$1,ROW(),31,1000-ROW(),1),OFFSET($A$1,ROW(),20,1000-ROW(),1),ROW(),OFFSET($A$1,ROW(),21,1000-ROW(),1),"Sub"))))</f>
        <v/>
      </c>
      <c r="L255" s="60">
        <f>IF(N($W255)=0,"",IF(AND($S255=MesCiclo,4&gt;SemanaActual),"",MIN(1,SUMIFS(OFFSET($A$1,ROW(),32,1000-ROW(),1),OFFSET($A$1,ROW(),20,1000-ROW(),1),ROW(),OFFSET($A$1,ROW(),21,1000-ROW(),1),"Sub"))))</f>
        <v/>
      </c>
      <c r="M255" s="61">
        <f>IF(OR(NOT((COUNTA($B255:$D255)+COUNTA($G255:$H255)+COUNTA($Q255))&gt;0),$V255="Sub"),"",IF(ISNUMBER($G255),1,IF(N($W255)&gt;0,MIN(1,SUMIFS($Y$5:$Y$1000,$U$5:$U$1000,ROW(),$V$5:$V$1000,"Sub")),$Y255)))</f>
        <v/>
      </c>
      <c r="N255" s="56">
        <f>IF(OR($M255="",$V255="Sub"),"",IF($M255&gt;=1,"Completado",IF($M255&gt;0,"En curso","Pendiente")))</f>
        <v/>
      </c>
      <c r="O255" s="56">
        <f>IF(OR(NOT((COUNTA($B255:$D255)+COUNTA($G255:$H255)+COUNTA($Q255))&gt;0),$V255="Sub"),"",IF(ISNUMBER($G255),IF(AND(ISNUMBER($AS255),$G255&gt;$AS255),"Cumplida con "&amp;($G255-$AS255)&amp;IF($G255-$AS255=1," día"," días")&amp;" de retraso","Cumplida"),IF(N($M255)&gt;=1,"Cumplida",IF(NOT(ISNUMBER($AS255)),"Sin fecha límite",IF($AS255&lt;FechaRef,"Vencida hace "&amp;(FechaRef-$AS255)&amp;IF(FechaRef-$AS255=1," día"," días"),IF($AS255=FechaRef,"Vence hoy",IF($AS255-FechaRef&lt;=DiasAlerta,"Vence en "&amp;($AS255-FechaRef)&amp;IF($AS255-FechaRef=1," día"," días"),"En plazo")))))))</f>
        <v/>
      </c>
      <c r="P255" s="62" t="n"/>
      <c r="Q255" s="58" t="n"/>
      <c r="R255" s="63">
        <f>IF(NOT((COUNTA($B255:$D255)+COUNTA($G255:$H255)+COUNTA($Q255))&gt;0),"",IF((IF($C255="","Falta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 OK","⚠ "&amp;LEFT(IF($C255="","Falta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",""),LEN(IF($C255="","Falta el nombre de la actividad"&amp;" · ","")&amp;IF(AND($V255="Sub",N($U255)=0),"Subactividad sin macroactividad arriba"&amp;" · ","")&amp;IF(AND($V255="Macro",$AR255=""),"Sin fecha de inicio"&amp;" · ","")&amp;IF(AND($V255="Macro",$AS255=""),"Sin fecha límite"&amp;" · ","")&amp;IF(AND(LEFT($C255,11)="[Jefatura] ",N($AQ255)=0),"No se encuentra en la hoja de la jefatura (elíjala de nuevo en la lista)"&amp;" · ","")&amp;IF(OR(AND($E255&lt;&gt;"",NOT(ISNUMBER($E255))),AND($F255&lt;&gt;"",NOT(ISNUMBER($F255))),AND($G255&lt;&gt;"",NOT(ISNUMBER($G255)))),"Fecha no válida"&amp;" · ","")&amp;IF(AND(ISNUMBER($AR255),ISNUMBER($AS255),$AR255&gt;$AS255),"Inicio posterior a fecha límite"&amp;" · ","")&amp;IF(AND($V255="Macro",$H255&lt;&gt;"",OR(NOT(ISNUMBER($H255)),$H255&lt;0,$H255&gt;1)),"Peso fuera de rango"&amp;" · ","")&amp;IF(AND($V255="Sub",$H255&lt;&gt;"",OR(NOT(ISNUMBER($H255)),$H255&lt;0,$H255&gt;1)),"% de la subactividad fuera de rango 0-100%"&amp;" · ","")&amp;IF(AND(N($W255)&gt;0,SUMIFS($H$5:$H$1000,$U$5:$U$1000,ROW(),$V$5:$V$1000,"Sub")&gt;1.0001),"Las subactividades suman más de 100%"&amp;" · ","")&amp;IF(AND(N($W255)&gt;0,OR(IF(ISNUMBER($I255),ROUND($I255,6)&lt;&gt;ROUND(MIN(1,SUMIFS($AD$5:$AD$1000,$U$5:$U$1000,ROW(),$V$5:$V$1000,"Sub")),6),FALSE),IF(ISNUMBER($J255),ROUND($J255,6)&lt;&gt;ROUND(MIN(1,SUMIFS($AE$5:$AE$1000,$U$5:$U$1000,ROW(),$V$5:$V$1000,"Sub")),6),FALSE),IF(ISNUMBER($K255),ROUND($K255,6)&lt;&gt;ROUND(MIN(1,SUMIFS($AF$5:$AF$1000,$U$5:$U$1000,ROW(),$V$5:$V$1000,"Sub")),6),FALSE),IF(ISNUMBER($L255),ROUND($L255,6)&lt;&gt;ROUND(MIN(1,SUMIFS($AG$5:$AG$1000,$U$5:$U$1000,ROW(),$V$5:$V$1000,"Sub")),6),FALSE))),"Con subactividades: no escriba en las semanas (se llenan solas)"&amp;" · ","")&amp;IF((COUNTIF($I255:$L255,"&gt;1")+COUNTIF($I255:$L255,"&lt;0")+SUMPRODUCT((LEN($I255:$L255)&gt;0)*NOT(ISNUMBER($I255:$L255))))&gt;0,"Avance fuera de rango 0-100%"&amp;" · ","")&amp;IF(OR(AND(ISNUMBER($J255),$J255&lt;N($I255)),AND(ISNUMBER($K255),$K255&lt;MAX($I255:$J255)),AND(ISNUMBER($L255),$L255&lt;MAX($I255:$K255))),"Avance semanal decreciente"&amp;" · ","")&amp;IF(AND(ISNUMBER($AS255),$AS255&lt;FechaRef,IF($V255="Sub",1,N($M255))&lt;1),"Vencida"&amp;" · ","")&amp;IF(AND(ObsObligatoria="Sí",ISNUMBER($AS255),$AS255&lt;FechaRef,IF($V255="Sub",1,N($M255))&lt;1,$Q255=""),"Vencida sin observación"&amp;" · ",""))-3)))</f>
        <v/>
      </c>
      <c r="S255" s="64">
        <f>IF(NOT((COUNTA($B255:$D255)+COUNTA($G255:$H255)+COUNTA($Q255))&gt;0),"",IF(AND($V255="Sub",N($U255)&gt;0),IF(ISNUMBER(INDEX($AR$5:$AR$1000,$U255-4)),DATE(YEAR(INDEX($AR$5:$AR$1000,$U255-4)),MONTH(INDEX($AR$5:$AR$1000,$U255-4)),1),IF(ISNUMBER(INDEX($AS$5:$AS$1000,$U255-4)),DATE(YEAR(INDEX($AS$5:$AS$1000,$U255-4)),MONTH(INDEX($AS$5:$AS$1000,$U255-4)),1),MesCiclo)),IF(ISNUMBER($AR255),DATE(YEAR($AR255),MONTH($AR255),1),IF(ISNUMBER($AS255),DATE(YEAR($AS255),MONTH($AS255),1),MesCiclo))))</f>
        <v/>
      </c>
      <c r="T255" s="62">
        <f>IF(OR($S255="",$S255&lt;&gt;MesCiclo,$V255&lt;&gt;"Macro"),"",COUNTIFS($S$5:$S255,MesCiclo,$V$5:$V255,"Macro"))</f>
        <v/>
      </c>
      <c r="U255" s="62">
        <f>IF($V255="","",IF($V255="Macro",ROW(),IFERROR(LOOKUP(2,1/($V$5:$V255="Macro"),ROW($V$5:$V255)),0)))</f>
        <v/>
      </c>
      <c r="V255" s="62">
        <f>IF(NOT((COUNTA($B255:$D255)+COUNTA($G255:$H255)+COUNTA($Q255))&gt;0),"",IF($B255="Subactividad","Sub","Macro"))</f>
        <v/>
      </c>
      <c r="W255" s="62">
        <f>IF($V255="Macro",COUNTIFS($U$5:$U$1000,ROW(),$V$5:$V$1000,"Sub"),"")</f>
        <v/>
      </c>
      <c r="X255" s="62">
        <f>IF($V255&lt;&gt;"Sub","",IF(AND(ISNUMBER($H255),N($H255)&gt;0),$H255,IFERROR(MAX(0,1-SUMIFS($H$5:$H$1000,$U$5:$U$1000,$U255,$V$5:$V$1000,"Sub"))/(COUNTIFS($U$5:$U$1000,$U255,$V$5:$V$1000,"Sub")-COUNTIFS($U$5:$U$1000,$U255,$V$5:$V$1000,"Sub",$H$5:$H$1000,"&gt;0")),0)))</f>
        <v/>
      </c>
      <c r="Y255" s="62">
        <f>IF($V255="","",IF($V255="Sub",N($X255)*IF(ISNUMBER($G255),1,MIN(1,MAX(0,IFERROR(LOOKUP(2,1/ISNUMBER($I255:$L255),$I255:$L255),0)))),IF(ISNUMBER($G255),1,IFERROR(LOOKUP(2,1/($I255:$L255&lt;&gt;""),$I255:$L255),0))))</f>
        <v/>
      </c>
      <c r="Z255" s="62">
        <f>IF($V255="","",IF(AND(ISNUMBER($G255),$G255&lt;=IF($S255=MesCiclo,InicioCiclo,$S255+MOD(2-WEEKDAY($S255),7))+6),1,IF(ISNUMBER($I255),$I255,0)))</f>
        <v/>
      </c>
      <c r="AA255" s="62">
        <f>IF($V255="","",IF(AND(ISNUMBER($G255),$G255&lt;=IF($S255=MesCiclo,InicioCiclo,$S255+MOD(2-WEEKDAY($S255),7))+13),1,IF(ISNUMBER($J255),$J255,$Z255)))</f>
        <v/>
      </c>
      <c r="AB255" s="62">
        <f>IF($V255="","",IF(AND(ISNUMBER($G255),$G255&lt;=IF($S255=MesCiclo,InicioCiclo,$S255+MOD(2-WEEKDAY($S255),7))+20),1,IF(ISNUMBER($K255),$K255,$AA255)))</f>
        <v/>
      </c>
      <c r="AC255" s="62">
        <f>IF($V255="","",IF(AND(ISNUMBER($G255),$G255&lt;=IF($S255=MesCiclo,InicioCiclo,$S255+MOD(2-WEEKDAY($S255),7))+27),1,IF(ISNUMBER($L255),$L255,$AB255)))</f>
        <v/>
      </c>
      <c r="AD255" s="62">
        <f>IF($V255&lt;&gt;"Sub","",N($X255)*IF(AND(ISNUMBER($G255),$G255&lt;=IF($S255=MesCiclo,InicioCiclo,$S255+MOD(2-WEEKDAY($S255),7))+6),1,MIN(1,MAX(0,IF(ISNUMBER(OFFSET($A$1,ROW()-1,8)),OFFSET($A$1,ROW()-1,8),0)))))</f>
        <v/>
      </c>
      <c r="AE255" s="62">
        <f>IF($V255&lt;&gt;"Sub","",N($X255)*IF(AND(ISNUMBER($G255),$G255&lt;=IF($S255=MesCiclo,InicioCiclo,$S255+MOD(2-WEEKDAY($S255),7))+13),1,MIN(1,MAX(0,IF(ISNUMBER(OFFSET($A$1,ROW()-1,9)),OFFSET($A$1,ROW()-1,9),IF(ISNUMBER(OFFSET($A$1,ROW()-1,8)),OFFSET($A$1,ROW()-1,8),0))))))</f>
        <v/>
      </c>
      <c r="AF255" s="62">
        <f>IF($V255&lt;&gt;"Sub","",N($X255)*IF(AND(ISNUMBER($G255),$G255&lt;=IF($S255=MesCiclo,InicioCiclo,$S255+MOD(2-WEEKDAY($S255),7))+20),1,MIN(1,MAX(0,IF(ISNUMBER(OFFSET($A$1,ROW()-1,10)),OFFSET($A$1,ROW()-1,10),IF(ISNUMBER(OFFSET($A$1,ROW()-1,9)),OFFSET($A$1,ROW()-1,9),IF(ISNUMBER(OFFSET($A$1,ROW()-1,8)),OFFSET($A$1,ROW()-1,8),0)))))))</f>
        <v/>
      </c>
      <c r="AG255" s="62">
        <f>IF($V255&lt;&gt;"Sub","",N($X255)*IF(AND(ISNUMBER($G255),$G255&lt;=IF($S255=MesCiclo,InicioCiclo,$S255+MOD(2-WEEKDAY($S255),7))+27),1,MIN(1,MAX(0,IF(ISNUMBER(OFFSET($A$1,ROW()-1,11)),OFFSET($A$1,ROW()-1,11),IF(ISNUMBER(OFFSET($A$1,ROW()-1,10)),OFFSET($A$1,ROW()-1,10),IF(ISNUMBER(OFFSET($A$1,ROW()-1,9)),OFFSET($A$1,ROW()-1,9),IF(ISNUMBER(OFFSET($A$1,ROW()-1,8)),OFFSET($A$1,ROW()-1,8),0))))))))</f>
        <v/>
      </c>
      <c r="AH255" s="62">
        <f>IF($V255="","",IF(AND(ISNUMBER($G255),$G255&lt;=IF($S255=MesCiclo,InicioCiclo,$S255+MOD(2-WEEKDAY($S255),7))+6),1,IF(N($W255)&gt;0,MIN(1,SUMIFS($AD$5:$AD$1000,$U$5:$U$1000,ROW(),$V$5:$V$1000,"Sub")),$Z255)))</f>
        <v/>
      </c>
      <c r="AI255" s="62">
        <f>IF($V255="","",IF(AND(ISNUMBER($G255),$G255&lt;=IF($S255=MesCiclo,InicioCiclo,$S255+MOD(2-WEEKDAY($S255),7))+13),1,IF(N($W255)&gt;0,MIN(1,SUMIFS($AE$5:$AE$1000,$U$5:$U$1000,ROW(),$V$5:$V$1000,"Sub")),$AA255)))</f>
        <v/>
      </c>
      <c r="AJ255" s="62">
        <f>IF($V255="","",IF(AND(ISNUMBER($G255),$G255&lt;=IF($S255=MesCiclo,InicioCiclo,$S255+MOD(2-WEEKDAY($S255),7))+20),1,IF(N($W255)&gt;0,MIN(1,SUMIFS($AF$5:$AF$1000,$U$5:$U$1000,ROW(),$V$5:$V$1000,"Sub")),$AB255)))</f>
        <v/>
      </c>
      <c r="AK255" s="62">
        <f>IF($V255="","",IF(AND(ISNUMBER($G255),$G255&lt;=IF($S255=MesCiclo,InicioCiclo,$S255+MOD(2-WEEKDAY($S255),7))+27),1,IF(N($W255)&gt;0,MIN(1,SUMIFS($AG$5:$AG$1000,$U$5:$U$1000,ROW(),$V$5:$V$1000,"Sub")),$AC255)))</f>
        <v/>
      </c>
      <c r="AL255" s="62">
        <f>IF($V255&lt;&gt;"Macro","",IF(COUNTIFS($S$5:$S$1000,$S255,$V$5:$V$1000,"Macro",$H$5:$H$1000,"&gt;0")=0,1/COUNTIFS($S$5:$S$1000,$S255,$V$5:$V$1000,"Macro"),IF(AND(ISNUMBER($H255),N($H255)&gt;0),$H255,SUMIFS($H$5:$H$1000,$S$5:$S$1000,$S255,$V$5:$V$1000,"Macro")/COUNTIFS($S$5:$S$1000,$S255,$V$5:$V$1000,"Macro",$H$5:$H$1000,"&gt;0"))/(COUNTIFS($S$5:$S$1000,$S255,$V$5:$V$1000,"Macro")*SUMIFS($H$5:$H$1000,$S$5:$S$1000,$S255,$V$5:$V$1000,"Macro")/COUNTIFS($S$5:$S$1000,$S255,$V$5:$V$1000,"Macro",$H$5:$H$1000,"&gt;0"))))</f>
        <v/>
      </c>
      <c r="AM255" s="62" t="n"/>
      <c r="AN255" s="62" t="n"/>
      <c r="AO255" s="62" t="n"/>
      <c r="AP255" s="62" t="n"/>
      <c r="AQ255" s="62">
        <f>IF(LEFT($C255,11)="[Jefatura] ",IFERROR(MATCH("Asistente Técnico de Riesgo|"&amp;MID($C255,12,500),rDname_ADM,0),0),"")</f>
        <v/>
      </c>
      <c r="AR255" s="62">
        <f>IF(N($AQ255)&gt;0,INDEX(rIni_ADM,$AQ255),IF(ISNUMBER($E255),$E255,""))</f>
        <v/>
      </c>
      <c r="AS255" s="62">
        <f>IF(N($AQ255)&gt;0,INDEX(rLim_ADM,$AQ255),IF(ISNUMBER($F255),$F255,""))</f>
        <v/>
      </c>
    </row>
    <row r="256">
      <c r="A256" s="56">
        <f>IF(NOT((COUNTA($B256:$D256)+COUNTA($G256:$H256)+COUNTA($Q256))&gt;0),"",IF($V256="Macro",COUNTIFS($V$5:$V256,"Macro",$S$5:$S256,$S256),IF(N($U256)=0,"?",COUNTIFS(INDEX($V$5:$V$1000,1):INDEX($V$5:$V$1000,$U256-4),"Macro",INDEX($S$5:$S$1000,1):INDEX($S$5:$S$1000,$U256-4),INDEX($S$5:$S$1000,$U256-4))&amp;"."&amp;COUNTIFS($U$5:$U256,$U256,$V$5:$V256,"Sub"))))</f>
        <v/>
      </c>
      <c r="B256" s="57" t="n"/>
      <c r="C256" s="58" t="n"/>
      <c r="D256" s="58" t="n"/>
      <c r="E256" s="59">
        <f>IF(N($AQ256)&gt;0,INDEX(rIni_ADM,$AQ256),"")</f>
        <v/>
      </c>
      <c r="F256" s="59">
        <f>IF(N($AQ256)&gt;0,INDEX(rLim_ADM,$AQ256),"")</f>
        <v/>
      </c>
      <c r="G256" s="59" t="n"/>
      <c r="H256" s="60" t="n"/>
      <c r="I256" s="60">
        <f>IF(N($W256)=0,"",IF(AND($S256=MesCiclo,1&gt;SemanaActual),"",MIN(1,SUMIFS(OFFSET($A$1,ROW(),29,1000-ROW(),1),OFFSET($A$1,ROW(),20,1000-ROW(),1),ROW(),OFFSET($A$1,ROW(),21,1000-ROW(),1),"Sub"))))</f>
        <v/>
      </c>
      <c r="J256" s="60">
        <f>IF(N($W256)=0,"",IF(AND($S256=MesCiclo,2&gt;SemanaActual),"",MIN(1,SUMIFS(OFFSET($A$1,ROW(),30,1000-ROW(),1),OFFSET($A$1,ROW(),20,1000-ROW(),1),ROW(),OFFSET($A$1,ROW(),21,1000-ROW(),1),"Sub"))))</f>
        <v/>
      </c>
      <c r="K256" s="60">
        <f>IF(N($W256)=0,"",IF(AND($S256=MesCiclo,3&gt;SemanaActual),"",MIN(1,SUMIFS(OFFSET($A$1,ROW(),31,1000-ROW(),1),OFFSET($A$1,ROW(),20,1000-ROW(),1),ROW(),OFFSET($A$1,ROW(),21,1000-ROW(),1),"Sub"))))</f>
        <v/>
      </c>
      <c r="L256" s="60">
        <f>IF(N($W256)=0,"",IF(AND($S256=MesCiclo,4&gt;SemanaActual),"",MIN(1,SUMIFS(OFFSET($A$1,ROW(),32,1000-ROW(),1),OFFSET($A$1,ROW(),20,1000-ROW(),1),ROW(),OFFSET($A$1,ROW(),21,1000-ROW(),1),"Sub"))))</f>
        <v/>
      </c>
      <c r="M256" s="61">
        <f>IF(OR(NOT((COUNTA($B256:$D256)+COUNTA($G256:$H256)+COUNTA($Q256))&gt;0),$V256="Sub"),"",IF(ISNUMBER($G256),1,IF(N($W256)&gt;0,MIN(1,SUMIFS($Y$5:$Y$1000,$U$5:$U$1000,ROW(),$V$5:$V$1000,"Sub")),$Y256)))</f>
        <v/>
      </c>
      <c r="N256" s="56">
        <f>IF(OR($M256="",$V256="Sub"),"",IF($M256&gt;=1,"Completado",IF($M256&gt;0,"En curso","Pendiente")))</f>
        <v/>
      </c>
      <c r="O256" s="56">
        <f>IF(OR(NOT((COUNTA($B256:$D256)+COUNTA($G256:$H256)+COUNTA($Q256))&gt;0),$V256="Sub"),"",IF(ISNUMBER($G256),IF(AND(ISNUMBER($AS256),$G256&gt;$AS256),"Cumplida con "&amp;($G256-$AS256)&amp;IF($G256-$AS256=1," día"," días")&amp;" de retraso","Cumplida"),IF(N($M256)&gt;=1,"Cumplida",IF(NOT(ISNUMBER($AS256)),"Sin fecha límite",IF($AS256&lt;FechaRef,"Vencida hace "&amp;(FechaRef-$AS256)&amp;IF(FechaRef-$AS256=1," día"," días"),IF($AS256=FechaRef,"Vence hoy",IF($AS256-FechaRef&lt;=DiasAlerta,"Vence en "&amp;($AS256-FechaRef)&amp;IF($AS256-FechaRef=1," día"," días"),"En plazo")))))))</f>
        <v/>
      </c>
      <c r="P256" s="62" t="n"/>
      <c r="Q256" s="58" t="n"/>
      <c r="R256" s="63">
        <f>IF(NOT((COUNTA($B256:$D256)+COUNTA($G256:$H256)+COUNTA($Q256))&gt;0),"",IF((IF($C256="","Falta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 OK","⚠ "&amp;LEFT(IF($C256="","Falta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",""),LEN(IF($C256="","Falta el nombre de la actividad"&amp;" · ","")&amp;IF(AND($V256="Sub",N($U256)=0),"Subactividad sin macroactividad arriba"&amp;" · ","")&amp;IF(AND($V256="Macro",$AR256=""),"Sin fecha de inicio"&amp;" · ","")&amp;IF(AND($V256="Macro",$AS256=""),"Sin fecha límite"&amp;" · ","")&amp;IF(AND(LEFT($C256,11)="[Jefatura] ",N($AQ256)=0),"No se encuentra en la hoja de la jefatura (elíjala de nuevo en la lista)"&amp;" · ","")&amp;IF(OR(AND($E256&lt;&gt;"",NOT(ISNUMBER($E256))),AND($F256&lt;&gt;"",NOT(ISNUMBER($F256))),AND($G256&lt;&gt;"",NOT(ISNUMBER($G256)))),"Fecha no válida"&amp;" · ","")&amp;IF(AND(ISNUMBER($AR256),ISNUMBER($AS256),$AR256&gt;$AS256),"Inicio posterior a fecha límite"&amp;" · ","")&amp;IF(AND($V256="Macro",$H256&lt;&gt;"",OR(NOT(ISNUMBER($H256)),$H256&lt;0,$H256&gt;1)),"Peso fuera de rango"&amp;" · ","")&amp;IF(AND($V256="Sub",$H256&lt;&gt;"",OR(NOT(ISNUMBER($H256)),$H256&lt;0,$H256&gt;1)),"% de la subactividad fuera de rango 0-100%"&amp;" · ","")&amp;IF(AND(N($W256)&gt;0,SUMIFS($H$5:$H$1000,$U$5:$U$1000,ROW(),$V$5:$V$1000,"Sub")&gt;1.0001),"Las subactividades suman más de 100%"&amp;" · ","")&amp;IF(AND(N($W256)&gt;0,OR(IF(ISNUMBER($I256),ROUND($I256,6)&lt;&gt;ROUND(MIN(1,SUMIFS($AD$5:$AD$1000,$U$5:$U$1000,ROW(),$V$5:$V$1000,"Sub")),6),FALSE),IF(ISNUMBER($J256),ROUND($J256,6)&lt;&gt;ROUND(MIN(1,SUMIFS($AE$5:$AE$1000,$U$5:$U$1000,ROW(),$V$5:$V$1000,"Sub")),6),FALSE),IF(ISNUMBER($K256),ROUND($K256,6)&lt;&gt;ROUND(MIN(1,SUMIFS($AF$5:$AF$1000,$U$5:$U$1000,ROW(),$V$5:$V$1000,"Sub")),6),FALSE),IF(ISNUMBER($L256),ROUND($L256,6)&lt;&gt;ROUND(MIN(1,SUMIFS($AG$5:$AG$1000,$U$5:$U$1000,ROW(),$V$5:$V$1000,"Sub")),6),FALSE))),"Con subactividades: no escriba en las semanas (se llenan solas)"&amp;" · ","")&amp;IF((COUNTIF($I256:$L256,"&gt;1")+COUNTIF($I256:$L256,"&lt;0")+SUMPRODUCT((LEN($I256:$L256)&gt;0)*NOT(ISNUMBER($I256:$L256))))&gt;0,"Avance fuera de rango 0-100%"&amp;" · ","")&amp;IF(OR(AND(ISNUMBER($J256),$J256&lt;N($I256)),AND(ISNUMBER($K256),$K256&lt;MAX($I256:$J256)),AND(ISNUMBER($L256),$L256&lt;MAX($I256:$K256))),"Avance semanal decreciente"&amp;" · ","")&amp;IF(AND(ISNUMBER($AS256),$AS256&lt;FechaRef,IF($V256="Sub",1,N($M256))&lt;1),"Vencida"&amp;" · ","")&amp;IF(AND(ObsObligatoria="Sí",ISNUMBER($AS256),$AS256&lt;FechaRef,IF($V256="Sub",1,N($M256))&lt;1,$Q256=""),"Vencida sin observación"&amp;" · ",""))-3)))</f>
        <v/>
      </c>
      <c r="S256" s="64">
        <f>IF(NOT((COUNTA($B256:$D256)+COUNTA($G256:$H256)+COUNTA($Q256))&gt;0),"",IF(AND($V256="Sub",N($U256)&gt;0),IF(ISNUMBER(INDEX($AR$5:$AR$1000,$U256-4)),DATE(YEAR(INDEX($AR$5:$AR$1000,$U256-4)),MONTH(INDEX($AR$5:$AR$1000,$U256-4)),1),IF(ISNUMBER(INDEX($AS$5:$AS$1000,$U256-4)),DATE(YEAR(INDEX($AS$5:$AS$1000,$U256-4)),MONTH(INDEX($AS$5:$AS$1000,$U256-4)),1),MesCiclo)),IF(ISNUMBER($AR256),DATE(YEAR($AR256),MONTH($AR256),1),IF(ISNUMBER($AS256),DATE(YEAR($AS256),MONTH($AS256),1),MesCiclo))))</f>
        <v/>
      </c>
      <c r="T256" s="62">
        <f>IF(OR($S256="",$S256&lt;&gt;MesCiclo,$V256&lt;&gt;"Macro"),"",COUNTIFS($S$5:$S256,MesCiclo,$V$5:$V256,"Macro"))</f>
        <v/>
      </c>
      <c r="U256" s="62">
        <f>IF($V256="","",IF($V256="Macro",ROW(),IFERROR(LOOKUP(2,1/($V$5:$V256="Macro"),ROW($V$5:$V256)),0)))</f>
        <v/>
      </c>
      <c r="V256" s="62">
        <f>IF(NOT((COUNTA($B256:$D256)+COUNTA($G256:$H256)+COUNTA($Q256))&gt;0),"",IF($B256="Subactividad","Sub","Macro"))</f>
        <v/>
      </c>
      <c r="W256" s="62">
        <f>IF($V256="Macro",COUNTIFS($U$5:$U$1000,ROW(),$V$5:$V$1000,"Sub"),"")</f>
        <v/>
      </c>
      <c r="X256" s="62">
        <f>IF($V256&lt;&gt;"Sub","",IF(AND(ISNUMBER($H256),N($H256)&gt;0),$H256,IFERROR(MAX(0,1-SUMIFS($H$5:$H$1000,$U$5:$U$1000,$U256,$V$5:$V$1000,"Sub"))/(COUNTIFS($U$5:$U$1000,$U256,$V$5:$V$1000,"Sub")-COUNTIFS($U$5:$U$1000,$U256,$V$5:$V$1000,"Sub",$H$5:$H$1000,"&gt;0")),0)))</f>
        <v/>
      </c>
      <c r="Y256" s="62">
        <f>IF($V256="","",IF($V256="Sub",N($X256)*IF(ISNUMBER($G256),1,MIN(1,MAX(0,IFERROR(LOOKUP(2,1/ISNUMBER($I256:$L256),$I256:$L256),0)))),IF(ISNUMBER($G256),1,IFERROR(LOOKUP(2,1/($I256:$L256&lt;&gt;""),$I256:$L256),0))))</f>
        <v/>
      </c>
      <c r="Z256" s="62">
        <f>IF($V256="","",IF(AND(ISNUMBER($G256),$G256&lt;=IF($S256=MesCiclo,InicioCiclo,$S256+MOD(2-WEEKDAY($S256),7))+6),1,IF(ISNUMBER($I256),$I256,0)))</f>
        <v/>
      </c>
      <c r="AA256" s="62">
        <f>IF($V256="","",IF(AND(ISNUMBER($G256),$G256&lt;=IF($S256=MesCiclo,InicioCiclo,$S256+MOD(2-WEEKDAY($S256),7))+13),1,IF(ISNUMBER($J256),$J256,$Z256)))</f>
        <v/>
      </c>
      <c r="AB256" s="62">
        <f>IF($V256="","",IF(AND(ISNUMBER($G256),$G256&lt;=IF($S256=MesCiclo,InicioCiclo,$S256+MOD(2-WEEKDAY($S256),7))+20),1,IF(ISNUMBER($K256),$K256,$AA256)))</f>
        <v/>
      </c>
      <c r="AC256" s="62">
        <f>IF($V256="","",IF(AND(ISNUMBER($G256),$G256&lt;=IF($S256=MesCiclo,InicioCiclo,$S256+MOD(2-WEEKDAY($S256),7))+27),1,IF(ISNUMBER($L256),$L256,$AB256)))</f>
        <v/>
      </c>
      <c r="AD256" s="62">
        <f>IF($V256&lt;&gt;"Sub","",N($X256)*IF(AND(ISNUMBER($G256),$G256&lt;=IF($S256=MesCiclo,InicioCiclo,$S256+MOD(2-WEEKDAY($S256),7))+6),1,MIN(1,MAX(0,IF(ISNUMBER(OFFSET($A$1,ROW()-1,8)),OFFSET($A$1,ROW()-1,8),0)))))</f>
        <v/>
      </c>
      <c r="AE256" s="62">
        <f>IF($V256&lt;&gt;"Sub","",N($X256)*IF(AND(ISNUMBER($G256),$G256&lt;=IF($S256=MesCiclo,InicioCiclo,$S256+MOD(2-WEEKDAY($S256),7))+13),1,MIN(1,MAX(0,IF(ISNUMBER(OFFSET($A$1,ROW()-1,9)),OFFSET($A$1,ROW()-1,9),IF(ISNUMBER(OFFSET($A$1,ROW()-1,8)),OFFSET($A$1,ROW()-1,8),0))))))</f>
        <v/>
      </c>
      <c r="AF256" s="62">
        <f>IF($V256&lt;&gt;"Sub","",N($X256)*IF(AND(ISNUMBER($G256),$G256&lt;=IF($S256=MesCiclo,InicioCiclo,$S256+MOD(2-WEEKDAY($S256),7))+20),1,MIN(1,MAX(0,IF(ISNUMBER(OFFSET($A$1,ROW()-1,10)),OFFSET($A$1,ROW()-1,10),IF(ISNUMBER(OFFSET($A$1,ROW()-1,9)),OFFSET($A$1,ROW()-1,9),IF(ISNUMBER(OFFSET($A$1,ROW()-1,8)),OFFSET($A$1,ROW()-1,8),0)))))))</f>
        <v/>
      </c>
      <c r="AG256" s="62">
        <f>IF($V256&lt;&gt;"Sub","",N($X256)*IF(AND(ISNUMBER($G256),$G256&lt;=IF($S256=MesCiclo,InicioCiclo,$S256+MOD(2-WEEKDAY($S256),7))+27),1,MIN(1,MAX(0,IF(ISNUMBER(OFFSET($A$1,ROW()-1,11)),OFFSET($A$1,ROW()-1,11),IF(ISNUMBER(OFFSET($A$1,ROW()-1,10)),OFFSET($A$1,ROW()-1,10),IF(ISNUMBER(OFFSET($A$1,ROW()-1,9)),OFFSET($A$1,ROW()-1,9),IF(ISNUMBER(OFFSET($A$1,ROW()-1,8)),OFFSET($A$1,ROW()-1,8),0))))))))</f>
        <v/>
      </c>
      <c r="AH256" s="62">
        <f>IF($V256="","",IF(AND(ISNUMBER($G256),$G256&lt;=IF($S256=MesCiclo,InicioCiclo,$S256+MOD(2-WEEKDAY($S256),7))+6),1,IF(N($W256)&gt;0,MIN(1,SUMIFS($AD$5:$AD$1000,$U$5:$U$1000,ROW(),$V$5:$V$1000,"Sub")),$Z256)))</f>
        <v/>
      </c>
      <c r="AI256" s="62">
        <f>IF($V256="","",IF(AND(ISNUMBER($G256),$G256&lt;=IF($S256=MesCiclo,InicioCiclo,$S256+MOD(2-WEEKDAY($S256),7))+13),1,IF(N($W256)&gt;0,MIN(1,SUMIFS($AE$5:$AE$1000,$U$5:$U$1000,ROW(),$V$5:$V$1000,"Sub")),$AA256)))</f>
        <v/>
      </c>
      <c r="AJ256" s="62">
        <f>IF($V256="","",IF(AND(ISNUMBER($G256),$G256&lt;=IF($S256=MesCiclo,InicioCiclo,$S256+MOD(2-WEEKDAY($S256),7))+20),1,IF(N($W256)&gt;0,MIN(1,SUMIFS($AF$5:$AF$1000,$U$5:$U$1000,ROW(),$V$5:$V$1000,"Sub")),$AB256)))</f>
        <v/>
      </c>
      <c r="AK256" s="62">
        <f>IF($V256="","",IF(AND(ISNUMBER($G256),$G256&lt;=IF($S256=MesCiclo,InicioCiclo,$S256+MOD(2-WEEKDAY($S256),7))+27),1,IF(N($W256)&gt;0,MIN(1,SUMIFS($AG$5:$AG$1000,$U$5:$U$1000,ROW(),$V$5:$V$1000,"Sub")),$AC256)))</f>
        <v/>
      </c>
      <c r="AL256" s="62">
        <f>IF($V256&lt;&gt;"Macro","",IF(COUNTIFS($S$5:$S$1000,$S256,$V$5:$V$1000,"Macro",$H$5:$H$1000,"&gt;0")=0,1/COUNTIFS($S$5:$S$1000,$S256,$V$5:$V$1000,"Macro"),IF(AND(ISNUMBER($H256),N($H256)&gt;0),$H256,SUMIFS($H$5:$H$1000,$S$5:$S$1000,$S256,$V$5:$V$1000,"Macro")/COUNTIFS($S$5:$S$1000,$S256,$V$5:$V$1000,"Macro",$H$5:$H$1000,"&gt;0"))/(COUNTIFS($S$5:$S$1000,$S256,$V$5:$V$1000,"Macro")*SUMIFS($H$5:$H$1000,$S$5:$S$1000,$S256,$V$5:$V$1000,"Macro")/COUNTIFS($S$5:$S$1000,$S256,$V$5:$V$1000,"Macro",$H$5:$H$1000,"&gt;0"))))</f>
        <v/>
      </c>
      <c r="AM256" s="62" t="n"/>
      <c r="AN256" s="62" t="n"/>
      <c r="AO256" s="62" t="n"/>
      <c r="AP256" s="62" t="n"/>
      <c r="AQ256" s="62">
        <f>IF(LEFT($C256,11)="[Jefatura] ",IFERROR(MATCH("Asistente Técnico de Riesgo|"&amp;MID($C256,12,500),rDname_ADM,0),0),"")</f>
        <v/>
      </c>
      <c r="AR256" s="62">
        <f>IF(N($AQ256)&gt;0,INDEX(rIni_ADM,$AQ256),IF(ISNUMBER($E256),$E256,""))</f>
        <v/>
      </c>
      <c r="AS256" s="62">
        <f>IF(N($AQ256)&gt;0,INDEX(rLim_ADM,$AQ256),IF(ISNUMBER($F256),$F256,""))</f>
        <v/>
      </c>
    </row>
    <row r="257">
      <c r="A257" s="56">
        <f>IF(NOT((COUNTA($B257:$D257)+COUNTA($G257:$H257)+COUNTA($Q257))&gt;0),"",IF($V257="Macro",COUNTIFS($V$5:$V257,"Macro",$S$5:$S257,$S257),IF(N($U257)=0,"?",COUNTIFS(INDEX($V$5:$V$1000,1):INDEX($V$5:$V$1000,$U257-4),"Macro",INDEX($S$5:$S$1000,1):INDEX($S$5:$S$1000,$U257-4),INDEX($S$5:$S$1000,$U257-4))&amp;"."&amp;COUNTIFS($U$5:$U257,$U257,$V$5:$V257,"Sub"))))</f>
        <v/>
      </c>
      <c r="B257" s="57" t="n"/>
      <c r="C257" s="58" t="n"/>
      <c r="D257" s="58" t="n"/>
      <c r="E257" s="59">
        <f>IF(N($AQ257)&gt;0,INDEX(rIni_ADM,$AQ257),"")</f>
        <v/>
      </c>
      <c r="F257" s="59">
        <f>IF(N($AQ257)&gt;0,INDEX(rLim_ADM,$AQ257),"")</f>
        <v/>
      </c>
      <c r="G257" s="59" t="n"/>
      <c r="H257" s="60" t="n"/>
      <c r="I257" s="60">
        <f>IF(N($W257)=0,"",IF(AND($S257=MesCiclo,1&gt;SemanaActual),"",MIN(1,SUMIFS(OFFSET($A$1,ROW(),29,1000-ROW(),1),OFFSET($A$1,ROW(),20,1000-ROW(),1),ROW(),OFFSET($A$1,ROW(),21,1000-ROW(),1),"Sub"))))</f>
        <v/>
      </c>
      <c r="J257" s="60">
        <f>IF(N($W257)=0,"",IF(AND($S257=MesCiclo,2&gt;SemanaActual),"",MIN(1,SUMIFS(OFFSET($A$1,ROW(),30,1000-ROW(),1),OFFSET($A$1,ROW(),20,1000-ROW(),1),ROW(),OFFSET($A$1,ROW(),21,1000-ROW(),1),"Sub"))))</f>
        <v/>
      </c>
      <c r="K257" s="60">
        <f>IF(N($W257)=0,"",IF(AND($S257=MesCiclo,3&gt;SemanaActual),"",MIN(1,SUMIFS(OFFSET($A$1,ROW(),31,1000-ROW(),1),OFFSET($A$1,ROW(),20,1000-ROW(),1),ROW(),OFFSET($A$1,ROW(),21,1000-ROW(),1),"Sub"))))</f>
        <v/>
      </c>
      <c r="L257" s="60">
        <f>IF(N($W257)=0,"",IF(AND($S257=MesCiclo,4&gt;SemanaActual),"",MIN(1,SUMIFS(OFFSET($A$1,ROW(),32,1000-ROW(),1),OFFSET($A$1,ROW(),20,1000-ROW(),1),ROW(),OFFSET($A$1,ROW(),21,1000-ROW(),1),"Sub"))))</f>
        <v/>
      </c>
      <c r="M257" s="61">
        <f>IF(OR(NOT((COUNTA($B257:$D257)+COUNTA($G257:$H257)+COUNTA($Q257))&gt;0),$V257="Sub"),"",IF(ISNUMBER($G257),1,IF(N($W257)&gt;0,MIN(1,SUMIFS($Y$5:$Y$1000,$U$5:$U$1000,ROW(),$V$5:$V$1000,"Sub")),$Y257)))</f>
        <v/>
      </c>
      <c r="N257" s="56">
        <f>IF(OR($M257="",$V257="Sub"),"",IF($M257&gt;=1,"Completado",IF($M257&gt;0,"En curso","Pendiente")))</f>
        <v/>
      </c>
      <c r="O257" s="56">
        <f>IF(OR(NOT((COUNTA($B257:$D257)+COUNTA($G257:$H257)+COUNTA($Q257))&gt;0),$V257="Sub"),"",IF(ISNUMBER($G257),IF(AND(ISNUMBER($AS257),$G257&gt;$AS257),"Cumplida con "&amp;($G257-$AS257)&amp;IF($G257-$AS257=1," día"," días")&amp;" de retraso","Cumplida"),IF(N($M257)&gt;=1,"Cumplida",IF(NOT(ISNUMBER($AS257)),"Sin fecha límite",IF($AS257&lt;FechaRef,"Vencida hace "&amp;(FechaRef-$AS257)&amp;IF(FechaRef-$AS257=1," día"," días"),IF($AS257=FechaRef,"Vence hoy",IF($AS257-FechaRef&lt;=DiasAlerta,"Vence en "&amp;($AS257-FechaRef)&amp;IF($AS257-FechaRef=1," día"," días"),"En plazo")))))))</f>
        <v/>
      </c>
      <c r="P257" s="62" t="n"/>
      <c r="Q257" s="58" t="n"/>
      <c r="R257" s="63">
        <f>IF(NOT((COUNTA($B257:$D257)+COUNTA($G257:$H257)+COUNTA($Q257))&gt;0),"",IF((IF($C257="","Falta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 OK","⚠ "&amp;LEFT(IF($C257="","Falta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",""),LEN(IF($C257="","Falta el nombre de la actividad"&amp;" · ","")&amp;IF(AND($V257="Sub",N($U257)=0),"Subactividad sin macroactividad arriba"&amp;" · ","")&amp;IF(AND($V257="Macro",$AR257=""),"Sin fecha de inicio"&amp;" · ","")&amp;IF(AND($V257="Macro",$AS257=""),"Sin fecha límite"&amp;" · ","")&amp;IF(AND(LEFT($C257,11)="[Jefatura] ",N($AQ257)=0),"No se encuentra en la hoja de la jefatura (elíjala de nuevo en la lista)"&amp;" · ","")&amp;IF(OR(AND($E257&lt;&gt;"",NOT(ISNUMBER($E257))),AND($F257&lt;&gt;"",NOT(ISNUMBER($F257))),AND($G257&lt;&gt;"",NOT(ISNUMBER($G257)))),"Fecha no válida"&amp;" · ","")&amp;IF(AND(ISNUMBER($AR257),ISNUMBER($AS257),$AR257&gt;$AS257),"Inicio posterior a fecha límite"&amp;" · ","")&amp;IF(AND($V257="Macro",$H257&lt;&gt;"",OR(NOT(ISNUMBER($H257)),$H257&lt;0,$H257&gt;1)),"Peso fuera de rango"&amp;" · ","")&amp;IF(AND($V257="Sub",$H257&lt;&gt;"",OR(NOT(ISNUMBER($H257)),$H257&lt;0,$H257&gt;1)),"% de la subactividad fuera de rango 0-100%"&amp;" · ","")&amp;IF(AND(N($W257)&gt;0,SUMIFS($H$5:$H$1000,$U$5:$U$1000,ROW(),$V$5:$V$1000,"Sub")&gt;1.0001),"Las subactividades suman más de 100%"&amp;" · ","")&amp;IF(AND(N($W257)&gt;0,OR(IF(ISNUMBER($I257),ROUND($I257,6)&lt;&gt;ROUND(MIN(1,SUMIFS($AD$5:$AD$1000,$U$5:$U$1000,ROW(),$V$5:$V$1000,"Sub")),6),FALSE),IF(ISNUMBER($J257),ROUND($J257,6)&lt;&gt;ROUND(MIN(1,SUMIFS($AE$5:$AE$1000,$U$5:$U$1000,ROW(),$V$5:$V$1000,"Sub")),6),FALSE),IF(ISNUMBER($K257),ROUND($K257,6)&lt;&gt;ROUND(MIN(1,SUMIFS($AF$5:$AF$1000,$U$5:$U$1000,ROW(),$V$5:$V$1000,"Sub")),6),FALSE),IF(ISNUMBER($L257),ROUND($L257,6)&lt;&gt;ROUND(MIN(1,SUMIFS($AG$5:$AG$1000,$U$5:$U$1000,ROW(),$V$5:$V$1000,"Sub")),6),FALSE))),"Con subactividades: no escriba en las semanas (se llenan solas)"&amp;" · ","")&amp;IF((COUNTIF($I257:$L257,"&gt;1")+COUNTIF($I257:$L257,"&lt;0")+SUMPRODUCT((LEN($I257:$L257)&gt;0)*NOT(ISNUMBER($I257:$L257))))&gt;0,"Avance fuera de rango 0-100%"&amp;" · ","")&amp;IF(OR(AND(ISNUMBER($J257),$J257&lt;N($I257)),AND(ISNUMBER($K257),$K257&lt;MAX($I257:$J257)),AND(ISNUMBER($L257),$L257&lt;MAX($I257:$K257))),"Avance semanal decreciente"&amp;" · ","")&amp;IF(AND(ISNUMBER($AS257),$AS257&lt;FechaRef,IF($V257="Sub",1,N($M257))&lt;1),"Vencida"&amp;" · ","")&amp;IF(AND(ObsObligatoria="Sí",ISNUMBER($AS257),$AS257&lt;FechaRef,IF($V257="Sub",1,N($M257))&lt;1,$Q257=""),"Vencida sin observación"&amp;" · ",""))-3)))</f>
        <v/>
      </c>
      <c r="S257" s="64">
        <f>IF(NOT((COUNTA($B257:$D257)+COUNTA($G257:$H257)+COUNTA($Q257))&gt;0),"",IF(AND($V257="Sub",N($U257)&gt;0),IF(ISNUMBER(INDEX($AR$5:$AR$1000,$U257-4)),DATE(YEAR(INDEX($AR$5:$AR$1000,$U257-4)),MONTH(INDEX($AR$5:$AR$1000,$U257-4)),1),IF(ISNUMBER(INDEX($AS$5:$AS$1000,$U257-4)),DATE(YEAR(INDEX($AS$5:$AS$1000,$U257-4)),MONTH(INDEX($AS$5:$AS$1000,$U257-4)),1),MesCiclo)),IF(ISNUMBER($AR257),DATE(YEAR($AR257),MONTH($AR257),1),IF(ISNUMBER($AS257),DATE(YEAR($AS257),MONTH($AS257),1),MesCiclo))))</f>
        <v/>
      </c>
      <c r="T257" s="62">
        <f>IF(OR($S257="",$S257&lt;&gt;MesCiclo,$V257&lt;&gt;"Macro"),"",COUNTIFS($S$5:$S257,MesCiclo,$V$5:$V257,"Macro"))</f>
        <v/>
      </c>
      <c r="U257" s="62">
        <f>IF($V257="","",IF($V257="Macro",ROW(),IFERROR(LOOKUP(2,1/($V$5:$V257="Macro"),ROW($V$5:$V257)),0)))</f>
        <v/>
      </c>
      <c r="V257" s="62">
        <f>IF(NOT((COUNTA($B257:$D257)+COUNTA($G257:$H257)+COUNTA($Q257))&gt;0),"",IF($B257="Subactividad","Sub","Macro"))</f>
        <v/>
      </c>
      <c r="W257" s="62">
        <f>IF($V257="Macro",COUNTIFS($U$5:$U$1000,ROW(),$V$5:$V$1000,"Sub"),"")</f>
        <v/>
      </c>
      <c r="X257" s="62">
        <f>IF($V257&lt;&gt;"Sub","",IF(AND(ISNUMBER($H257),N($H257)&gt;0),$H257,IFERROR(MAX(0,1-SUMIFS($H$5:$H$1000,$U$5:$U$1000,$U257,$V$5:$V$1000,"Sub"))/(COUNTIFS($U$5:$U$1000,$U257,$V$5:$V$1000,"Sub")-COUNTIFS($U$5:$U$1000,$U257,$V$5:$V$1000,"Sub",$H$5:$H$1000,"&gt;0")),0)))</f>
        <v/>
      </c>
      <c r="Y257" s="62">
        <f>IF($V257="","",IF($V257="Sub",N($X257)*IF(ISNUMBER($G257),1,MIN(1,MAX(0,IFERROR(LOOKUP(2,1/ISNUMBER($I257:$L257),$I257:$L257),0)))),IF(ISNUMBER($G257),1,IFERROR(LOOKUP(2,1/($I257:$L257&lt;&gt;""),$I257:$L257),0))))</f>
        <v/>
      </c>
      <c r="Z257" s="62">
        <f>IF($V257="","",IF(AND(ISNUMBER($G257),$G257&lt;=IF($S257=MesCiclo,InicioCiclo,$S257+MOD(2-WEEKDAY($S257),7))+6),1,IF(ISNUMBER($I257),$I257,0)))</f>
        <v/>
      </c>
      <c r="AA257" s="62">
        <f>IF($V257="","",IF(AND(ISNUMBER($G257),$G257&lt;=IF($S257=MesCiclo,InicioCiclo,$S257+MOD(2-WEEKDAY($S257),7))+13),1,IF(ISNUMBER($J257),$J257,$Z257)))</f>
        <v/>
      </c>
      <c r="AB257" s="62">
        <f>IF($V257="","",IF(AND(ISNUMBER($G257),$G257&lt;=IF($S257=MesCiclo,InicioCiclo,$S257+MOD(2-WEEKDAY($S257),7))+20),1,IF(ISNUMBER($K257),$K257,$AA257)))</f>
        <v/>
      </c>
      <c r="AC257" s="62">
        <f>IF($V257="","",IF(AND(ISNUMBER($G257),$G257&lt;=IF($S257=MesCiclo,InicioCiclo,$S257+MOD(2-WEEKDAY($S257),7))+27),1,IF(ISNUMBER($L257),$L257,$AB257)))</f>
        <v/>
      </c>
      <c r="AD257" s="62">
        <f>IF($V257&lt;&gt;"Sub","",N($X257)*IF(AND(ISNUMBER($G257),$G257&lt;=IF($S257=MesCiclo,InicioCiclo,$S257+MOD(2-WEEKDAY($S257),7))+6),1,MIN(1,MAX(0,IF(ISNUMBER(OFFSET($A$1,ROW()-1,8)),OFFSET($A$1,ROW()-1,8),0)))))</f>
        <v/>
      </c>
      <c r="AE257" s="62">
        <f>IF($V257&lt;&gt;"Sub","",N($X257)*IF(AND(ISNUMBER($G257),$G257&lt;=IF($S257=MesCiclo,InicioCiclo,$S257+MOD(2-WEEKDAY($S257),7))+13),1,MIN(1,MAX(0,IF(ISNUMBER(OFFSET($A$1,ROW()-1,9)),OFFSET($A$1,ROW()-1,9),IF(ISNUMBER(OFFSET($A$1,ROW()-1,8)),OFFSET($A$1,ROW()-1,8),0))))))</f>
        <v/>
      </c>
      <c r="AF257" s="62">
        <f>IF($V257&lt;&gt;"Sub","",N($X257)*IF(AND(ISNUMBER($G257),$G257&lt;=IF($S257=MesCiclo,InicioCiclo,$S257+MOD(2-WEEKDAY($S257),7))+20),1,MIN(1,MAX(0,IF(ISNUMBER(OFFSET($A$1,ROW()-1,10)),OFFSET($A$1,ROW()-1,10),IF(ISNUMBER(OFFSET($A$1,ROW()-1,9)),OFFSET($A$1,ROW()-1,9),IF(ISNUMBER(OFFSET($A$1,ROW()-1,8)),OFFSET($A$1,ROW()-1,8),0)))))))</f>
        <v/>
      </c>
      <c r="AG257" s="62">
        <f>IF($V257&lt;&gt;"Sub","",N($X257)*IF(AND(ISNUMBER($G257),$G257&lt;=IF($S257=MesCiclo,InicioCiclo,$S257+MOD(2-WEEKDAY($S257),7))+27),1,MIN(1,MAX(0,IF(ISNUMBER(OFFSET($A$1,ROW()-1,11)),OFFSET($A$1,ROW()-1,11),IF(ISNUMBER(OFFSET($A$1,ROW()-1,10)),OFFSET($A$1,ROW()-1,10),IF(ISNUMBER(OFFSET($A$1,ROW()-1,9)),OFFSET($A$1,ROW()-1,9),IF(ISNUMBER(OFFSET($A$1,ROW()-1,8)),OFFSET($A$1,ROW()-1,8),0))))))))</f>
        <v/>
      </c>
      <c r="AH257" s="62">
        <f>IF($V257="","",IF(AND(ISNUMBER($G257),$G257&lt;=IF($S257=MesCiclo,InicioCiclo,$S257+MOD(2-WEEKDAY($S257),7))+6),1,IF(N($W257)&gt;0,MIN(1,SUMIFS($AD$5:$AD$1000,$U$5:$U$1000,ROW(),$V$5:$V$1000,"Sub")),$Z257)))</f>
        <v/>
      </c>
      <c r="AI257" s="62">
        <f>IF($V257="","",IF(AND(ISNUMBER($G257),$G257&lt;=IF($S257=MesCiclo,InicioCiclo,$S257+MOD(2-WEEKDAY($S257),7))+13),1,IF(N($W257)&gt;0,MIN(1,SUMIFS($AE$5:$AE$1000,$U$5:$U$1000,ROW(),$V$5:$V$1000,"Sub")),$AA257)))</f>
        <v/>
      </c>
      <c r="AJ257" s="62">
        <f>IF($V257="","",IF(AND(ISNUMBER($G257),$G257&lt;=IF($S257=MesCiclo,InicioCiclo,$S257+MOD(2-WEEKDAY($S257),7))+20),1,IF(N($W257)&gt;0,MIN(1,SUMIFS($AF$5:$AF$1000,$U$5:$U$1000,ROW(),$V$5:$V$1000,"Sub")),$AB257)))</f>
        <v/>
      </c>
      <c r="AK257" s="62">
        <f>IF($V257="","",IF(AND(ISNUMBER($G257),$G257&lt;=IF($S257=MesCiclo,InicioCiclo,$S257+MOD(2-WEEKDAY($S257),7))+27),1,IF(N($W257)&gt;0,MIN(1,SUMIFS($AG$5:$AG$1000,$U$5:$U$1000,ROW(),$V$5:$V$1000,"Sub")),$AC257)))</f>
        <v/>
      </c>
      <c r="AL257" s="62">
        <f>IF($V257&lt;&gt;"Macro","",IF(COUNTIFS($S$5:$S$1000,$S257,$V$5:$V$1000,"Macro",$H$5:$H$1000,"&gt;0")=0,1/COUNTIFS($S$5:$S$1000,$S257,$V$5:$V$1000,"Macro"),IF(AND(ISNUMBER($H257),N($H257)&gt;0),$H257,SUMIFS($H$5:$H$1000,$S$5:$S$1000,$S257,$V$5:$V$1000,"Macro")/COUNTIFS($S$5:$S$1000,$S257,$V$5:$V$1000,"Macro",$H$5:$H$1000,"&gt;0"))/(COUNTIFS($S$5:$S$1000,$S257,$V$5:$V$1000,"Macro")*SUMIFS($H$5:$H$1000,$S$5:$S$1000,$S257,$V$5:$V$1000,"Macro")/COUNTIFS($S$5:$S$1000,$S257,$V$5:$V$1000,"Macro",$H$5:$H$1000,"&gt;0"))))</f>
        <v/>
      </c>
      <c r="AM257" s="62" t="n"/>
      <c r="AN257" s="62" t="n"/>
      <c r="AO257" s="62" t="n"/>
      <c r="AP257" s="62" t="n"/>
      <c r="AQ257" s="62">
        <f>IF(LEFT($C257,11)="[Jefatura] ",IFERROR(MATCH("Asistente Técnico de Riesgo|"&amp;MID($C257,12,500),rDname_ADM,0),0),"")</f>
        <v/>
      </c>
      <c r="AR257" s="62">
        <f>IF(N($AQ257)&gt;0,INDEX(rIni_ADM,$AQ257),IF(ISNUMBER($E257),$E257,""))</f>
        <v/>
      </c>
      <c r="AS257" s="62">
        <f>IF(N($AQ257)&gt;0,INDEX(rLim_ADM,$AQ257),IF(ISNUMBER($F257),$F257,""))</f>
        <v/>
      </c>
    </row>
    <row r="258">
      <c r="A258" s="56">
        <f>IF(NOT((COUNTA($B258:$D258)+COUNTA($G258:$H258)+COUNTA($Q258))&gt;0),"",IF($V258="Macro",COUNTIFS($V$5:$V258,"Macro",$S$5:$S258,$S258),IF(N($U258)=0,"?",COUNTIFS(INDEX($V$5:$V$1000,1):INDEX($V$5:$V$1000,$U258-4),"Macro",INDEX($S$5:$S$1000,1):INDEX($S$5:$S$1000,$U258-4),INDEX($S$5:$S$1000,$U258-4))&amp;"."&amp;COUNTIFS($U$5:$U258,$U258,$V$5:$V258,"Sub"))))</f>
        <v/>
      </c>
      <c r="B258" s="57" t="n"/>
      <c r="C258" s="58" t="n"/>
      <c r="D258" s="58" t="n"/>
      <c r="E258" s="59">
        <f>IF(N($AQ258)&gt;0,INDEX(rIni_ADM,$AQ258),"")</f>
        <v/>
      </c>
      <c r="F258" s="59">
        <f>IF(N($AQ258)&gt;0,INDEX(rLim_ADM,$AQ258),"")</f>
        <v/>
      </c>
      <c r="G258" s="59" t="n"/>
      <c r="H258" s="60" t="n"/>
      <c r="I258" s="60">
        <f>IF(N($W258)=0,"",IF(AND($S258=MesCiclo,1&gt;SemanaActual),"",MIN(1,SUMIFS(OFFSET($A$1,ROW(),29,1000-ROW(),1),OFFSET($A$1,ROW(),20,1000-ROW(),1),ROW(),OFFSET($A$1,ROW(),21,1000-ROW(),1),"Sub"))))</f>
        <v/>
      </c>
      <c r="J258" s="60">
        <f>IF(N($W258)=0,"",IF(AND($S258=MesCiclo,2&gt;SemanaActual),"",MIN(1,SUMIFS(OFFSET($A$1,ROW(),30,1000-ROW(),1),OFFSET($A$1,ROW(),20,1000-ROW(),1),ROW(),OFFSET($A$1,ROW(),21,1000-ROW(),1),"Sub"))))</f>
        <v/>
      </c>
      <c r="K258" s="60">
        <f>IF(N($W258)=0,"",IF(AND($S258=MesCiclo,3&gt;SemanaActual),"",MIN(1,SUMIFS(OFFSET($A$1,ROW(),31,1000-ROW(),1),OFFSET($A$1,ROW(),20,1000-ROW(),1),ROW(),OFFSET($A$1,ROW(),21,1000-ROW(),1),"Sub"))))</f>
        <v/>
      </c>
      <c r="L258" s="60">
        <f>IF(N($W258)=0,"",IF(AND($S258=MesCiclo,4&gt;SemanaActual),"",MIN(1,SUMIFS(OFFSET($A$1,ROW(),32,1000-ROW(),1),OFFSET($A$1,ROW(),20,1000-ROW(),1),ROW(),OFFSET($A$1,ROW(),21,1000-ROW(),1),"Sub"))))</f>
        <v/>
      </c>
      <c r="M258" s="61">
        <f>IF(OR(NOT((COUNTA($B258:$D258)+COUNTA($G258:$H258)+COUNTA($Q258))&gt;0),$V258="Sub"),"",IF(ISNUMBER($G258),1,IF(N($W258)&gt;0,MIN(1,SUMIFS($Y$5:$Y$1000,$U$5:$U$1000,ROW(),$V$5:$V$1000,"Sub")),$Y258)))</f>
        <v/>
      </c>
      <c r="N258" s="56">
        <f>IF(OR($M258="",$V258="Sub"),"",IF($M258&gt;=1,"Completado",IF($M258&gt;0,"En curso","Pendiente")))</f>
        <v/>
      </c>
      <c r="O258" s="56">
        <f>IF(OR(NOT((COUNTA($B258:$D258)+COUNTA($G258:$H258)+COUNTA($Q258))&gt;0),$V258="Sub"),"",IF(ISNUMBER($G258),IF(AND(ISNUMBER($AS258),$G258&gt;$AS258),"Cumplida con "&amp;($G258-$AS258)&amp;IF($G258-$AS258=1," día"," días")&amp;" de retraso","Cumplida"),IF(N($M258)&gt;=1,"Cumplida",IF(NOT(ISNUMBER($AS258)),"Sin fecha límite",IF($AS258&lt;FechaRef,"Vencida hace "&amp;(FechaRef-$AS258)&amp;IF(FechaRef-$AS258=1," día"," días"),IF($AS258=FechaRef,"Vence hoy",IF($AS258-FechaRef&lt;=DiasAlerta,"Vence en "&amp;($AS258-FechaRef)&amp;IF($AS258-FechaRef=1," día"," días"),"En plazo")))))))</f>
        <v/>
      </c>
      <c r="P258" s="62" t="n"/>
      <c r="Q258" s="58" t="n"/>
      <c r="R258" s="63">
        <f>IF(NOT((COUNTA($B258:$D258)+COUNTA($G258:$H258)+COUNTA($Q258))&gt;0),"",IF((IF($C258="","Falta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 OK","⚠ "&amp;LEFT(IF($C258="","Falta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",""),LEN(IF($C258="","Falta el nombre de la actividad"&amp;" · ","")&amp;IF(AND($V258="Sub",N($U258)=0),"Subactividad sin macroactividad arriba"&amp;" · ","")&amp;IF(AND($V258="Macro",$AR258=""),"Sin fecha de inicio"&amp;" · ","")&amp;IF(AND($V258="Macro",$AS258=""),"Sin fecha límite"&amp;" · ","")&amp;IF(AND(LEFT($C258,11)="[Jefatura] ",N($AQ258)=0),"No se encuentra en la hoja de la jefatura (elíjala de nuevo en la lista)"&amp;" · ","")&amp;IF(OR(AND($E258&lt;&gt;"",NOT(ISNUMBER($E258))),AND($F258&lt;&gt;"",NOT(ISNUMBER($F258))),AND($G258&lt;&gt;"",NOT(ISNUMBER($G258)))),"Fecha no válida"&amp;" · ","")&amp;IF(AND(ISNUMBER($AR258),ISNUMBER($AS258),$AR258&gt;$AS258),"Inicio posterior a fecha límite"&amp;" · ","")&amp;IF(AND($V258="Macro",$H258&lt;&gt;"",OR(NOT(ISNUMBER($H258)),$H258&lt;0,$H258&gt;1)),"Peso fuera de rango"&amp;" · ","")&amp;IF(AND($V258="Sub",$H258&lt;&gt;"",OR(NOT(ISNUMBER($H258)),$H258&lt;0,$H258&gt;1)),"% de la subactividad fuera de rango 0-100%"&amp;" · ","")&amp;IF(AND(N($W258)&gt;0,SUMIFS($H$5:$H$1000,$U$5:$U$1000,ROW(),$V$5:$V$1000,"Sub")&gt;1.0001),"Las subactividades suman más de 100%"&amp;" · ","")&amp;IF(AND(N($W258)&gt;0,OR(IF(ISNUMBER($I258),ROUND($I258,6)&lt;&gt;ROUND(MIN(1,SUMIFS($AD$5:$AD$1000,$U$5:$U$1000,ROW(),$V$5:$V$1000,"Sub")),6),FALSE),IF(ISNUMBER($J258),ROUND($J258,6)&lt;&gt;ROUND(MIN(1,SUMIFS($AE$5:$AE$1000,$U$5:$U$1000,ROW(),$V$5:$V$1000,"Sub")),6),FALSE),IF(ISNUMBER($K258),ROUND($K258,6)&lt;&gt;ROUND(MIN(1,SUMIFS($AF$5:$AF$1000,$U$5:$U$1000,ROW(),$V$5:$V$1000,"Sub")),6),FALSE),IF(ISNUMBER($L258),ROUND($L258,6)&lt;&gt;ROUND(MIN(1,SUMIFS($AG$5:$AG$1000,$U$5:$U$1000,ROW(),$V$5:$V$1000,"Sub")),6),FALSE))),"Con subactividades: no escriba en las semanas (se llenan solas)"&amp;" · ","")&amp;IF((COUNTIF($I258:$L258,"&gt;1")+COUNTIF($I258:$L258,"&lt;0")+SUMPRODUCT((LEN($I258:$L258)&gt;0)*NOT(ISNUMBER($I258:$L258))))&gt;0,"Avance fuera de rango 0-100%"&amp;" · ","")&amp;IF(OR(AND(ISNUMBER($J258),$J258&lt;N($I258)),AND(ISNUMBER($K258),$K258&lt;MAX($I258:$J258)),AND(ISNUMBER($L258),$L258&lt;MAX($I258:$K258))),"Avance semanal decreciente"&amp;" · ","")&amp;IF(AND(ISNUMBER($AS258),$AS258&lt;FechaRef,IF($V258="Sub",1,N($M258))&lt;1),"Vencida"&amp;" · ","")&amp;IF(AND(ObsObligatoria="Sí",ISNUMBER($AS258),$AS258&lt;FechaRef,IF($V258="Sub",1,N($M258))&lt;1,$Q258=""),"Vencida sin observación"&amp;" · ",""))-3)))</f>
        <v/>
      </c>
      <c r="S258" s="64">
        <f>IF(NOT((COUNTA($B258:$D258)+COUNTA($G258:$H258)+COUNTA($Q258))&gt;0),"",IF(AND($V258="Sub",N($U258)&gt;0),IF(ISNUMBER(INDEX($AR$5:$AR$1000,$U258-4)),DATE(YEAR(INDEX($AR$5:$AR$1000,$U258-4)),MONTH(INDEX($AR$5:$AR$1000,$U258-4)),1),IF(ISNUMBER(INDEX($AS$5:$AS$1000,$U258-4)),DATE(YEAR(INDEX($AS$5:$AS$1000,$U258-4)),MONTH(INDEX($AS$5:$AS$1000,$U258-4)),1),MesCiclo)),IF(ISNUMBER($AR258),DATE(YEAR($AR258),MONTH($AR258),1),IF(ISNUMBER($AS258),DATE(YEAR($AS258),MONTH($AS258),1),MesCiclo))))</f>
        <v/>
      </c>
      <c r="T258" s="62">
        <f>IF(OR($S258="",$S258&lt;&gt;MesCiclo,$V258&lt;&gt;"Macro"),"",COUNTIFS($S$5:$S258,MesCiclo,$V$5:$V258,"Macro"))</f>
        <v/>
      </c>
      <c r="U258" s="62">
        <f>IF($V258="","",IF($V258="Macro",ROW(),IFERROR(LOOKUP(2,1/($V$5:$V258="Macro"),ROW($V$5:$V258)),0)))</f>
        <v/>
      </c>
      <c r="V258" s="62">
        <f>IF(NOT((COUNTA($B258:$D258)+COUNTA($G258:$H258)+COUNTA($Q258))&gt;0),"",IF($B258="Subactividad","Sub","Macro"))</f>
        <v/>
      </c>
      <c r="W258" s="62">
        <f>IF($V258="Macro",COUNTIFS($U$5:$U$1000,ROW(),$V$5:$V$1000,"Sub"),"")</f>
        <v/>
      </c>
      <c r="X258" s="62">
        <f>IF($V258&lt;&gt;"Sub","",IF(AND(ISNUMBER($H258),N($H258)&gt;0),$H258,IFERROR(MAX(0,1-SUMIFS($H$5:$H$1000,$U$5:$U$1000,$U258,$V$5:$V$1000,"Sub"))/(COUNTIFS($U$5:$U$1000,$U258,$V$5:$V$1000,"Sub")-COUNTIFS($U$5:$U$1000,$U258,$V$5:$V$1000,"Sub",$H$5:$H$1000,"&gt;0")),0)))</f>
        <v/>
      </c>
      <c r="Y258" s="62">
        <f>IF($V258="","",IF($V258="Sub",N($X258)*IF(ISNUMBER($G258),1,MIN(1,MAX(0,IFERROR(LOOKUP(2,1/ISNUMBER($I258:$L258),$I258:$L258),0)))),IF(ISNUMBER($G258),1,IFERROR(LOOKUP(2,1/($I258:$L258&lt;&gt;""),$I258:$L258),0))))</f>
        <v/>
      </c>
      <c r="Z258" s="62">
        <f>IF($V258="","",IF(AND(ISNUMBER($G258),$G258&lt;=IF($S258=MesCiclo,InicioCiclo,$S258+MOD(2-WEEKDAY($S258),7))+6),1,IF(ISNUMBER($I258),$I258,0)))</f>
        <v/>
      </c>
      <c r="AA258" s="62">
        <f>IF($V258="","",IF(AND(ISNUMBER($G258),$G258&lt;=IF($S258=MesCiclo,InicioCiclo,$S258+MOD(2-WEEKDAY($S258),7))+13),1,IF(ISNUMBER($J258),$J258,$Z258)))</f>
        <v/>
      </c>
      <c r="AB258" s="62">
        <f>IF($V258="","",IF(AND(ISNUMBER($G258),$G258&lt;=IF($S258=MesCiclo,InicioCiclo,$S258+MOD(2-WEEKDAY($S258),7))+20),1,IF(ISNUMBER($K258),$K258,$AA258)))</f>
        <v/>
      </c>
      <c r="AC258" s="62">
        <f>IF($V258="","",IF(AND(ISNUMBER($G258),$G258&lt;=IF($S258=MesCiclo,InicioCiclo,$S258+MOD(2-WEEKDAY($S258),7))+27),1,IF(ISNUMBER($L258),$L258,$AB258)))</f>
        <v/>
      </c>
      <c r="AD258" s="62">
        <f>IF($V258&lt;&gt;"Sub","",N($X258)*IF(AND(ISNUMBER($G258),$G258&lt;=IF($S258=MesCiclo,InicioCiclo,$S258+MOD(2-WEEKDAY($S258),7))+6),1,MIN(1,MAX(0,IF(ISNUMBER(OFFSET($A$1,ROW()-1,8)),OFFSET($A$1,ROW()-1,8),0)))))</f>
        <v/>
      </c>
      <c r="AE258" s="62">
        <f>IF($V258&lt;&gt;"Sub","",N($X258)*IF(AND(ISNUMBER($G258),$G258&lt;=IF($S258=MesCiclo,InicioCiclo,$S258+MOD(2-WEEKDAY($S258),7))+13),1,MIN(1,MAX(0,IF(ISNUMBER(OFFSET($A$1,ROW()-1,9)),OFFSET($A$1,ROW()-1,9),IF(ISNUMBER(OFFSET($A$1,ROW()-1,8)),OFFSET($A$1,ROW()-1,8),0))))))</f>
        <v/>
      </c>
      <c r="AF258" s="62">
        <f>IF($V258&lt;&gt;"Sub","",N($X258)*IF(AND(ISNUMBER($G258),$G258&lt;=IF($S258=MesCiclo,InicioCiclo,$S258+MOD(2-WEEKDAY($S258),7))+20),1,MIN(1,MAX(0,IF(ISNUMBER(OFFSET($A$1,ROW()-1,10)),OFFSET($A$1,ROW()-1,10),IF(ISNUMBER(OFFSET($A$1,ROW()-1,9)),OFFSET($A$1,ROW()-1,9),IF(ISNUMBER(OFFSET($A$1,ROW()-1,8)),OFFSET($A$1,ROW()-1,8),0)))))))</f>
        <v/>
      </c>
      <c r="AG258" s="62">
        <f>IF($V258&lt;&gt;"Sub","",N($X258)*IF(AND(ISNUMBER($G258),$G258&lt;=IF($S258=MesCiclo,InicioCiclo,$S258+MOD(2-WEEKDAY($S258),7))+27),1,MIN(1,MAX(0,IF(ISNUMBER(OFFSET($A$1,ROW()-1,11)),OFFSET($A$1,ROW()-1,11),IF(ISNUMBER(OFFSET($A$1,ROW()-1,10)),OFFSET($A$1,ROW()-1,10),IF(ISNUMBER(OFFSET($A$1,ROW()-1,9)),OFFSET($A$1,ROW()-1,9),IF(ISNUMBER(OFFSET($A$1,ROW()-1,8)),OFFSET($A$1,ROW()-1,8),0))))))))</f>
        <v/>
      </c>
      <c r="AH258" s="62">
        <f>IF($V258="","",IF(AND(ISNUMBER($G258),$G258&lt;=IF($S258=MesCiclo,InicioCiclo,$S258+MOD(2-WEEKDAY($S258),7))+6),1,IF(N($W258)&gt;0,MIN(1,SUMIFS($AD$5:$AD$1000,$U$5:$U$1000,ROW(),$V$5:$V$1000,"Sub")),$Z258)))</f>
        <v/>
      </c>
      <c r="AI258" s="62">
        <f>IF($V258="","",IF(AND(ISNUMBER($G258),$G258&lt;=IF($S258=MesCiclo,InicioCiclo,$S258+MOD(2-WEEKDAY($S258),7))+13),1,IF(N($W258)&gt;0,MIN(1,SUMIFS($AE$5:$AE$1000,$U$5:$U$1000,ROW(),$V$5:$V$1000,"Sub")),$AA258)))</f>
        <v/>
      </c>
      <c r="AJ258" s="62">
        <f>IF($V258="","",IF(AND(ISNUMBER($G258),$G258&lt;=IF($S258=MesCiclo,InicioCiclo,$S258+MOD(2-WEEKDAY($S258),7))+20),1,IF(N($W258)&gt;0,MIN(1,SUMIFS($AF$5:$AF$1000,$U$5:$U$1000,ROW(),$V$5:$V$1000,"Sub")),$AB258)))</f>
        <v/>
      </c>
      <c r="AK258" s="62">
        <f>IF($V258="","",IF(AND(ISNUMBER($G258),$G258&lt;=IF($S258=MesCiclo,InicioCiclo,$S258+MOD(2-WEEKDAY($S258),7))+27),1,IF(N($W258)&gt;0,MIN(1,SUMIFS($AG$5:$AG$1000,$U$5:$U$1000,ROW(),$V$5:$V$1000,"Sub")),$AC258)))</f>
        <v/>
      </c>
      <c r="AL258" s="62">
        <f>IF($V258&lt;&gt;"Macro","",IF(COUNTIFS($S$5:$S$1000,$S258,$V$5:$V$1000,"Macro",$H$5:$H$1000,"&gt;0")=0,1/COUNTIFS($S$5:$S$1000,$S258,$V$5:$V$1000,"Macro"),IF(AND(ISNUMBER($H258),N($H258)&gt;0),$H258,SUMIFS($H$5:$H$1000,$S$5:$S$1000,$S258,$V$5:$V$1000,"Macro")/COUNTIFS($S$5:$S$1000,$S258,$V$5:$V$1000,"Macro",$H$5:$H$1000,"&gt;0"))/(COUNTIFS($S$5:$S$1000,$S258,$V$5:$V$1000,"Macro")*SUMIFS($H$5:$H$1000,$S$5:$S$1000,$S258,$V$5:$V$1000,"Macro")/COUNTIFS($S$5:$S$1000,$S258,$V$5:$V$1000,"Macro",$H$5:$H$1000,"&gt;0"))))</f>
        <v/>
      </c>
      <c r="AM258" s="62" t="n"/>
      <c r="AN258" s="62" t="n"/>
      <c r="AO258" s="62" t="n"/>
      <c r="AP258" s="62" t="n"/>
      <c r="AQ258" s="62">
        <f>IF(LEFT($C258,11)="[Jefatura] ",IFERROR(MATCH("Asistente Técnico de Riesgo|"&amp;MID($C258,12,500),rDname_ADM,0),0),"")</f>
        <v/>
      </c>
      <c r="AR258" s="62">
        <f>IF(N($AQ258)&gt;0,INDEX(rIni_ADM,$AQ258),IF(ISNUMBER($E258),$E258,""))</f>
        <v/>
      </c>
      <c r="AS258" s="62">
        <f>IF(N($AQ258)&gt;0,INDEX(rLim_ADM,$AQ258),IF(ISNUMBER($F258),$F258,""))</f>
        <v/>
      </c>
    </row>
    <row r="259">
      <c r="A259" s="56">
        <f>IF(NOT((COUNTA($B259:$D259)+COUNTA($G259:$H259)+COUNTA($Q259))&gt;0),"",IF($V259="Macro",COUNTIFS($V$5:$V259,"Macro",$S$5:$S259,$S259),IF(N($U259)=0,"?",COUNTIFS(INDEX($V$5:$V$1000,1):INDEX($V$5:$V$1000,$U259-4),"Macro",INDEX($S$5:$S$1000,1):INDEX($S$5:$S$1000,$U259-4),INDEX($S$5:$S$1000,$U259-4))&amp;"."&amp;COUNTIFS($U$5:$U259,$U259,$V$5:$V259,"Sub"))))</f>
        <v/>
      </c>
      <c r="B259" s="57" t="n"/>
      <c r="C259" s="58" t="n"/>
      <c r="D259" s="58" t="n"/>
      <c r="E259" s="59">
        <f>IF(N($AQ259)&gt;0,INDEX(rIni_ADM,$AQ259),"")</f>
        <v/>
      </c>
      <c r="F259" s="59">
        <f>IF(N($AQ259)&gt;0,INDEX(rLim_ADM,$AQ259),"")</f>
        <v/>
      </c>
      <c r="G259" s="59" t="n"/>
      <c r="H259" s="60" t="n"/>
      <c r="I259" s="60">
        <f>IF(N($W259)=0,"",IF(AND($S259=MesCiclo,1&gt;SemanaActual),"",MIN(1,SUMIFS(OFFSET($A$1,ROW(),29,1000-ROW(),1),OFFSET($A$1,ROW(),20,1000-ROW(),1),ROW(),OFFSET($A$1,ROW(),21,1000-ROW(),1),"Sub"))))</f>
        <v/>
      </c>
      <c r="J259" s="60">
        <f>IF(N($W259)=0,"",IF(AND($S259=MesCiclo,2&gt;SemanaActual),"",MIN(1,SUMIFS(OFFSET($A$1,ROW(),30,1000-ROW(),1),OFFSET($A$1,ROW(),20,1000-ROW(),1),ROW(),OFFSET($A$1,ROW(),21,1000-ROW(),1),"Sub"))))</f>
        <v/>
      </c>
      <c r="K259" s="60">
        <f>IF(N($W259)=0,"",IF(AND($S259=MesCiclo,3&gt;SemanaActual),"",MIN(1,SUMIFS(OFFSET($A$1,ROW(),31,1000-ROW(),1),OFFSET($A$1,ROW(),20,1000-ROW(),1),ROW(),OFFSET($A$1,ROW(),21,1000-ROW(),1),"Sub"))))</f>
        <v/>
      </c>
      <c r="L259" s="60">
        <f>IF(N($W259)=0,"",IF(AND($S259=MesCiclo,4&gt;SemanaActual),"",MIN(1,SUMIFS(OFFSET($A$1,ROW(),32,1000-ROW(),1),OFFSET($A$1,ROW(),20,1000-ROW(),1),ROW(),OFFSET($A$1,ROW(),21,1000-ROW(),1),"Sub"))))</f>
        <v/>
      </c>
      <c r="M259" s="61">
        <f>IF(OR(NOT((COUNTA($B259:$D259)+COUNTA($G259:$H259)+COUNTA($Q259))&gt;0),$V259="Sub"),"",IF(ISNUMBER($G259),1,IF(N($W259)&gt;0,MIN(1,SUMIFS($Y$5:$Y$1000,$U$5:$U$1000,ROW(),$V$5:$V$1000,"Sub")),$Y259)))</f>
        <v/>
      </c>
      <c r="N259" s="56">
        <f>IF(OR($M259="",$V259="Sub"),"",IF($M259&gt;=1,"Completado",IF($M259&gt;0,"En curso","Pendiente")))</f>
        <v/>
      </c>
      <c r="O259" s="56">
        <f>IF(OR(NOT((COUNTA($B259:$D259)+COUNTA($G259:$H259)+COUNTA($Q259))&gt;0),$V259="Sub"),"",IF(ISNUMBER($G259),IF(AND(ISNUMBER($AS259),$G259&gt;$AS259),"Cumplida con "&amp;($G259-$AS259)&amp;IF($G259-$AS259=1," día"," días")&amp;" de retraso","Cumplida"),IF(N($M259)&gt;=1,"Cumplida",IF(NOT(ISNUMBER($AS259)),"Sin fecha límite",IF($AS259&lt;FechaRef,"Vencida hace "&amp;(FechaRef-$AS259)&amp;IF(FechaRef-$AS259=1," día"," días"),IF($AS259=FechaRef,"Vence hoy",IF($AS259-FechaRef&lt;=DiasAlerta,"Vence en "&amp;($AS259-FechaRef)&amp;IF($AS259-FechaRef=1," día"," días"),"En plazo")))))))</f>
        <v/>
      </c>
      <c r="P259" s="62" t="n"/>
      <c r="Q259" s="58" t="n"/>
      <c r="R259" s="63">
        <f>IF(NOT((COUNTA($B259:$D259)+COUNTA($G259:$H259)+COUNTA($Q259))&gt;0),"",IF((IF($C259="","Falta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 OK","⚠ "&amp;LEFT(IF($C259="","Falta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",""),LEN(IF($C259="","Falta el nombre de la actividad"&amp;" · ","")&amp;IF(AND($V259="Sub",N($U259)=0),"Subactividad sin macroactividad arriba"&amp;" · ","")&amp;IF(AND($V259="Macro",$AR259=""),"Sin fecha de inicio"&amp;" · ","")&amp;IF(AND($V259="Macro",$AS259=""),"Sin fecha límite"&amp;" · ","")&amp;IF(AND(LEFT($C259,11)="[Jefatura] ",N($AQ259)=0),"No se encuentra en la hoja de la jefatura (elíjala de nuevo en la lista)"&amp;" · ","")&amp;IF(OR(AND($E259&lt;&gt;"",NOT(ISNUMBER($E259))),AND($F259&lt;&gt;"",NOT(ISNUMBER($F259))),AND($G259&lt;&gt;"",NOT(ISNUMBER($G259)))),"Fecha no válida"&amp;" · ","")&amp;IF(AND(ISNUMBER($AR259),ISNUMBER($AS259),$AR259&gt;$AS259),"Inicio posterior a fecha límite"&amp;" · ","")&amp;IF(AND($V259="Macro",$H259&lt;&gt;"",OR(NOT(ISNUMBER($H259)),$H259&lt;0,$H259&gt;1)),"Peso fuera de rango"&amp;" · ","")&amp;IF(AND($V259="Sub",$H259&lt;&gt;"",OR(NOT(ISNUMBER($H259)),$H259&lt;0,$H259&gt;1)),"% de la subactividad fuera de rango 0-100%"&amp;" · ","")&amp;IF(AND(N($W259)&gt;0,SUMIFS($H$5:$H$1000,$U$5:$U$1000,ROW(),$V$5:$V$1000,"Sub")&gt;1.0001),"Las subactividades suman más de 100%"&amp;" · ","")&amp;IF(AND(N($W259)&gt;0,OR(IF(ISNUMBER($I259),ROUND($I259,6)&lt;&gt;ROUND(MIN(1,SUMIFS($AD$5:$AD$1000,$U$5:$U$1000,ROW(),$V$5:$V$1000,"Sub")),6),FALSE),IF(ISNUMBER($J259),ROUND($J259,6)&lt;&gt;ROUND(MIN(1,SUMIFS($AE$5:$AE$1000,$U$5:$U$1000,ROW(),$V$5:$V$1000,"Sub")),6),FALSE),IF(ISNUMBER($K259),ROUND($K259,6)&lt;&gt;ROUND(MIN(1,SUMIFS($AF$5:$AF$1000,$U$5:$U$1000,ROW(),$V$5:$V$1000,"Sub")),6),FALSE),IF(ISNUMBER($L259),ROUND($L259,6)&lt;&gt;ROUND(MIN(1,SUMIFS($AG$5:$AG$1000,$U$5:$U$1000,ROW(),$V$5:$V$1000,"Sub")),6),FALSE))),"Con subactividades: no escriba en las semanas (se llenan solas)"&amp;" · ","")&amp;IF((COUNTIF($I259:$L259,"&gt;1")+COUNTIF($I259:$L259,"&lt;0")+SUMPRODUCT((LEN($I259:$L259)&gt;0)*NOT(ISNUMBER($I259:$L259))))&gt;0,"Avance fuera de rango 0-100%"&amp;" · ","")&amp;IF(OR(AND(ISNUMBER($J259),$J259&lt;N($I259)),AND(ISNUMBER($K259),$K259&lt;MAX($I259:$J259)),AND(ISNUMBER($L259),$L259&lt;MAX($I259:$K259))),"Avance semanal decreciente"&amp;" · ","")&amp;IF(AND(ISNUMBER($AS259),$AS259&lt;FechaRef,IF($V259="Sub",1,N($M259))&lt;1),"Vencida"&amp;" · ","")&amp;IF(AND(ObsObligatoria="Sí",ISNUMBER($AS259),$AS259&lt;FechaRef,IF($V259="Sub",1,N($M259))&lt;1,$Q259=""),"Vencida sin observación"&amp;" · ",""))-3)))</f>
        <v/>
      </c>
      <c r="S259" s="64">
        <f>IF(NOT((COUNTA($B259:$D259)+COUNTA($G259:$H259)+COUNTA($Q259))&gt;0),"",IF(AND($V259="Sub",N($U259)&gt;0),IF(ISNUMBER(INDEX($AR$5:$AR$1000,$U259-4)),DATE(YEAR(INDEX($AR$5:$AR$1000,$U259-4)),MONTH(INDEX($AR$5:$AR$1000,$U259-4)),1),IF(ISNUMBER(INDEX($AS$5:$AS$1000,$U259-4)),DATE(YEAR(INDEX($AS$5:$AS$1000,$U259-4)),MONTH(INDEX($AS$5:$AS$1000,$U259-4)),1),MesCiclo)),IF(ISNUMBER($AR259),DATE(YEAR($AR259),MONTH($AR259),1),IF(ISNUMBER($AS259),DATE(YEAR($AS259),MONTH($AS259),1),MesCiclo))))</f>
        <v/>
      </c>
      <c r="T259" s="62">
        <f>IF(OR($S259="",$S259&lt;&gt;MesCiclo,$V259&lt;&gt;"Macro"),"",COUNTIFS($S$5:$S259,MesCiclo,$V$5:$V259,"Macro"))</f>
        <v/>
      </c>
      <c r="U259" s="62">
        <f>IF($V259="","",IF($V259="Macro",ROW(),IFERROR(LOOKUP(2,1/($V$5:$V259="Macro"),ROW($V$5:$V259)),0)))</f>
        <v/>
      </c>
      <c r="V259" s="62">
        <f>IF(NOT((COUNTA($B259:$D259)+COUNTA($G259:$H259)+COUNTA($Q259))&gt;0),"",IF($B259="Subactividad","Sub","Macro"))</f>
        <v/>
      </c>
      <c r="W259" s="62">
        <f>IF($V259="Macro",COUNTIFS($U$5:$U$1000,ROW(),$V$5:$V$1000,"Sub"),"")</f>
        <v/>
      </c>
      <c r="X259" s="62">
        <f>IF($V259&lt;&gt;"Sub","",IF(AND(ISNUMBER($H259),N($H259)&gt;0),$H259,IFERROR(MAX(0,1-SUMIFS($H$5:$H$1000,$U$5:$U$1000,$U259,$V$5:$V$1000,"Sub"))/(COUNTIFS($U$5:$U$1000,$U259,$V$5:$V$1000,"Sub")-COUNTIFS($U$5:$U$1000,$U259,$V$5:$V$1000,"Sub",$H$5:$H$1000,"&gt;0")),0)))</f>
        <v/>
      </c>
      <c r="Y259" s="62">
        <f>IF($V259="","",IF($V259="Sub",N($X259)*IF(ISNUMBER($G259),1,MIN(1,MAX(0,IFERROR(LOOKUP(2,1/ISNUMBER($I259:$L259),$I259:$L259),0)))),IF(ISNUMBER($G259),1,IFERROR(LOOKUP(2,1/($I259:$L259&lt;&gt;""),$I259:$L259),0))))</f>
        <v/>
      </c>
      <c r="Z259" s="62">
        <f>IF($V259="","",IF(AND(ISNUMBER($G259),$G259&lt;=IF($S259=MesCiclo,InicioCiclo,$S259+MOD(2-WEEKDAY($S259),7))+6),1,IF(ISNUMBER($I259),$I259,0)))</f>
        <v/>
      </c>
      <c r="AA259" s="62">
        <f>IF($V259="","",IF(AND(ISNUMBER($G259),$G259&lt;=IF($S259=MesCiclo,InicioCiclo,$S259+MOD(2-WEEKDAY($S259),7))+13),1,IF(ISNUMBER($J259),$J259,$Z259)))</f>
        <v/>
      </c>
      <c r="AB259" s="62">
        <f>IF($V259="","",IF(AND(ISNUMBER($G259),$G259&lt;=IF($S259=MesCiclo,InicioCiclo,$S259+MOD(2-WEEKDAY($S259),7))+20),1,IF(ISNUMBER($K259),$K259,$AA259)))</f>
        <v/>
      </c>
      <c r="AC259" s="62">
        <f>IF($V259="","",IF(AND(ISNUMBER($G259),$G259&lt;=IF($S259=MesCiclo,InicioCiclo,$S259+MOD(2-WEEKDAY($S259),7))+27),1,IF(ISNUMBER($L259),$L259,$AB259)))</f>
        <v/>
      </c>
      <c r="AD259" s="62">
        <f>IF($V259&lt;&gt;"Sub","",N($X259)*IF(AND(ISNUMBER($G259),$G259&lt;=IF($S259=MesCiclo,InicioCiclo,$S259+MOD(2-WEEKDAY($S259),7))+6),1,MIN(1,MAX(0,IF(ISNUMBER(OFFSET($A$1,ROW()-1,8)),OFFSET($A$1,ROW()-1,8),0)))))</f>
        <v/>
      </c>
      <c r="AE259" s="62">
        <f>IF($V259&lt;&gt;"Sub","",N($X259)*IF(AND(ISNUMBER($G259),$G259&lt;=IF($S259=MesCiclo,InicioCiclo,$S259+MOD(2-WEEKDAY($S259),7))+13),1,MIN(1,MAX(0,IF(ISNUMBER(OFFSET($A$1,ROW()-1,9)),OFFSET($A$1,ROW()-1,9),IF(ISNUMBER(OFFSET($A$1,ROW()-1,8)),OFFSET($A$1,ROW()-1,8),0))))))</f>
        <v/>
      </c>
      <c r="AF259" s="62">
        <f>IF($V259&lt;&gt;"Sub","",N($X259)*IF(AND(ISNUMBER($G259),$G259&lt;=IF($S259=MesCiclo,InicioCiclo,$S259+MOD(2-WEEKDAY($S259),7))+20),1,MIN(1,MAX(0,IF(ISNUMBER(OFFSET($A$1,ROW()-1,10)),OFFSET($A$1,ROW()-1,10),IF(ISNUMBER(OFFSET($A$1,ROW()-1,9)),OFFSET($A$1,ROW()-1,9),IF(ISNUMBER(OFFSET($A$1,ROW()-1,8)),OFFSET($A$1,ROW()-1,8),0)))))))</f>
        <v/>
      </c>
      <c r="AG259" s="62">
        <f>IF($V259&lt;&gt;"Sub","",N($X259)*IF(AND(ISNUMBER($G259),$G259&lt;=IF($S259=MesCiclo,InicioCiclo,$S259+MOD(2-WEEKDAY($S259),7))+27),1,MIN(1,MAX(0,IF(ISNUMBER(OFFSET($A$1,ROW()-1,11)),OFFSET($A$1,ROW()-1,11),IF(ISNUMBER(OFFSET($A$1,ROW()-1,10)),OFFSET($A$1,ROW()-1,10),IF(ISNUMBER(OFFSET($A$1,ROW()-1,9)),OFFSET($A$1,ROW()-1,9),IF(ISNUMBER(OFFSET($A$1,ROW()-1,8)),OFFSET($A$1,ROW()-1,8),0))))))))</f>
        <v/>
      </c>
      <c r="AH259" s="62">
        <f>IF($V259="","",IF(AND(ISNUMBER($G259),$G259&lt;=IF($S259=MesCiclo,InicioCiclo,$S259+MOD(2-WEEKDAY($S259),7))+6),1,IF(N($W259)&gt;0,MIN(1,SUMIFS($AD$5:$AD$1000,$U$5:$U$1000,ROW(),$V$5:$V$1000,"Sub")),$Z259)))</f>
        <v/>
      </c>
      <c r="AI259" s="62">
        <f>IF($V259="","",IF(AND(ISNUMBER($G259),$G259&lt;=IF($S259=MesCiclo,InicioCiclo,$S259+MOD(2-WEEKDAY($S259),7))+13),1,IF(N($W259)&gt;0,MIN(1,SUMIFS($AE$5:$AE$1000,$U$5:$U$1000,ROW(),$V$5:$V$1000,"Sub")),$AA259)))</f>
        <v/>
      </c>
      <c r="AJ259" s="62">
        <f>IF($V259="","",IF(AND(ISNUMBER($G259),$G259&lt;=IF($S259=MesCiclo,InicioCiclo,$S259+MOD(2-WEEKDAY($S259),7))+20),1,IF(N($W259)&gt;0,MIN(1,SUMIFS($AF$5:$AF$1000,$U$5:$U$1000,ROW(),$V$5:$V$1000,"Sub")),$AB259)))</f>
        <v/>
      </c>
      <c r="AK259" s="62">
        <f>IF($V259="","",IF(AND(ISNUMBER($G259),$G259&lt;=IF($S259=MesCiclo,InicioCiclo,$S259+MOD(2-WEEKDAY($S259),7))+27),1,IF(N($W259)&gt;0,MIN(1,SUMIFS($AG$5:$AG$1000,$U$5:$U$1000,ROW(),$V$5:$V$1000,"Sub")),$AC259)))</f>
        <v/>
      </c>
      <c r="AL259" s="62">
        <f>IF($V259&lt;&gt;"Macro","",IF(COUNTIFS($S$5:$S$1000,$S259,$V$5:$V$1000,"Macro",$H$5:$H$1000,"&gt;0")=0,1/COUNTIFS($S$5:$S$1000,$S259,$V$5:$V$1000,"Macro"),IF(AND(ISNUMBER($H259),N($H259)&gt;0),$H259,SUMIFS($H$5:$H$1000,$S$5:$S$1000,$S259,$V$5:$V$1000,"Macro")/COUNTIFS($S$5:$S$1000,$S259,$V$5:$V$1000,"Macro",$H$5:$H$1000,"&gt;0"))/(COUNTIFS($S$5:$S$1000,$S259,$V$5:$V$1000,"Macro")*SUMIFS($H$5:$H$1000,$S$5:$S$1000,$S259,$V$5:$V$1000,"Macro")/COUNTIFS($S$5:$S$1000,$S259,$V$5:$V$1000,"Macro",$H$5:$H$1000,"&gt;0"))))</f>
        <v/>
      </c>
      <c r="AM259" s="62" t="n"/>
      <c r="AN259" s="62" t="n"/>
      <c r="AO259" s="62" t="n"/>
      <c r="AP259" s="62" t="n"/>
      <c r="AQ259" s="62">
        <f>IF(LEFT($C259,11)="[Jefatura] ",IFERROR(MATCH("Asistente Técnico de Riesgo|"&amp;MID($C259,12,500),rDname_ADM,0),0),"")</f>
        <v/>
      </c>
      <c r="AR259" s="62">
        <f>IF(N($AQ259)&gt;0,INDEX(rIni_ADM,$AQ259),IF(ISNUMBER($E259),$E259,""))</f>
        <v/>
      </c>
      <c r="AS259" s="62">
        <f>IF(N($AQ259)&gt;0,INDEX(rLim_ADM,$AQ259),IF(ISNUMBER($F259),$F259,""))</f>
        <v/>
      </c>
    </row>
    <row r="260">
      <c r="A260" s="56">
        <f>IF(NOT((COUNTA($B260:$D260)+COUNTA($G260:$H260)+COUNTA($Q260))&gt;0),"",IF($V260="Macro",COUNTIFS($V$5:$V260,"Macro",$S$5:$S260,$S260),IF(N($U260)=0,"?",COUNTIFS(INDEX($V$5:$V$1000,1):INDEX($V$5:$V$1000,$U260-4),"Macro",INDEX($S$5:$S$1000,1):INDEX($S$5:$S$1000,$U260-4),INDEX($S$5:$S$1000,$U260-4))&amp;"."&amp;COUNTIFS($U$5:$U260,$U260,$V$5:$V260,"Sub"))))</f>
        <v/>
      </c>
      <c r="B260" s="57" t="n"/>
      <c r="C260" s="58" t="n"/>
      <c r="D260" s="58" t="n"/>
      <c r="E260" s="59">
        <f>IF(N($AQ260)&gt;0,INDEX(rIni_ADM,$AQ260),"")</f>
        <v/>
      </c>
      <c r="F260" s="59">
        <f>IF(N($AQ260)&gt;0,INDEX(rLim_ADM,$AQ260),"")</f>
        <v/>
      </c>
      <c r="G260" s="59" t="n"/>
      <c r="H260" s="60" t="n"/>
      <c r="I260" s="60">
        <f>IF(N($W260)=0,"",IF(AND($S260=MesCiclo,1&gt;SemanaActual),"",MIN(1,SUMIFS(OFFSET($A$1,ROW(),29,1000-ROW(),1),OFFSET($A$1,ROW(),20,1000-ROW(),1),ROW(),OFFSET($A$1,ROW(),21,1000-ROW(),1),"Sub"))))</f>
        <v/>
      </c>
      <c r="J260" s="60">
        <f>IF(N($W260)=0,"",IF(AND($S260=MesCiclo,2&gt;SemanaActual),"",MIN(1,SUMIFS(OFFSET($A$1,ROW(),30,1000-ROW(),1),OFFSET($A$1,ROW(),20,1000-ROW(),1),ROW(),OFFSET($A$1,ROW(),21,1000-ROW(),1),"Sub"))))</f>
        <v/>
      </c>
      <c r="K260" s="60">
        <f>IF(N($W260)=0,"",IF(AND($S260=MesCiclo,3&gt;SemanaActual),"",MIN(1,SUMIFS(OFFSET($A$1,ROW(),31,1000-ROW(),1),OFFSET($A$1,ROW(),20,1000-ROW(),1),ROW(),OFFSET($A$1,ROW(),21,1000-ROW(),1),"Sub"))))</f>
        <v/>
      </c>
      <c r="L260" s="60">
        <f>IF(N($W260)=0,"",IF(AND($S260=MesCiclo,4&gt;SemanaActual),"",MIN(1,SUMIFS(OFFSET($A$1,ROW(),32,1000-ROW(),1),OFFSET($A$1,ROW(),20,1000-ROW(),1),ROW(),OFFSET($A$1,ROW(),21,1000-ROW(),1),"Sub"))))</f>
        <v/>
      </c>
      <c r="M260" s="61">
        <f>IF(OR(NOT((COUNTA($B260:$D260)+COUNTA($G260:$H260)+COUNTA($Q260))&gt;0),$V260="Sub"),"",IF(ISNUMBER($G260),1,IF(N($W260)&gt;0,MIN(1,SUMIFS($Y$5:$Y$1000,$U$5:$U$1000,ROW(),$V$5:$V$1000,"Sub")),$Y260)))</f>
        <v/>
      </c>
      <c r="N260" s="56">
        <f>IF(OR($M260="",$V260="Sub"),"",IF($M260&gt;=1,"Completado",IF($M260&gt;0,"En curso","Pendiente")))</f>
        <v/>
      </c>
      <c r="O260" s="56">
        <f>IF(OR(NOT((COUNTA($B260:$D260)+COUNTA($G260:$H260)+COUNTA($Q260))&gt;0),$V260="Sub"),"",IF(ISNUMBER($G260),IF(AND(ISNUMBER($AS260),$G260&gt;$AS260),"Cumplida con "&amp;($G260-$AS260)&amp;IF($G260-$AS260=1," día"," días")&amp;" de retraso","Cumplida"),IF(N($M260)&gt;=1,"Cumplida",IF(NOT(ISNUMBER($AS260)),"Sin fecha límite",IF($AS260&lt;FechaRef,"Vencida hace "&amp;(FechaRef-$AS260)&amp;IF(FechaRef-$AS260=1," día"," días"),IF($AS260=FechaRef,"Vence hoy",IF($AS260-FechaRef&lt;=DiasAlerta,"Vence en "&amp;($AS260-FechaRef)&amp;IF($AS260-FechaRef=1," día"," días"),"En plazo")))))))</f>
        <v/>
      </c>
      <c r="P260" s="62" t="n"/>
      <c r="Q260" s="58" t="n"/>
      <c r="R260" s="63">
        <f>IF(NOT((COUNTA($B260:$D260)+COUNTA($G260:$H260)+COUNTA($Q260))&gt;0),"",IF((IF($C260="","Falta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 OK","⚠ "&amp;LEFT(IF($C260="","Falta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",""),LEN(IF($C260="","Falta el nombre de la actividad"&amp;" · ","")&amp;IF(AND($V260="Sub",N($U260)=0),"Subactividad sin macroactividad arriba"&amp;" · ","")&amp;IF(AND($V260="Macro",$AR260=""),"Sin fecha de inicio"&amp;" · ","")&amp;IF(AND($V260="Macro",$AS260=""),"Sin fecha límite"&amp;" · ","")&amp;IF(AND(LEFT($C260,11)="[Jefatura] ",N($AQ260)=0),"No se encuentra en la hoja de la jefatura (elíjala de nuevo en la lista)"&amp;" · ","")&amp;IF(OR(AND($E260&lt;&gt;"",NOT(ISNUMBER($E260))),AND($F260&lt;&gt;"",NOT(ISNUMBER($F260))),AND($G260&lt;&gt;"",NOT(ISNUMBER($G260)))),"Fecha no válida"&amp;" · ","")&amp;IF(AND(ISNUMBER($AR260),ISNUMBER($AS260),$AR260&gt;$AS260),"Inicio posterior a fecha límite"&amp;" · ","")&amp;IF(AND($V260="Macro",$H260&lt;&gt;"",OR(NOT(ISNUMBER($H260)),$H260&lt;0,$H260&gt;1)),"Peso fuera de rango"&amp;" · ","")&amp;IF(AND($V260="Sub",$H260&lt;&gt;"",OR(NOT(ISNUMBER($H260)),$H260&lt;0,$H260&gt;1)),"% de la subactividad fuera de rango 0-100%"&amp;" · ","")&amp;IF(AND(N($W260)&gt;0,SUMIFS($H$5:$H$1000,$U$5:$U$1000,ROW(),$V$5:$V$1000,"Sub")&gt;1.0001),"Las subactividades suman más de 100%"&amp;" · ","")&amp;IF(AND(N($W260)&gt;0,OR(IF(ISNUMBER($I260),ROUND($I260,6)&lt;&gt;ROUND(MIN(1,SUMIFS($AD$5:$AD$1000,$U$5:$U$1000,ROW(),$V$5:$V$1000,"Sub")),6),FALSE),IF(ISNUMBER($J260),ROUND($J260,6)&lt;&gt;ROUND(MIN(1,SUMIFS($AE$5:$AE$1000,$U$5:$U$1000,ROW(),$V$5:$V$1000,"Sub")),6),FALSE),IF(ISNUMBER($K260),ROUND($K260,6)&lt;&gt;ROUND(MIN(1,SUMIFS($AF$5:$AF$1000,$U$5:$U$1000,ROW(),$V$5:$V$1000,"Sub")),6),FALSE),IF(ISNUMBER($L260),ROUND($L260,6)&lt;&gt;ROUND(MIN(1,SUMIFS($AG$5:$AG$1000,$U$5:$U$1000,ROW(),$V$5:$V$1000,"Sub")),6),FALSE))),"Con subactividades: no escriba en las semanas (se llenan solas)"&amp;" · ","")&amp;IF((COUNTIF($I260:$L260,"&gt;1")+COUNTIF($I260:$L260,"&lt;0")+SUMPRODUCT((LEN($I260:$L260)&gt;0)*NOT(ISNUMBER($I260:$L260))))&gt;0,"Avance fuera de rango 0-100%"&amp;" · ","")&amp;IF(OR(AND(ISNUMBER($J260),$J260&lt;N($I260)),AND(ISNUMBER($K260),$K260&lt;MAX($I260:$J260)),AND(ISNUMBER($L260),$L260&lt;MAX($I260:$K260))),"Avance semanal decreciente"&amp;" · ","")&amp;IF(AND(ISNUMBER($AS260),$AS260&lt;FechaRef,IF($V260="Sub",1,N($M260))&lt;1),"Vencida"&amp;" · ","")&amp;IF(AND(ObsObligatoria="Sí",ISNUMBER($AS260),$AS260&lt;FechaRef,IF($V260="Sub",1,N($M260))&lt;1,$Q260=""),"Vencida sin observación"&amp;" · ",""))-3)))</f>
        <v/>
      </c>
      <c r="S260" s="64">
        <f>IF(NOT((COUNTA($B260:$D260)+COUNTA($G260:$H260)+COUNTA($Q260))&gt;0),"",IF(AND($V260="Sub",N($U260)&gt;0),IF(ISNUMBER(INDEX($AR$5:$AR$1000,$U260-4)),DATE(YEAR(INDEX($AR$5:$AR$1000,$U260-4)),MONTH(INDEX($AR$5:$AR$1000,$U260-4)),1),IF(ISNUMBER(INDEX($AS$5:$AS$1000,$U260-4)),DATE(YEAR(INDEX($AS$5:$AS$1000,$U260-4)),MONTH(INDEX($AS$5:$AS$1000,$U260-4)),1),MesCiclo)),IF(ISNUMBER($AR260),DATE(YEAR($AR260),MONTH($AR260),1),IF(ISNUMBER($AS260),DATE(YEAR($AS260),MONTH($AS260),1),MesCiclo))))</f>
        <v/>
      </c>
      <c r="T260" s="62">
        <f>IF(OR($S260="",$S260&lt;&gt;MesCiclo,$V260&lt;&gt;"Macro"),"",COUNTIFS($S$5:$S260,MesCiclo,$V$5:$V260,"Macro"))</f>
        <v/>
      </c>
      <c r="U260" s="62">
        <f>IF($V260="","",IF($V260="Macro",ROW(),IFERROR(LOOKUP(2,1/($V$5:$V260="Macro"),ROW($V$5:$V260)),0)))</f>
        <v/>
      </c>
      <c r="V260" s="62">
        <f>IF(NOT((COUNTA($B260:$D260)+COUNTA($G260:$H260)+COUNTA($Q260))&gt;0),"",IF($B260="Subactividad","Sub","Macro"))</f>
        <v/>
      </c>
      <c r="W260" s="62">
        <f>IF($V260="Macro",COUNTIFS($U$5:$U$1000,ROW(),$V$5:$V$1000,"Sub"),"")</f>
        <v/>
      </c>
      <c r="X260" s="62">
        <f>IF($V260&lt;&gt;"Sub","",IF(AND(ISNUMBER($H260),N($H260)&gt;0),$H260,IFERROR(MAX(0,1-SUMIFS($H$5:$H$1000,$U$5:$U$1000,$U260,$V$5:$V$1000,"Sub"))/(COUNTIFS($U$5:$U$1000,$U260,$V$5:$V$1000,"Sub")-COUNTIFS($U$5:$U$1000,$U260,$V$5:$V$1000,"Sub",$H$5:$H$1000,"&gt;0")),0)))</f>
        <v/>
      </c>
      <c r="Y260" s="62">
        <f>IF($V260="","",IF($V260="Sub",N($X260)*IF(ISNUMBER($G260),1,MIN(1,MAX(0,IFERROR(LOOKUP(2,1/ISNUMBER($I260:$L260),$I260:$L260),0)))),IF(ISNUMBER($G260),1,IFERROR(LOOKUP(2,1/($I260:$L260&lt;&gt;""),$I260:$L260),0))))</f>
        <v/>
      </c>
      <c r="Z260" s="62">
        <f>IF($V260="","",IF(AND(ISNUMBER($G260),$G260&lt;=IF($S260=MesCiclo,InicioCiclo,$S260+MOD(2-WEEKDAY($S260),7))+6),1,IF(ISNUMBER($I260),$I260,0)))</f>
        <v/>
      </c>
      <c r="AA260" s="62">
        <f>IF($V260="","",IF(AND(ISNUMBER($G260),$G260&lt;=IF($S260=MesCiclo,InicioCiclo,$S260+MOD(2-WEEKDAY($S260),7))+13),1,IF(ISNUMBER($J260),$J260,$Z260)))</f>
        <v/>
      </c>
      <c r="AB260" s="62">
        <f>IF($V260="","",IF(AND(ISNUMBER($G260),$G260&lt;=IF($S260=MesCiclo,InicioCiclo,$S260+MOD(2-WEEKDAY($S260),7))+20),1,IF(ISNUMBER($K260),$K260,$AA260)))</f>
        <v/>
      </c>
      <c r="AC260" s="62">
        <f>IF($V260="","",IF(AND(ISNUMBER($G260),$G260&lt;=IF($S260=MesCiclo,InicioCiclo,$S260+MOD(2-WEEKDAY($S260),7))+27),1,IF(ISNUMBER($L260),$L260,$AB260)))</f>
        <v/>
      </c>
      <c r="AD260" s="62">
        <f>IF($V260&lt;&gt;"Sub","",N($X260)*IF(AND(ISNUMBER($G260),$G260&lt;=IF($S260=MesCiclo,InicioCiclo,$S260+MOD(2-WEEKDAY($S260),7))+6),1,MIN(1,MAX(0,IF(ISNUMBER(OFFSET($A$1,ROW()-1,8)),OFFSET($A$1,ROW()-1,8),0)))))</f>
        <v/>
      </c>
      <c r="AE260" s="62">
        <f>IF($V260&lt;&gt;"Sub","",N($X260)*IF(AND(ISNUMBER($G260),$G260&lt;=IF($S260=MesCiclo,InicioCiclo,$S260+MOD(2-WEEKDAY($S260),7))+13),1,MIN(1,MAX(0,IF(ISNUMBER(OFFSET($A$1,ROW()-1,9)),OFFSET($A$1,ROW()-1,9),IF(ISNUMBER(OFFSET($A$1,ROW()-1,8)),OFFSET($A$1,ROW()-1,8),0))))))</f>
        <v/>
      </c>
      <c r="AF260" s="62">
        <f>IF($V260&lt;&gt;"Sub","",N($X260)*IF(AND(ISNUMBER($G260),$G260&lt;=IF($S260=MesCiclo,InicioCiclo,$S260+MOD(2-WEEKDAY($S260),7))+20),1,MIN(1,MAX(0,IF(ISNUMBER(OFFSET($A$1,ROW()-1,10)),OFFSET($A$1,ROW()-1,10),IF(ISNUMBER(OFFSET($A$1,ROW()-1,9)),OFFSET($A$1,ROW()-1,9),IF(ISNUMBER(OFFSET($A$1,ROW()-1,8)),OFFSET($A$1,ROW()-1,8),0)))))))</f>
        <v/>
      </c>
      <c r="AG260" s="62">
        <f>IF($V260&lt;&gt;"Sub","",N($X260)*IF(AND(ISNUMBER($G260),$G260&lt;=IF($S260=MesCiclo,InicioCiclo,$S260+MOD(2-WEEKDAY($S260),7))+27),1,MIN(1,MAX(0,IF(ISNUMBER(OFFSET($A$1,ROW()-1,11)),OFFSET($A$1,ROW()-1,11),IF(ISNUMBER(OFFSET($A$1,ROW()-1,10)),OFFSET($A$1,ROW()-1,10),IF(ISNUMBER(OFFSET($A$1,ROW()-1,9)),OFFSET($A$1,ROW()-1,9),IF(ISNUMBER(OFFSET($A$1,ROW()-1,8)),OFFSET($A$1,ROW()-1,8),0))))))))</f>
        <v/>
      </c>
      <c r="AH260" s="62">
        <f>IF($V260="","",IF(AND(ISNUMBER($G260),$G260&lt;=IF($S260=MesCiclo,InicioCiclo,$S260+MOD(2-WEEKDAY($S260),7))+6),1,IF(N($W260)&gt;0,MIN(1,SUMIFS($AD$5:$AD$1000,$U$5:$U$1000,ROW(),$V$5:$V$1000,"Sub")),$Z260)))</f>
        <v/>
      </c>
      <c r="AI260" s="62">
        <f>IF($V260="","",IF(AND(ISNUMBER($G260),$G260&lt;=IF($S260=MesCiclo,InicioCiclo,$S260+MOD(2-WEEKDAY($S260),7))+13),1,IF(N($W260)&gt;0,MIN(1,SUMIFS($AE$5:$AE$1000,$U$5:$U$1000,ROW(),$V$5:$V$1000,"Sub")),$AA260)))</f>
        <v/>
      </c>
      <c r="AJ260" s="62">
        <f>IF($V260="","",IF(AND(ISNUMBER($G260),$G260&lt;=IF($S260=MesCiclo,InicioCiclo,$S260+MOD(2-WEEKDAY($S260),7))+20),1,IF(N($W260)&gt;0,MIN(1,SUMIFS($AF$5:$AF$1000,$U$5:$U$1000,ROW(),$V$5:$V$1000,"Sub")),$AB260)))</f>
        <v/>
      </c>
      <c r="AK260" s="62">
        <f>IF($V260="","",IF(AND(ISNUMBER($G260),$G260&lt;=IF($S260=MesCiclo,InicioCiclo,$S260+MOD(2-WEEKDAY($S260),7))+27),1,IF(N($W260)&gt;0,MIN(1,SUMIFS($AG$5:$AG$1000,$U$5:$U$1000,ROW(),$V$5:$V$1000,"Sub")),$AC260)))</f>
        <v/>
      </c>
      <c r="AL260" s="62">
        <f>IF($V260&lt;&gt;"Macro","",IF(COUNTIFS($S$5:$S$1000,$S260,$V$5:$V$1000,"Macro",$H$5:$H$1000,"&gt;0")=0,1/COUNTIFS($S$5:$S$1000,$S260,$V$5:$V$1000,"Macro"),IF(AND(ISNUMBER($H260),N($H260)&gt;0),$H260,SUMIFS($H$5:$H$1000,$S$5:$S$1000,$S260,$V$5:$V$1000,"Macro")/COUNTIFS($S$5:$S$1000,$S260,$V$5:$V$1000,"Macro",$H$5:$H$1000,"&gt;0"))/(COUNTIFS($S$5:$S$1000,$S260,$V$5:$V$1000,"Macro")*SUMIFS($H$5:$H$1000,$S$5:$S$1000,$S260,$V$5:$V$1000,"Macro")/COUNTIFS($S$5:$S$1000,$S260,$V$5:$V$1000,"Macro",$H$5:$H$1000,"&gt;0"))))</f>
        <v/>
      </c>
      <c r="AM260" s="62" t="n"/>
      <c r="AN260" s="62" t="n"/>
      <c r="AO260" s="62" t="n"/>
      <c r="AP260" s="62" t="n"/>
      <c r="AQ260" s="62">
        <f>IF(LEFT($C260,11)="[Jefatura] ",IFERROR(MATCH("Asistente Técnico de Riesgo|"&amp;MID($C260,12,500),rDname_ADM,0),0),"")</f>
        <v/>
      </c>
      <c r="AR260" s="62">
        <f>IF(N($AQ260)&gt;0,INDEX(rIni_ADM,$AQ260),IF(ISNUMBER($E260),$E260,""))</f>
        <v/>
      </c>
      <c r="AS260" s="62">
        <f>IF(N($AQ260)&gt;0,INDEX(rLim_ADM,$AQ260),IF(ISNUMBER($F260),$F260,""))</f>
        <v/>
      </c>
    </row>
    <row r="261">
      <c r="A261" s="56">
        <f>IF(NOT((COUNTA($B261:$D261)+COUNTA($G261:$H261)+COUNTA($Q261))&gt;0),"",IF($V261="Macro",COUNTIFS($V$5:$V261,"Macro",$S$5:$S261,$S261),IF(N($U261)=0,"?",COUNTIFS(INDEX($V$5:$V$1000,1):INDEX($V$5:$V$1000,$U261-4),"Macro",INDEX($S$5:$S$1000,1):INDEX($S$5:$S$1000,$U261-4),INDEX($S$5:$S$1000,$U261-4))&amp;"."&amp;COUNTIFS($U$5:$U261,$U261,$V$5:$V261,"Sub"))))</f>
        <v/>
      </c>
      <c r="B261" s="57" t="n"/>
      <c r="C261" s="58" t="n"/>
      <c r="D261" s="58" t="n"/>
      <c r="E261" s="59">
        <f>IF(N($AQ261)&gt;0,INDEX(rIni_ADM,$AQ261),"")</f>
        <v/>
      </c>
      <c r="F261" s="59">
        <f>IF(N($AQ261)&gt;0,INDEX(rLim_ADM,$AQ261),"")</f>
        <v/>
      </c>
      <c r="G261" s="59" t="n"/>
      <c r="H261" s="60" t="n"/>
      <c r="I261" s="60">
        <f>IF(N($W261)=0,"",IF(AND($S261=MesCiclo,1&gt;SemanaActual),"",MIN(1,SUMIFS(OFFSET($A$1,ROW(),29,1000-ROW(),1),OFFSET($A$1,ROW(),20,1000-ROW(),1),ROW(),OFFSET($A$1,ROW(),21,1000-ROW(),1),"Sub"))))</f>
        <v/>
      </c>
      <c r="J261" s="60">
        <f>IF(N($W261)=0,"",IF(AND($S261=MesCiclo,2&gt;SemanaActual),"",MIN(1,SUMIFS(OFFSET($A$1,ROW(),30,1000-ROW(),1),OFFSET($A$1,ROW(),20,1000-ROW(),1),ROW(),OFFSET($A$1,ROW(),21,1000-ROW(),1),"Sub"))))</f>
        <v/>
      </c>
      <c r="K261" s="60">
        <f>IF(N($W261)=0,"",IF(AND($S261=MesCiclo,3&gt;SemanaActual),"",MIN(1,SUMIFS(OFFSET($A$1,ROW(),31,1000-ROW(),1),OFFSET($A$1,ROW(),20,1000-ROW(),1),ROW(),OFFSET($A$1,ROW(),21,1000-ROW(),1),"Sub"))))</f>
        <v/>
      </c>
      <c r="L261" s="60">
        <f>IF(N($W261)=0,"",IF(AND($S261=MesCiclo,4&gt;SemanaActual),"",MIN(1,SUMIFS(OFFSET($A$1,ROW(),32,1000-ROW(),1),OFFSET($A$1,ROW(),20,1000-ROW(),1),ROW(),OFFSET($A$1,ROW(),21,1000-ROW(),1),"Sub"))))</f>
        <v/>
      </c>
      <c r="M261" s="61">
        <f>IF(OR(NOT((COUNTA($B261:$D261)+COUNTA($G261:$H261)+COUNTA($Q261))&gt;0),$V261="Sub"),"",IF(ISNUMBER($G261),1,IF(N($W261)&gt;0,MIN(1,SUMIFS($Y$5:$Y$1000,$U$5:$U$1000,ROW(),$V$5:$V$1000,"Sub")),$Y261)))</f>
        <v/>
      </c>
      <c r="N261" s="56">
        <f>IF(OR($M261="",$V261="Sub"),"",IF($M261&gt;=1,"Completado",IF($M261&gt;0,"En curso","Pendiente")))</f>
        <v/>
      </c>
      <c r="O261" s="56">
        <f>IF(OR(NOT((COUNTA($B261:$D261)+COUNTA($G261:$H261)+COUNTA($Q261))&gt;0),$V261="Sub"),"",IF(ISNUMBER($G261),IF(AND(ISNUMBER($AS261),$G261&gt;$AS261),"Cumplida con "&amp;($G261-$AS261)&amp;IF($G261-$AS261=1," día"," días")&amp;" de retraso","Cumplida"),IF(N($M261)&gt;=1,"Cumplida",IF(NOT(ISNUMBER($AS261)),"Sin fecha límite",IF($AS261&lt;FechaRef,"Vencida hace "&amp;(FechaRef-$AS261)&amp;IF(FechaRef-$AS261=1," día"," días"),IF($AS261=FechaRef,"Vence hoy",IF($AS261-FechaRef&lt;=DiasAlerta,"Vence en "&amp;($AS261-FechaRef)&amp;IF($AS261-FechaRef=1," día"," días"),"En plazo")))))))</f>
        <v/>
      </c>
      <c r="P261" s="62" t="n"/>
      <c r="Q261" s="58" t="n"/>
      <c r="R261" s="63">
        <f>IF(NOT((COUNTA($B261:$D261)+COUNTA($G261:$H261)+COUNTA($Q261))&gt;0),"",IF((IF($C261="","Falta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 OK","⚠ "&amp;LEFT(IF($C261="","Falta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",""),LEN(IF($C261="","Falta el nombre de la actividad"&amp;" · ","")&amp;IF(AND($V261="Sub",N($U261)=0),"Subactividad sin macroactividad arriba"&amp;" · ","")&amp;IF(AND($V261="Macro",$AR261=""),"Sin fecha de inicio"&amp;" · ","")&amp;IF(AND($V261="Macro",$AS261=""),"Sin fecha límite"&amp;" · ","")&amp;IF(AND(LEFT($C261,11)="[Jefatura] ",N($AQ261)=0),"No se encuentra en la hoja de la jefatura (elíjala de nuevo en la lista)"&amp;" · ","")&amp;IF(OR(AND($E261&lt;&gt;"",NOT(ISNUMBER($E261))),AND($F261&lt;&gt;"",NOT(ISNUMBER($F261))),AND($G261&lt;&gt;"",NOT(ISNUMBER($G261)))),"Fecha no válida"&amp;" · ","")&amp;IF(AND(ISNUMBER($AR261),ISNUMBER($AS261),$AR261&gt;$AS261),"Inicio posterior a fecha límite"&amp;" · ","")&amp;IF(AND($V261="Macro",$H261&lt;&gt;"",OR(NOT(ISNUMBER($H261)),$H261&lt;0,$H261&gt;1)),"Peso fuera de rango"&amp;" · ","")&amp;IF(AND($V261="Sub",$H261&lt;&gt;"",OR(NOT(ISNUMBER($H261)),$H261&lt;0,$H261&gt;1)),"% de la subactividad fuera de rango 0-100%"&amp;" · ","")&amp;IF(AND(N($W261)&gt;0,SUMIFS($H$5:$H$1000,$U$5:$U$1000,ROW(),$V$5:$V$1000,"Sub")&gt;1.0001),"Las subactividades suman más de 100%"&amp;" · ","")&amp;IF(AND(N($W261)&gt;0,OR(IF(ISNUMBER($I261),ROUND($I261,6)&lt;&gt;ROUND(MIN(1,SUMIFS($AD$5:$AD$1000,$U$5:$U$1000,ROW(),$V$5:$V$1000,"Sub")),6),FALSE),IF(ISNUMBER($J261),ROUND($J261,6)&lt;&gt;ROUND(MIN(1,SUMIFS($AE$5:$AE$1000,$U$5:$U$1000,ROW(),$V$5:$V$1000,"Sub")),6),FALSE),IF(ISNUMBER($K261),ROUND($K261,6)&lt;&gt;ROUND(MIN(1,SUMIFS($AF$5:$AF$1000,$U$5:$U$1000,ROW(),$V$5:$V$1000,"Sub")),6),FALSE),IF(ISNUMBER($L261),ROUND($L261,6)&lt;&gt;ROUND(MIN(1,SUMIFS($AG$5:$AG$1000,$U$5:$U$1000,ROW(),$V$5:$V$1000,"Sub")),6),FALSE))),"Con subactividades: no escriba en las semanas (se llenan solas)"&amp;" · ","")&amp;IF((COUNTIF($I261:$L261,"&gt;1")+COUNTIF($I261:$L261,"&lt;0")+SUMPRODUCT((LEN($I261:$L261)&gt;0)*NOT(ISNUMBER($I261:$L261))))&gt;0,"Avance fuera de rango 0-100%"&amp;" · ","")&amp;IF(OR(AND(ISNUMBER($J261),$J261&lt;N($I261)),AND(ISNUMBER($K261),$K261&lt;MAX($I261:$J261)),AND(ISNUMBER($L261),$L261&lt;MAX($I261:$K261))),"Avance semanal decreciente"&amp;" · ","")&amp;IF(AND(ISNUMBER($AS261),$AS261&lt;FechaRef,IF($V261="Sub",1,N($M261))&lt;1),"Vencida"&amp;" · ","")&amp;IF(AND(ObsObligatoria="Sí",ISNUMBER($AS261),$AS261&lt;FechaRef,IF($V261="Sub",1,N($M261))&lt;1,$Q261=""),"Vencida sin observación"&amp;" · ",""))-3)))</f>
        <v/>
      </c>
      <c r="S261" s="64">
        <f>IF(NOT((COUNTA($B261:$D261)+COUNTA($G261:$H261)+COUNTA($Q261))&gt;0),"",IF(AND($V261="Sub",N($U261)&gt;0),IF(ISNUMBER(INDEX($AR$5:$AR$1000,$U261-4)),DATE(YEAR(INDEX($AR$5:$AR$1000,$U261-4)),MONTH(INDEX($AR$5:$AR$1000,$U261-4)),1),IF(ISNUMBER(INDEX($AS$5:$AS$1000,$U261-4)),DATE(YEAR(INDEX($AS$5:$AS$1000,$U261-4)),MONTH(INDEX($AS$5:$AS$1000,$U261-4)),1),MesCiclo)),IF(ISNUMBER($AR261),DATE(YEAR($AR261),MONTH($AR261),1),IF(ISNUMBER($AS261),DATE(YEAR($AS261),MONTH($AS261),1),MesCiclo))))</f>
        <v/>
      </c>
      <c r="T261" s="62">
        <f>IF(OR($S261="",$S261&lt;&gt;MesCiclo,$V261&lt;&gt;"Macro"),"",COUNTIFS($S$5:$S261,MesCiclo,$V$5:$V261,"Macro"))</f>
        <v/>
      </c>
      <c r="U261" s="62">
        <f>IF($V261="","",IF($V261="Macro",ROW(),IFERROR(LOOKUP(2,1/($V$5:$V261="Macro"),ROW($V$5:$V261)),0)))</f>
        <v/>
      </c>
      <c r="V261" s="62">
        <f>IF(NOT((COUNTA($B261:$D261)+COUNTA($G261:$H261)+COUNTA($Q261))&gt;0),"",IF($B261="Subactividad","Sub","Macro"))</f>
        <v/>
      </c>
      <c r="W261" s="62">
        <f>IF($V261="Macro",COUNTIFS($U$5:$U$1000,ROW(),$V$5:$V$1000,"Sub"),"")</f>
        <v/>
      </c>
      <c r="X261" s="62">
        <f>IF($V261&lt;&gt;"Sub","",IF(AND(ISNUMBER($H261),N($H261)&gt;0),$H261,IFERROR(MAX(0,1-SUMIFS($H$5:$H$1000,$U$5:$U$1000,$U261,$V$5:$V$1000,"Sub"))/(COUNTIFS($U$5:$U$1000,$U261,$V$5:$V$1000,"Sub")-COUNTIFS($U$5:$U$1000,$U261,$V$5:$V$1000,"Sub",$H$5:$H$1000,"&gt;0")),0)))</f>
        <v/>
      </c>
      <c r="Y261" s="62">
        <f>IF($V261="","",IF($V261="Sub",N($X261)*IF(ISNUMBER($G261),1,MIN(1,MAX(0,IFERROR(LOOKUP(2,1/ISNUMBER($I261:$L261),$I261:$L261),0)))),IF(ISNUMBER($G261),1,IFERROR(LOOKUP(2,1/($I261:$L261&lt;&gt;""),$I261:$L261),0))))</f>
        <v/>
      </c>
      <c r="Z261" s="62">
        <f>IF($V261="","",IF(AND(ISNUMBER($G261),$G261&lt;=IF($S261=MesCiclo,InicioCiclo,$S261+MOD(2-WEEKDAY($S261),7))+6),1,IF(ISNUMBER($I261),$I261,0)))</f>
        <v/>
      </c>
      <c r="AA261" s="62">
        <f>IF($V261="","",IF(AND(ISNUMBER($G261),$G261&lt;=IF($S261=MesCiclo,InicioCiclo,$S261+MOD(2-WEEKDAY($S261),7))+13),1,IF(ISNUMBER($J261),$J261,$Z261)))</f>
        <v/>
      </c>
      <c r="AB261" s="62">
        <f>IF($V261="","",IF(AND(ISNUMBER($G261),$G261&lt;=IF($S261=MesCiclo,InicioCiclo,$S261+MOD(2-WEEKDAY($S261),7))+20),1,IF(ISNUMBER($K261),$K261,$AA261)))</f>
        <v/>
      </c>
      <c r="AC261" s="62">
        <f>IF($V261="","",IF(AND(ISNUMBER($G261),$G261&lt;=IF($S261=MesCiclo,InicioCiclo,$S261+MOD(2-WEEKDAY($S261),7))+27),1,IF(ISNUMBER($L261),$L261,$AB261)))</f>
        <v/>
      </c>
      <c r="AD261" s="62">
        <f>IF($V261&lt;&gt;"Sub","",N($X261)*IF(AND(ISNUMBER($G261),$G261&lt;=IF($S261=MesCiclo,InicioCiclo,$S261+MOD(2-WEEKDAY($S261),7))+6),1,MIN(1,MAX(0,IF(ISNUMBER(OFFSET($A$1,ROW()-1,8)),OFFSET($A$1,ROW()-1,8),0)))))</f>
        <v/>
      </c>
      <c r="AE261" s="62">
        <f>IF($V261&lt;&gt;"Sub","",N($X261)*IF(AND(ISNUMBER($G261),$G261&lt;=IF($S261=MesCiclo,InicioCiclo,$S261+MOD(2-WEEKDAY($S261),7))+13),1,MIN(1,MAX(0,IF(ISNUMBER(OFFSET($A$1,ROW()-1,9)),OFFSET($A$1,ROW()-1,9),IF(ISNUMBER(OFFSET($A$1,ROW()-1,8)),OFFSET($A$1,ROW()-1,8),0))))))</f>
        <v/>
      </c>
      <c r="AF261" s="62">
        <f>IF($V261&lt;&gt;"Sub","",N($X261)*IF(AND(ISNUMBER($G261),$G261&lt;=IF($S261=MesCiclo,InicioCiclo,$S261+MOD(2-WEEKDAY($S261),7))+20),1,MIN(1,MAX(0,IF(ISNUMBER(OFFSET($A$1,ROW()-1,10)),OFFSET($A$1,ROW()-1,10),IF(ISNUMBER(OFFSET($A$1,ROW()-1,9)),OFFSET($A$1,ROW()-1,9),IF(ISNUMBER(OFFSET($A$1,ROW()-1,8)),OFFSET($A$1,ROW()-1,8),0)))))))</f>
        <v/>
      </c>
      <c r="AG261" s="62">
        <f>IF($V261&lt;&gt;"Sub","",N($X261)*IF(AND(ISNUMBER($G261),$G261&lt;=IF($S261=MesCiclo,InicioCiclo,$S261+MOD(2-WEEKDAY($S261),7))+27),1,MIN(1,MAX(0,IF(ISNUMBER(OFFSET($A$1,ROW()-1,11)),OFFSET($A$1,ROW()-1,11),IF(ISNUMBER(OFFSET($A$1,ROW()-1,10)),OFFSET($A$1,ROW()-1,10),IF(ISNUMBER(OFFSET($A$1,ROW()-1,9)),OFFSET($A$1,ROW()-1,9),IF(ISNUMBER(OFFSET($A$1,ROW()-1,8)),OFFSET($A$1,ROW()-1,8),0))))))))</f>
        <v/>
      </c>
      <c r="AH261" s="62">
        <f>IF($V261="","",IF(AND(ISNUMBER($G261),$G261&lt;=IF($S261=MesCiclo,InicioCiclo,$S261+MOD(2-WEEKDAY($S261),7))+6),1,IF(N($W261)&gt;0,MIN(1,SUMIFS($AD$5:$AD$1000,$U$5:$U$1000,ROW(),$V$5:$V$1000,"Sub")),$Z261)))</f>
        <v/>
      </c>
      <c r="AI261" s="62">
        <f>IF($V261="","",IF(AND(ISNUMBER($G261),$G261&lt;=IF($S261=MesCiclo,InicioCiclo,$S261+MOD(2-WEEKDAY($S261),7))+13),1,IF(N($W261)&gt;0,MIN(1,SUMIFS($AE$5:$AE$1000,$U$5:$U$1000,ROW(),$V$5:$V$1000,"Sub")),$AA261)))</f>
        <v/>
      </c>
      <c r="AJ261" s="62">
        <f>IF($V261="","",IF(AND(ISNUMBER($G261),$G261&lt;=IF($S261=MesCiclo,InicioCiclo,$S261+MOD(2-WEEKDAY($S261),7))+20),1,IF(N($W261)&gt;0,MIN(1,SUMIFS($AF$5:$AF$1000,$U$5:$U$1000,ROW(),$V$5:$V$1000,"Sub")),$AB261)))</f>
        <v/>
      </c>
      <c r="AK261" s="62">
        <f>IF($V261="","",IF(AND(ISNUMBER($G261),$G261&lt;=IF($S261=MesCiclo,InicioCiclo,$S261+MOD(2-WEEKDAY($S261),7))+27),1,IF(N($W261)&gt;0,MIN(1,SUMIFS($AG$5:$AG$1000,$U$5:$U$1000,ROW(),$V$5:$V$1000,"Sub")),$AC261)))</f>
        <v/>
      </c>
      <c r="AL261" s="62">
        <f>IF($V261&lt;&gt;"Macro","",IF(COUNTIFS($S$5:$S$1000,$S261,$V$5:$V$1000,"Macro",$H$5:$H$1000,"&gt;0")=0,1/COUNTIFS($S$5:$S$1000,$S261,$V$5:$V$1000,"Macro"),IF(AND(ISNUMBER($H261),N($H261)&gt;0),$H261,SUMIFS($H$5:$H$1000,$S$5:$S$1000,$S261,$V$5:$V$1000,"Macro")/COUNTIFS($S$5:$S$1000,$S261,$V$5:$V$1000,"Macro",$H$5:$H$1000,"&gt;0"))/(COUNTIFS($S$5:$S$1000,$S261,$V$5:$V$1000,"Macro")*SUMIFS($H$5:$H$1000,$S$5:$S$1000,$S261,$V$5:$V$1000,"Macro")/COUNTIFS($S$5:$S$1000,$S261,$V$5:$V$1000,"Macro",$H$5:$H$1000,"&gt;0"))))</f>
        <v/>
      </c>
      <c r="AM261" s="62" t="n"/>
      <c r="AN261" s="62" t="n"/>
      <c r="AO261" s="62" t="n"/>
      <c r="AP261" s="62" t="n"/>
      <c r="AQ261" s="62">
        <f>IF(LEFT($C261,11)="[Jefatura] ",IFERROR(MATCH("Asistente Técnico de Riesgo|"&amp;MID($C261,12,500),rDname_ADM,0),0),"")</f>
        <v/>
      </c>
      <c r="AR261" s="62">
        <f>IF(N($AQ261)&gt;0,INDEX(rIni_ADM,$AQ261),IF(ISNUMBER($E261),$E261,""))</f>
        <v/>
      </c>
      <c r="AS261" s="62">
        <f>IF(N($AQ261)&gt;0,INDEX(rLim_ADM,$AQ261),IF(ISNUMBER($F261),$F261,""))</f>
        <v/>
      </c>
    </row>
    <row r="262">
      <c r="A262" s="56">
        <f>IF(NOT((COUNTA($B262:$D262)+COUNTA($G262:$H262)+COUNTA($Q262))&gt;0),"",IF($V262="Macro",COUNTIFS($V$5:$V262,"Macro",$S$5:$S262,$S262),IF(N($U262)=0,"?",COUNTIFS(INDEX($V$5:$V$1000,1):INDEX($V$5:$V$1000,$U262-4),"Macro",INDEX($S$5:$S$1000,1):INDEX($S$5:$S$1000,$U262-4),INDEX($S$5:$S$1000,$U262-4))&amp;"."&amp;COUNTIFS($U$5:$U262,$U262,$V$5:$V262,"Sub"))))</f>
        <v/>
      </c>
      <c r="B262" s="57" t="n"/>
      <c r="C262" s="58" t="n"/>
      <c r="D262" s="58" t="n"/>
      <c r="E262" s="59">
        <f>IF(N($AQ262)&gt;0,INDEX(rIni_ADM,$AQ262),"")</f>
        <v/>
      </c>
      <c r="F262" s="59">
        <f>IF(N($AQ262)&gt;0,INDEX(rLim_ADM,$AQ262),"")</f>
        <v/>
      </c>
      <c r="G262" s="59" t="n"/>
      <c r="H262" s="60" t="n"/>
      <c r="I262" s="60">
        <f>IF(N($W262)=0,"",IF(AND($S262=MesCiclo,1&gt;SemanaActual),"",MIN(1,SUMIFS(OFFSET($A$1,ROW(),29,1000-ROW(),1),OFFSET($A$1,ROW(),20,1000-ROW(),1),ROW(),OFFSET($A$1,ROW(),21,1000-ROW(),1),"Sub"))))</f>
        <v/>
      </c>
      <c r="J262" s="60">
        <f>IF(N($W262)=0,"",IF(AND($S262=MesCiclo,2&gt;SemanaActual),"",MIN(1,SUMIFS(OFFSET($A$1,ROW(),30,1000-ROW(),1),OFFSET($A$1,ROW(),20,1000-ROW(),1),ROW(),OFFSET($A$1,ROW(),21,1000-ROW(),1),"Sub"))))</f>
        <v/>
      </c>
      <c r="K262" s="60">
        <f>IF(N($W262)=0,"",IF(AND($S262=MesCiclo,3&gt;SemanaActual),"",MIN(1,SUMIFS(OFFSET($A$1,ROW(),31,1000-ROW(),1),OFFSET($A$1,ROW(),20,1000-ROW(),1),ROW(),OFFSET($A$1,ROW(),21,1000-ROW(),1),"Sub"))))</f>
        <v/>
      </c>
      <c r="L262" s="60">
        <f>IF(N($W262)=0,"",IF(AND($S262=MesCiclo,4&gt;SemanaActual),"",MIN(1,SUMIFS(OFFSET($A$1,ROW(),32,1000-ROW(),1),OFFSET($A$1,ROW(),20,1000-ROW(),1),ROW(),OFFSET($A$1,ROW(),21,1000-ROW(),1),"Sub"))))</f>
        <v/>
      </c>
      <c r="M262" s="61">
        <f>IF(OR(NOT((COUNTA($B262:$D262)+COUNTA($G262:$H262)+COUNTA($Q262))&gt;0),$V262="Sub"),"",IF(ISNUMBER($G262),1,IF(N($W262)&gt;0,MIN(1,SUMIFS($Y$5:$Y$1000,$U$5:$U$1000,ROW(),$V$5:$V$1000,"Sub")),$Y262)))</f>
        <v/>
      </c>
      <c r="N262" s="56">
        <f>IF(OR($M262="",$V262="Sub"),"",IF($M262&gt;=1,"Completado",IF($M262&gt;0,"En curso","Pendiente")))</f>
        <v/>
      </c>
      <c r="O262" s="56">
        <f>IF(OR(NOT((COUNTA($B262:$D262)+COUNTA($G262:$H262)+COUNTA($Q262))&gt;0),$V262="Sub"),"",IF(ISNUMBER($G262),IF(AND(ISNUMBER($AS262),$G262&gt;$AS262),"Cumplida con "&amp;($G262-$AS262)&amp;IF($G262-$AS262=1," día"," días")&amp;" de retraso","Cumplida"),IF(N($M262)&gt;=1,"Cumplida",IF(NOT(ISNUMBER($AS262)),"Sin fecha límite",IF($AS262&lt;FechaRef,"Vencida hace "&amp;(FechaRef-$AS262)&amp;IF(FechaRef-$AS262=1," día"," días"),IF($AS262=FechaRef,"Vence hoy",IF($AS262-FechaRef&lt;=DiasAlerta,"Vence en "&amp;($AS262-FechaRef)&amp;IF($AS262-FechaRef=1," día"," días"),"En plazo")))))))</f>
        <v/>
      </c>
      <c r="P262" s="62" t="n"/>
      <c r="Q262" s="58" t="n"/>
      <c r="R262" s="63">
        <f>IF(NOT((COUNTA($B262:$D262)+COUNTA($G262:$H262)+COUNTA($Q262))&gt;0),"",IF((IF($C262="","Falta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 OK","⚠ "&amp;LEFT(IF($C262="","Falta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",""),LEN(IF($C262="","Falta el nombre de la actividad"&amp;" · ","")&amp;IF(AND($V262="Sub",N($U262)=0),"Subactividad sin macroactividad arriba"&amp;" · ","")&amp;IF(AND($V262="Macro",$AR262=""),"Sin fecha de inicio"&amp;" · ","")&amp;IF(AND($V262="Macro",$AS262=""),"Sin fecha límite"&amp;" · ","")&amp;IF(AND(LEFT($C262,11)="[Jefatura] ",N($AQ262)=0),"No se encuentra en la hoja de la jefatura (elíjala de nuevo en la lista)"&amp;" · ","")&amp;IF(OR(AND($E262&lt;&gt;"",NOT(ISNUMBER($E262))),AND($F262&lt;&gt;"",NOT(ISNUMBER($F262))),AND($G262&lt;&gt;"",NOT(ISNUMBER($G262)))),"Fecha no válida"&amp;" · ","")&amp;IF(AND(ISNUMBER($AR262),ISNUMBER($AS262),$AR262&gt;$AS262),"Inicio posterior a fecha límite"&amp;" · ","")&amp;IF(AND($V262="Macro",$H262&lt;&gt;"",OR(NOT(ISNUMBER($H262)),$H262&lt;0,$H262&gt;1)),"Peso fuera de rango"&amp;" · ","")&amp;IF(AND($V262="Sub",$H262&lt;&gt;"",OR(NOT(ISNUMBER($H262)),$H262&lt;0,$H262&gt;1)),"% de la subactividad fuera de rango 0-100%"&amp;" · ","")&amp;IF(AND(N($W262)&gt;0,SUMIFS($H$5:$H$1000,$U$5:$U$1000,ROW(),$V$5:$V$1000,"Sub")&gt;1.0001),"Las subactividades suman más de 100%"&amp;" · ","")&amp;IF(AND(N($W262)&gt;0,OR(IF(ISNUMBER($I262),ROUND($I262,6)&lt;&gt;ROUND(MIN(1,SUMIFS($AD$5:$AD$1000,$U$5:$U$1000,ROW(),$V$5:$V$1000,"Sub")),6),FALSE),IF(ISNUMBER($J262),ROUND($J262,6)&lt;&gt;ROUND(MIN(1,SUMIFS($AE$5:$AE$1000,$U$5:$U$1000,ROW(),$V$5:$V$1000,"Sub")),6),FALSE),IF(ISNUMBER($K262),ROUND($K262,6)&lt;&gt;ROUND(MIN(1,SUMIFS($AF$5:$AF$1000,$U$5:$U$1000,ROW(),$V$5:$V$1000,"Sub")),6),FALSE),IF(ISNUMBER($L262),ROUND($L262,6)&lt;&gt;ROUND(MIN(1,SUMIFS($AG$5:$AG$1000,$U$5:$U$1000,ROW(),$V$5:$V$1000,"Sub")),6),FALSE))),"Con subactividades: no escriba en las semanas (se llenan solas)"&amp;" · ","")&amp;IF((COUNTIF($I262:$L262,"&gt;1")+COUNTIF($I262:$L262,"&lt;0")+SUMPRODUCT((LEN($I262:$L262)&gt;0)*NOT(ISNUMBER($I262:$L262))))&gt;0,"Avance fuera de rango 0-100%"&amp;" · ","")&amp;IF(OR(AND(ISNUMBER($J262),$J262&lt;N($I262)),AND(ISNUMBER($K262),$K262&lt;MAX($I262:$J262)),AND(ISNUMBER($L262),$L262&lt;MAX($I262:$K262))),"Avance semanal decreciente"&amp;" · ","")&amp;IF(AND(ISNUMBER($AS262),$AS262&lt;FechaRef,IF($V262="Sub",1,N($M262))&lt;1),"Vencida"&amp;" · ","")&amp;IF(AND(ObsObligatoria="Sí",ISNUMBER($AS262),$AS262&lt;FechaRef,IF($V262="Sub",1,N($M262))&lt;1,$Q262=""),"Vencida sin observación"&amp;" · ",""))-3)))</f>
        <v/>
      </c>
      <c r="S262" s="64">
        <f>IF(NOT((COUNTA($B262:$D262)+COUNTA($G262:$H262)+COUNTA($Q262))&gt;0),"",IF(AND($V262="Sub",N($U262)&gt;0),IF(ISNUMBER(INDEX($AR$5:$AR$1000,$U262-4)),DATE(YEAR(INDEX($AR$5:$AR$1000,$U262-4)),MONTH(INDEX($AR$5:$AR$1000,$U262-4)),1),IF(ISNUMBER(INDEX($AS$5:$AS$1000,$U262-4)),DATE(YEAR(INDEX($AS$5:$AS$1000,$U262-4)),MONTH(INDEX($AS$5:$AS$1000,$U262-4)),1),MesCiclo)),IF(ISNUMBER($AR262),DATE(YEAR($AR262),MONTH($AR262),1),IF(ISNUMBER($AS262),DATE(YEAR($AS262),MONTH($AS262),1),MesCiclo))))</f>
        <v/>
      </c>
      <c r="T262" s="62">
        <f>IF(OR($S262="",$S262&lt;&gt;MesCiclo,$V262&lt;&gt;"Macro"),"",COUNTIFS($S$5:$S262,MesCiclo,$V$5:$V262,"Macro"))</f>
        <v/>
      </c>
      <c r="U262" s="62">
        <f>IF($V262="","",IF($V262="Macro",ROW(),IFERROR(LOOKUP(2,1/($V$5:$V262="Macro"),ROW($V$5:$V262)),0)))</f>
        <v/>
      </c>
      <c r="V262" s="62">
        <f>IF(NOT((COUNTA($B262:$D262)+COUNTA($G262:$H262)+COUNTA($Q262))&gt;0),"",IF($B262="Subactividad","Sub","Macro"))</f>
        <v/>
      </c>
      <c r="W262" s="62">
        <f>IF($V262="Macro",COUNTIFS($U$5:$U$1000,ROW(),$V$5:$V$1000,"Sub"),"")</f>
        <v/>
      </c>
      <c r="X262" s="62">
        <f>IF($V262&lt;&gt;"Sub","",IF(AND(ISNUMBER($H262),N($H262)&gt;0),$H262,IFERROR(MAX(0,1-SUMIFS($H$5:$H$1000,$U$5:$U$1000,$U262,$V$5:$V$1000,"Sub"))/(COUNTIFS($U$5:$U$1000,$U262,$V$5:$V$1000,"Sub")-COUNTIFS($U$5:$U$1000,$U262,$V$5:$V$1000,"Sub",$H$5:$H$1000,"&gt;0")),0)))</f>
        <v/>
      </c>
      <c r="Y262" s="62">
        <f>IF($V262="","",IF($V262="Sub",N($X262)*IF(ISNUMBER($G262),1,MIN(1,MAX(0,IFERROR(LOOKUP(2,1/ISNUMBER($I262:$L262),$I262:$L262),0)))),IF(ISNUMBER($G262),1,IFERROR(LOOKUP(2,1/($I262:$L262&lt;&gt;""),$I262:$L262),0))))</f>
        <v/>
      </c>
      <c r="Z262" s="62">
        <f>IF($V262="","",IF(AND(ISNUMBER($G262),$G262&lt;=IF($S262=MesCiclo,InicioCiclo,$S262+MOD(2-WEEKDAY($S262),7))+6),1,IF(ISNUMBER($I262),$I262,0)))</f>
        <v/>
      </c>
      <c r="AA262" s="62">
        <f>IF($V262="","",IF(AND(ISNUMBER($G262),$G262&lt;=IF($S262=MesCiclo,InicioCiclo,$S262+MOD(2-WEEKDAY($S262),7))+13),1,IF(ISNUMBER($J262),$J262,$Z262)))</f>
        <v/>
      </c>
      <c r="AB262" s="62">
        <f>IF($V262="","",IF(AND(ISNUMBER($G262),$G262&lt;=IF($S262=MesCiclo,InicioCiclo,$S262+MOD(2-WEEKDAY($S262),7))+20),1,IF(ISNUMBER($K262),$K262,$AA262)))</f>
        <v/>
      </c>
      <c r="AC262" s="62">
        <f>IF($V262="","",IF(AND(ISNUMBER($G262),$G262&lt;=IF($S262=MesCiclo,InicioCiclo,$S262+MOD(2-WEEKDAY($S262),7))+27),1,IF(ISNUMBER($L262),$L262,$AB262)))</f>
        <v/>
      </c>
      <c r="AD262" s="62">
        <f>IF($V262&lt;&gt;"Sub","",N($X262)*IF(AND(ISNUMBER($G262),$G262&lt;=IF($S262=MesCiclo,InicioCiclo,$S262+MOD(2-WEEKDAY($S262),7))+6),1,MIN(1,MAX(0,IF(ISNUMBER(OFFSET($A$1,ROW()-1,8)),OFFSET($A$1,ROW()-1,8),0)))))</f>
        <v/>
      </c>
      <c r="AE262" s="62">
        <f>IF($V262&lt;&gt;"Sub","",N($X262)*IF(AND(ISNUMBER($G262),$G262&lt;=IF($S262=MesCiclo,InicioCiclo,$S262+MOD(2-WEEKDAY($S262),7))+13),1,MIN(1,MAX(0,IF(ISNUMBER(OFFSET($A$1,ROW()-1,9)),OFFSET($A$1,ROW()-1,9),IF(ISNUMBER(OFFSET($A$1,ROW()-1,8)),OFFSET($A$1,ROW()-1,8),0))))))</f>
        <v/>
      </c>
      <c r="AF262" s="62">
        <f>IF($V262&lt;&gt;"Sub","",N($X262)*IF(AND(ISNUMBER($G262),$G262&lt;=IF($S262=MesCiclo,InicioCiclo,$S262+MOD(2-WEEKDAY($S262),7))+20),1,MIN(1,MAX(0,IF(ISNUMBER(OFFSET($A$1,ROW()-1,10)),OFFSET($A$1,ROW()-1,10),IF(ISNUMBER(OFFSET($A$1,ROW()-1,9)),OFFSET($A$1,ROW()-1,9),IF(ISNUMBER(OFFSET($A$1,ROW()-1,8)),OFFSET($A$1,ROW()-1,8),0)))))))</f>
        <v/>
      </c>
      <c r="AG262" s="62">
        <f>IF($V262&lt;&gt;"Sub","",N($X262)*IF(AND(ISNUMBER($G262),$G262&lt;=IF($S262=MesCiclo,InicioCiclo,$S262+MOD(2-WEEKDAY($S262),7))+27),1,MIN(1,MAX(0,IF(ISNUMBER(OFFSET($A$1,ROW()-1,11)),OFFSET($A$1,ROW()-1,11),IF(ISNUMBER(OFFSET($A$1,ROW()-1,10)),OFFSET($A$1,ROW()-1,10),IF(ISNUMBER(OFFSET($A$1,ROW()-1,9)),OFFSET($A$1,ROW()-1,9),IF(ISNUMBER(OFFSET($A$1,ROW()-1,8)),OFFSET($A$1,ROW()-1,8),0))))))))</f>
        <v/>
      </c>
      <c r="AH262" s="62">
        <f>IF($V262="","",IF(AND(ISNUMBER($G262),$G262&lt;=IF($S262=MesCiclo,InicioCiclo,$S262+MOD(2-WEEKDAY($S262),7))+6),1,IF(N($W262)&gt;0,MIN(1,SUMIFS($AD$5:$AD$1000,$U$5:$U$1000,ROW(),$V$5:$V$1000,"Sub")),$Z262)))</f>
        <v/>
      </c>
      <c r="AI262" s="62">
        <f>IF($V262="","",IF(AND(ISNUMBER($G262),$G262&lt;=IF($S262=MesCiclo,InicioCiclo,$S262+MOD(2-WEEKDAY($S262),7))+13),1,IF(N($W262)&gt;0,MIN(1,SUMIFS($AE$5:$AE$1000,$U$5:$U$1000,ROW(),$V$5:$V$1000,"Sub")),$AA262)))</f>
        <v/>
      </c>
      <c r="AJ262" s="62">
        <f>IF($V262="","",IF(AND(ISNUMBER($G262),$G262&lt;=IF($S262=MesCiclo,InicioCiclo,$S262+MOD(2-WEEKDAY($S262),7))+20),1,IF(N($W262)&gt;0,MIN(1,SUMIFS($AF$5:$AF$1000,$U$5:$U$1000,ROW(),$V$5:$V$1000,"Sub")),$AB262)))</f>
        <v/>
      </c>
      <c r="AK262" s="62">
        <f>IF($V262="","",IF(AND(ISNUMBER($G262),$G262&lt;=IF($S262=MesCiclo,InicioCiclo,$S262+MOD(2-WEEKDAY($S262),7))+27),1,IF(N($W262)&gt;0,MIN(1,SUMIFS($AG$5:$AG$1000,$U$5:$U$1000,ROW(),$V$5:$V$1000,"Sub")),$AC262)))</f>
        <v/>
      </c>
      <c r="AL262" s="62">
        <f>IF($V262&lt;&gt;"Macro","",IF(COUNTIFS($S$5:$S$1000,$S262,$V$5:$V$1000,"Macro",$H$5:$H$1000,"&gt;0")=0,1/COUNTIFS($S$5:$S$1000,$S262,$V$5:$V$1000,"Macro"),IF(AND(ISNUMBER($H262),N($H262)&gt;0),$H262,SUMIFS($H$5:$H$1000,$S$5:$S$1000,$S262,$V$5:$V$1000,"Macro")/COUNTIFS($S$5:$S$1000,$S262,$V$5:$V$1000,"Macro",$H$5:$H$1000,"&gt;0"))/(COUNTIFS($S$5:$S$1000,$S262,$V$5:$V$1000,"Macro")*SUMIFS($H$5:$H$1000,$S$5:$S$1000,$S262,$V$5:$V$1000,"Macro")/COUNTIFS($S$5:$S$1000,$S262,$V$5:$V$1000,"Macro",$H$5:$H$1000,"&gt;0"))))</f>
        <v/>
      </c>
      <c r="AM262" s="62" t="n"/>
      <c r="AN262" s="62" t="n"/>
      <c r="AO262" s="62" t="n"/>
      <c r="AP262" s="62" t="n"/>
      <c r="AQ262" s="62">
        <f>IF(LEFT($C262,11)="[Jefatura] ",IFERROR(MATCH("Asistente Técnico de Riesgo|"&amp;MID($C262,12,500),rDname_ADM,0),0),"")</f>
        <v/>
      </c>
      <c r="AR262" s="62">
        <f>IF(N($AQ262)&gt;0,INDEX(rIni_ADM,$AQ262),IF(ISNUMBER($E262),$E262,""))</f>
        <v/>
      </c>
      <c r="AS262" s="62">
        <f>IF(N($AQ262)&gt;0,INDEX(rLim_ADM,$AQ262),IF(ISNUMBER($F262),$F262,""))</f>
        <v/>
      </c>
    </row>
    <row r="263">
      <c r="A263" s="56">
        <f>IF(NOT((COUNTA($B263:$D263)+COUNTA($G263:$H263)+COUNTA($Q263))&gt;0),"",IF($V263="Macro",COUNTIFS($V$5:$V263,"Macro",$S$5:$S263,$S263),IF(N($U263)=0,"?",COUNTIFS(INDEX($V$5:$V$1000,1):INDEX($V$5:$V$1000,$U263-4),"Macro",INDEX($S$5:$S$1000,1):INDEX($S$5:$S$1000,$U263-4),INDEX($S$5:$S$1000,$U263-4))&amp;"."&amp;COUNTIFS($U$5:$U263,$U263,$V$5:$V263,"Sub"))))</f>
        <v/>
      </c>
      <c r="B263" s="57" t="n"/>
      <c r="C263" s="58" t="n"/>
      <c r="D263" s="58" t="n"/>
      <c r="E263" s="59">
        <f>IF(N($AQ263)&gt;0,INDEX(rIni_ADM,$AQ263),"")</f>
        <v/>
      </c>
      <c r="F263" s="59">
        <f>IF(N($AQ263)&gt;0,INDEX(rLim_ADM,$AQ263),"")</f>
        <v/>
      </c>
      <c r="G263" s="59" t="n"/>
      <c r="H263" s="60" t="n"/>
      <c r="I263" s="60">
        <f>IF(N($W263)=0,"",IF(AND($S263=MesCiclo,1&gt;SemanaActual),"",MIN(1,SUMIFS(OFFSET($A$1,ROW(),29,1000-ROW(),1),OFFSET($A$1,ROW(),20,1000-ROW(),1),ROW(),OFFSET($A$1,ROW(),21,1000-ROW(),1),"Sub"))))</f>
        <v/>
      </c>
      <c r="J263" s="60">
        <f>IF(N($W263)=0,"",IF(AND($S263=MesCiclo,2&gt;SemanaActual),"",MIN(1,SUMIFS(OFFSET($A$1,ROW(),30,1000-ROW(),1),OFFSET($A$1,ROW(),20,1000-ROW(),1),ROW(),OFFSET($A$1,ROW(),21,1000-ROW(),1),"Sub"))))</f>
        <v/>
      </c>
      <c r="K263" s="60">
        <f>IF(N($W263)=0,"",IF(AND($S263=MesCiclo,3&gt;SemanaActual),"",MIN(1,SUMIFS(OFFSET($A$1,ROW(),31,1000-ROW(),1),OFFSET($A$1,ROW(),20,1000-ROW(),1),ROW(),OFFSET($A$1,ROW(),21,1000-ROW(),1),"Sub"))))</f>
        <v/>
      </c>
      <c r="L263" s="60">
        <f>IF(N($W263)=0,"",IF(AND($S263=MesCiclo,4&gt;SemanaActual),"",MIN(1,SUMIFS(OFFSET($A$1,ROW(),32,1000-ROW(),1),OFFSET($A$1,ROW(),20,1000-ROW(),1),ROW(),OFFSET($A$1,ROW(),21,1000-ROW(),1),"Sub"))))</f>
        <v/>
      </c>
      <c r="M263" s="61">
        <f>IF(OR(NOT((COUNTA($B263:$D263)+COUNTA($G263:$H263)+COUNTA($Q263))&gt;0),$V263="Sub"),"",IF(ISNUMBER($G263),1,IF(N($W263)&gt;0,MIN(1,SUMIFS($Y$5:$Y$1000,$U$5:$U$1000,ROW(),$V$5:$V$1000,"Sub")),$Y263)))</f>
        <v/>
      </c>
      <c r="N263" s="56">
        <f>IF(OR($M263="",$V263="Sub"),"",IF($M263&gt;=1,"Completado",IF($M263&gt;0,"En curso","Pendiente")))</f>
        <v/>
      </c>
      <c r="O263" s="56">
        <f>IF(OR(NOT((COUNTA($B263:$D263)+COUNTA($G263:$H263)+COUNTA($Q263))&gt;0),$V263="Sub"),"",IF(ISNUMBER($G263),IF(AND(ISNUMBER($AS263),$G263&gt;$AS263),"Cumplida con "&amp;($G263-$AS263)&amp;IF($G263-$AS263=1," día"," días")&amp;" de retraso","Cumplida"),IF(N($M263)&gt;=1,"Cumplida",IF(NOT(ISNUMBER($AS263)),"Sin fecha límite",IF($AS263&lt;FechaRef,"Vencida hace "&amp;(FechaRef-$AS263)&amp;IF(FechaRef-$AS263=1," día"," días"),IF($AS263=FechaRef,"Vence hoy",IF($AS263-FechaRef&lt;=DiasAlerta,"Vence en "&amp;($AS263-FechaRef)&amp;IF($AS263-FechaRef=1," día"," días"),"En plazo")))))))</f>
        <v/>
      </c>
      <c r="P263" s="62" t="n"/>
      <c r="Q263" s="58" t="n"/>
      <c r="R263" s="63">
        <f>IF(NOT((COUNTA($B263:$D263)+COUNTA($G263:$H263)+COUNTA($Q263))&gt;0),"",IF((IF($C263="","Falta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 OK","⚠ "&amp;LEFT(IF($C263="","Falta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",""),LEN(IF($C263="","Falta el nombre de la actividad"&amp;" · ","")&amp;IF(AND($V263="Sub",N($U263)=0),"Subactividad sin macroactividad arriba"&amp;" · ","")&amp;IF(AND($V263="Macro",$AR263=""),"Sin fecha de inicio"&amp;" · ","")&amp;IF(AND($V263="Macro",$AS263=""),"Sin fecha límite"&amp;" · ","")&amp;IF(AND(LEFT($C263,11)="[Jefatura] ",N($AQ263)=0),"No se encuentra en la hoja de la jefatura (elíjala de nuevo en la lista)"&amp;" · ","")&amp;IF(OR(AND($E263&lt;&gt;"",NOT(ISNUMBER($E263))),AND($F263&lt;&gt;"",NOT(ISNUMBER($F263))),AND($G263&lt;&gt;"",NOT(ISNUMBER($G263)))),"Fecha no válida"&amp;" · ","")&amp;IF(AND(ISNUMBER($AR263),ISNUMBER($AS263),$AR263&gt;$AS263),"Inicio posterior a fecha límite"&amp;" · ","")&amp;IF(AND($V263="Macro",$H263&lt;&gt;"",OR(NOT(ISNUMBER($H263)),$H263&lt;0,$H263&gt;1)),"Peso fuera de rango"&amp;" · ","")&amp;IF(AND($V263="Sub",$H263&lt;&gt;"",OR(NOT(ISNUMBER($H263)),$H263&lt;0,$H263&gt;1)),"% de la subactividad fuera de rango 0-100%"&amp;" · ","")&amp;IF(AND(N($W263)&gt;0,SUMIFS($H$5:$H$1000,$U$5:$U$1000,ROW(),$V$5:$V$1000,"Sub")&gt;1.0001),"Las subactividades suman más de 100%"&amp;" · ","")&amp;IF(AND(N($W263)&gt;0,OR(IF(ISNUMBER($I263),ROUND($I263,6)&lt;&gt;ROUND(MIN(1,SUMIFS($AD$5:$AD$1000,$U$5:$U$1000,ROW(),$V$5:$V$1000,"Sub")),6),FALSE),IF(ISNUMBER($J263),ROUND($J263,6)&lt;&gt;ROUND(MIN(1,SUMIFS($AE$5:$AE$1000,$U$5:$U$1000,ROW(),$V$5:$V$1000,"Sub")),6),FALSE),IF(ISNUMBER($K263),ROUND($K263,6)&lt;&gt;ROUND(MIN(1,SUMIFS($AF$5:$AF$1000,$U$5:$U$1000,ROW(),$V$5:$V$1000,"Sub")),6),FALSE),IF(ISNUMBER($L263),ROUND($L263,6)&lt;&gt;ROUND(MIN(1,SUMIFS($AG$5:$AG$1000,$U$5:$U$1000,ROW(),$V$5:$V$1000,"Sub")),6),FALSE))),"Con subactividades: no escriba en las semanas (se llenan solas)"&amp;" · ","")&amp;IF((COUNTIF($I263:$L263,"&gt;1")+COUNTIF($I263:$L263,"&lt;0")+SUMPRODUCT((LEN($I263:$L263)&gt;0)*NOT(ISNUMBER($I263:$L263))))&gt;0,"Avance fuera de rango 0-100%"&amp;" · ","")&amp;IF(OR(AND(ISNUMBER($J263),$J263&lt;N($I263)),AND(ISNUMBER($K263),$K263&lt;MAX($I263:$J263)),AND(ISNUMBER($L263),$L263&lt;MAX($I263:$K263))),"Avance semanal decreciente"&amp;" · ","")&amp;IF(AND(ISNUMBER($AS263),$AS263&lt;FechaRef,IF($V263="Sub",1,N($M263))&lt;1),"Vencida"&amp;" · ","")&amp;IF(AND(ObsObligatoria="Sí",ISNUMBER($AS263),$AS263&lt;FechaRef,IF($V263="Sub",1,N($M263))&lt;1,$Q263=""),"Vencida sin observación"&amp;" · ",""))-3)))</f>
        <v/>
      </c>
      <c r="S263" s="64">
        <f>IF(NOT((COUNTA($B263:$D263)+COUNTA($G263:$H263)+COUNTA($Q263))&gt;0),"",IF(AND($V263="Sub",N($U263)&gt;0),IF(ISNUMBER(INDEX($AR$5:$AR$1000,$U263-4)),DATE(YEAR(INDEX($AR$5:$AR$1000,$U263-4)),MONTH(INDEX($AR$5:$AR$1000,$U263-4)),1),IF(ISNUMBER(INDEX($AS$5:$AS$1000,$U263-4)),DATE(YEAR(INDEX($AS$5:$AS$1000,$U263-4)),MONTH(INDEX($AS$5:$AS$1000,$U263-4)),1),MesCiclo)),IF(ISNUMBER($AR263),DATE(YEAR($AR263),MONTH($AR263),1),IF(ISNUMBER($AS263),DATE(YEAR($AS263),MONTH($AS263),1),MesCiclo))))</f>
        <v/>
      </c>
      <c r="T263" s="62">
        <f>IF(OR($S263="",$S263&lt;&gt;MesCiclo,$V263&lt;&gt;"Macro"),"",COUNTIFS($S$5:$S263,MesCiclo,$V$5:$V263,"Macro"))</f>
        <v/>
      </c>
      <c r="U263" s="62">
        <f>IF($V263="","",IF($V263="Macro",ROW(),IFERROR(LOOKUP(2,1/($V$5:$V263="Macro"),ROW($V$5:$V263)),0)))</f>
        <v/>
      </c>
      <c r="V263" s="62">
        <f>IF(NOT((COUNTA($B263:$D263)+COUNTA($G263:$H263)+COUNTA($Q263))&gt;0),"",IF($B263="Subactividad","Sub","Macro"))</f>
        <v/>
      </c>
      <c r="W263" s="62">
        <f>IF($V263="Macro",COUNTIFS($U$5:$U$1000,ROW(),$V$5:$V$1000,"Sub"),"")</f>
        <v/>
      </c>
      <c r="X263" s="62">
        <f>IF($V263&lt;&gt;"Sub","",IF(AND(ISNUMBER($H263),N($H263)&gt;0),$H263,IFERROR(MAX(0,1-SUMIFS($H$5:$H$1000,$U$5:$U$1000,$U263,$V$5:$V$1000,"Sub"))/(COUNTIFS($U$5:$U$1000,$U263,$V$5:$V$1000,"Sub")-COUNTIFS($U$5:$U$1000,$U263,$V$5:$V$1000,"Sub",$H$5:$H$1000,"&gt;0")),0)))</f>
        <v/>
      </c>
      <c r="Y263" s="62">
        <f>IF($V263="","",IF($V263="Sub",N($X263)*IF(ISNUMBER($G263),1,MIN(1,MAX(0,IFERROR(LOOKUP(2,1/ISNUMBER($I263:$L263),$I263:$L263),0)))),IF(ISNUMBER($G263),1,IFERROR(LOOKUP(2,1/($I263:$L263&lt;&gt;""),$I263:$L263),0))))</f>
        <v/>
      </c>
      <c r="Z263" s="62">
        <f>IF($V263="","",IF(AND(ISNUMBER($G263),$G263&lt;=IF($S263=MesCiclo,InicioCiclo,$S263+MOD(2-WEEKDAY($S263),7))+6),1,IF(ISNUMBER($I263),$I263,0)))</f>
        <v/>
      </c>
      <c r="AA263" s="62">
        <f>IF($V263="","",IF(AND(ISNUMBER($G263),$G263&lt;=IF($S263=MesCiclo,InicioCiclo,$S263+MOD(2-WEEKDAY($S263),7))+13),1,IF(ISNUMBER($J263),$J263,$Z263)))</f>
        <v/>
      </c>
      <c r="AB263" s="62">
        <f>IF($V263="","",IF(AND(ISNUMBER($G263),$G263&lt;=IF($S263=MesCiclo,InicioCiclo,$S263+MOD(2-WEEKDAY($S263),7))+20),1,IF(ISNUMBER($K263),$K263,$AA263)))</f>
        <v/>
      </c>
      <c r="AC263" s="62">
        <f>IF($V263="","",IF(AND(ISNUMBER($G263),$G263&lt;=IF($S263=MesCiclo,InicioCiclo,$S263+MOD(2-WEEKDAY($S263),7))+27),1,IF(ISNUMBER($L263),$L263,$AB263)))</f>
        <v/>
      </c>
      <c r="AD263" s="62">
        <f>IF($V263&lt;&gt;"Sub","",N($X263)*IF(AND(ISNUMBER($G263),$G263&lt;=IF($S263=MesCiclo,InicioCiclo,$S263+MOD(2-WEEKDAY($S263),7))+6),1,MIN(1,MAX(0,IF(ISNUMBER(OFFSET($A$1,ROW()-1,8)),OFFSET($A$1,ROW()-1,8),0)))))</f>
        <v/>
      </c>
      <c r="AE263" s="62">
        <f>IF($V263&lt;&gt;"Sub","",N($X263)*IF(AND(ISNUMBER($G263),$G263&lt;=IF($S263=MesCiclo,InicioCiclo,$S263+MOD(2-WEEKDAY($S263),7))+13),1,MIN(1,MAX(0,IF(ISNUMBER(OFFSET($A$1,ROW()-1,9)),OFFSET($A$1,ROW()-1,9),IF(ISNUMBER(OFFSET($A$1,ROW()-1,8)),OFFSET($A$1,ROW()-1,8),0))))))</f>
        <v/>
      </c>
      <c r="AF263" s="62">
        <f>IF($V263&lt;&gt;"Sub","",N($X263)*IF(AND(ISNUMBER($G263),$G263&lt;=IF($S263=MesCiclo,InicioCiclo,$S263+MOD(2-WEEKDAY($S263),7))+20),1,MIN(1,MAX(0,IF(ISNUMBER(OFFSET($A$1,ROW()-1,10)),OFFSET($A$1,ROW()-1,10),IF(ISNUMBER(OFFSET($A$1,ROW()-1,9)),OFFSET($A$1,ROW()-1,9),IF(ISNUMBER(OFFSET($A$1,ROW()-1,8)),OFFSET($A$1,ROW()-1,8),0)))))))</f>
        <v/>
      </c>
      <c r="AG263" s="62">
        <f>IF($V263&lt;&gt;"Sub","",N($X263)*IF(AND(ISNUMBER($G263),$G263&lt;=IF($S263=MesCiclo,InicioCiclo,$S263+MOD(2-WEEKDAY($S263),7))+27),1,MIN(1,MAX(0,IF(ISNUMBER(OFFSET($A$1,ROW()-1,11)),OFFSET($A$1,ROW()-1,11),IF(ISNUMBER(OFFSET($A$1,ROW()-1,10)),OFFSET($A$1,ROW()-1,10),IF(ISNUMBER(OFFSET($A$1,ROW()-1,9)),OFFSET($A$1,ROW()-1,9),IF(ISNUMBER(OFFSET($A$1,ROW()-1,8)),OFFSET($A$1,ROW()-1,8),0))))))))</f>
        <v/>
      </c>
      <c r="AH263" s="62">
        <f>IF($V263="","",IF(AND(ISNUMBER($G263),$G263&lt;=IF($S263=MesCiclo,InicioCiclo,$S263+MOD(2-WEEKDAY($S263),7))+6),1,IF(N($W263)&gt;0,MIN(1,SUMIFS($AD$5:$AD$1000,$U$5:$U$1000,ROW(),$V$5:$V$1000,"Sub")),$Z263)))</f>
        <v/>
      </c>
      <c r="AI263" s="62">
        <f>IF($V263="","",IF(AND(ISNUMBER($G263),$G263&lt;=IF($S263=MesCiclo,InicioCiclo,$S263+MOD(2-WEEKDAY($S263),7))+13),1,IF(N($W263)&gt;0,MIN(1,SUMIFS($AE$5:$AE$1000,$U$5:$U$1000,ROW(),$V$5:$V$1000,"Sub")),$AA263)))</f>
        <v/>
      </c>
      <c r="AJ263" s="62">
        <f>IF($V263="","",IF(AND(ISNUMBER($G263),$G263&lt;=IF($S263=MesCiclo,InicioCiclo,$S263+MOD(2-WEEKDAY($S263),7))+20),1,IF(N($W263)&gt;0,MIN(1,SUMIFS($AF$5:$AF$1000,$U$5:$U$1000,ROW(),$V$5:$V$1000,"Sub")),$AB263)))</f>
        <v/>
      </c>
      <c r="AK263" s="62">
        <f>IF($V263="","",IF(AND(ISNUMBER($G263),$G263&lt;=IF($S263=MesCiclo,InicioCiclo,$S263+MOD(2-WEEKDAY($S263),7))+27),1,IF(N($W263)&gt;0,MIN(1,SUMIFS($AG$5:$AG$1000,$U$5:$U$1000,ROW(),$V$5:$V$1000,"Sub")),$AC263)))</f>
        <v/>
      </c>
      <c r="AL263" s="62">
        <f>IF($V263&lt;&gt;"Macro","",IF(COUNTIFS($S$5:$S$1000,$S263,$V$5:$V$1000,"Macro",$H$5:$H$1000,"&gt;0")=0,1/COUNTIFS($S$5:$S$1000,$S263,$V$5:$V$1000,"Macro"),IF(AND(ISNUMBER($H263),N($H263)&gt;0),$H263,SUMIFS($H$5:$H$1000,$S$5:$S$1000,$S263,$V$5:$V$1000,"Macro")/COUNTIFS($S$5:$S$1000,$S263,$V$5:$V$1000,"Macro",$H$5:$H$1000,"&gt;0"))/(COUNTIFS($S$5:$S$1000,$S263,$V$5:$V$1000,"Macro")*SUMIFS($H$5:$H$1000,$S$5:$S$1000,$S263,$V$5:$V$1000,"Macro")/COUNTIFS($S$5:$S$1000,$S263,$V$5:$V$1000,"Macro",$H$5:$H$1000,"&gt;0"))))</f>
        <v/>
      </c>
      <c r="AM263" s="62" t="n"/>
      <c r="AN263" s="62" t="n"/>
      <c r="AO263" s="62" t="n"/>
      <c r="AP263" s="62" t="n"/>
      <c r="AQ263" s="62">
        <f>IF(LEFT($C263,11)="[Jefatura] ",IFERROR(MATCH("Asistente Técnico de Riesgo|"&amp;MID($C263,12,500),rDname_ADM,0),0),"")</f>
        <v/>
      </c>
      <c r="AR263" s="62">
        <f>IF(N($AQ263)&gt;0,INDEX(rIni_ADM,$AQ263),IF(ISNUMBER($E263),$E263,""))</f>
        <v/>
      </c>
      <c r="AS263" s="62">
        <f>IF(N($AQ263)&gt;0,INDEX(rLim_ADM,$AQ263),IF(ISNUMBER($F263),$F263,""))</f>
        <v/>
      </c>
    </row>
    <row r="264">
      <c r="A264" s="56">
        <f>IF(NOT((COUNTA($B264:$D264)+COUNTA($G264:$H264)+COUNTA($Q264))&gt;0),"",IF($V264="Macro",COUNTIFS($V$5:$V264,"Macro",$S$5:$S264,$S264),IF(N($U264)=0,"?",COUNTIFS(INDEX($V$5:$V$1000,1):INDEX($V$5:$V$1000,$U264-4),"Macro",INDEX($S$5:$S$1000,1):INDEX($S$5:$S$1000,$U264-4),INDEX($S$5:$S$1000,$U264-4))&amp;"."&amp;COUNTIFS($U$5:$U264,$U264,$V$5:$V264,"Sub"))))</f>
        <v/>
      </c>
      <c r="B264" s="57" t="n"/>
      <c r="C264" s="58" t="n"/>
      <c r="D264" s="58" t="n"/>
      <c r="E264" s="59">
        <f>IF(N($AQ264)&gt;0,INDEX(rIni_ADM,$AQ264),"")</f>
        <v/>
      </c>
      <c r="F264" s="59">
        <f>IF(N($AQ264)&gt;0,INDEX(rLim_ADM,$AQ264),"")</f>
        <v/>
      </c>
      <c r="G264" s="59" t="n"/>
      <c r="H264" s="60" t="n"/>
      <c r="I264" s="60">
        <f>IF(N($W264)=0,"",IF(AND($S264=MesCiclo,1&gt;SemanaActual),"",MIN(1,SUMIFS(OFFSET($A$1,ROW(),29,1000-ROW(),1),OFFSET($A$1,ROW(),20,1000-ROW(),1),ROW(),OFFSET($A$1,ROW(),21,1000-ROW(),1),"Sub"))))</f>
        <v/>
      </c>
      <c r="J264" s="60">
        <f>IF(N($W264)=0,"",IF(AND($S264=MesCiclo,2&gt;SemanaActual),"",MIN(1,SUMIFS(OFFSET($A$1,ROW(),30,1000-ROW(),1),OFFSET($A$1,ROW(),20,1000-ROW(),1),ROW(),OFFSET($A$1,ROW(),21,1000-ROW(),1),"Sub"))))</f>
        <v/>
      </c>
      <c r="K264" s="60">
        <f>IF(N($W264)=0,"",IF(AND($S264=MesCiclo,3&gt;SemanaActual),"",MIN(1,SUMIFS(OFFSET($A$1,ROW(),31,1000-ROW(),1),OFFSET($A$1,ROW(),20,1000-ROW(),1),ROW(),OFFSET($A$1,ROW(),21,1000-ROW(),1),"Sub"))))</f>
        <v/>
      </c>
      <c r="L264" s="60">
        <f>IF(N($W264)=0,"",IF(AND($S264=MesCiclo,4&gt;SemanaActual),"",MIN(1,SUMIFS(OFFSET($A$1,ROW(),32,1000-ROW(),1),OFFSET($A$1,ROW(),20,1000-ROW(),1),ROW(),OFFSET($A$1,ROW(),21,1000-ROW(),1),"Sub"))))</f>
        <v/>
      </c>
      <c r="M264" s="61">
        <f>IF(OR(NOT((COUNTA($B264:$D264)+COUNTA($G264:$H264)+COUNTA($Q264))&gt;0),$V264="Sub"),"",IF(ISNUMBER($G264),1,IF(N($W264)&gt;0,MIN(1,SUMIFS($Y$5:$Y$1000,$U$5:$U$1000,ROW(),$V$5:$V$1000,"Sub")),$Y264)))</f>
        <v/>
      </c>
      <c r="N264" s="56">
        <f>IF(OR($M264="",$V264="Sub"),"",IF($M264&gt;=1,"Completado",IF($M264&gt;0,"En curso","Pendiente")))</f>
        <v/>
      </c>
      <c r="O264" s="56">
        <f>IF(OR(NOT((COUNTA($B264:$D264)+COUNTA($G264:$H264)+COUNTA($Q264))&gt;0),$V264="Sub"),"",IF(ISNUMBER($G264),IF(AND(ISNUMBER($AS264),$G264&gt;$AS264),"Cumplida con "&amp;($G264-$AS264)&amp;IF($G264-$AS264=1," día"," días")&amp;" de retraso","Cumplida"),IF(N($M264)&gt;=1,"Cumplida",IF(NOT(ISNUMBER($AS264)),"Sin fecha límite",IF($AS264&lt;FechaRef,"Vencida hace "&amp;(FechaRef-$AS264)&amp;IF(FechaRef-$AS264=1," día"," días"),IF($AS264=FechaRef,"Vence hoy",IF($AS264-FechaRef&lt;=DiasAlerta,"Vence en "&amp;($AS264-FechaRef)&amp;IF($AS264-FechaRef=1," día"," días"),"En plazo")))))))</f>
        <v/>
      </c>
      <c r="P264" s="62" t="n"/>
      <c r="Q264" s="58" t="n"/>
      <c r="R264" s="63">
        <f>IF(NOT((COUNTA($B264:$D264)+COUNTA($G264:$H264)+COUNTA($Q264))&gt;0),"",IF((IF($C264="","Falta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 OK","⚠ "&amp;LEFT(IF($C264="","Falta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",""),LEN(IF($C264="","Falta el nombre de la actividad"&amp;" · ","")&amp;IF(AND($V264="Sub",N($U264)=0),"Subactividad sin macroactividad arriba"&amp;" · ","")&amp;IF(AND($V264="Macro",$AR264=""),"Sin fecha de inicio"&amp;" · ","")&amp;IF(AND($V264="Macro",$AS264=""),"Sin fecha límite"&amp;" · ","")&amp;IF(AND(LEFT($C264,11)="[Jefatura] ",N($AQ264)=0),"No se encuentra en la hoja de la jefatura (elíjala de nuevo en la lista)"&amp;" · ","")&amp;IF(OR(AND($E264&lt;&gt;"",NOT(ISNUMBER($E264))),AND($F264&lt;&gt;"",NOT(ISNUMBER($F264))),AND($G264&lt;&gt;"",NOT(ISNUMBER($G264)))),"Fecha no válida"&amp;" · ","")&amp;IF(AND(ISNUMBER($AR264),ISNUMBER($AS264),$AR264&gt;$AS264),"Inicio posterior a fecha límite"&amp;" · ","")&amp;IF(AND($V264="Macro",$H264&lt;&gt;"",OR(NOT(ISNUMBER($H264)),$H264&lt;0,$H264&gt;1)),"Peso fuera de rango"&amp;" · ","")&amp;IF(AND($V264="Sub",$H264&lt;&gt;"",OR(NOT(ISNUMBER($H264)),$H264&lt;0,$H264&gt;1)),"% de la subactividad fuera de rango 0-100%"&amp;" · ","")&amp;IF(AND(N($W264)&gt;0,SUMIFS($H$5:$H$1000,$U$5:$U$1000,ROW(),$V$5:$V$1000,"Sub")&gt;1.0001),"Las subactividades suman más de 100%"&amp;" · ","")&amp;IF(AND(N($W264)&gt;0,OR(IF(ISNUMBER($I264),ROUND($I264,6)&lt;&gt;ROUND(MIN(1,SUMIFS($AD$5:$AD$1000,$U$5:$U$1000,ROW(),$V$5:$V$1000,"Sub")),6),FALSE),IF(ISNUMBER($J264),ROUND($J264,6)&lt;&gt;ROUND(MIN(1,SUMIFS($AE$5:$AE$1000,$U$5:$U$1000,ROW(),$V$5:$V$1000,"Sub")),6),FALSE),IF(ISNUMBER($K264),ROUND($K264,6)&lt;&gt;ROUND(MIN(1,SUMIFS($AF$5:$AF$1000,$U$5:$U$1000,ROW(),$V$5:$V$1000,"Sub")),6),FALSE),IF(ISNUMBER($L264),ROUND($L264,6)&lt;&gt;ROUND(MIN(1,SUMIFS($AG$5:$AG$1000,$U$5:$U$1000,ROW(),$V$5:$V$1000,"Sub")),6),FALSE))),"Con subactividades: no escriba en las semanas (se llenan solas)"&amp;" · ","")&amp;IF((COUNTIF($I264:$L264,"&gt;1")+COUNTIF($I264:$L264,"&lt;0")+SUMPRODUCT((LEN($I264:$L264)&gt;0)*NOT(ISNUMBER($I264:$L264))))&gt;0,"Avance fuera de rango 0-100%"&amp;" · ","")&amp;IF(OR(AND(ISNUMBER($J264),$J264&lt;N($I264)),AND(ISNUMBER($K264),$K264&lt;MAX($I264:$J264)),AND(ISNUMBER($L264),$L264&lt;MAX($I264:$K264))),"Avance semanal decreciente"&amp;" · ","")&amp;IF(AND(ISNUMBER($AS264),$AS264&lt;FechaRef,IF($V264="Sub",1,N($M264))&lt;1),"Vencida"&amp;" · ","")&amp;IF(AND(ObsObligatoria="Sí",ISNUMBER($AS264),$AS264&lt;FechaRef,IF($V264="Sub",1,N($M264))&lt;1,$Q264=""),"Vencida sin observación"&amp;" · ",""))-3)))</f>
        <v/>
      </c>
      <c r="S264" s="64">
        <f>IF(NOT((COUNTA($B264:$D264)+COUNTA($G264:$H264)+COUNTA($Q264))&gt;0),"",IF(AND($V264="Sub",N($U264)&gt;0),IF(ISNUMBER(INDEX($AR$5:$AR$1000,$U264-4)),DATE(YEAR(INDEX($AR$5:$AR$1000,$U264-4)),MONTH(INDEX($AR$5:$AR$1000,$U264-4)),1),IF(ISNUMBER(INDEX($AS$5:$AS$1000,$U264-4)),DATE(YEAR(INDEX($AS$5:$AS$1000,$U264-4)),MONTH(INDEX($AS$5:$AS$1000,$U264-4)),1),MesCiclo)),IF(ISNUMBER($AR264),DATE(YEAR($AR264),MONTH($AR264),1),IF(ISNUMBER($AS264),DATE(YEAR($AS264),MONTH($AS264),1),MesCiclo))))</f>
        <v/>
      </c>
      <c r="T264" s="62">
        <f>IF(OR($S264="",$S264&lt;&gt;MesCiclo,$V264&lt;&gt;"Macro"),"",COUNTIFS($S$5:$S264,MesCiclo,$V$5:$V264,"Macro"))</f>
        <v/>
      </c>
      <c r="U264" s="62">
        <f>IF($V264="","",IF($V264="Macro",ROW(),IFERROR(LOOKUP(2,1/($V$5:$V264="Macro"),ROW($V$5:$V264)),0)))</f>
        <v/>
      </c>
      <c r="V264" s="62">
        <f>IF(NOT((COUNTA($B264:$D264)+COUNTA($G264:$H264)+COUNTA($Q264))&gt;0),"",IF($B264="Subactividad","Sub","Macro"))</f>
        <v/>
      </c>
      <c r="W264" s="62">
        <f>IF($V264="Macro",COUNTIFS($U$5:$U$1000,ROW(),$V$5:$V$1000,"Sub"),"")</f>
        <v/>
      </c>
      <c r="X264" s="62">
        <f>IF($V264&lt;&gt;"Sub","",IF(AND(ISNUMBER($H264),N($H264)&gt;0),$H264,IFERROR(MAX(0,1-SUMIFS($H$5:$H$1000,$U$5:$U$1000,$U264,$V$5:$V$1000,"Sub"))/(COUNTIFS($U$5:$U$1000,$U264,$V$5:$V$1000,"Sub")-COUNTIFS($U$5:$U$1000,$U264,$V$5:$V$1000,"Sub",$H$5:$H$1000,"&gt;0")),0)))</f>
        <v/>
      </c>
      <c r="Y264" s="62">
        <f>IF($V264="","",IF($V264="Sub",N($X264)*IF(ISNUMBER($G264),1,MIN(1,MAX(0,IFERROR(LOOKUP(2,1/ISNUMBER($I264:$L264),$I264:$L264),0)))),IF(ISNUMBER($G264),1,IFERROR(LOOKUP(2,1/($I264:$L264&lt;&gt;""),$I264:$L264),0))))</f>
        <v/>
      </c>
      <c r="Z264" s="62">
        <f>IF($V264="","",IF(AND(ISNUMBER($G264),$G264&lt;=IF($S264=MesCiclo,InicioCiclo,$S264+MOD(2-WEEKDAY($S264),7))+6),1,IF(ISNUMBER($I264),$I264,0)))</f>
        <v/>
      </c>
      <c r="AA264" s="62">
        <f>IF($V264="","",IF(AND(ISNUMBER($G264),$G264&lt;=IF($S264=MesCiclo,InicioCiclo,$S264+MOD(2-WEEKDAY($S264),7))+13),1,IF(ISNUMBER($J264),$J264,$Z264)))</f>
        <v/>
      </c>
      <c r="AB264" s="62">
        <f>IF($V264="","",IF(AND(ISNUMBER($G264),$G264&lt;=IF($S264=MesCiclo,InicioCiclo,$S264+MOD(2-WEEKDAY($S264),7))+20),1,IF(ISNUMBER($K264),$K264,$AA264)))</f>
        <v/>
      </c>
      <c r="AC264" s="62">
        <f>IF($V264="","",IF(AND(ISNUMBER($G264),$G264&lt;=IF($S264=MesCiclo,InicioCiclo,$S264+MOD(2-WEEKDAY($S264),7))+27),1,IF(ISNUMBER($L264),$L264,$AB264)))</f>
        <v/>
      </c>
      <c r="AD264" s="62">
        <f>IF($V264&lt;&gt;"Sub","",N($X264)*IF(AND(ISNUMBER($G264),$G264&lt;=IF($S264=MesCiclo,InicioCiclo,$S264+MOD(2-WEEKDAY($S264),7))+6),1,MIN(1,MAX(0,IF(ISNUMBER(OFFSET($A$1,ROW()-1,8)),OFFSET($A$1,ROW()-1,8),0)))))</f>
        <v/>
      </c>
      <c r="AE264" s="62">
        <f>IF($V264&lt;&gt;"Sub","",N($X264)*IF(AND(ISNUMBER($G264),$G264&lt;=IF($S264=MesCiclo,InicioCiclo,$S264+MOD(2-WEEKDAY($S264),7))+13),1,MIN(1,MAX(0,IF(ISNUMBER(OFFSET($A$1,ROW()-1,9)),OFFSET($A$1,ROW()-1,9),IF(ISNUMBER(OFFSET($A$1,ROW()-1,8)),OFFSET($A$1,ROW()-1,8),0))))))</f>
        <v/>
      </c>
      <c r="AF264" s="62">
        <f>IF($V264&lt;&gt;"Sub","",N($X264)*IF(AND(ISNUMBER($G264),$G264&lt;=IF($S264=MesCiclo,InicioCiclo,$S264+MOD(2-WEEKDAY($S264),7))+20),1,MIN(1,MAX(0,IF(ISNUMBER(OFFSET($A$1,ROW()-1,10)),OFFSET($A$1,ROW()-1,10),IF(ISNUMBER(OFFSET($A$1,ROW()-1,9)),OFFSET($A$1,ROW()-1,9),IF(ISNUMBER(OFFSET($A$1,ROW()-1,8)),OFFSET($A$1,ROW()-1,8),0)))))))</f>
        <v/>
      </c>
      <c r="AG264" s="62">
        <f>IF($V264&lt;&gt;"Sub","",N($X264)*IF(AND(ISNUMBER($G264),$G264&lt;=IF($S264=MesCiclo,InicioCiclo,$S264+MOD(2-WEEKDAY($S264),7))+27),1,MIN(1,MAX(0,IF(ISNUMBER(OFFSET($A$1,ROW()-1,11)),OFFSET($A$1,ROW()-1,11),IF(ISNUMBER(OFFSET($A$1,ROW()-1,10)),OFFSET($A$1,ROW()-1,10),IF(ISNUMBER(OFFSET($A$1,ROW()-1,9)),OFFSET($A$1,ROW()-1,9),IF(ISNUMBER(OFFSET($A$1,ROW()-1,8)),OFFSET($A$1,ROW()-1,8),0))))))))</f>
        <v/>
      </c>
      <c r="AH264" s="62">
        <f>IF($V264="","",IF(AND(ISNUMBER($G264),$G264&lt;=IF($S264=MesCiclo,InicioCiclo,$S264+MOD(2-WEEKDAY($S264),7))+6),1,IF(N($W264)&gt;0,MIN(1,SUMIFS($AD$5:$AD$1000,$U$5:$U$1000,ROW(),$V$5:$V$1000,"Sub")),$Z264)))</f>
        <v/>
      </c>
      <c r="AI264" s="62">
        <f>IF($V264="","",IF(AND(ISNUMBER($G264),$G264&lt;=IF($S264=MesCiclo,InicioCiclo,$S264+MOD(2-WEEKDAY($S264),7))+13),1,IF(N($W264)&gt;0,MIN(1,SUMIFS($AE$5:$AE$1000,$U$5:$U$1000,ROW(),$V$5:$V$1000,"Sub")),$AA264)))</f>
        <v/>
      </c>
      <c r="AJ264" s="62">
        <f>IF($V264="","",IF(AND(ISNUMBER($G264),$G264&lt;=IF($S264=MesCiclo,InicioCiclo,$S264+MOD(2-WEEKDAY($S264),7))+20),1,IF(N($W264)&gt;0,MIN(1,SUMIFS($AF$5:$AF$1000,$U$5:$U$1000,ROW(),$V$5:$V$1000,"Sub")),$AB264)))</f>
        <v/>
      </c>
      <c r="AK264" s="62">
        <f>IF($V264="","",IF(AND(ISNUMBER($G264),$G264&lt;=IF($S264=MesCiclo,InicioCiclo,$S264+MOD(2-WEEKDAY($S264),7))+27),1,IF(N($W264)&gt;0,MIN(1,SUMIFS($AG$5:$AG$1000,$U$5:$U$1000,ROW(),$V$5:$V$1000,"Sub")),$AC264)))</f>
        <v/>
      </c>
      <c r="AL264" s="62">
        <f>IF($V264&lt;&gt;"Macro","",IF(COUNTIFS($S$5:$S$1000,$S264,$V$5:$V$1000,"Macro",$H$5:$H$1000,"&gt;0")=0,1/COUNTIFS($S$5:$S$1000,$S264,$V$5:$V$1000,"Macro"),IF(AND(ISNUMBER($H264),N($H264)&gt;0),$H264,SUMIFS($H$5:$H$1000,$S$5:$S$1000,$S264,$V$5:$V$1000,"Macro")/COUNTIFS($S$5:$S$1000,$S264,$V$5:$V$1000,"Macro",$H$5:$H$1000,"&gt;0"))/(COUNTIFS($S$5:$S$1000,$S264,$V$5:$V$1000,"Macro")*SUMIFS($H$5:$H$1000,$S$5:$S$1000,$S264,$V$5:$V$1000,"Macro")/COUNTIFS($S$5:$S$1000,$S264,$V$5:$V$1000,"Macro",$H$5:$H$1000,"&gt;0"))))</f>
        <v/>
      </c>
      <c r="AM264" s="62" t="n"/>
      <c r="AN264" s="62" t="n"/>
      <c r="AO264" s="62" t="n"/>
      <c r="AP264" s="62" t="n"/>
      <c r="AQ264" s="62">
        <f>IF(LEFT($C264,11)="[Jefatura] ",IFERROR(MATCH("Asistente Técnico de Riesgo|"&amp;MID($C264,12,500),rDname_ADM,0),0),"")</f>
        <v/>
      </c>
      <c r="AR264" s="62">
        <f>IF(N($AQ264)&gt;0,INDEX(rIni_ADM,$AQ264),IF(ISNUMBER($E264),$E264,""))</f>
        <v/>
      </c>
      <c r="AS264" s="62">
        <f>IF(N($AQ264)&gt;0,INDEX(rLim_ADM,$AQ264),IF(ISNUMBER($F264),$F264,""))</f>
        <v/>
      </c>
    </row>
    <row r="265">
      <c r="A265" s="56">
        <f>IF(NOT((COUNTA($B265:$D265)+COUNTA($G265:$H265)+COUNTA($Q265))&gt;0),"",IF($V265="Macro",COUNTIFS($V$5:$V265,"Macro",$S$5:$S265,$S265),IF(N($U265)=0,"?",COUNTIFS(INDEX($V$5:$V$1000,1):INDEX($V$5:$V$1000,$U265-4),"Macro",INDEX($S$5:$S$1000,1):INDEX($S$5:$S$1000,$U265-4),INDEX($S$5:$S$1000,$U265-4))&amp;"."&amp;COUNTIFS($U$5:$U265,$U265,$V$5:$V265,"Sub"))))</f>
        <v/>
      </c>
      <c r="B265" s="57" t="n"/>
      <c r="C265" s="58" t="n"/>
      <c r="D265" s="58" t="n"/>
      <c r="E265" s="59">
        <f>IF(N($AQ265)&gt;0,INDEX(rIni_ADM,$AQ265),"")</f>
        <v/>
      </c>
      <c r="F265" s="59">
        <f>IF(N($AQ265)&gt;0,INDEX(rLim_ADM,$AQ265),"")</f>
        <v/>
      </c>
      <c r="G265" s="59" t="n"/>
      <c r="H265" s="60" t="n"/>
      <c r="I265" s="60">
        <f>IF(N($W265)=0,"",IF(AND($S265=MesCiclo,1&gt;SemanaActual),"",MIN(1,SUMIFS(OFFSET($A$1,ROW(),29,1000-ROW(),1),OFFSET($A$1,ROW(),20,1000-ROW(),1),ROW(),OFFSET($A$1,ROW(),21,1000-ROW(),1),"Sub"))))</f>
        <v/>
      </c>
      <c r="J265" s="60">
        <f>IF(N($W265)=0,"",IF(AND($S265=MesCiclo,2&gt;SemanaActual),"",MIN(1,SUMIFS(OFFSET($A$1,ROW(),30,1000-ROW(),1),OFFSET($A$1,ROW(),20,1000-ROW(),1),ROW(),OFFSET($A$1,ROW(),21,1000-ROW(),1),"Sub"))))</f>
        <v/>
      </c>
      <c r="K265" s="60">
        <f>IF(N($W265)=0,"",IF(AND($S265=MesCiclo,3&gt;SemanaActual),"",MIN(1,SUMIFS(OFFSET($A$1,ROW(),31,1000-ROW(),1),OFFSET($A$1,ROW(),20,1000-ROW(),1),ROW(),OFFSET($A$1,ROW(),21,1000-ROW(),1),"Sub"))))</f>
        <v/>
      </c>
      <c r="L265" s="60">
        <f>IF(N($W265)=0,"",IF(AND($S265=MesCiclo,4&gt;SemanaActual),"",MIN(1,SUMIFS(OFFSET($A$1,ROW(),32,1000-ROW(),1),OFFSET($A$1,ROW(),20,1000-ROW(),1),ROW(),OFFSET($A$1,ROW(),21,1000-ROW(),1),"Sub"))))</f>
        <v/>
      </c>
      <c r="M265" s="61">
        <f>IF(OR(NOT((COUNTA($B265:$D265)+COUNTA($G265:$H265)+COUNTA($Q265))&gt;0),$V265="Sub"),"",IF(ISNUMBER($G265),1,IF(N($W265)&gt;0,MIN(1,SUMIFS($Y$5:$Y$1000,$U$5:$U$1000,ROW(),$V$5:$V$1000,"Sub")),$Y265)))</f>
        <v/>
      </c>
      <c r="N265" s="56">
        <f>IF(OR($M265="",$V265="Sub"),"",IF($M265&gt;=1,"Completado",IF($M265&gt;0,"En curso","Pendiente")))</f>
        <v/>
      </c>
      <c r="O265" s="56">
        <f>IF(OR(NOT((COUNTA($B265:$D265)+COUNTA($G265:$H265)+COUNTA($Q265))&gt;0),$V265="Sub"),"",IF(ISNUMBER($G265),IF(AND(ISNUMBER($AS265),$G265&gt;$AS265),"Cumplida con "&amp;($G265-$AS265)&amp;IF($G265-$AS265=1," día"," días")&amp;" de retraso","Cumplida"),IF(N($M265)&gt;=1,"Cumplida",IF(NOT(ISNUMBER($AS265)),"Sin fecha límite",IF($AS265&lt;FechaRef,"Vencida hace "&amp;(FechaRef-$AS265)&amp;IF(FechaRef-$AS265=1," día"," días"),IF($AS265=FechaRef,"Vence hoy",IF($AS265-FechaRef&lt;=DiasAlerta,"Vence en "&amp;($AS265-FechaRef)&amp;IF($AS265-FechaRef=1," día"," días"),"En plazo")))))))</f>
        <v/>
      </c>
      <c r="P265" s="62" t="n"/>
      <c r="Q265" s="58" t="n"/>
      <c r="R265" s="63">
        <f>IF(NOT((COUNTA($B265:$D265)+COUNTA($G265:$H265)+COUNTA($Q265))&gt;0),"",IF((IF($C265="","Falta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 OK","⚠ "&amp;LEFT(IF($C265="","Falta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",""),LEN(IF($C265="","Falta el nombre de la actividad"&amp;" · ","")&amp;IF(AND($V265="Sub",N($U265)=0),"Subactividad sin macroactividad arriba"&amp;" · ","")&amp;IF(AND($V265="Macro",$AR265=""),"Sin fecha de inicio"&amp;" · ","")&amp;IF(AND($V265="Macro",$AS265=""),"Sin fecha límite"&amp;" · ","")&amp;IF(AND(LEFT($C265,11)="[Jefatura] ",N($AQ265)=0),"No se encuentra en la hoja de la jefatura (elíjala de nuevo en la lista)"&amp;" · ","")&amp;IF(OR(AND($E265&lt;&gt;"",NOT(ISNUMBER($E265))),AND($F265&lt;&gt;"",NOT(ISNUMBER($F265))),AND($G265&lt;&gt;"",NOT(ISNUMBER($G265)))),"Fecha no válida"&amp;" · ","")&amp;IF(AND(ISNUMBER($AR265),ISNUMBER($AS265),$AR265&gt;$AS265),"Inicio posterior a fecha límite"&amp;" · ","")&amp;IF(AND($V265="Macro",$H265&lt;&gt;"",OR(NOT(ISNUMBER($H265)),$H265&lt;0,$H265&gt;1)),"Peso fuera de rango"&amp;" · ","")&amp;IF(AND($V265="Sub",$H265&lt;&gt;"",OR(NOT(ISNUMBER($H265)),$H265&lt;0,$H265&gt;1)),"% de la subactividad fuera de rango 0-100%"&amp;" · ","")&amp;IF(AND(N($W265)&gt;0,SUMIFS($H$5:$H$1000,$U$5:$U$1000,ROW(),$V$5:$V$1000,"Sub")&gt;1.0001),"Las subactividades suman más de 100%"&amp;" · ","")&amp;IF(AND(N($W265)&gt;0,OR(IF(ISNUMBER($I265),ROUND($I265,6)&lt;&gt;ROUND(MIN(1,SUMIFS($AD$5:$AD$1000,$U$5:$U$1000,ROW(),$V$5:$V$1000,"Sub")),6),FALSE),IF(ISNUMBER($J265),ROUND($J265,6)&lt;&gt;ROUND(MIN(1,SUMIFS($AE$5:$AE$1000,$U$5:$U$1000,ROW(),$V$5:$V$1000,"Sub")),6),FALSE),IF(ISNUMBER($K265),ROUND($K265,6)&lt;&gt;ROUND(MIN(1,SUMIFS($AF$5:$AF$1000,$U$5:$U$1000,ROW(),$V$5:$V$1000,"Sub")),6),FALSE),IF(ISNUMBER($L265),ROUND($L265,6)&lt;&gt;ROUND(MIN(1,SUMIFS($AG$5:$AG$1000,$U$5:$U$1000,ROW(),$V$5:$V$1000,"Sub")),6),FALSE))),"Con subactividades: no escriba en las semanas (se llenan solas)"&amp;" · ","")&amp;IF((COUNTIF($I265:$L265,"&gt;1")+COUNTIF($I265:$L265,"&lt;0")+SUMPRODUCT((LEN($I265:$L265)&gt;0)*NOT(ISNUMBER($I265:$L265))))&gt;0,"Avance fuera de rango 0-100%"&amp;" · ","")&amp;IF(OR(AND(ISNUMBER($J265),$J265&lt;N($I265)),AND(ISNUMBER($K265),$K265&lt;MAX($I265:$J265)),AND(ISNUMBER($L265),$L265&lt;MAX($I265:$K265))),"Avance semanal decreciente"&amp;" · ","")&amp;IF(AND(ISNUMBER($AS265),$AS265&lt;FechaRef,IF($V265="Sub",1,N($M265))&lt;1),"Vencida"&amp;" · ","")&amp;IF(AND(ObsObligatoria="Sí",ISNUMBER($AS265),$AS265&lt;FechaRef,IF($V265="Sub",1,N($M265))&lt;1,$Q265=""),"Vencida sin observación"&amp;" · ",""))-3)))</f>
        <v/>
      </c>
      <c r="S265" s="64">
        <f>IF(NOT((COUNTA($B265:$D265)+COUNTA($G265:$H265)+COUNTA($Q265))&gt;0),"",IF(AND($V265="Sub",N($U265)&gt;0),IF(ISNUMBER(INDEX($AR$5:$AR$1000,$U265-4)),DATE(YEAR(INDEX($AR$5:$AR$1000,$U265-4)),MONTH(INDEX($AR$5:$AR$1000,$U265-4)),1),IF(ISNUMBER(INDEX($AS$5:$AS$1000,$U265-4)),DATE(YEAR(INDEX($AS$5:$AS$1000,$U265-4)),MONTH(INDEX($AS$5:$AS$1000,$U265-4)),1),MesCiclo)),IF(ISNUMBER($AR265),DATE(YEAR($AR265),MONTH($AR265),1),IF(ISNUMBER($AS265),DATE(YEAR($AS265),MONTH($AS265),1),MesCiclo))))</f>
        <v/>
      </c>
      <c r="T265" s="62">
        <f>IF(OR($S265="",$S265&lt;&gt;MesCiclo,$V265&lt;&gt;"Macro"),"",COUNTIFS($S$5:$S265,MesCiclo,$V$5:$V265,"Macro"))</f>
        <v/>
      </c>
      <c r="U265" s="62">
        <f>IF($V265="","",IF($V265="Macro",ROW(),IFERROR(LOOKUP(2,1/($V$5:$V265="Macro"),ROW($V$5:$V265)),0)))</f>
        <v/>
      </c>
      <c r="V265" s="62">
        <f>IF(NOT((COUNTA($B265:$D265)+COUNTA($G265:$H265)+COUNTA($Q265))&gt;0),"",IF($B265="Subactividad","Sub","Macro"))</f>
        <v/>
      </c>
      <c r="W265" s="62">
        <f>IF($V265="Macro",COUNTIFS($U$5:$U$1000,ROW(),$V$5:$V$1000,"Sub"),"")</f>
        <v/>
      </c>
      <c r="X265" s="62">
        <f>IF($V265&lt;&gt;"Sub","",IF(AND(ISNUMBER($H265),N($H265)&gt;0),$H265,IFERROR(MAX(0,1-SUMIFS($H$5:$H$1000,$U$5:$U$1000,$U265,$V$5:$V$1000,"Sub"))/(COUNTIFS($U$5:$U$1000,$U265,$V$5:$V$1000,"Sub")-COUNTIFS($U$5:$U$1000,$U265,$V$5:$V$1000,"Sub",$H$5:$H$1000,"&gt;0")),0)))</f>
        <v/>
      </c>
      <c r="Y265" s="62">
        <f>IF($V265="","",IF($V265="Sub",N($X265)*IF(ISNUMBER($G265),1,MIN(1,MAX(0,IFERROR(LOOKUP(2,1/ISNUMBER($I265:$L265),$I265:$L265),0)))),IF(ISNUMBER($G265),1,IFERROR(LOOKUP(2,1/($I265:$L265&lt;&gt;""),$I265:$L265),0))))</f>
        <v/>
      </c>
      <c r="Z265" s="62">
        <f>IF($V265="","",IF(AND(ISNUMBER($G265),$G265&lt;=IF($S265=MesCiclo,InicioCiclo,$S265+MOD(2-WEEKDAY($S265),7))+6),1,IF(ISNUMBER($I265),$I265,0)))</f>
        <v/>
      </c>
      <c r="AA265" s="62">
        <f>IF($V265="","",IF(AND(ISNUMBER($G265),$G265&lt;=IF($S265=MesCiclo,InicioCiclo,$S265+MOD(2-WEEKDAY($S265),7))+13),1,IF(ISNUMBER($J265),$J265,$Z265)))</f>
        <v/>
      </c>
      <c r="AB265" s="62">
        <f>IF($V265="","",IF(AND(ISNUMBER($G265),$G265&lt;=IF($S265=MesCiclo,InicioCiclo,$S265+MOD(2-WEEKDAY($S265),7))+20),1,IF(ISNUMBER($K265),$K265,$AA265)))</f>
        <v/>
      </c>
      <c r="AC265" s="62">
        <f>IF($V265="","",IF(AND(ISNUMBER($G265),$G265&lt;=IF($S265=MesCiclo,InicioCiclo,$S265+MOD(2-WEEKDAY($S265),7))+27),1,IF(ISNUMBER($L265),$L265,$AB265)))</f>
        <v/>
      </c>
      <c r="AD265" s="62">
        <f>IF($V265&lt;&gt;"Sub","",N($X265)*IF(AND(ISNUMBER($G265),$G265&lt;=IF($S265=MesCiclo,InicioCiclo,$S265+MOD(2-WEEKDAY($S265),7))+6),1,MIN(1,MAX(0,IF(ISNUMBER(OFFSET($A$1,ROW()-1,8)),OFFSET($A$1,ROW()-1,8),0)))))</f>
        <v/>
      </c>
      <c r="AE265" s="62">
        <f>IF($V265&lt;&gt;"Sub","",N($X265)*IF(AND(ISNUMBER($G265),$G265&lt;=IF($S265=MesCiclo,InicioCiclo,$S265+MOD(2-WEEKDAY($S265),7))+13),1,MIN(1,MAX(0,IF(ISNUMBER(OFFSET($A$1,ROW()-1,9)),OFFSET($A$1,ROW()-1,9),IF(ISNUMBER(OFFSET($A$1,ROW()-1,8)),OFFSET($A$1,ROW()-1,8),0))))))</f>
        <v/>
      </c>
      <c r="AF265" s="62">
        <f>IF($V265&lt;&gt;"Sub","",N($X265)*IF(AND(ISNUMBER($G265),$G265&lt;=IF($S265=MesCiclo,InicioCiclo,$S265+MOD(2-WEEKDAY($S265),7))+20),1,MIN(1,MAX(0,IF(ISNUMBER(OFFSET($A$1,ROW()-1,10)),OFFSET($A$1,ROW()-1,10),IF(ISNUMBER(OFFSET($A$1,ROW()-1,9)),OFFSET($A$1,ROW()-1,9),IF(ISNUMBER(OFFSET($A$1,ROW()-1,8)),OFFSET($A$1,ROW()-1,8),0)))))))</f>
        <v/>
      </c>
      <c r="AG265" s="62">
        <f>IF($V265&lt;&gt;"Sub","",N($X265)*IF(AND(ISNUMBER($G265),$G265&lt;=IF($S265=MesCiclo,InicioCiclo,$S265+MOD(2-WEEKDAY($S265),7))+27),1,MIN(1,MAX(0,IF(ISNUMBER(OFFSET($A$1,ROW()-1,11)),OFFSET($A$1,ROW()-1,11),IF(ISNUMBER(OFFSET($A$1,ROW()-1,10)),OFFSET($A$1,ROW()-1,10),IF(ISNUMBER(OFFSET($A$1,ROW()-1,9)),OFFSET($A$1,ROW()-1,9),IF(ISNUMBER(OFFSET($A$1,ROW()-1,8)),OFFSET($A$1,ROW()-1,8),0))))))))</f>
        <v/>
      </c>
      <c r="AH265" s="62">
        <f>IF($V265="","",IF(AND(ISNUMBER($G265),$G265&lt;=IF($S265=MesCiclo,InicioCiclo,$S265+MOD(2-WEEKDAY($S265),7))+6),1,IF(N($W265)&gt;0,MIN(1,SUMIFS($AD$5:$AD$1000,$U$5:$U$1000,ROW(),$V$5:$V$1000,"Sub")),$Z265)))</f>
        <v/>
      </c>
      <c r="AI265" s="62">
        <f>IF($V265="","",IF(AND(ISNUMBER($G265),$G265&lt;=IF($S265=MesCiclo,InicioCiclo,$S265+MOD(2-WEEKDAY($S265),7))+13),1,IF(N($W265)&gt;0,MIN(1,SUMIFS($AE$5:$AE$1000,$U$5:$U$1000,ROW(),$V$5:$V$1000,"Sub")),$AA265)))</f>
        <v/>
      </c>
      <c r="AJ265" s="62">
        <f>IF($V265="","",IF(AND(ISNUMBER($G265),$G265&lt;=IF($S265=MesCiclo,InicioCiclo,$S265+MOD(2-WEEKDAY($S265),7))+20),1,IF(N($W265)&gt;0,MIN(1,SUMIFS($AF$5:$AF$1000,$U$5:$U$1000,ROW(),$V$5:$V$1000,"Sub")),$AB265)))</f>
        <v/>
      </c>
      <c r="AK265" s="62">
        <f>IF($V265="","",IF(AND(ISNUMBER($G265),$G265&lt;=IF($S265=MesCiclo,InicioCiclo,$S265+MOD(2-WEEKDAY($S265),7))+27),1,IF(N($W265)&gt;0,MIN(1,SUMIFS($AG$5:$AG$1000,$U$5:$U$1000,ROW(),$V$5:$V$1000,"Sub")),$AC265)))</f>
        <v/>
      </c>
      <c r="AL265" s="62">
        <f>IF($V265&lt;&gt;"Macro","",IF(COUNTIFS($S$5:$S$1000,$S265,$V$5:$V$1000,"Macro",$H$5:$H$1000,"&gt;0")=0,1/COUNTIFS($S$5:$S$1000,$S265,$V$5:$V$1000,"Macro"),IF(AND(ISNUMBER($H265),N($H265)&gt;0),$H265,SUMIFS($H$5:$H$1000,$S$5:$S$1000,$S265,$V$5:$V$1000,"Macro")/COUNTIFS($S$5:$S$1000,$S265,$V$5:$V$1000,"Macro",$H$5:$H$1000,"&gt;0"))/(COUNTIFS($S$5:$S$1000,$S265,$V$5:$V$1000,"Macro")*SUMIFS($H$5:$H$1000,$S$5:$S$1000,$S265,$V$5:$V$1000,"Macro")/COUNTIFS($S$5:$S$1000,$S265,$V$5:$V$1000,"Macro",$H$5:$H$1000,"&gt;0"))))</f>
        <v/>
      </c>
      <c r="AM265" s="62" t="n"/>
      <c r="AN265" s="62" t="n"/>
      <c r="AO265" s="62" t="n"/>
      <c r="AP265" s="62" t="n"/>
      <c r="AQ265" s="62">
        <f>IF(LEFT($C265,11)="[Jefatura] ",IFERROR(MATCH("Asistente Técnico de Riesgo|"&amp;MID($C265,12,500),rDname_ADM,0),0),"")</f>
        <v/>
      </c>
      <c r="AR265" s="62">
        <f>IF(N($AQ265)&gt;0,INDEX(rIni_ADM,$AQ265),IF(ISNUMBER($E265),$E265,""))</f>
        <v/>
      </c>
      <c r="AS265" s="62">
        <f>IF(N($AQ265)&gt;0,INDEX(rLim_ADM,$AQ265),IF(ISNUMBER($F265),$F265,""))</f>
        <v/>
      </c>
    </row>
    <row r="266">
      <c r="A266" s="56">
        <f>IF(NOT((COUNTA($B266:$D266)+COUNTA($G266:$H266)+COUNTA($Q266))&gt;0),"",IF($V266="Macro",COUNTIFS($V$5:$V266,"Macro",$S$5:$S266,$S266),IF(N($U266)=0,"?",COUNTIFS(INDEX($V$5:$V$1000,1):INDEX($V$5:$V$1000,$U266-4),"Macro",INDEX($S$5:$S$1000,1):INDEX($S$5:$S$1000,$U266-4),INDEX($S$5:$S$1000,$U266-4))&amp;"."&amp;COUNTIFS($U$5:$U266,$U266,$V$5:$V266,"Sub"))))</f>
        <v/>
      </c>
      <c r="B266" s="57" t="n"/>
      <c r="C266" s="58" t="n"/>
      <c r="D266" s="58" t="n"/>
      <c r="E266" s="59">
        <f>IF(N($AQ266)&gt;0,INDEX(rIni_ADM,$AQ266),"")</f>
        <v/>
      </c>
      <c r="F266" s="59">
        <f>IF(N($AQ266)&gt;0,INDEX(rLim_ADM,$AQ266),"")</f>
        <v/>
      </c>
      <c r="G266" s="59" t="n"/>
      <c r="H266" s="60" t="n"/>
      <c r="I266" s="60">
        <f>IF(N($W266)=0,"",IF(AND($S266=MesCiclo,1&gt;SemanaActual),"",MIN(1,SUMIFS(OFFSET($A$1,ROW(),29,1000-ROW(),1),OFFSET($A$1,ROW(),20,1000-ROW(),1),ROW(),OFFSET($A$1,ROW(),21,1000-ROW(),1),"Sub"))))</f>
        <v/>
      </c>
      <c r="J266" s="60">
        <f>IF(N($W266)=0,"",IF(AND($S266=MesCiclo,2&gt;SemanaActual),"",MIN(1,SUMIFS(OFFSET($A$1,ROW(),30,1000-ROW(),1),OFFSET($A$1,ROW(),20,1000-ROW(),1),ROW(),OFFSET($A$1,ROW(),21,1000-ROW(),1),"Sub"))))</f>
        <v/>
      </c>
      <c r="K266" s="60">
        <f>IF(N($W266)=0,"",IF(AND($S266=MesCiclo,3&gt;SemanaActual),"",MIN(1,SUMIFS(OFFSET($A$1,ROW(),31,1000-ROW(),1),OFFSET($A$1,ROW(),20,1000-ROW(),1),ROW(),OFFSET($A$1,ROW(),21,1000-ROW(),1),"Sub"))))</f>
        <v/>
      </c>
      <c r="L266" s="60">
        <f>IF(N($W266)=0,"",IF(AND($S266=MesCiclo,4&gt;SemanaActual),"",MIN(1,SUMIFS(OFFSET($A$1,ROW(),32,1000-ROW(),1),OFFSET($A$1,ROW(),20,1000-ROW(),1),ROW(),OFFSET($A$1,ROW(),21,1000-ROW(),1),"Sub"))))</f>
        <v/>
      </c>
      <c r="M266" s="61">
        <f>IF(OR(NOT((COUNTA($B266:$D266)+COUNTA($G266:$H266)+COUNTA($Q266))&gt;0),$V266="Sub"),"",IF(ISNUMBER($G266),1,IF(N($W266)&gt;0,MIN(1,SUMIFS($Y$5:$Y$1000,$U$5:$U$1000,ROW(),$V$5:$V$1000,"Sub")),$Y266)))</f>
        <v/>
      </c>
      <c r="N266" s="56">
        <f>IF(OR($M266="",$V266="Sub"),"",IF($M266&gt;=1,"Completado",IF($M266&gt;0,"En curso","Pendiente")))</f>
        <v/>
      </c>
      <c r="O266" s="56">
        <f>IF(OR(NOT((COUNTA($B266:$D266)+COUNTA($G266:$H266)+COUNTA($Q266))&gt;0),$V266="Sub"),"",IF(ISNUMBER($G266),IF(AND(ISNUMBER($AS266),$G266&gt;$AS266),"Cumplida con "&amp;($G266-$AS266)&amp;IF($G266-$AS266=1," día"," días")&amp;" de retraso","Cumplida"),IF(N($M266)&gt;=1,"Cumplida",IF(NOT(ISNUMBER($AS266)),"Sin fecha límite",IF($AS266&lt;FechaRef,"Vencida hace "&amp;(FechaRef-$AS266)&amp;IF(FechaRef-$AS266=1," día"," días"),IF($AS266=FechaRef,"Vence hoy",IF($AS266-FechaRef&lt;=DiasAlerta,"Vence en "&amp;($AS266-FechaRef)&amp;IF($AS266-FechaRef=1," día"," días"),"En plazo")))))))</f>
        <v/>
      </c>
      <c r="P266" s="62" t="n"/>
      <c r="Q266" s="58" t="n"/>
      <c r="R266" s="63">
        <f>IF(NOT((COUNTA($B266:$D266)+COUNTA($G266:$H266)+COUNTA($Q266))&gt;0),"",IF((IF($C266="","Falta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 OK","⚠ "&amp;LEFT(IF($C266="","Falta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",""),LEN(IF($C266="","Falta el nombre de la actividad"&amp;" · ","")&amp;IF(AND($V266="Sub",N($U266)=0),"Subactividad sin macroactividad arriba"&amp;" · ","")&amp;IF(AND($V266="Macro",$AR266=""),"Sin fecha de inicio"&amp;" · ","")&amp;IF(AND($V266="Macro",$AS266=""),"Sin fecha límite"&amp;" · ","")&amp;IF(AND(LEFT($C266,11)="[Jefatura] ",N($AQ266)=0),"No se encuentra en la hoja de la jefatura (elíjala de nuevo en la lista)"&amp;" · ","")&amp;IF(OR(AND($E266&lt;&gt;"",NOT(ISNUMBER($E266))),AND($F266&lt;&gt;"",NOT(ISNUMBER($F266))),AND($G266&lt;&gt;"",NOT(ISNUMBER($G266)))),"Fecha no válida"&amp;" · ","")&amp;IF(AND(ISNUMBER($AR266),ISNUMBER($AS266),$AR266&gt;$AS266),"Inicio posterior a fecha límite"&amp;" · ","")&amp;IF(AND($V266="Macro",$H266&lt;&gt;"",OR(NOT(ISNUMBER($H266)),$H266&lt;0,$H266&gt;1)),"Peso fuera de rango"&amp;" · ","")&amp;IF(AND($V266="Sub",$H266&lt;&gt;"",OR(NOT(ISNUMBER($H266)),$H266&lt;0,$H266&gt;1)),"% de la subactividad fuera de rango 0-100%"&amp;" · ","")&amp;IF(AND(N($W266)&gt;0,SUMIFS($H$5:$H$1000,$U$5:$U$1000,ROW(),$V$5:$V$1000,"Sub")&gt;1.0001),"Las subactividades suman más de 100%"&amp;" · ","")&amp;IF(AND(N($W266)&gt;0,OR(IF(ISNUMBER($I266),ROUND($I266,6)&lt;&gt;ROUND(MIN(1,SUMIFS($AD$5:$AD$1000,$U$5:$U$1000,ROW(),$V$5:$V$1000,"Sub")),6),FALSE),IF(ISNUMBER($J266),ROUND($J266,6)&lt;&gt;ROUND(MIN(1,SUMIFS($AE$5:$AE$1000,$U$5:$U$1000,ROW(),$V$5:$V$1000,"Sub")),6),FALSE),IF(ISNUMBER($K266),ROUND($K266,6)&lt;&gt;ROUND(MIN(1,SUMIFS($AF$5:$AF$1000,$U$5:$U$1000,ROW(),$V$5:$V$1000,"Sub")),6),FALSE),IF(ISNUMBER($L266),ROUND($L266,6)&lt;&gt;ROUND(MIN(1,SUMIFS($AG$5:$AG$1000,$U$5:$U$1000,ROW(),$V$5:$V$1000,"Sub")),6),FALSE))),"Con subactividades: no escriba en las semanas (se llenan solas)"&amp;" · ","")&amp;IF((COUNTIF($I266:$L266,"&gt;1")+COUNTIF($I266:$L266,"&lt;0")+SUMPRODUCT((LEN($I266:$L266)&gt;0)*NOT(ISNUMBER($I266:$L266))))&gt;0,"Avance fuera de rango 0-100%"&amp;" · ","")&amp;IF(OR(AND(ISNUMBER($J266),$J266&lt;N($I266)),AND(ISNUMBER($K266),$K266&lt;MAX($I266:$J266)),AND(ISNUMBER($L266),$L266&lt;MAX($I266:$K266))),"Avance semanal decreciente"&amp;" · ","")&amp;IF(AND(ISNUMBER($AS266),$AS266&lt;FechaRef,IF($V266="Sub",1,N($M266))&lt;1),"Vencida"&amp;" · ","")&amp;IF(AND(ObsObligatoria="Sí",ISNUMBER($AS266),$AS266&lt;FechaRef,IF($V266="Sub",1,N($M266))&lt;1,$Q266=""),"Vencida sin observación"&amp;" · ",""))-3)))</f>
        <v/>
      </c>
      <c r="S266" s="64">
        <f>IF(NOT((COUNTA($B266:$D266)+COUNTA($G266:$H266)+COUNTA($Q266))&gt;0),"",IF(AND($V266="Sub",N($U266)&gt;0),IF(ISNUMBER(INDEX($AR$5:$AR$1000,$U266-4)),DATE(YEAR(INDEX($AR$5:$AR$1000,$U266-4)),MONTH(INDEX($AR$5:$AR$1000,$U266-4)),1),IF(ISNUMBER(INDEX($AS$5:$AS$1000,$U266-4)),DATE(YEAR(INDEX($AS$5:$AS$1000,$U266-4)),MONTH(INDEX($AS$5:$AS$1000,$U266-4)),1),MesCiclo)),IF(ISNUMBER($AR266),DATE(YEAR($AR266),MONTH($AR266),1),IF(ISNUMBER($AS266),DATE(YEAR($AS266),MONTH($AS266),1),MesCiclo))))</f>
        <v/>
      </c>
      <c r="T266" s="62">
        <f>IF(OR($S266="",$S266&lt;&gt;MesCiclo,$V266&lt;&gt;"Macro"),"",COUNTIFS($S$5:$S266,MesCiclo,$V$5:$V266,"Macro"))</f>
        <v/>
      </c>
      <c r="U266" s="62">
        <f>IF($V266="","",IF($V266="Macro",ROW(),IFERROR(LOOKUP(2,1/($V$5:$V266="Macro"),ROW($V$5:$V266)),0)))</f>
        <v/>
      </c>
      <c r="V266" s="62">
        <f>IF(NOT((COUNTA($B266:$D266)+COUNTA($G266:$H266)+COUNTA($Q266))&gt;0),"",IF($B266="Subactividad","Sub","Macro"))</f>
        <v/>
      </c>
      <c r="W266" s="62">
        <f>IF($V266="Macro",COUNTIFS($U$5:$U$1000,ROW(),$V$5:$V$1000,"Sub"),"")</f>
        <v/>
      </c>
      <c r="X266" s="62">
        <f>IF($V266&lt;&gt;"Sub","",IF(AND(ISNUMBER($H266),N($H266)&gt;0),$H266,IFERROR(MAX(0,1-SUMIFS($H$5:$H$1000,$U$5:$U$1000,$U266,$V$5:$V$1000,"Sub"))/(COUNTIFS($U$5:$U$1000,$U266,$V$5:$V$1000,"Sub")-COUNTIFS($U$5:$U$1000,$U266,$V$5:$V$1000,"Sub",$H$5:$H$1000,"&gt;0")),0)))</f>
        <v/>
      </c>
      <c r="Y266" s="62">
        <f>IF($V266="","",IF($V266="Sub",N($X266)*IF(ISNUMBER($G266),1,MIN(1,MAX(0,IFERROR(LOOKUP(2,1/ISNUMBER($I266:$L266),$I266:$L266),0)))),IF(ISNUMBER($G266),1,IFERROR(LOOKUP(2,1/($I266:$L266&lt;&gt;""),$I266:$L266),0))))</f>
        <v/>
      </c>
      <c r="Z266" s="62">
        <f>IF($V266="","",IF(AND(ISNUMBER($G266),$G266&lt;=IF($S266=MesCiclo,InicioCiclo,$S266+MOD(2-WEEKDAY($S266),7))+6),1,IF(ISNUMBER($I266),$I266,0)))</f>
        <v/>
      </c>
      <c r="AA266" s="62">
        <f>IF($V266="","",IF(AND(ISNUMBER($G266),$G266&lt;=IF($S266=MesCiclo,InicioCiclo,$S266+MOD(2-WEEKDAY($S266),7))+13),1,IF(ISNUMBER($J266),$J266,$Z266)))</f>
        <v/>
      </c>
      <c r="AB266" s="62">
        <f>IF($V266="","",IF(AND(ISNUMBER($G266),$G266&lt;=IF($S266=MesCiclo,InicioCiclo,$S266+MOD(2-WEEKDAY($S266),7))+20),1,IF(ISNUMBER($K266),$K266,$AA266)))</f>
        <v/>
      </c>
      <c r="AC266" s="62">
        <f>IF($V266="","",IF(AND(ISNUMBER($G266),$G266&lt;=IF($S266=MesCiclo,InicioCiclo,$S266+MOD(2-WEEKDAY($S266),7))+27),1,IF(ISNUMBER($L266),$L266,$AB266)))</f>
        <v/>
      </c>
      <c r="AD266" s="62">
        <f>IF($V266&lt;&gt;"Sub","",N($X266)*IF(AND(ISNUMBER($G266),$G266&lt;=IF($S266=MesCiclo,InicioCiclo,$S266+MOD(2-WEEKDAY($S266),7))+6),1,MIN(1,MAX(0,IF(ISNUMBER(OFFSET($A$1,ROW()-1,8)),OFFSET($A$1,ROW()-1,8),0)))))</f>
        <v/>
      </c>
      <c r="AE266" s="62">
        <f>IF($V266&lt;&gt;"Sub","",N($X266)*IF(AND(ISNUMBER($G266),$G266&lt;=IF($S266=MesCiclo,InicioCiclo,$S266+MOD(2-WEEKDAY($S266),7))+13),1,MIN(1,MAX(0,IF(ISNUMBER(OFFSET($A$1,ROW()-1,9)),OFFSET($A$1,ROW()-1,9),IF(ISNUMBER(OFFSET($A$1,ROW()-1,8)),OFFSET($A$1,ROW()-1,8),0))))))</f>
        <v/>
      </c>
      <c r="AF266" s="62">
        <f>IF($V266&lt;&gt;"Sub","",N($X266)*IF(AND(ISNUMBER($G266),$G266&lt;=IF($S266=MesCiclo,InicioCiclo,$S266+MOD(2-WEEKDAY($S266),7))+20),1,MIN(1,MAX(0,IF(ISNUMBER(OFFSET($A$1,ROW()-1,10)),OFFSET($A$1,ROW()-1,10),IF(ISNUMBER(OFFSET($A$1,ROW()-1,9)),OFFSET($A$1,ROW()-1,9),IF(ISNUMBER(OFFSET($A$1,ROW()-1,8)),OFFSET($A$1,ROW()-1,8),0)))))))</f>
        <v/>
      </c>
      <c r="AG266" s="62">
        <f>IF($V266&lt;&gt;"Sub","",N($X266)*IF(AND(ISNUMBER($G266),$G266&lt;=IF($S266=MesCiclo,InicioCiclo,$S266+MOD(2-WEEKDAY($S266),7))+27),1,MIN(1,MAX(0,IF(ISNUMBER(OFFSET($A$1,ROW()-1,11)),OFFSET($A$1,ROW()-1,11),IF(ISNUMBER(OFFSET($A$1,ROW()-1,10)),OFFSET($A$1,ROW()-1,10),IF(ISNUMBER(OFFSET($A$1,ROW()-1,9)),OFFSET($A$1,ROW()-1,9),IF(ISNUMBER(OFFSET($A$1,ROW()-1,8)),OFFSET($A$1,ROW()-1,8),0))))))))</f>
        <v/>
      </c>
      <c r="AH266" s="62">
        <f>IF($V266="","",IF(AND(ISNUMBER($G266),$G266&lt;=IF($S266=MesCiclo,InicioCiclo,$S266+MOD(2-WEEKDAY($S266),7))+6),1,IF(N($W266)&gt;0,MIN(1,SUMIFS($AD$5:$AD$1000,$U$5:$U$1000,ROW(),$V$5:$V$1000,"Sub")),$Z266)))</f>
        <v/>
      </c>
      <c r="AI266" s="62">
        <f>IF($V266="","",IF(AND(ISNUMBER($G266),$G266&lt;=IF($S266=MesCiclo,InicioCiclo,$S266+MOD(2-WEEKDAY($S266),7))+13),1,IF(N($W266)&gt;0,MIN(1,SUMIFS($AE$5:$AE$1000,$U$5:$U$1000,ROW(),$V$5:$V$1000,"Sub")),$AA266)))</f>
        <v/>
      </c>
      <c r="AJ266" s="62">
        <f>IF($V266="","",IF(AND(ISNUMBER($G266),$G266&lt;=IF($S266=MesCiclo,InicioCiclo,$S266+MOD(2-WEEKDAY($S266),7))+20),1,IF(N($W266)&gt;0,MIN(1,SUMIFS($AF$5:$AF$1000,$U$5:$U$1000,ROW(),$V$5:$V$1000,"Sub")),$AB266)))</f>
        <v/>
      </c>
      <c r="AK266" s="62">
        <f>IF($V266="","",IF(AND(ISNUMBER($G266),$G266&lt;=IF($S266=MesCiclo,InicioCiclo,$S266+MOD(2-WEEKDAY($S266),7))+27),1,IF(N($W266)&gt;0,MIN(1,SUMIFS($AG$5:$AG$1000,$U$5:$U$1000,ROW(),$V$5:$V$1000,"Sub")),$AC266)))</f>
        <v/>
      </c>
      <c r="AL266" s="62">
        <f>IF($V266&lt;&gt;"Macro","",IF(COUNTIFS($S$5:$S$1000,$S266,$V$5:$V$1000,"Macro",$H$5:$H$1000,"&gt;0")=0,1/COUNTIFS($S$5:$S$1000,$S266,$V$5:$V$1000,"Macro"),IF(AND(ISNUMBER($H266),N($H266)&gt;0),$H266,SUMIFS($H$5:$H$1000,$S$5:$S$1000,$S266,$V$5:$V$1000,"Macro")/COUNTIFS($S$5:$S$1000,$S266,$V$5:$V$1000,"Macro",$H$5:$H$1000,"&gt;0"))/(COUNTIFS($S$5:$S$1000,$S266,$V$5:$V$1000,"Macro")*SUMIFS($H$5:$H$1000,$S$5:$S$1000,$S266,$V$5:$V$1000,"Macro")/COUNTIFS($S$5:$S$1000,$S266,$V$5:$V$1000,"Macro",$H$5:$H$1000,"&gt;0"))))</f>
        <v/>
      </c>
      <c r="AM266" s="62" t="n"/>
      <c r="AN266" s="62" t="n"/>
      <c r="AO266" s="62" t="n"/>
      <c r="AP266" s="62" t="n"/>
      <c r="AQ266" s="62">
        <f>IF(LEFT($C266,11)="[Jefatura] ",IFERROR(MATCH("Asistente Técnico de Riesgo|"&amp;MID($C266,12,500),rDname_ADM,0),0),"")</f>
        <v/>
      </c>
      <c r="AR266" s="62">
        <f>IF(N($AQ266)&gt;0,INDEX(rIni_ADM,$AQ266),IF(ISNUMBER($E266),$E266,""))</f>
        <v/>
      </c>
      <c r="AS266" s="62">
        <f>IF(N($AQ266)&gt;0,INDEX(rLim_ADM,$AQ266),IF(ISNUMBER($F266),$F266,""))</f>
        <v/>
      </c>
    </row>
    <row r="267">
      <c r="A267" s="56">
        <f>IF(NOT((COUNTA($B267:$D267)+COUNTA($G267:$H267)+COUNTA($Q267))&gt;0),"",IF($V267="Macro",COUNTIFS($V$5:$V267,"Macro",$S$5:$S267,$S267),IF(N($U267)=0,"?",COUNTIFS(INDEX($V$5:$V$1000,1):INDEX($V$5:$V$1000,$U267-4),"Macro",INDEX($S$5:$S$1000,1):INDEX($S$5:$S$1000,$U267-4),INDEX($S$5:$S$1000,$U267-4))&amp;"."&amp;COUNTIFS($U$5:$U267,$U267,$V$5:$V267,"Sub"))))</f>
        <v/>
      </c>
      <c r="B267" s="57" t="n"/>
      <c r="C267" s="58" t="n"/>
      <c r="D267" s="58" t="n"/>
      <c r="E267" s="59">
        <f>IF(N($AQ267)&gt;0,INDEX(rIni_ADM,$AQ267),"")</f>
        <v/>
      </c>
      <c r="F267" s="59">
        <f>IF(N($AQ267)&gt;0,INDEX(rLim_ADM,$AQ267),"")</f>
        <v/>
      </c>
      <c r="G267" s="59" t="n"/>
      <c r="H267" s="60" t="n"/>
      <c r="I267" s="60">
        <f>IF(N($W267)=0,"",IF(AND($S267=MesCiclo,1&gt;SemanaActual),"",MIN(1,SUMIFS(OFFSET($A$1,ROW(),29,1000-ROW(),1),OFFSET($A$1,ROW(),20,1000-ROW(),1),ROW(),OFFSET($A$1,ROW(),21,1000-ROW(),1),"Sub"))))</f>
        <v/>
      </c>
      <c r="J267" s="60">
        <f>IF(N($W267)=0,"",IF(AND($S267=MesCiclo,2&gt;SemanaActual),"",MIN(1,SUMIFS(OFFSET($A$1,ROW(),30,1000-ROW(),1),OFFSET($A$1,ROW(),20,1000-ROW(),1),ROW(),OFFSET($A$1,ROW(),21,1000-ROW(),1),"Sub"))))</f>
        <v/>
      </c>
      <c r="K267" s="60">
        <f>IF(N($W267)=0,"",IF(AND($S267=MesCiclo,3&gt;SemanaActual),"",MIN(1,SUMIFS(OFFSET($A$1,ROW(),31,1000-ROW(),1),OFFSET($A$1,ROW(),20,1000-ROW(),1),ROW(),OFFSET($A$1,ROW(),21,1000-ROW(),1),"Sub"))))</f>
        <v/>
      </c>
      <c r="L267" s="60">
        <f>IF(N($W267)=0,"",IF(AND($S267=MesCiclo,4&gt;SemanaActual),"",MIN(1,SUMIFS(OFFSET($A$1,ROW(),32,1000-ROW(),1),OFFSET($A$1,ROW(),20,1000-ROW(),1),ROW(),OFFSET($A$1,ROW(),21,1000-ROW(),1),"Sub"))))</f>
        <v/>
      </c>
      <c r="M267" s="61">
        <f>IF(OR(NOT((COUNTA($B267:$D267)+COUNTA($G267:$H267)+COUNTA($Q267))&gt;0),$V267="Sub"),"",IF(ISNUMBER($G267),1,IF(N($W267)&gt;0,MIN(1,SUMIFS($Y$5:$Y$1000,$U$5:$U$1000,ROW(),$V$5:$V$1000,"Sub")),$Y267)))</f>
        <v/>
      </c>
      <c r="N267" s="56">
        <f>IF(OR($M267="",$V267="Sub"),"",IF($M267&gt;=1,"Completado",IF($M267&gt;0,"En curso","Pendiente")))</f>
        <v/>
      </c>
      <c r="O267" s="56">
        <f>IF(OR(NOT((COUNTA($B267:$D267)+COUNTA($G267:$H267)+COUNTA($Q267))&gt;0),$V267="Sub"),"",IF(ISNUMBER($G267),IF(AND(ISNUMBER($AS267),$G267&gt;$AS267),"Cumplida con "&amp;($G267-$AS267)&amp;IF($G267-$AS267=1," día"," días")&amp;" de retraso","Cumplida"),IF(N($M267)&gt;=1,"Cumplida",IF(NOT(ISNUMBER($AS267)),"Sin fecha límite",IF($AS267&lt;FechaRef,"Vencida hace "&amp;(FechaRef-$AS267)&amp;IF(FechaRef-$AS267=1," día"," días"),IF($AS267=FechaRef,"Vence hoy",IF($AS267-FechaRef&lt;=DiasAlerta,"Vence en "&amp;($AS267-FechaRef)&amp;IF($AS267-FechaRef=1," día"," días"),"En plazo")))))))</f>
        <v/>
      </c>
      <c r="P267" s="62" t="n"/>
      <c r="Q267" s="58" t="n"/>
      <c r="R267" s="63">
        <f>IF(NOT((COUNTA($B267:$D267)+COUNTA($G267:$H267)+COUNTA($Q267))&gt;0),"",IF((IF($C267="","Falta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 OK","⚠ "&amp;LEFT(IF($C267="","Falta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",""),LEN(IF($C267="","Falta el nombre de la actividad"&amp;" · ","")&amp;IF(AND($V267="Sub",N($U267)=0),"Subactividad sin macroactividad arriba"&amp;" · ","")&amp;IF(AND($V267="Macro",$AR267=""),"Sin fecha de inicio"&amp;" · ","")&amp;IF(AND($V267="Macro",$AS267=""),"Sin fecha límite"&amp;" · ","")&amp;IF(AND(LEFT($C267,11)="[Jefatura] ",N($AQ267)=0),"No se encuentra en la hoja de la jefatura (elíjala de nuevo en la lista)"&amp;" · ","")&amp;IF(OR(AND($E267&lt;&gt;"",NOT(ISNUMBER($E267))),AND($F267&lt;&gt;"",NOT(ISNUMBER($F267))),AND($G267&lt;&gt;"",NOT(ISNUMBER($G267)))),"Fecha no válida"&amp;" · ","")&amp;IF(AND(ISNUMBER($AR267),ISNUMBER($AS267),$AR267&gt;$AS267),"Inicio posterior a fecha límite"&amp;" · ","")&amp;IF(AND($V267="Macro",$H267&lt;&gt;"",OR(NOT(ISNUMBER($H267)),$H267&lt;0,$H267&gt;1)),"Peso fuera de rango"&amp;" · ","")&amp;IF(AND($V267="Sub",$H267&lt;&gt;"",OR(NOT(ISNUMBER($H267)),$H267&lt;0,$H267&gt;1)),"% de la subactividad fuera de rango 0-100%"&amp;" · ","")&amp;IF(AND(N($W267)&gt;0,SUMIFS($H$5:$H$1000,$U$5:$U$1000,ROW(),$V$5:$V$1000,"Sub")&gt;1.0001),"Las subactividades suman más de 100%"&amp;" · ","")&amp;IF(AND(N($W267)&gt;0,OR(IF(ISNUMBER($I267),ROUND($I267,6)&lt;&gt;ROUND(MIN(1,SUMIFS($AD$5:$AD$1000,$U$5:$U$1000,ROW(),$V$5:$V$1000,"Sub")),6),FALSE),IF(ISNUMBER($J267),ROUND($J267,6)&lt;&gt;ROUND(MIN(1,SUMIFS($AE$5:$AE$1000,$U$5:$U$1000,ROW(),$V$5:$V$1000,"Sub")),6),FALSE),IF(ISNUMBER($K267),ROUND($K267,6)&lt;&gt;ROUND(MIN(1,SUMIFS($AF$5:$AF$1000,$U$5:$U$1000,ROW(),$V$5:$V$1000,"Sub")),6),FALSE),IF(ISNUMBER($L267),ROUND($L267,6)&lt;&gt;ROUND(MIN(1,SUMIFS($AG$5:$AG$1000,$U$5:$U$1000,ROW(),$V$5:$V$1000,"Sub")),6),FALSE))),"Con subactividades: no escriba en las semanas (se llenan solas)"&amp;" · ","")&amp;IF((COUNTIF($I267:$L267,"&gt;1")+COUNTIF($I267:$L267,"&lt;0")+SUMPRODUCT((LEN($I267:$L267)&gt;0)*NOT(ISNUMBER($I267:$L267))))&gt;0,"Avance fuera de rango 0-100%"&amp;" · ","")&amp;IF(OR(AND(ISNUMBER($J267),$J267&lt;N($I267)),AND(ISNUMBER($K267),$K267&lt;MAX($I267:$J267)),AND(ISNUMBER($L267),$L267&lt;MAX($I267:$K267))),"Avance semanal decreciente"&amp;" · ","")&amp;IF(AND(ISNUMBER($AS267),$AS267&lt;FechaRef,IF($V267="Sub",1,N($M267))&lt;1),"Vencida"&amp;" · ","")&amp;IF(AND(ObsObligatoria="Sí",ISNUMBER($AS267),$AS267&lt;FechaRef,IF($V267="Sub",1,N($M267))&lt;1,$Q267=""),"Vencida sin observación"&amp;" · ",""))-3)))</f>
        <v/>
      </c>
      <c r="S267" s="64">
        <f>IF(NOT((COUNTA($B267:$D267)+COUNTA($G267:$H267)+COUNTA($Q267))&gt;0),"",IF(AND($V267="Sub",N($U267)&gt;0),IF(ISNUMBER(INDEX($AR$5:$AR$1000,$U267-4)),DATE(YEAR(INDEX($AR$5:$AR$1000,$U267-4)),MONTH(INDEX($AR$5:$AR$1000,$U267-4)),1),IF(ISNUMBER(INDEX($AS$5:$AS$1000,$U267-4)),DATE(YEAR(INDEX($AS$5:$AS$1000,$U267-4)),MONTH(INDEX($AS$5:$AS$1000,$U267-4)),1),MesCiclo)),IF(ISNUMBER($AR267),DATE(YEAR($AR267),MONTH($AR267),1),IF(ISNUMBER($AS267),DATE(YEAR($AS267),MONTH($AS267),1),MesCiclo))))</f>
        <v/>
      </c>
      <c r="T267" s="62">
        <f>IF(OR($S267="",$S267&lt;&gt;MesCiclo,$V267&lt;&gt;"Macro"),"",COUNTIFS($S$5:$S267,MesCiclo,$V$5:$V267,"Macro"))</f>
        <v/>
      </c>
      <c r="U267" s="62">
        <f>IF($V267="","",IF($V267="Macro",ROW(),IFERROR(LOOKUP(2,1/($V$5:$V267="Macro"),ROW($V$5:$V267)),0)))</f>
        <v/>
      </c>
      <c r="V267" s="62">
        <f>IF(NOT((COUNTA($B267:$D267)+COUNTA($G267:$H267)+COUNTA($Q267))&gt;0),"",IF($B267="Subactividad","Sub","Macro"))</f>
        <v/>
      </c>
      <c r="W267" s="62">
        <f>IF($V267="Macro",COUNTIFS($U$5:$U$1000,ROW(),$V$5:$V$1000,"Sub"),"")</f>
        <v/>
      </c>
      <c r="X267" s="62">
        <f>IF($V267&lt;&gt;"Sub","",IF(AND(ISNUMBER($H267),N($H267)&gt;0),$H267,IFERROR(MAX(0,1-SUMIFS($H$5:$H$1000,$U$5:$U$1000,$U267,$V$5:$V$1000,"Sub"))/(COUNTIFS($U$5:$U$1000,$U267,$V$5:$V$1000,"Sub")-COUNTIFS($U$5:$U$1000,$U267,$V$5:$V$1000,"Sub",$H$5:$H$1000,"&gt;0")),0)))</f>
        <v/>
      </c>
      <c r="Y267" s="62">
        <f>IF($V267="","",IF($V267="Sub",N($X267)*IF(ISNUMBER($G267),1,MIN(1,MAX(0,IFERROR(LOOKUP(2,1/ISNUMBER($I267:$L267),$I267:$L267),0)))),IF(ISNUMBER($G267),1,IFERROR(LOOKUP(2,1/($I267:$L267&lt;&gt;""),$I267:$L267),0))))</f>
        <v/>
      </c>
      <c r="Z267" s="62">
        <f>IF($V267="","",IF(AND(ISNUMBER($G267),$G267&lt;=IF($S267=MesCiclo,InicioCiclo,$S267+MOD(2-WEEKDAY($S267),7))+6),1,IF(ISNUMBER($I267),$I267,0)))</f>
        <v/>
      </c>
      <c r="AA267" s="62">
        <f>IF($V267="","",IF(AND(ISNUMBER($G267),$G267&lt;=IF($S267=MesCiclo,InicioCiclo,$S267+MOD(2-WEEKDAY($S267),7))+13),1,IF(ISNUMBER($J267),$J267,$Z267)))</f>
        <v/>
      </c>
      <c r="AB267" s="62">
        <f>IF($V267="","",IF(AND(ISNUMBER($G267),$G267&lt;=IF($S267=MesCiclo,InicioCiclo,$S267+MOD(2-WEEKDAY($S267),7))+20),1,IF(ISNUMBER($K267),$K267,$AA267)))</f>
        <v/>
      </c>
      <c r="AC267" s="62">
        <f>IF($V267="","",IF(AND(ISNUMBER($G267),$G267&lt;=IF($S267=MesCiclo,InicioCiclo,$S267+MOD(2-WEEKDAY($S267),7))+27),1,IF(ISNUMBER($L267),$L267,$AB267)))</f>
        <v/>
      </c>
      <c r="AD267" s="62">
        <f>IF($V267&lt;&gt;"Sub","",N($X267)*IF(AND(ISNUMBER($G267),$G267&lt;=IF($S267=MesCiclo,InicioCiclo,$S267+MOD(2-WEEKDAY($S267),7))+6),1,MIN(1,MAX(0,IF(ISNUMBER(OFFSET($A$1,ROW()-1,8)),OFFSET($A$1,ROW()-1,8),0)))))</f>
        <v/>
      </c>
      <c r="AE267" s="62">
        <f>IF($V267&lt;&gt;"Sub","",N($X267)*IF(AND(ISNUMBER($G267),$G267&lt;=IF($S267=MesCiclo,InicioCiclo,$S267+MOD(2-WEEKDAY($S267),7))+13),1,MIN(1,MAX(0,IF(ISNUMBER(OFFSET($A$1,ROW()-1,9)),OFFSET($A$1,ROW()-1,9),IF(ISNUMBER(OFFSET($A$1,ROW()-1,8)),OFFSET($A$1,ROW()-1,8),0))))))</f>
        <v/>
      </c>
      <c r="AF267" s="62">
        <f>IF($V267&lt;&gt;"Sub","",N($X267)*IF(AND(ISNUMBER($G267),$G267&lt;=IF($S267=MesCiclo,InicioCiclo,$S267+MOD(2-WEEKDAY($S267),7))+20),1,MIN(1,MAX(0,IF(ISNUMBER(OFFSET($A$1,ROW()-1,10)),OFFSET($A$1,ROW()-1,10),IF(ISNUMBER(OFFSET($A$1,ROW()-1,9)),OFFSET($A$1,ROW()-1,9),IF(ISNUMBER(OFFSET($A$1,ROW()-1,8)),OFFSET($A$1,ROW()-1,8),0)))))))</f>
        <v/>
      </c>
      <c r="AG267" s="62">
        <f>IF($V267&lt;&gt;"Sub","",N($X267)*IF(AND(ISNUMBER($G267),$G267&lt;=IF($S267=MesCiclo,InicioCiclo,$S267+MOD(2-WEEKDAY($S267),7))+27),1,MIN(1,MAX(0,IF(ISNUMBER(OFFSET($A$1,ROW()-1,11)),OFFSET($A$1,ROW()-1,11),IF(ISNUMBER(OFFSET($A$1,ROW()-1,10)),OFFSET($A$1,ROW()-1,10),IF(ISNUMBER(OFFSET($A$1,ROW()-1,9)),OFFSET($A$1,ROW()-1,9),IF(ISNUMBER(OFFSET($A$1,ROW()-1,8)),OFFSET($A$1,ROW()-1,8),0))))))))</f>
        <v/>
      </c>
      <c r="AH267" s="62">
        <f>IF($V267="","",IF(AND(ISNUMBER($G267),$G267&lt;=IF($S267=MesCiclo,InicioCiclo,$S267+MOD(2-WEEKDAY($S267),7))+6),1,IF(N($W267)&gt;0,MIN(1,SUMIFS($AD$5:$AD$1000,$U$5:$U$1000,ROW(),$V$5:$V$1000,"Sub")),$Z267)))</f>
        <v/>
      </c>
      <c r="AI267" s="62">
        <f>IF($V267="","",IF(AND(ISNUMBER($G267),$G267&lt;=IF($S267=MesCiclo,InicioCiclo,$S267+MOD(2-WEEKDAY($S267),7))+13),1,IF(N($W267)&gt;0,MIN(1,SUMIFS($AE$5:$AE$1000,$U$5:$U$1000,ROW(),$V$5:$V$1000,"Sub")),$AA267)))</f>
        <v/>
      </c>
      <c r="AJ267" s="62">
        <f>IF($V267="","",IF(AND(ISNUMBER($G267),$G267&lt;=IF($S267=MesCiclo,InicioCiclo,$S267+MOD(2-WEEKDAY($S267),7))+20),1,IF(N($W267)&gt;0,MIN(1,SUMIFS($AF$5:$AF$1000,$U$5:$U$1000,ROW(),$V$5:$V$1000,"Sub")),$AB267)))</f>
        <v/>
      </c>
      <c r="AK267" s="62">
        <f>IF($V267="","",IF(AND(ISNUMBER($G267),$G267&lt;=IF($S267=MesCiclo,InicioCiclo,$S267+MOD(2-WEEKDAY($S267),7))+27),1,IF(N($W267)&gt;0,MIN(1,SUMIFS($AG$5:$AG$1000,$U$5:$U$1000,ROW(),$V$5:$V$1000,"Sub")),$AC267)))</f>
        <v/>
      </c>
      <c r="AL267" s="62">
        <f>IF($V267&lt;&gt;"Macro","",IF(COUNTIFS($S$5:$S$1000,$S267,$V$5:$V$1000,"Macro",$H$5:$H$1000,"&gt;0")=0,1/COUNTIFS($S$5:$S$1000,$S267,$V$5:$V$1000,"Macro"),IF(AND(ISNUMBER($H267),N($H267)&gt;0),$H267,SUMIFS($H$5:$H$1000,$S$5:$S$1000,$S267,$V$5:$V$1000,"Macro")/COUNTIFS($S$5:$S$1000,$S267,$V$5:$V$1000,"Macro",$H$5:$H$1000,"&gt;0"))/(COUNTIFS($S$5:$S$1000,$S267,$V$5:$V$1000,"Macro")*SUMIFS($H$5:$H$1000,$S$5:$S$1000,$S267,$V$5:$V$1000,"Macro")/COUNTIFS($S$5:$S$1000,$S267,$V$5:$V$1000,"Macro",$H$5:$H$1000,"&gt;0"))))</f>
        <v/>
      </c>
      <c r="AM267" s="62" t="n"/>
      <c r="AN267" s="62" t="n"/>
      <c r="AO267" s="62" t="n"/>
      <c r="AP267" s="62" t="n"/>
      <c r="AQ267" s="62">
        <f>IF(LEFT($C267,11)="[Jefatura] ",IFERROR(MATCH("Asistente Técnico de Riesgo|"&amp;MID($C267,12,500),rDname_ADM,0),0),"")</f>
        <v/>
      </c>
      <c r="AR267" s="62">
        <f>IF(N($AQ267)&gt;0,INDEX(rIni_ADM,$AQ267),IF(ISNUMBER($E267),$E267,""))</f>
        <v/>
      </c>
      <c r="AS267" s="62">
        <f>IF(N($AQ267)&gt;0,INDEX(rLim_ADM,$AQ267),IF(ISNUMBER($F267),$F267,""))</f>
        <v/>
      </c>
    </row>
    <row r="268">
      <c r="A268" s="56">
        <f>IF(NOT((COUNTA($B268:$D268)+COUNTA($G268:$H268)+COUNTA($Q268))&gt;0),"",IF($V268="Macro",COUNTIFS($V$5:$V268,"Macro",$S$5:$S268,$S268),IF(N($U268)=0,"?",COUNTIFS(INDEX($V$5:$V$1000,1):INDEX($V$5:$V$1000,$U268-4),"Macro",INDEX($S$5:$S$1000,1):INDEX($S$5:$S$1000,$U268-4),INDEX($S$5:$S$1000,$U268-4))&amp;"."&amp;COUNTIFS($U$5:$U268,$U268,$V$5:$V268,"Sub"))))</f>
        <v/>
      </c>
      <c r="B268" s="57" t="n"/>
      <c r="C268" s="58" t="n"/>
      <c r="D268" s="58" t="n"/>
      <c r="E268" s="59">
        <f>IF(N($AQ268)&gt;0,INDEX(rIni_ADM,$AQ268),"")</f>
        <v/>
      </c>
      <c r="F268" s="59">
        <f>IF(N($AQ268)&gt;0,INDEX(rLim_ADM,$AQ268),"")</f>
        <v/>
      </c>
      <c r="G268" s="59" t="n"/>
      <c r="H268" s="60" t="n"/>
      <c r="I268" s="60">
        <f>IF(N($W268)=0,"",IF(AND($S268=MesCiclo,1&gt;SemanaActual),"",MIN(1,SUMIFS(OFFSET($A$1,ROW(),29,1000-ROW(),1),OFFSET($A$1,ROW(),20,1000-ROW(),1),ROW(),OFFSET($A$1,ROW(),21,1000-ROW(),1),"Sub"))))</f>
        <v/>
      </c>
      <c r="J268" s="60">
        <f>IF(N($W268)=0,"",IF(AND($S268=MesCiclo,2&gt;SemanaActual),"",MIN(1,SUMIFS(OFFSET($A$1,ROW(),30,1000-ROW(),1),OFFSET($A$1,ROW(),20,1000-ROW(),1),ROW(),OFFSET($A$1,ROW(),21,1000-ROW(),1),"Sub"))))</f>
        <v/>
      </c>
      <c r="K268" s="60">
        <f>IF(N($W268)=0,"",IF(AND($S268=MesCiclo,3&gt;SemanaActual),"",MIN(1,SUMIFS(OFFSET($A$1,ROW(),31,1000-ROW(),1),OFFSET($A$1,ROW(),20,1000-ROW(),1),ROW(),OFFSET($A$1,ROW(),21,1000-ROW(),1),"Sub"))))</f>
        <v/>
      </c>
      <c r="L268" s="60">
        <f>IF(N($W268)=0,"",IF(AND($S268=MesCiclo,4&gt;SemanaActual),"",MIN(1,SUMIFS(OFFSET($A$1,ROW(),32,1000-ROW(),1),OFFSET($A$1,ROW(),20,1000-ROW(),1),ROW(),OFFSET($A$1,ROW(),21,1000-ROW(),1),"Sub"))))</f>
        <v/>
      </c>
      <c r="M268" s="61">
        <f>IF(OR(NOT((COUNTA($B268:$D268)+COUNTA($G268:$H268)+COUNTA($Q268))&gt;0),$V268="Sub"),"",IF(ISNUMBER($G268),1,IF(N($W268)&gt;0,MIN(1,SUMIFS($Y$5:$Y$1000,$U$5:$U$1000,ROW(),$V$5:$V$1000,"Sub")),$Y268)))</f>
        <v/>
      </c>
      <c r="N268" s="56">
        <f>IF(OR($M268="",$V268="Sub"),"",IF($M268&gt;=1,"Completado",IF($M268&gt;0,"En curso","Pendiente")))</f>
        <v/>
      </c>
      <c r="O268" s="56">
        <f>IF(OR(NOT((COUNTA($B268:$D268)+COUNTA($G268:$H268)+COUNTA($Q268))&gt;0),$V268="Sub"),"",IF(ISNUMBER($G268),IF(AND(ISNUMBER($AS268),$G268&gt;$AS268),"Cumplida con "&amp;($G268-$AS268)&amp;IF($G268-$AS268=1," día"," días")&amp;" de retraso","Cumplida"),IF(N($M268)&gt;=1,"Cumplida",IF(NOT(ISNUMBER($AS268)),"Sin fecha límite",IF($AS268&lt;FechaRef,"Vencida hace "&amp;(FechaRef-$AS268)&amp;IF(FechaRef-$AS268=1," día"," días"),IF($AS268=FechaRef,"Vence hoy",IF($AS268-FechaRef&lt;=DiasAlerta,"Vence en "&amp;($AS268-FechaRef)&amp;IF($AS268-FechaRef=1," día"," días"),"En plazo")))))))</f>
        <v/>
      </c>
      <c r="P268" s="62" t="n"/>
      <c r="Q268" s="58" t="n"/>
      <c r="R268" s="63">
        <f>IF(NOT((COUNTA($B268:$D268)+COUNTA($G268:$H268)+COUNTA($Q268))&gt;0),"",IF((IF($C268="","Falta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 OK","⚠ "&amp;LEFT(IF($C268="","Falta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",""),LEN(IF($C268="","Falta el nombre de la actividad"&amp;" · ","")&amp;IF(AND($V268="Sub",N($U268)=0),"Subactividad sin macroactividad arriba"&amp;" · ","")&amp;IF(AND($V268="Macro",$AR268=""),"Sin fecha de inicio"&amp;" · ","")&amp;IF(AND($V268="Macro",$AS268=""),"Sin fecha límite"&amp;" · ","")&amp;IF(AND(LEFT($C268,11)="[Jefatura] ",N($AQ268)=0),"No se encuentra en la hoja de la jefatura (elíjala de nuevo en la lista)"&amp;" · ","")&amp;IF(OR(AND($E268&lt;&gt;"",NOT(ISNUMBER($E268))),AND($F268&lt;&gt;"",NOT(ISNUMBER($F268))),AND($G268&lt;&gt;"",NOT(ISNUMBER($G268)))),"Fecha no válida"&amp;" · ","")&amp;IF(AND(ISNUMBER($AR268),ISNUMBER($AS268),$AR268&gt;$AS268),"Inicio posterior a fecha límite"&amp;" · ","")&amp;IF(AND($V268="Macro",$H268&lt;&gt;"",OR(NOT(ISNUMBER($H268)),$H268&lt;0,$H268&gt;1)),"Peso fuera de rango"&amp;" · ","")&amp;IF(AND($V268="Sub",$H268&lt;&gt;"",OR(NOT(ISNUMBER($H268)),$H268&lt;0,$H268&gt;1)),"% de la subactividad fuera de rango 0-100%"&amp;" · ","")&amp;IF(AND(N($W268)&gt;0,SUMIFS($H$5:$H$1000,$U$5:$U$1000,ROW(),$V$5:$V$1000,"Sub")&gt;1.0001),"Las subactividades suman más de 100%"&amp;" · ","")&amp;IF(AND(N($W268)&gt;0,OR(IF(ISNUMBER($I268),ROUND($I268,6)&lt;&gt;ROUND(MIN(1,SUMIFS($AD$5:$AD$1000,$U$5:$U$1000,ROW(),$V$5:$V$1000,"Sub")),6),FALSE),IF(ISNUMBER($J268),ROUND($J268,6)&lt;&gt;ROUND(MIN(1,SUMIFS($AE$5:$AE$1000,$U$5:$U$1000,ROW(),$V$5:$V$1000,"Sub")),6),FALSE),IF(ISNUMBER($K268),ROUND($K268,6)&lt;&gt;ROUND(MIN(1,SUMIFS($AF$5:$AF$1000,$U$5:$U$1000,ROW(),$V$5:$V$1000,"Sub")),6),FALSE),IF(ISNUMBER($L268),ROUND($L268,6)&lt;&gt;ROUND(MIN(1,SUMIFS($AG$5:$AG$1000,$U$5:$U$1000,ROW(),$V$5:$V$1000,"Sub")),6),FALSE))),"Con subactividades: no escriba en las semanas (se llenan solas)"&amp;" · ","")&amp;IF((COUNTIF($I268:$L268,"&gt;1")+COUNTIF($I268:$L268,"&lt;0")+SUMPRODUCT((LEN($I268:$L268)&gt;0)*NOT(ISNUMBER($I268:$L268))))&gt;0,"Avance fuera de rango 0-100%"&amp;" · ","")&amp;IF(OR(AND(ISNUMBER($J268),$J268&lt;N($I268)),AND(ISNUMBER($K268),$K268&lt;MAX($I268:$J268)),AND(ISNUMBER($L268),$L268&lt;MAX($I268:$K268))),"Avance semanal decreciente"&amp;" · ","")&amp;IF(AND(ISNUMBER($AS268),$AS268&lt;FechaRef,IF($V268="Sub",1,N($M268))&lt;1),"Vencida"&amp;" · ","")&amp;IF(AND(ObsObligatoria="Sí",ISNUMBER($AS268),$AS268&lt;FechaRef,IF($V268="Sub",1,N($M268))&lt;1,$Q268=""),"Vencida sin observación"&amp;" · ",""))-3)))</f>
        <v/>
      </c>
      <c r="S268" s="64">
        <f>IF(NOT((COUNTA($B268:$D268)+COUNTA($G268:$H268)+COUNTA($Q268))&gt;0),"",IF(AND($V268="Sub",N($U268)&gt;0),IF(ISNUMBER(INDEX($AR$5:$AR$1000,$U268-4)),DATE(YEAR(INDEX($AR$5:$AR$1000,$U268-4)),MONTH(INDEX($AR$5:$AR$1000,$U268-4)),1),IF(ISNUMBER(INDEX($AS$5:$AS$1000,$U268-4)),DATE(YEAR(INDEX($AS$5:$AS$1000,$U268-4)),MONTH(INDEX($AS$5:$AS$1000,$U268-4)),1),MesCiclo)),IF(ISNUMBER($AR268),DATE(YEAR($AR268),MONTH($AR268),1),IF(ISNUMBER($AS268),DATE(YEAR($AS268),MONTH($AS268),1),MesCiclo))))</f>
        <v/>
      </c>
      <c r="T268" s="62">
        <f>IF(OR($S268="",$S268&lt;&gt;MesCiclo,$V268&lt;&gt;"Macro"),"",COUNTIFS($S$5:$S268,MesCiclo,$V$5:$V268,"Macro"))</f>
        <v/>
      </c>
      <c r="U268" s="62">
        <f>IF($V268="","",IF($V268="Macro",ROW(),IFERROR(LOOKUP(2,1/($V$5:$V268="Macro"),ROW($V$5:$V268)),0)))</f>
        <v/>
      </c>
      <c r="V268" s="62">
        <f>IF(NOT((COUNTA($B268:$D268)+COUNTA($G268:$H268)+COUNTA($Q268))&gt;0),"",IF($B268="Subactividad","Sub","Macro"))</f>
        <v/>
      </c>
      <c r="W268" s="62">
        <f>IF($V268="Macro",COUNTIFS($U$5:$U$1000,ROW(),$V$5:$V$1000,"Sub"),"")</f>
        <v/>
      </c>
      <c r="X268" s="62">
        <f>IF($V268&lt;&gt;"Sub","",IF(AND(ISNUMBER($H268),N($H268)&gt;0),$H268,IFERROR(MAX(0,1-SUMIFS($H$5:$H$1000,$U$5:$U$1000,$U268,$V$5:$V$1000,"Sub"))/(COUNTIFS($U$5:$U$1000,$U268,$V$5:$V$1000,"Sub")-COUNTIFS($U$5:$U$1000,$U268,$V$5:$V$1000,"Sub",$H$5:$H$1000,"&gt;0")),0)))</f>
        <v/>
      </c>
      <c r="Y268" s="62">
        <f>IF($V268="","",IF($V268="Sub",N($X268)*IF(ISNUMBER($G268),1,MIN(1,MAX(0,IFERROR(LOOKUP(2,1/ISNUMBER($I268:$L268),$I268:$L268),0)))),IF(ISNUMBER($G268),1,IFERROR(LOOKUP(2,1/($I268:$L268&lt;&gt;""),$I268:$L268),0))))</f>
        <v/>
      </c>
      <c r="Z268" s="62">
        <f>IF($V268="","",IF(AND(ISNUMBER($G268),$G268&lt;=IF($S268=MesCiclo,InicioCiclo,$S268+MOD(2-WEEKDAY($S268),7))+6),1,IF(ISNUMBER($I268),$I268,0)))</f>
        <v/>
      </c>
      <c r="AA268" s="62">
        <f>IF($V268="","",IF(AND(ISNUMBER($G268),$G268&lt;=IF($S268=MesCiclo,InicioCiclo,$S268+MOD(2-WEEKDAY($S268),7))+13),1,IF(ISNUMBER($J268),$J268,$Z268)))</f>
        <v/>
      </c>
      <c r="AB268" s="62">
        <f>IF($V268="","",IF(AND(ISNUMBER($G268),$G268&lt;=IF($S268=MesCiclo,InicioCiclo,$S268+MOD(2-WEEKDAY($S268),7))+20),1,IF(ISNUMBER($K268),$K268,$AA268)))</f>
        <v/>
      </c>
      <c r="AC268" s="62">
        <f>IF($V268="","",IF(AND(ISNUMBER($G268),$G268&lt;=IF($S268=MesCiclo,InicioCiclo,$S268+MOD(2-WEEKDAY($S268),7))+27),1,IF(ISNUMBER($L268),$L268,$AB268)))</f>
        <v/>
      </c>
      <c r="AD268" s="62">
        <f>IF($V268&lt;&gt;"Sub","",N($X268)*IF(AND(ISNUMBER($G268),$G268&lt;=IF($S268=MesCiclo,InicioCiclo,$S268+MOD(2-WEEKDAY($S268),7))+6),1,MIN(1,MAX(0,IF(ISNUMBER(OFFSET($A$1,ROW()-1,8)),OFFSET($A$1,ROW()-1,8),0)))))</f>
        <v/>
      </c>
      <c r="AE268" s="62">
        <f>IF($V268&lt;&gt;"Sub","",N($X268)*IF(AND(ISNUMBER($G268),$G268&lt;=IF($S268=MesCiclo,InicioCiclo,$S268+MOD(2-WEEKDAY($S268),7))+13),1,MIN(1,MAX(0,IF(ISNUMBER(OFFSET($A$1,ROW()-1,9)),OFFSET($A$1,ROW()-1,9),IF(ISNUMBER(OFFSET($A$1,ROW()-1,8)),OFFSET($A$1,ROW()-1,8),0))))))</f>
        <v/>
      </c>
      <c r="AF268" s="62">
        <f>IF($V268&lt;&gt;"Sub","",N($X268)*IF(AND(ISNUMBER($G268),$G268&lt;=IF($S268=MesCiclo,InicioCiclo,$S268+MOD(2-WEEKDAY($S268),7))+20),1,MIN(1,MAX(0,IF(ISNUMBER(OFFSET($A$1,ROW()-1,10)),OFFSET($A$1,ROW()-1,10),IF(ISNUMBER(OFFSET($A$1,ROW()-1,9)),OFFSET($A$1,ROW()-1,9),IF(ISNUMBER(OFFSET($A$1,ROW()-1,8)),OFFSET($A$1,ROW()-1,8),0)))))))</f>
        <v/>
      </c>
      <c r="AG268" s="62">
        <f>IF($V268&lt;&gt;"Sub","",N($X268)*IF(AND(ISNUMBER($G268),$G268&lt;=IF($S268=MesCiclo,InicioCiclo,$S268+MOD(2-WEEKDAY($S268),7))+27),1,MIN(1,MAX(0,IF(ISNUMBER(OFFSET($A$1,ROW()-1,11)),OFFSET($A$1,ROW()-1,11),IF(ISNUMBER(OFFSET($A$1,ROW()-1,10)),OFFSET($A$1,ROW()-1,10),IF(ISNUMBER(OFFSET($A$1,ROW()-1,9)),OFFSET($A$1,ROW()-1,9),IF(ISNUMBER(OFFSET($A$1,ROW()-1,8)),OFFSET($A$1,ROW()-1,8),0))))))))</f>
        <v/>
      </c>
      <c r="AH268" s="62">
        <f>IF($V268="","",IF(AND(ISNUMBER($G268),$G268&lt;=IF($S268=MesCiclo,InicioCiclo,$S268+MOD(2-WEEKDAY($S268),7))+6),1,IF(N($W268)&gt;0,MIN(1,SUMIFS($AD$5:$AD$1000,$U$5:$U$1000,ROW(),$V$5:$V$1000,"Sub")),$Z268)))</f>
        <v/>
      </c>
      <c r="AI268" s="62">
        <f>IF($V268="","",IF(AND(ISNUMBER($G268),$G268&lt;=IF($S268=MesCiclo,InicioCiclo,$S268+MOD(2-WEEKDAY($S268),7))+13),1,IF(N($W268)&gt;0,MIN(1,SUMIFS($AE$5:$AE$1000,$U$5:$U$1000,ROW(),$V$5:$V$1000,"Sub")),$AA268)))</f>
        <v/>
      </c>
      <c r="AJ268" s="62">
        <f>IF($V268="","",IF(AND(ISNUMBER($G268),$G268&lt;=IF($S268=MesCiclo,InicioCiclo,$S268+MOD(2-WEEKDAY($S268),7))+20),1,IF(N($W268)&gt;0,MIN(1,SUMIFS($AF$5:$AF$1000,$U$5:$U$1000,ROW(),$V$5:$V$1000,"Sub")),$AB268)))</f>
        <v/>
      </c>
      <c r="AK268" s="62">
        <f>IF($V268="","",IF(AND(ISNUMBER($G268),$G268&lt;=IF($S268=MesCiclo,InicioCiclo,$S268+MOD(2-WEEKDAY($S268),7))+27),1,IF(N($W268)&gt;0,MIN(1,SUMIFS($AG$5:$AG$1000,$U$5:$U$1000,ROW(),$V$5:$V$1000,"Sub")),$AC268)))</f>
        <v/>
      </c>
      <c r="AL268" s="62">
        <f>IF($V268&lt;&gt;"Macro","",IF(COUNTIFS($S$5:$S$1000,$S268,$V$5:$V$1000,"Macro",$H$5:$H$1000,"&gt;0")=0,1/COUNTIFS($S$5:$S$1000,$S268,$V$5:$V$1000,"Macro"),IF(AND(ISNUMBER($H268),N($H268)&gt;0),$H268,SUMIFS($H$5:$H$1000,$S$5:$S$1000,$S268,$V$5:$V$1000,"Macro")/COUNTIFS($S$5:$S$1000,$S268,$V$5:$V$1000,"Macro",$H$5:$H$1000,"&gt;0"))/(COUNTIFS($S$5:$S$1000,$S268,$V$5:$V$1000,"Macro")*SUMIFS($H$5:$H$1000,$S$5:$S$1000,$S268,$V$5:$V$1000,"Macro")/COUNTIFS($S$5:$S$1000,$S268,$V$5:$V$1000,"Macro",$H$5:$H$1000,"&gt;0"))))</f>
        <v/>
      </c>
      <c r="AM268" s="62" t="n"/>
      <c r="AN268" s="62" t="n"/>
      <c r="AO268" s="62" t="n"/>
      <c r="AP268" s="62" t="n"/>
      <c r="AQ268" s="62">
        <f>IF(LEFT($C268,11)="[Jefatura] ",IFERROR(MATCH("Asistente Técnico de Riesgo|"&amp;MID($C268,12,500),rDname_ADM,0),0),"")</f>
        <v/>
      </c>
      <c r="AR268" s="62">
        <f>IF(N($AQ268)&gt;0,INDEX(rIni_ADM,$AQ268),IF(ISNUMBER($E268),$E268,""))</f>
        <v/>
      </c>
      <c r="AS268" s="62">
        <f>IF(N($AQ268)&gt;0,INDEX(rLim_ADM,$AQ268),IF(ISNUMBER($F268),$F268,""))</f>
        <v/>
      </c>
    </row>
    <row r="269">
      <c r="A269" s="56">
        <f>IF(NOT((COUNTA($B269:$D269)+COUNTA($G269:$H269)+COUNTA($Q269))&gt;0),"",IF($V269="Macro",COUNTIFS($V$5:$V269,"Macro",$S$5:$S269,$S269),IF(N($U269)=0,"?",COUNTIFS(INDEX($V$5:$V$1000,1):INDEX($V$5:$V$1000,$U269-4),"Macro",INDEX($S$5:$S$1000,1):INDEX($S$5:$S$1000,$U269-4),INDEX($S$5:$S$1000,$U269-4))&amp;"."&amp;COUNTIFS($U$5:$U269,$U269,$V$5:$V269,"Sub"))))</f>
        <v/>
      </c>
      <c r="B269" s="57" t="n"/>
      <c r="C269" s="58" t="n"/>
      <c r="D269" s="58" t="n"/>
      <c r="E269" s="59">
        <f>IF(N($AQ269)&gt;0,INDEX(rIni_ADM,$AQ269),"")</f>
        <v/>
      </c>
      <c r="F269" s="59">
        <f>IF(N($AQ269)&gt;0,INDEX(rLim_ADM,$AQ269),"")</f>
        <v/>
      </c>
      <c r="G269" s="59" t="n"/>
      <c r="H269" s="60" t="n"/>
      <c r="I269" s="60">
        <f>IF(N($W269)=0,"",IF(AND($S269=MesCiclo,1&gt;SemanaActual),"",MIN(1,SUMIFS(OFFSET($A$1,ROW(),29,1000-ROW(),1),OFFSET($A$1,ROW(),20,1000-ROW(),1),ROW(),OFFSET($A$1,ROW(),21,1000-ROW(),1),"Sub"))))</f>
        <v/>
      </c>
      <c r="J269" s="60">
        <f>IF(N($W269)=0,"",IF(AND($S269=MesCiclo,2&gt;SemanaActual),"",MIN(1,SUMIFS(OFFSET($A$1,ROW(),30,1000-ROW(),1),OFFSET($A$1,ROW(),20,1000-ROW(),1),ROW(),OFFSET($A$1,ROW(),21,1000-ROW(),1),"Sub"))))</f>
        <v/>
      </c>
      <c r="K269" s="60">
        <f>IF(N($W269)=0,"",IF(AND($S269=MesCiclo,3&gt;SemanaActual),"",MIN(1,SUMIFS(OFFSET($A$1,ROW(),31,1000-ROW(),1),OFFSET($A$1,ROW(),20,1000-ROW(),1),ROW(),OFFSET($A$1,ROW(),21,1000-ROW(),1),"Sub"))))</f>
        <v/>
      </c>
      <c r="L269" s="60">
        <f>IF(N($W269)=0,"",IF(AND($S269=MesCiclo,4&gt;SemanaActual),"",MIN(1,SUMIFS(OFFSET($A$1,ROW(),32,1000-ROW(),1),OFFSET($A$1,ROW(),20,1000-ROW(),1),ROW(),OFFSET($A$1,ROW(),21,1000-ROW(),1),"Sub"))))</f>
        <v/>
      </c>
      <c r="M269" s="61">
        <f>IF(OR(NOT((COUNTA($B269:$D269)+COUNTA($G269:$H269)+COUNTA($Q269))&gt;0),$V269="Sub"),"",IF(ISNUMBER($G269),1,IF(N($W269)&gt;0,MIN(1,SUMIFS($Y$5:$Y$1000,$U$5:$U$1000,ROW(),$V$5:$V$1000,"Sub")),$Y269)))</f>
        <v/>
      </c>
      <c r="N269" s="56">
        <f>IF(OR($M269="",$V269="Sub"),"",IF($M269&gt;=1,"Completado",IF($M269&gt;0,"En curso","Pendiente")))</f>
        <v/>
      </c>
      <c r="O269" s="56">
        <f>IF(OR(NOT((COUNTA($B269:$D269)+COUNTA($G269:$H269)+COUNTA($Q269))&gt;0),$V269="Sub"),"",IF(ISNUMBER($G269),IF(AND(ISNUMBER($AS269),$G269&gt;$AS269),"Cumplida con "&amp;($G269-$AS269)&amp;IF($G269-$AS269=1," día"," días")&amp;" de retraso","Cumplida"),IF(N($M269)&gt;=1,"Cumplida",IF(NOT(ISNUMBER($AS269)),"Sin fecha límite",IF($AS269&lt;FechaRef,"Vencida hace "&amp;(FechaRef-$AS269)&amp;IF(FechaRef-$AS269=1," día"," días"),IF($AS269=FechaRef,"Vence hoy",IF($AS269-FechaRef&lt;=DiasAlerta,"Vence en "&amp;($AS269-FechaRef)&amp;IF($AS269-FechaRef=1," día"," días"),"En plazo")))))))</f>
        <v/>
      </c>
      <c r="P269" s="62" t="n"/>
      <c r="Q269" s="58" t="n"/>
      <c r="R269" s="63">
        <f>IF(NOT((COUNTA($B269:$D269)+COUNTA($G269:$H269)+COUNTA($Q269))&gt;0),"",IF((IF($C269="","Falta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 OK","⚠ "&amp;LEFT(IF($C269="","Falta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",""),LEN(IF($C269="","Falta el nombre de la actividad"&amp;" · ","")&amp;IF(AND($V269="Sub",N($U269)=0),"Subactividad sin macroactividad arriba"&amp;" · ","")&amp;IF(AND($V269="Macro",$AR269=""),"Sin fecha de inicio"&amp;" · ","")&amp;IF(AND($V269="Macro",$AS269=""),"Sin fecha límite"&amp;" · ","")&amp;IF(AND(LEFT($C269,11)="[Jefatura] ",N($AQ269)=0),"No se encuentra en la hoja de la jefatura (elíjala de nuevo en la lista)"&amp;" · ","")&amp;IF(OR(AND($E269&lt;&gt;"",NOT(ISNUMBER($E269))),AND($F269&lt;&gt;"",NOT(ISNUMBER($F269))),AND($G269&lt;&gt;"",NOT(ISNUMBER($G269)))),"Fecha no válida"&amp;" · ","")&amp;IF(AND(ISNUMBER($AR269),ISNUMBER($AS269),$AR269&gt;$AS269),"Inicio posterior a fecha límite"&amp;" · ","")&amp;IF(AND($V269="Macro",$H269&lt;&gt;"",OR(NOT(ISNUMBER($H269)),$H269&lt;0,$H269&gt;1)),"Peso fuera de rango"&amp;" · ","")&amp;IF(AND($V269="Sub",$H269&lt;&gt;"",OR(NOT(ISNUMBER($H269)),$H269&lt;0,$H269&gt;1)),"% de la subactividad fuera de rango 0-100%"&amp;" · ","")&amp;IF(AND(N($W269)&gt;0,SUMIFS($H$5:$H$1000,$U$5:$U$1000,ROW(),$V$5:$V$1000,"Sub")&gt;1.0001),"Las subactividades suman más de 100%"&amp;" · ","")&amp;IF(AND(N($W269)&gt;0,OR(IF(ISNUMBER($I269),ROUND($I269,6)&lt;&gt;ROUND(MIN(1,SUMIFS($AD$5:$AD$1000,$U$5:$U$1000,ROW(),$V$5:$V$1000,"Sub")),6),FALSE),IF(ISNUMBER($J269),ROUND($J269,6)&lt;&gt;ROUND(MIN(1,SUMIFS($AE$5:$AE$1000,$U$5:$U$1000,ROW(),$V$5:$V$1000,"Sub")),6),FALSE),IF(ISNUMBER($K269),ROUND($K269,6)&lt;&gt;ROUND(MIN(1,SUMIFS($AF$5:$AF$1000,$U$5:$U$1000,ROW(),$V$5:$V$1000,"Sub")),6),FALSE),IF(ISNUMBER($L269),ROUND($L269,6)&lt;&gt;ROUND(MIN(1,SUMIFS($AG$5:$AG$1000,$U$5:$U$1000,ROW(),$V$5:$V$1000,"Sub")),6),FALSE))),"Con subactividades: no escriba en las semanas (se llenan solas)"&amp;" · ","")&amp;IF((COUNTIF($I269:$L269,"&gt;1")+COUNTIF($I269:$L269,"&lt;0")+SUMPRODUCT((LEN($I269:$L269)&gt;0)*NOT(ISNUMBER($I269:$L269))))&gt;0,"Avance fuera de rango 0-100%"&amp;" · ","")&amp;IF(OR(AND(ISNUMBER($J269),$J269&lt;N($I269)),AND(ISNUMBER($K269),$K269&lt;MAX($I269:$J269)),AND(ISNUMBER($L269),$L269&lt;MAX($I269:$K269))),"Avance semanal decreciente"&amp;" · ","")&amp;IF(AND(ISNUMBER($AS269),$AS269&lt;FechaRef,IF($V269="Sub",1,N($M269))&lt;1),"Vencida"&amp;" · ","")&amp;IF(AND(ObsObligatoria="Sí",ISNUMBER($AS269),$AS269&lt;FechaRef,IF($V269="Sub",1,N($M269))&lt;1,$Q269=""),"Vencida sin observación"&amp;" · ",""))-3)))</f>
        <v/>
      </c>
      <c r="S269" s="64">
        <f>IF(NOT((COUNTA($B269:$D269)+COUNTA($G269:$H269)+COUNTA($Q269))&gt;0),"",IF(AND($V269="Sub",N($U269)&gt;0),IF(ISNUMBER(INDEX($AR$5:$AR$1000,$U269-4)),DATE(YEAR(INDEX($AR$5:$AR$1000,$U269-4)),MONTH(INDEX($AR$5:$AR$1000,$U269-4)),1),IF(ISNUMBER(INDEX($AS$5:$AS$1000,$U269-4)),DATE(YEAR(INDEX($AS$5:$AS$1000,$U269-4)),MONTH(INDEX($AS$5:$AS$1000,$U269-4)),1),MesCiclo)),IF(ISNUMBER($AR269),DATE(YEAR($AR269),MONTH($AR269),1),IF(ISNUMBER($AS269),DATE(YEAR($AS269),MONTH($AS269),1),MesCiclo))))</f>
        <v/>
      </c>
      <c r="T269" s="62">
        <f>IF(OR($S269="",$S269&lt;&gt;MesCiclo,$V269&lt;&gt;"Macro"),"",COUNTIFS($S$5:$S269,MesCiclo,$V$5:$V269,"Macro"))</f>
        <v/>
      </c>
      <c r="U269" s="62">
        <f>IF($V269="","",IF($V269="Macro",ROW(),IFERROR(LOOKUP(2,1/($V$5:$V269="Macro"),ROW($V$5:$V269)),0)))</f>
        <v/>
      </c>
      <c r="V269" s="62">
        <f>IF(NOT((COUNTA($B269:$D269)+COUNTA($G269:$H269)+COUNTA($Q269))&gt;0),"",IF($B269="Subactividad","Sub","Macro"))</f>
        <v/>
      </c>
      <c r="W269" s="62">
        <f>IF($V269="Macro",COUNTIFS($U$5:$U$1000,ROW(),$V$5:$V$1000,"Sub"),"")</f>
        <v/>
      </c>
      <c r="X269" s="62">
        <f>IF($V269&lt;&gt;"Sub","",IF(AND(ISNUMBER($H269),N($H269)&gt;0),$H269,IFERROR(MAX(0,1-SUMIFS($H$5:$H$1000,$U$5:$U$1000,$U269,$V$5:$V$1000,"Sub"))/(COUNTIFS($U$5:$U$1000,$U269,$V$5:$V$1000,"Sub")-COUNTIFS($U$5:$U$1000,$U269,$V$5:$V$1000,"Sub",$H$5:$H$1000,"&gt;0")),0)))</f>
        <v/>
      </c>
      <c r="Y269" s="62">
        <f>IF($V269="","",IF($V269="Sub",N($X269)*IF(ISNUMBER($G269),1,MIN(1,MAX(0,IFERROR(LOOKUP(2,1/ISNUMBER($I269:$L269),$I269:$L269),0)))),IF(ISNUMBER($G269),1,IFERROR(LOOKUP(2,1/($I269:$L269&lt;&gt;""),$I269:$L269),0))))</f>
        <v/>
      </c>
      <c r="Z269" s="62">
        <f>IF($V269="","",IF(AND(ISNUMBER($G269),$G269&lt;=IF($S269=MesCiclo,InicioCiclo,$S269+MOD(2-WEEKDAY($S269),7))+6),1,IF(ISNUMBER($I269),$I269,0)))</f>
        <v/>
      </c>
      <c r="AA269" s="62">
        <f>IF($V269="","",IF(AND(ISNUMBER($G269),$G269&lt;=IF($S269=MesCiclo,InicioCiclo,$S269+MOD(2-WEEKDAY($S269),7))+13),1,IF(ISNUMBER($J269),$J269,$Z269)))</f>
        <v/>
      </c>
      <c r="AB269" s="62">
        <f>IF($V269="","",IF(AND(ISNUMBER($G269),$G269&lt;=IF($S269=MesCiclo,InicioCiclo,$S269+MOD(2-WEEKDAY($S269),7))+20),1,IF(ISNUMBER($K269),$K269,$AA269)))</f>
        <v/>
      </c>
      <c r="AC269" s="62">
        <f>IF($V269="","",IF(AND(ISNUMBER($G269),$G269&lt;=IF($S269=MesCiclo,InicioCiclo,$S269+MOD(2-WEEKDAY($S269),7))+27),1,IF(ISNUMBER($L269),$L269,$AB269)))</f>
        <v/>
      </c>
      <c r="AD269" s="62">
        <f>IF($V269&lt;&gt;"Sub","",N($X269)*IF(AND(ISNUMBER($G269),$G269&lt;=IF($S269=MesCiclo,InicioCiclo,$S269+MOD(2-WEEKDAY($S269),7))+6),1,MIN(1,MAX(0,IF(ISNUMBER(OFFSET($A$1,ROW()-1,8)),OFFSET($A$1,ROW()-1,8),0)))))</f>
        <v/>
      </c>
      <c r="AE269" s="62">
        <f>IF($V269&lt;&gt;"Sub","",N($X269)*IF(AND(ISNUMBER($G269),$G269&lt;=IF($S269=MesCiclo,InicioCiclo,$S269+MOD(2-WEEKDAY($S269),7))+13),1,MIN(1,MAX(0,IF(ISNUMBER(OFFSET($A$1,ROW()-1,9)),OFFSET($A$1,ROW()-1,9),IF(ISNUMBER(OFFSET($A$1,ROW()-1,8)),OFFSET($A$1,ROW()-1,8),0))))))</f>
        <v/>
      </c>
      <c r="AF269" s="62">
        <f>IF($V269&lt;&gt;"Sub","",N($X269)*IF(AND(ISNUMBER($G269),$G269&lt;=IF($S269=MesCiclo,InicioCiclo,$S269+MOD(2-WEEKDAY($S269),7))+20),1,MIN(1,MAX(0,IF(ISNUMBER(OFFSET($A$1,ROW()-1,10)),OFFSET($A$1,ROW()-1,10),IF(ISNUMBER(OFFSET($A$1,ROW()-1,9)),OFFSET($A$1,ROW()-1,9),IF(ISNUMBER(OFFSET($A$1,ROW()-1,8)),OFFSET($A$1,ROW()-1,8),0)))))))</f>
        <v/>
      </c>
      <c r="AG269" s="62">
        <f>IF($V269&lt;&gt;"Sub","",N($X269)*IF(AND(ISNUMBER($G269),$G269&lt;=IF($S269=MesCiclo,InicioCiclo,$S269+MOD(2-WEEKDAY($S269),7))+27),1,MIN(1,MAX(0,IF(ISNUMBER(OFFSET($A$1,ROW()-1,11)),OFFSET($A$1,ROW()-1,11),IF(ISNUMBER(OFFSET($A$1,ROW()-1,10)),OFFSET($A$1,ROW()-1,10),IF(ISNUMBER(OFFSET($A$1,ROW()-1,9)),OFFSET($A$1,ROW()-1,9),IF(ISNUMBER(OFFSET($A$1,ROW()-1,8)),OFFSET($A$1,ROW()-1,8),0))))))))</f>
        <v/>
      </c>
      <c r="AH269" s="62">
        <f>IF($V269="","",IF(AND(ISNUMBER($G269),$G269&lt;=IF($S269=MesCiclo,InicioCiclo,$S269+MOD(2-WEEKDAY($S269),7))+6),1,IF(N($W269)&gt;0,MIN(1,SUMIFS($AD$5:$AD$1000,$U$5:$U$1000,ROW(),$V$5:$V$1000,"Sub")),$Z269)))</f>
        <v/>
      </c>
      <c r="AI269" s="62">
        <f>IF($V269="","",IF(AND(ISNUMBER($G269),$G269&lt;=IF($S269=MesCiclo,InicioCiclo,$S269+MOD(2-WEEKDAY($S269),7))+13),1,IF(N($W269)&gt;0,MIN(1,SUMIFS($AE$5:$AE$1000,$U$5:$U$1000,ROW(),$V$5:$V$1000,"Sub")),$AA269)))</f>
        <v/>
      </c>
      <c r="AJ269" s="62">
        <f>IF($V269="","",IF(AND(ISNUMBER($G269),$G269&lt;=IF($S269=MesCiclo,InicioCiclo,$S269+MOD(2-WEEKDAY($S269),7))+20),1,IF(N($W269)&gt;0,MIN(1,SUMIFS($AF$5:$AF$1000,$U$5:$U$1000,ROW(),$V$5:$V$1000,"Sub")),$AB269)))</f>
        <v/>
      </c>
      <c r="AK269" s="62">
        <f>IF($V269="","",IF(AND(ISNUMBER($G269),$G269&lt;=IF($S269=MesCiclo,InicioCiclo,$S269+MOD(2-WEEKDAY($S269),7))+27),1,IF(N($W269)&gt;0,MIN(1,SUMIFS($AG$5:$AG$1000,$U$5:$U$1000,ROW(),$V$5:$V$1000,"Sub")),$AC269)))</f>
        <v/>
      </c>
      <c r="AL269" s="62">
        <f>IF($V269&lt;&gt;"Macro","",IF(COUNTIFS($S$5:$S$1000,$S269,$V$5:$V$1000,"Macro",$H$5:$H$1000,"&gt;0")=0,1/COUNTIFS($S$5:$S$1000,$S269,$V$5:$V$1000,"Macro"),IF(AND(ISNUMBER($H269),N($H269)&gt;0),$H269,SUMIFS($H$5:$H$1000,$S$5:$S$1000,$S269,$V$5:$V$1000,"Macro")/COUNTIFS($S$5:$S$1000,$S269,$V$5:$V$1000,"Macro",$H$5:$H$1000,"&gt;0"))/(COUNTIFS($S$5:$S$1000,$S269,$V$5:$V$1000,"Macro")*SUMIFS($H$5:$H$1000,$S$5:$S$1000,$S269,$V$5:$V$1000,"Macro")/COUNTIFS($S$5:$S$1000,$S269,$V$5:$V$1000,"Macro",$H$5:$H$1000,"&gt;0"))))</f>
        <v/>
      </c>
      <c r="AM269" s="62" t="n"/>
      <c r="AN269" s="62" t="n"/>
      <c r="AO269" s="62" t="n"/>
      <c r="AP269" s="62" t="n"/>
      <c r="AQ269" s="62">
        <f>IF(LEFT($C269,11)="[Jefatura] ",IFERROR(MATCH("Asistente Técnico de Riesgo|"&amp;MID($C269,12,500),rDname_ADM,0),0),"")</f>
        <v/>
      </c>
      <c r="AR269" s="62">
        <f>IF(N($AQ269)&gt;0,INDEX(rIni_ADM,$AQ269),IF(ISNUMBER($E269),$E269,""))</f>
        <v/>
      </c>
      <c r="AS269" s="62">
        <f>IF(N($AQ269)&gt;0,INDEX(rLim_ADM,$AQ269),IF(ISNUMBER($F269),$F269,""))</f>
        <v/>
      </c>
    </row>
    <row r="270">
      <c r="A270" s="56">
        <f>IF(NOT((COUNTA($B270:$D270)+COUNTA($G270:$H270)+COUNTA($Q270))&gt;0),"",IF($V270="Macro",COUNTIFS($V$5:$V270,"Macro",$S$5:$S270,$S270),IF(N($U270)=0,"?",COUNTIFS(INDEX($V$5:$V$1000,1):INDEX($V$5:$V$1000,$U270-4),"Macro",INDEX($S$5:$S$1000,1):INDEX($S$5:$S$1000,$U270-4),INDEX($S$5:$S$1000,$U270-4))&amp;"."&amp;COUNTIFS($U$5:$U270,$U270,$V$5:$V270,"Sub"))))</f>
        <v/>
      </c>
      <c r="B270" s="57" t="n"/>
      <c r="C270" s="58" t="n"/>
      <c r="D270" s="58" t="n"/>
      <c r="E270" s="59">
        <f>IF(N($AQ270)&gt;0,INDEX(rIni_ADM,$AQ270),"")</f>
        <v/>
      </c>
      <c r="F270" s="59">
        <f>IF(N($AQ270)&gt;0,INDEX(rLim_ADM,$AQ270),"")</f>
        <v/>
      </c>
      <c r="G270" s="59" t="n"/>
      <c r="H270" s="60" t="n"/>
      <c r="I270" s="60">
        <f>IF(N($W270)=0,"",IF(AND($S270=MesCiclo,1&gt;SemanaActual),"",MIN(1,SUMIFS(OFFSET($A$1,ROW(),29,1000-ROW(),1),OFFSET($A$1,ROW(),20,1000-ROW(),1),ROW(),OFFSET($A$1,ROW(),21,1000-ROW(),1),"Sub"))))</f>
        <v/>
      </c>
      <c r="J270" s="60">
        <f>IF(N($W270)=0,"",IF(AND($S270=MesCiclo,2&gt;SemanaActual),"",MIN(1,SUMIFS(OFFSET($A$1,ROW(),30,1000-ROW(),1),OFFSET($A$1,ROW(),20,1000-ROW(),1),ROW(),OFFSET($A$1,ROW(),21,1000-ROW(),1),"Sub"))))</f>
        <v/>
      </c>
      <c r="K270" s="60">
        <f>IF(N($W270)=0,"",IF(AND($S270=MesCiclo,3&gt;SemanaActual),"",MIN(1,SUMIFS(OFFSET($A$1,ROW(),31,1000-ROW(),1),OFFSET($A$1,ROW(),20,1000-ROW(),1),ROW(),OFFSET($A$1,ROW(),21,1000-ROW(),1),"Sub"))))</f>
        <v/>
      </c>
      <c r="L270" s="60">
        <f>IF(N($W270)=0,"",IF(AND($S270=MesCiclo,4&gt;SemanaActual),"",MIN(1,SUMIFS(OFFSET($A$1,ROW(),32,1000-ROW(),1),OFFSET($A$1,ROW(),20,1000-ROW(),1),ROW(),OFFSET($A$1,ROW(),21,1000-ROW(),1),"Sub"))))</f>
        <v/>
      </c>
      <c r="M270" s="61">
        <f>IF(OR(NOT((COUNTA($B270:$D270)+COUNTA($G270:$H270)+COUNTA($Q270))&gt;0),$V270="Sub"),"",IF(ISNUMBER($G270),1,IF(N($W270)&gt;0,MIN(1,SUMIFS($Y$5:$Y$1000,$U$5:$U$1000,ROW(),$V$5:$V$1000,"Sub")),$Y270)))</f>
        <v/>
      </c>
      <c r="N270" s="56">
        <f>IF(OR($M270="",$V270="Sub"),"",IF($M270&gt;=1,"Completado",IF($M270&gt;0,"En curso","Pendiente")))</f>
        <v/>
      </c>
      <c r="O270" s="56">
        <f>IF(OR(NOT((COUNTA($B270:$D270)+COUNTA($G270:$H270)+COUNTA($Q270))&gt;0),$V270="Sub"),"",IF(ISNUMBER($G270),IF(AND(ISNUMBER($AS270),$G270&gt;$AS270),"Cumplida con "&amp;($G270-$AS270)&amp;IF($G270-$AS270=1," día"," días")&amp;" de retraso","Cumplida"),IF(N($M270)&gt;=1,"Cumplida",IF(NOT(ISNUMBER($AS270)),"Sin fecha límite",IF($AS270&lt;FechaRef,"Vencida hace "&amp;(FechaRef-$AS270)&amp;IF(FechaRef-$AS270=1," día"," días"),IF($AS270=FechaRef,"Vence hoy",IF($AS270-FechaRef&lt;=DiasAlerta,"Vence en "&amp;($AS270-FechaRef)&amp;IF($AS270-FechaRef=1," día"," días"),"En plazo")))))))</f>
        <v/>
      </c>
      <c r="P270" s="62" t="n"/>
      <c r="Q270" s="58" t="n"/>
      <c r="R270" s="63">
        <f>IF(NOT((COUNTA($B270:$D270)+COUNTA($G270:$H270)+COUNTA($Q270))&gt;0),"",IF((IF($C270="","Falta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 OK","⚠ "&amp;LEFT(IF($C270="","Falta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",""),LEN(IF($C270="","Falta el nombre de la actividad"&amp;" · ","")&amp;IF(AND($V270="Sub",N($U270)=0),"Subactividad sin macroactividad arriba"&amp;" · ","")&amp;IF(AND($V270="Macro",$AR270=""),"Sin fecha de inicio"&amp;" · ","")&amp;IF(AND($V270="Macro",$AS270=""),"Sin fecha límite"&amp;" · ","")&amp;IF(AND(LEFT($C270,11)="[Jefatura] ",N($AQ270)=0),"No se encuentra en la hoja de la jefatura (elíjala de nuevo en la lista)"&amp;" · ","")&amp;IF(OR(AND($E270&lt;&gt;"",NOT(ISNUMBER($E270))),AND($F270&lt;&gt;"",NOT(ISNUMBER($F270))),AND($G270&lt;&gt;"",NOT(ISNUMBER($G270)))),"Fecha no válida"&amp;" · ","")&amp;IF(AND(ISNUMBER($AR270),ISNUMBER($AS270),$AR270&gt;$AS270),"Inicio posterior a fecha límite"&amp;" · ","")&amp;IF(AND($V270="Macro",$H270&lt;&gt;"",OR(NOT(ISNUMBER($H270)),$H270&lt;0,$H270&gt;1)),"Peso fuera de rango"&amp;" · ","")&amp;IF(AND($V270="Sub",$H270&lt;&gt;"",OR(NOT(ISNUMBER($H270)),$H270&lt;0,$H270&gt;1)),"% de la subactividad fuera de rango 0-100%"&amp;" · ","")&amp;IF(AND(N($W270)&gt;0,SUMIFS($H$5:$H$1000,$U$5:$U$1000,ROW(),$V$5:$V$1000,"Sub")&gt;1.0001),"Las subactividades suman más de 100%"&amp;" · ","")&amp;IF(AND(N($W270)&gt;0,OR(IF(ISNUMBER($I270),ROUND($I270,6)&lt;&gt;ROUND(MIN(1,SUMIFS($AD$5:$AD$1000,$U$5:$U$1000,ROW(),$V$5:$V$1000,"Sub")),6),FALSE),IF(ISNUMBER($J270),ROUND($J270,6)&lt;&gt;ROUND(MIN(1,SUMIFS($AE$5:$AE$1000,$U$5:$U$1000,ROW(),$V$5:$V$1000,"Sub")),6),FALSE),IF(ISNUMBER($K270),ROUND($K270,6)&lt;&gt;ROUND(MIN(1,SUMIFS($AF$5:$AF$1000,$U$5:$U$1000,ROW(),$V$5:$V$1000,"Sub")),6),FALSE),IF(ISNUMBER($L270),ROUND($L270,6)&lt;&gt;ROUND(MIN(1,SUMIFS($AG$5:$AG$1000,$U$5:$U$1000,ROW(),$V$5:$V$1000,"Sub")),6),FALSE))),"Con subactividades: no escriba en las semanas (se llenan solas)"&amp;" · ","")&amp;IF((COUNTIF($I270:$L270,"&gt;1")+COUNTIF($I270:$L270,"&lt;0")+SUMPRODUCT((LEN($I270:$L270)&gt;0)*NOT(ISNUMBER($I270:$L270))))&gt;0,"Avance fuera de rango 0-100%"&amp;" · ","")&amp;IF(OR(AND(ISNUMBER($J270),$J270&lt;N($I270)),AND(ISNUMBER($K270),$K270&lt;MAX($I270:$J270)),AND(ISNUMBER($L270),$L270&lt;MAX($I270:$K270))),"Avance semanal decreciente"&amp;" · ","")&amp;IF(AND(ISNUMBER($AS270),$AS270&lt;FechaRef,IF($V270="Sub",1,N($M270))&lt;1),"Vencida"&amp;" · ","")&amp;IF(AND(ObsObligatoria="Sí",ISNUMBER($AS270),$AS270&lt;FechaRef,IF($V270="Sub",1,N($M270))&lt;1,$Q270=""),"Vencida sin observación"&amp;" · ",""))-3)))</f>
        <v/>
      </c>
      <c r="S270" s="64">
        <f>IF(NOT((COUNTA($B270:$D270)+COUNTA($G270:$H270)+COUNTA($Q270))&gt;0),"",IF(AND($V270="Sub",N($U270)&gt;0),IF(ISNUMBER(INDEX($AR$5:$AR$1000,$U270-4)),DATE(YEAR(INDEX($AR$5:$AR$1000,$U270-4)),MONTH(INDEX($AR$5:$AR$1000,$U270-4)),1),IF(ISNUMBER(INDEX($AS$5:$AS$1000,$U270-4)),DATE(YEAR(INDEX($AS$5:$AS$1000,$U270-4)),MONTH(INDEX($AS$5:$AS$1000,$U270-4)),1),MesCiclo)),IF(ISNUMBER($AR270),DATE(YEAR($AR270),MONTH($AR270),1),IF(ISNUMBER($AS270),DATE(YEAR($AS270),MONTH($AS270),1),MesCiclo))))</f>
        <v/>
      </c>
      <c r="T270" s="62">
        <f>IF(OR($S270="",$S270&lt;&gt;MesCiclo,$V270&lt;&gt;"Macro"),"",COUNTIFS($S$5:$S270,MesCiclo,$V$5:$V270,"Macro"))</f>
        <v/>
      </c>
      <c r="U270" s="62">
        <f>IF($V270="","",IF($V270="Macro",ROW(),IFERROR(LOOKUP(2,1/($V$5:$V270="Macro"),ROW($V$5:$V270)),0)))</f>
        <v/>
      </c>
      <c r="V270" s="62">
        <f>IF(NOT((COUNTA($B270:$D270)+COUNTA($G270:$H270)+COUNTA($Q270))&gt;0),"",IF($B270="Subactividad","Sub","Macro"))</f>
        <v/>
      </c>
      <c r="W270" s="62">
        <f>IF($V270="Macro",COUNTIFS($U$5:$U$1000,ROW(),$V$5:$V$1000,"Sub"),"")</f>
        <v/>
      </c>
      <c r="X270" s="62">
        <f>IF($V270&lt;&gt;"Sub","",IF(AND(ISNUMBER($H270),N($H270)&gt;0),$H270,IFERROR(MAX(0,1-SUMIFS($H$5:$H$1000,$U$5:$U$1000,$U270,$V$5:$V$1000,"Sub"))/(COUNTIFS($U$5:$U$1000,$U270,$V$5:$V$1000,"Sub")-COUNTIFS($U$5:$U$1000,$U270,$V$5:$V$1000,"Sub",$H$5:$H$1000,"&gt;0")),0)))</f>
        <v/>
      </c>
      <c r="Y270" s="62">
        <f>IF($V270="","",IF($V270="Sub",N($X270)*IF(ISNUMBER($G270),1,MIN(1,MAX(0,IFERROR(LOOKUP(2,1/ISNUMBER($I270:$L270),$I270:$L270),0)))),IF(ISNUMBER($G270),1,IFERROR(LOOKUP(2,1/($I270:$L270&lt;&gt;""),$I270:$L270),0))))</f>
        <v/>
      </c>
      <c r="Z270" s="62">
        <f>IF($V270="","",IF(AND(ISNUMBER($G270),$G270&lt;=IF($S270=MesCiclo,InicioCiclo,$S270+MOD(2-WEEKDAY($S270),7))+6),1,IF(ISNUMBER($I270),$I270,0)))</f>
        <v/>
      </c>
      <c r="AA270" s="62">
        <f>IF($V270="","",IF(AND(ISNUMBER($G270),$G270&lt;=IF($S270=MesCiclo,InicioCiclo,$S270+MOD(2-WEEKDAY($S270),7))+13),1,IF(ISNUMBER($J270),$J270,$Z270)))</f>
        <v/>
      </c>
      <c r="AB270" s="62">
        <f>IF($V270="","",IF(AND(ISNUMBER($G270),$G270&lt;=IF($S270=MesCiclo,InicioCiclo,$S270+MOD(2-WEEKDAY($S270),7))+20),1,IF(ISNUMBER($K270),$K270,$AA270)))</f>
        <v/>
      </c>
      <c r="AC270" s="62">
        <f>IF($V270="","",IF(AND(ISNUMBER($G270),$G270&lt;=IF($S270=MesCiclo,InicioCiclo,$S270+MOD(2-WEEKDAY($S270),7))+27),1,IF(ISNUMBER($L270),$L270,$AB270)))</f>
        <v/>
      </c>
      <c r="AD270" s="62">
        <f>IF($V270&lt;&gt;"Sub","",N($X270)*IF(AND(ISNUMBER($G270),$G270&lt;=IF($S270=MesCiclo,InicioCiclo,$S270+MOD(2-WEEKDAY($S270),7))+6),1,MIN(1,MAX(0,IF(ISNUMBER(OFFSET($A$1,ROW()-1,8)),OFFSET($A$1,ROW()-1,8),0)))))</f>
        <v/>
      </c>
      <c r="AE270" s="62">
        <f>IF($V270&lt;&gt;"Sub","",N($X270)*IF(AND(ISNUMBER($G270),$G270&lt;=IF($S270=MesCiclo,InicioCiclo,$S270+MOD(2-WEEKDAY($S270),7))+13),1,MIN(1,MAX(0,IF(ISNUMBER(OFFSET($A$1,ROW()-1,9)),OFFSET($A$1,ROW()-1,9),IF(ISNUMBER(OFFSET($A$1,ROW()-1,8)),OFFSET($A$1,ROW()-1,8),0))))))</f>
        <v/>
      </c>
      <c r="AF270" s="62">
        <f>IF($V270&lt;&gt;"Sub","",N($X270)*IF(AND(ISNUMBER($G270),$G270&lt;=IF($S270=MesCiclo,InicioCiclo,$S270+MOD(2-WEEKDAY($S270),7))+20),1,MIN(1,MAX(0,IF(ISNUMBER(OFFSET($A$1,ROW()-1,10)),OFFSET($A$1,ROW()-1,10),IF(ISNUMBER(OFFSET($A$1,ROW()-1,9)),OFFSET($A$1,ROW()-1,9),IF(ISNUMBER(OFFSET($A$1,ROW()-1,8)),OFFSET($A$1,ROW()-1,8),0)))))))</f>
        <v/>
      </c>
      <c r="AG270" s="62">
        <f>IF($V270&lt;&gt;"Sub","",N($X270)*IF(AND(ISNUMBER($G270),$G270&lt;=IF($S270=MesCiclo,InicioCiclo,$S270+MOD(2-WEEKDAY($S270),7))+27),1,MIN(1,MAX(0,IF(ISNUMBER(OFFSET($A$1,ROW()-1,11)),OFFSET($A$1,ROW()-1,11),IF(ISNUMBER(OFFSET($A$1,ROW()-1,10)),OFFSET($A$1,ROW()-1,10),IF(ISNUMBER(OFFSET($A$1,ROW()-1,9)),OFFSET($A$1,ROW()-1,9),IF(ISNUMBER(OFFSET($A$1,ROW()-1,8)),OFFSET($A$1,ROW()-1,8),0))))))))</f>
        <v/>
      </c>
      <c r="AH270" s="62">
        <f>IF($V270="","",IF(AND(ISNUMBER($G270),$G270&lt;=IF($S270=MesCiclo,InicioCiclo,$S270+MOD(2-WEEKDAY($S270),7))+6),1,IF(N($W270)&gt;0,MIN(1,SUMIFS($AD$5:$AD$1000,$U$5:$U$1000,ROW(),$V$5:$V$1000,"Sub")),$Z270)))</f>
        <v/>
      </c>
      <c r="AI270" s="62">
        <f>IF($V270="","",IF(AND(ISNUMBER($G270),$G270&lt;=IF($S270=MesCiclo,InicioCiclo,$S270+MOD(2-WEEKDAY($S270),7))+13),1,IF(N($W270)&gt;0,MIN(1,SUMIFS($AE$5:$AE$1000,$U$5:$U$1000,ROW(),$V$5:$V$1000,"Sub")),$AA270)))</f>
        <v/>
      </c>
      <c r="AJ270" s="62">
        <f>IF($V270="","",IF(AND(ISNUMBER($G270),$G270&lt;=IF($S270=MesCiclo,InicioCiclo,$S270+MOD(2-WEEKDAY($S270),7))+20),1,IF(N($W270)&gt;0,MIN(1,SUMIFS($AF$5:$AF$1000,$U$5:$U$1000,ROW(),$V$5:$V$1000,"Sub")),$AB270)))</f>
        <v/>
      </c>
      <c r="AK270" s="62">
        <f>IF($V270="","",IF(AND(ISNUMBER($G270),$G270&lt;=IF($S270=MesCiclo,InicioCiclo,$S270+MOD(2-WEEKDAY($S270),7))+27),1,IF(N($W270)&gt;0,MIN(1,SUMIFS($AG$5:$AG$1000,$U$5:$U$1000,ROW(),$V$5:$V$1000,"Sub")),$AC270)))</f>
        <v/>
      </c>
      <c r="AL270" s="62">
        <f>IF($V270&lt;&gt;"Macro","",IF(COUNTIFS($S$5:$S$1000,$S270,$V$5:$V$1000,"Macro",$H$5:$H$1000,"&gt;0")=0,1/COUNTIFS($S$5:$S$1000,$S270,$V$5:$V$1000,"Macro"),IF(AND(ISNUMBER($H270),N($H270)&gt;0),$H270,SUMIFS($H$5:$H$1000,$S$5:$S$1000,$S270,$V$5:$V$1000,"Macro")/COUNTIFS($S$5:$S$1000,$S270,$V$5:$V$1000,"Macro",$H$5:$H$1000,"&gt;0"))/(COUNTIFS($S$5:$S$1000,$S270,$V$5:$V$1000,"Macro")*SUMIFS($H$5:$H$1000,$S$5:$S$1000,$S270,$V$5:$V$1000,"Macro")/COUNTIFS($S$5:$S$1000,$S270,$V$5:$V$1000,"Macro",$H$5:$H$1000,"&gt;0"))))</f>
        <v/>
      </c>
      <c r="AM270" s="62" t="n"/>
      <c r="AN270" s="62" t="n"/>
      <c r="AO270" s="62" t="n"/>
      <c r="AP270" s="62" t="n"/>
      <c r="AQ270" s="62">
        <f>IF(LEFT($C270,11)="[Jefatura] ",IFERROR(MATCH("Asistente Técnico de Riesgo|"&amp;MID($C270,12,500),rDname_ADM,0),0),"")</f>
        <v/>
      </c>
      <c r="AR270" s="62">
        <f>IF(N($AQ270)&gt;0,INDEX(rIni_ADM,$AQ270),IF(ISNUMBER($E270),$E270,""))</f>
        <v/>
      </c>
      <c r="AS270" s="62">
        <f>IF(N($AQ270)&gt;0,INDEX(rLim_ADM,$AQ270),IF(ISNUMBER($F270),$F270,""))</f>
        <v/>
      </c>
    </row>
    <row r="271">
      <c r="A271" s="56">
        <f>IF(NOT((COUNTA($B271:$D271)+COUNTA($G271:$H271)+COUNTA($Q271))&gt;0),"",IF($V271="Macro",COUNTIFS($V$5:$V271,"Macro",$S$5:$S271,$S271),IF(N($U271)=0,"?",COUNTIFS(INDEX($V$5:$V$1000,1):INDEX($V$5:$V$1000,$U271-4),"Macro",INDEX($S$5:$S$1000,1):INDEX($S$5:$S$1000,$U271-4),INDEX($S$5:$S$1000,$U271-4))&amp;"."&amp;COUNTIFS($U$5:$U271,$U271,$V$5:$V271,"Sub"))))</f>
        <v/>
      </c>
      <c r="B271" s="57" t="n"/>
      <c r="C271" s="58" t="n"/>
      <c r="D271" s="58" t="n"/>
      <c r="E271" s="59">
        <f>IF(N($AQ271)&gt;0,INDEX(rIni_ADM,$AQ271),"")</f>
        <v/>
      </c>
      <c r="F271" s="59">
        <f>IF(N($AQ271)&gt;0,INDEX(rLim_ADM,$AQ271),"")</f>
        <v/>
      </c>
      <c r="G271" s="59" t="n"/>
      <c r="H271" s="60" t="n"/>
      <c r="I271" s="60">
        <f>IF(N($W271)=0,"",IF(AND($S271=MesCiclo,1&gt;SemanaActual),"",MIN(1,SUMIFS(OFFSET($A$1,ROW(),29,1000-ROW(),1),OFFSET($A$1,ROW(),20,1000-ROW(),1),ROW(),OFFSET($A$1,ROW(),21,1000-ROW(),1),"Sub"))))</f>
        <v/>
      </c>
      <c r="J271" s="60">
        <f>IF(N($W271)=0,"",IF(AND($S271=MesCiclo,2&gt;SemanaActual),"",MIN(1,SUMIFS(OFFSET($A$1,ROW(),30,1000-ROW(),1),OFFSET($A$1,ROW(),20,1000-ROW(),1),ROW(),OFFSET($A$1,ROW(),21,1000-ROW(),1),"Sub"))))</f>
        <v/>
      </c>
      <c r="K271" s="60">
        <f>IF(N($W271)=0,"",IF(AND($S271=MesCiclo,3&gt;SemanaActual),"",MIN(1,SUMIFS(OFFSET($A$1,ROW(),31,1000-ROW(),1),OFFSET($A$1,ROW(),20,1000-ROW(),1),ROW(),OFFSET($A$1,ROW(),21,1000-ROW(),1),"Sub"))))</f>
        <v/>
      </c>
      <c r="L271" s="60">
        <f>IF(N($W271)=0,"",IF(AND($S271=MesCiclo,4&gt;SemanaActual),"",MIN(1,SUMIFS(OFFSET($A$1,ROW(),32,1000-ROW(),1),OFFSET($A$1,ROW(),20,1000-ROW(),1),ROW(),OFFSET($A$1,ROW(),21,1000-ROW(),1),"Sub"))))</f>
        <v/>
      </c>
      <c r="M271" s="61">
        <f>IF(OR(NOT((COUNTA($B271:$D271)+COUNTA($G271:$H271)+COUNTA($Q271))&gt;0),$V271="Sub"),"",IF(ISNUMBER($G271),1,IF(N($W271)&gt;0,MIN(1,SUMIFS($Y$5:$Y$1000,$U$5:$U$1000,ROW(),$V$5:$V$1000,"Sub")),$Y271)))</f>
        <v/>
      </c>
      <c r="N271" s="56">
        <f>IF(OR($M271="",$V271="Sub"),"",IF($M271&gt;=1,"Completado",IF($M271&gt;0,"En curso","Pendiente")))</f>
        <v/>
      </c>
      <c r="O271" s="56">
        <f>IF(OR(NOT((COUNTA($B271:$D271)+COUNTA($G271:$H271)+COUNTA($Q271))&gt;0),$V271="Sub"),"",IF(ISNUMBER($G271),IF(AND(ISNUMBER($AS271),$G271&gt;$AS271),"Cumplida con "&amp;($G271-$AS271)&amp;IF($G271-$AS271=1," día"," días")&amp;" de retraso","Cumplida"),IF(N($M271)&gt;=1,"Cumplida",IF(NOT(ISNUMBER($AS271)),"Sin fecha límite",IF($AS271&lt;FechaRef,"Vencida hace "&amp;(FechaRef-$AS271)&amp;IF(FechaRef-$AS271=1," día"," días"),IF($AS271=FechaRef,"Vence hoy",IF($AS271-FechaRef&lt;=DiasAlerta,"Vence en "&amp;($AS271-FechaRef)&amp;IF($AS271-FechaRef=1," día"," días"),"En plazo")))))))</f>
        <v/>
      </c>
      <c r="P271" s="62" t="n"/>
      <c r="Q271" s="58" t="n"/>
      <c r="R271" s="63">
        <f>IF(NOT((COUNTA($B271:$D271)+COUNTA($G271:$H271)+COUNTA($Q271))&gt;0),"",IF((IF($C271="","Falta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 OK","⚠ "&amp;LEFT(IF($C271="","Falta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",""),LEN(IF($C271="","Falta el nombre de la actividad"&amp;" · ","")&amp;IF(AND($V271="Sub",N($U271)=0),"Subactividad sin macroactividad arriba"&amp;" · ","")&amp;IF(AND($V271="Macro",$AR271=""),"Sin fecha de inicio"&amp;" · ","")&amp;IF(AND($V271="Macro",$AS271=""),"Sin fecha límite"&amp;" · ","")&amp;IF(AND(LEFT($C271,11)="[Jefatura] ",N($AQ271)=0),"No se encuentra en la hoja de la jefatura (elíjala de nuevo en la lista)"&amp;" · ","")&amp;IF(OR(AND($E271&lt;&gt;"",NOT(ISNUMBER($E271))),AND($F271&lt;&gt;"",NOT(ISNUMBER($F271))),AND($G271&lt;&gt;"",NOT(ISNUMBER($G271)))),"Fecha no válida"&amp;" · ","")&amp;IF(AND(ISNUMBER($AR271),ISNUMBER($AS271),$AR271&gt;$AS271),"Inicio posterior a fecha límite"&amp;" · ","")&amp;IF(AND($V271="Macro",$H271&lt;&gt;"",OR(NOT(ISNUMBER($H271)),$H271&lt;0,$H271&gt;1)),"Peso fuera de rango"&amp;" · ","")&amp;IF(AND($V271="Sub",$H271&lt;&gt;"",OR(NOT(ISNUMBER($H271)),$H271&lt;0,$H271&gt;1)),"% de la subactividad fuera de rango 0-100%"&amp;" · ","")&amp;IF(AND(N($W271)&gt;0,SUMIFS($H$5:$H$1000,$U$5:$U$1000,ROW(),$V$5:$V$1000,"Sub")&gt;1.0001),"Las subactividades suman más de 100%"&amp;" · ","")&amp;IF(AND(N($W271)&gt;0,OR(IF(ISNUMBER($I271),ROUND($I271,6)&lt;&gt;ROUND(MIN(1,SUMIFS($AD$5:$AD$1000,$U$5:$U$1000,ROW(),$V$5:$V$1000,"Sub")),6),FALSE),IF(ISNUMBER($J271),ROUND($J271,6)&lt;&gt;ROUND(MIN(1,SUMIFS($AE$5:$AE$1000,$U$5:$U$1000,ROW(),$V$5:$V$1000,"Sub")),6),FALSE),IF(ISNUMBER($K271),ROUND($K271,6)&lt;&gt;ROUND(MIN(1,SUMIFS($AF$5:$AF$1000,$U$5:$U$1000,ROW(),$V$5:$V$1000,"Sub")),6),FALSE),IF(ISNUMBER($L271),ROUND($L271,6)&lt;&gt;ROUND(MIN(1,SUMIFS($AG$5:$AG$1000,$U$5:$U$1000,ROW(),$V$5:$V$1000,"Sub")),6),FALSE))),"Con subactividades: no escriba en las semanas (se llenan solas)"&amp;" · ","")&amp;IF((COUNTIF($I271:$L271,"&gt;1")+COUNTIF($I271:$L271,"&lt;0")+SUMPRODUCT((LEN($I271:$L271)&gt;0)*NOT(ISNUMBER($I271:$L271))))&gt;0,"Avance fuera de rango 0-100%"&amp;" · ","")&amp;IF(OR(AND(ISNUMBER($J271),$J271&lt;N($I271)),AND(ISNUMBER($K271),$K271&lt;MAX($I271:$J271)),AND(ISNUMBER($L271),$L271&lt;MAX($I271:$K271))),"Avance semanal decreciente"&amp;" · ","")&amp;IF(AND(ISNUMBER($AS271),$AS271&lt;FechaRef,IF($V271="Sub",1,N($M271))&lt;1),"Vencida"&amp;" · ","")&amp;IF(AND(ObsObligatoria="Sí",ISNUMBER($AS271),$AS271&lt;FechaRef,IF($V271="Sub",1,N($M271))&lt;1,$Q271=""),"Vencida sin observación"&amp;" · ",""))-3)))</f>
        <v/>
      </c>
      <c r="S271" s="64">
        <f>IF(NOT((COUNTA($B271:$D271)+COUNTA($G271:$H271)+COUNTA($Q271))&gt;0),"",IF(AND($V271="Sub",N($U271)&gt;0),IF(ISNUMBER(INDEX($AR$5:$AR$1000,$U271-4)),DATE(YEAR(INDEX($AR$5:$AR$1000,$U271-4)),MONTH(INDEX($AR$5:$AR$1000,$U271-4)),1),IF(ISNUMBER(INDEX($AS$5:$AS$1000,$U271-4)),DATE(YEAR(INDEX($AS$5:$AS$1000,$U271-4)),MONTH(INDEX($AS$5:$AS$1000,$U271-4)),1),MesCiclo)),IF(ISNUMBER($AR271),DATE(YEAR($AR271),MONTH($AR271),1),IF(ISNUMBER($AS271),DATE(YEAR($AS271),MONTH($AS271),1),MesCiclo))))</f>
        <v/>
      </c>
      <c r="T271" s="62">
        <f>IF(OR($S271="",$S271&lt;&gt;MesCiclo,$V271&lt;&gt;"Macro"),"",COUNTIFS($S$5:$S271,MesCiclo,$V$5:$V271,"Macro"))</f>
        <v/>
      </c>
      <c r="U271" s="62">
        <f>IF($V271="","",IF($V271="Macro",ROW(),IFERROR(LOOKUP(2,1/($V$5:$V271="Macro"),ROW($V$5:$V271)),0)))</f>
        <v/>
      </c>
      <c r="V271" s="62">
        <f>IF(NOT((COUNTA($B271:$D271)+COUNTA($G271:$H271)+COUNTA($Q271))&gt;0),"",IF($B271="Subactividad","Sub","Macro"))</f>
        <v/>
      </c>
      <c r="W271" s="62">
        <f>IF($V271="Macro",COUNTIFS($U$5:$U$1000,ROW(),$V$5:$V$1000,"Sub"),"")</f>
        <v/>
      </c>
      <c r="X271" s="62">
        <f>IF($V271&lt;&gt;"Sub","",IF(AND(ISNUMBER($H271),N($H271)&gt;0),$H271,IFERROR(MAX(0,1-SUMIFS($H$5:$H$1000,$U$5:$U$1000,$U271,$V$5:$V$1000,"Sub"))/(COUNTIFS($U$5:$U$1000,$U271,$V$5:$V$1000,"Sub")-COUNTIFS($U$5:$U$1000,$U271,$V$5:$V$1000,"Sub",$H$5:$H$1000,"&gt;0")),0)))</f>
        <v/>
      </c>
      <c r="Y271" s="62">
        <f>IF($V271="","",IF($V271="Sub",N($X271)*IF(ISNUMBER($G271),1,MIN(1,MAX(0,IFERROR(LOOKUP(2,1/ISNUMBER($I271:$L271),$I271:$L271),0)))),IF(ISNUMBER($G271),1,IFERROR(LOOKUP(2,1/($I271:$L271&lt;&gt;""),$I271:$L271),0))))</f>
        <v/>
      </c>
      <c r="Z271" s="62">
        <f>IF($V271="","",IF(AND(ISNUMBER($G271),$G271&lt;=IF($S271=MesCiclo,InicioCiclo,$S271+MOD(2-WEEKDAY($S271),7))+6),1,IF(ISNUMBER($I271),$I271,0)))</f>
        <v/>
      </c>
      <c r="AA271" s="62">
        <f>IF($V271="","",IF(AND(ISNUMBER($G271),$G271&lt;=IF($S271=MesCiclo,InicioCiclo,$S271+MOD(2-WEEKDAY($S271),7))+13),1,IF(ISNUMBER($J271),$J271,$Z271)))</f>
        <v/>
      </c>
      <c r="AB271" s="62">
        <f>IF($V271="","",IF(AND(ISNUMBER($G271),$G271&lt;=IF($S271=MesCiclo,InicioCiclo,$S271+MOD(2-WEEKDAY($S271),7))+20),1,IF(ISNUMBER($K271),$K271,$AA271)))</f>
        <v/>
      </c>
      <c r="AC271" s="62">
        <f>IF($V271="","",IF(AND(ISNUMBER($G271),$G271&lt;=IF($S271=MesCiclo,InicioCiclo,$S271+MOD(2-WEEKDAY($S271),7))+27),1,IF(ISNUMBER($L271),$L271,$AB271)))</f>
        <v/>
      </c>
      <c r="AD271" s="62">
        <f>IF($V271&lt;&gt;"Sub","",N($X271)*IF(AND(ISNUMBER($G271),$G271&lt;=IF($S271=MesCiclo,InicioCiclo,$S271+MOD(2-WEEKDAY($S271),7))+6),1,MIN(1,MAX(0,IF(ISNUMBER(OFFSET($A$1,ROW()-1,8)),OFFSET($A$1,ROW()-1,8),0)))))</f>
        <v/>
      </c>
      <c r="AE271" s="62">
        <f>IF($V271&lt;&gt;"Sub","",N($X271)*IF(AND(ISNUMBER($G271),$G271&lt;=IF($S271=MesCiclo,InicioCiclo,$S271+MOD(2-WEEKDAY($S271),7))+13),1,MIN(1,MAX(0,IF(ISNUMBER(OFFSET($A$1,ROW()-1,9)),OFFSET($A$1,ROW()-1,9),IF(ISNUMBER(OFFSET($A$1,ROW()-1,8)),OFFSET($A$1,ROW()-1,8),0))))))</f>
        <v/>
      </c>
      <c r="AF271" s="62">
        <f>IF($V271&lt;&gt;"Sub","",N($X271)*IF(AND(ISNUMBER($G271),$G271&lt;=IF($S271=MesCiclo,InicioCiclo,$S271+MOD(2-WEEKDAY($S271),7))+20),1,MIN(1,MAX(0,IF(ISNUMBER(OFFSET($A$1,ROW()-1,10)),OFFSET($A$1,ROW()-1,10),IF(ISNUMBER(OFFSET($A$1,ROW()-1,9)),OFFSET($A$1,ROW()-1,9),IF(ISNUMBER(OFFSET($A$1,ROW()-1,8)),OFFSET($A$1,ROW()-1,8),0)))))))</f>
        <v/>
      </c>
      <c r="AG271" s="62">
        <f>IF($V271&lt;&gt;"Sub","",N($X271)*IF(AND(ISNUMBER($G271),$G271&lt;=IF($S271=MesCiclo,InicioCiclo,$S271+MOD(2-WEEKDAY($S271),7))+27),1,MIN(1,MAX(0,IF(ISNUMBER(OFFSET($A$1,ROW()-1,11)),OFFSET($A$1,ROW()-1,11),IF(ISNUMBER(OFFSET($A$1,ROW()-1,10)),OFFSET($A$1,ROW()-1,10),IF(ISNUMBER(OFFSET($A$1,ROW()-1,9)),OFFSET($A$1,ROW()-1,9),IF(ISNUMBER(OFFSET($A$1,ROW()-1,8)),OFFSET($A$1,ROW()-1,8),0))))))))</f>
        <v/>
      </c>
      <c r="AH271" s="62">
        <f>IF($V271="","",IF(AND(ISNUMBER($G271),$G271&lt;=IF($S271=MesCiclo,InicioCiclo,$S271+MOD(2-WEEKDAY($S271),7))+6),1,IF(N($W271)&gt;0,MIN(1,SUMIFS($AD$5:$AD$1000,$U$5:$U$1000,ROW(),$V$5:$V$1000,"Sub")),$Z271)))</f>
        <v/>
      </c>
      <c r="AI271" s="62">
        <f>IF($V271="","",IF(AND(ISNUMBER($G271),$G271&lt;=IF($S271=MesCiclo,InicioCiclo,$S271+MOD(2-WEEKDAY($S271),7))+13),1,IF(N($W271)&gt;0,MIN(1,SUMIFS($AE$5:$AE$1000,$U$5:$U$1000,ROW(),$V$5:$V$1000,"Sub")),$AA271)))</f>
        <v/>
      </c>
      <c r="AJ271" s="62">
        <f>IF($V271="","",IF(AND(ISNUMBER($G271),$G271&lt;=IF($S271=MesCiclo,InicioCiclo,$S271+MOD(2-WEEKDAY($S271),7))+20),1,IF(N($W271)&gt;0,MIN(1,SUMIFS($AF$5:$AF$1000,$U$5:$U$1000,ROW(),$V$5:$V$1000,"Sub")),$AB271)))</f>
        <v/>
      </c>
      <c r="AK271" s="62">
        <f>IF($V271="","",IF(AND(ISNUMBER($G271),$G271&lt;=IF($S271=MesCiclo,InicioCiclo,$S271+MOD(2-WEEKDAY($S271),7))+27),1,IF(N($W271)&gt;0,MIN(1,SUMIFS($AG$5:$AG$1000,$U$5:$U$1000,ROW(),$V$5:$V$1000,"Sub")),$AC271)))</f>
        <v/>
      </c>
      <c r="AL271" s="62">
        <f>IF($V271&lt;&gt;"Macro","",IF(COUNTIFS($S$5:$S$1000,$S271,$V$5:$V$1000,"Macro",$H$5:$H$1000,"&gt;0")=0,1/COUNTIFS($S$5:$S$1000,$S271,$V$5:$V$1000,"Macro"),IF(AND(ISNUMBER($H271),N($H271)&gt;0),$H271,SUMIFS($H$5:$H$1000,$S$5:$S$1000,$S271,$V$5:$V$1000,"Macro")/COUNTIFS($S$5:$S$1000,$S271,$V$5:$V$1000,"Macro",$H$5:$H$1000,"&gt;0"))/(COUNTIFS($S$5:$S$1000,$S271,$V$5:$V$1000,"Macro")*SUMIFS($H$5:$H$1000,$S$5:$S$1000,$S271,$V$5:$V$1000,"Macro")/COUNTIFS($S$5:$S$1000,$S271,$V$5:$V$1000,"Macro",$H$5:$H$1000,"&gt;0"))))</f>
        <v/>
      </c>
      <c r="AM271" s="62" t="n"/>
      <c r="AN271" s="62" t="n"/>
      <c r="AO271" s="62" t="n"/>
      <c r="AP271" s="62" t="n"/>
      <c r="AQ271" s="62">
        <f>IF(LEFT($C271,11)="[Jefatura] ",IFERROR(MATCH("Asistente Técnico de Riesgo|"&amp;MID($C271,12,500),rDname_ADM,0),0),"")</f>
        <v/>
      </c>
      <c r="AR271" s="62">
        <f>IF(N($AQ271)&gt;0,INDEX(rIni_ADM,$AQ271),IF(ISNUMBER($E271),$E271,""))</f>
        <v/>
      </c>
      <c r="AS271" s="62">
        <f>IF(N($AQ271)&gt;0,INDEX(rLim_ADM,$AQ271),IF(ISNUMBER($F271),$F271,""))</f>
        <v/>
      </c>
    </row>
    <row r="272">
      <c r="A272" s="56">
        <f>IF(NOT((COUNTA($B272:$D272)+COUNTA($G272:$H272)+COUNTA($Q272))&gt;0),"",IF($V272="Macro",COUNTIFS($V$5:$V272,"Macro",$S$5:$S272,$S272),IF(N($U272)=0,"?",COUNTIFS(INDEX($V$5:$V$1000,1):INDEX($V$5:$V$1000,$U272-4),"Macro",INDEX($S$5:$S$1000,1):INDEX($S$5:$S$1000,$U272-4),INDEX($S$5:$S$1000,$U272-4))&amp;"."&amp;COUNTIFS($U$5:$U272,$U272,$V$5:$V272,"Sub"))))</f>
        <v/>
      </c>
      <c r="B272" s="57" t="n"/>
      <c r="C272" s="58" t="n"/>
      <c r="D272" s="58" t="n"/>
      <c r="E272" s="59">
        <f>IF(N($AQ272)&gt;0,INDEX(rIni_ADM,$AQ272),"")</f>
        <v/>
      </c>
      <c r="F272" s="59">
        <f>IF(N($AQ272)&gt;0,INDEX(rLim_ADM,$AQ272),"")</f>
        <v/>
      </c>
      <c r="G272" s="59" t="n"/>
      <c r="H272" s="60" t="n"/>
      <c r="I272" s="60">
        <f>IF(N($W272)=0,"",IF(AND($S272=MesCiclo,1&gt;SemanaActual),"",MIN(1,SUMIFS(OFFSET($A$1,ROW(),29,1000-ROW(),1),OFFSET($A$1,ROW(),20,1000-ROW(),1),ROW(),OFFSET($A$1,ROW(),21,1000-ROW(),1),"Sub"))))</f>
        <v/>
      </c>
      <c r="J272" s="60">
        <f>IF(N($W272)=0,"",IF(AND($S272=MesCiclo,2&gt;SemanaActual),"",MIN(1,SUMIFS(OFFSET($A$1,ROW(),30,1000-ROW(),1),OFFSET($A$1,ROW(),20,1000-ROW(),1),ROW(),OFFSET($A$1,ROW(),21,1000-ROW(),1),"Sub"))))</f>
        <v/>
      </c>
      <c r="K272" s="60">
        <f>IF(N($W272)=0,"",IF(AND($S272=MesCiclo,3&gt;SemanaActual),"",MIN(1,SUMIFS(OFFSET($A$1,ROW(),31,1000-ROW(),1),OFFSET($A$1,ROW(),20,1000-ROW(),1),ROW(),OFFSET($A$1,ROW(),21,1000-ROW(),1),"Sub"))))</f>
        <v/>
      </c>
      <c r="L272" s="60">
        <f>IF(N($W272)=0,"",IF(AND($S272=MesCiclo,4&gt;SemanaActual),"",MIN(1,SUMIFS(OFFSET($A$1,ROW(),32,1000-ROW(),1),OFFSET($A$1,ROW(),20,1000-ROW(),1),ROW(),OFFSET($A$1,ROW(),21,1000-ROW(),1),"Sub"))))</f>
        <v/>
      </c>
      <c r="M272" s="61">
        <f>IF(OR(NOT((COUNTA($B272:$D272)+COUNTA($G272:$H272)+COUNTA($Q272))&gt;0),$V272="Sub"),"",IF(ISNUMBER($G272),1,IF(N($W272)&gt;0,MIN(1,SUMIFS($Y$5:$Y$1000,$U$5:$U$1000,ROW(),$V$5:$V$1000,"Sub")),$Y272)))</f>
        <v/>
      </c>
      <c r="N272" s="56">
        <f>IF(OR($M272="",$V272="Sub"),"",IF($M272&gt;=1,"Completado",IF($M272&gt;0,"En curso","Pendiente")))</f>
        <v/>
      </c>
      <c r="O272" s="56">
        <f>IF(OR(NOT((COUNTA($B272:$D272)+COUNTA($G272:$H272)+COUNTA($Q272))&gt;0),$V272="Sub"),"",IF(ISNUMBER($G272),IF(AND(ISNUMBER($AS272),$G272&gt;$AS272),"Cumplida con "&amp;($G272-$AS272)&amp;IF($G272-$AS272=1," día"," días")&amp;" de retraso","Cumplida"),IF(N($M272)&gt;=1,"Cumplida",IF(NOT(ISNUMBER($AS272)),"Sin fecha límite",IF($AS272&lt;FechaRef,"Vencida hace "&amp;(FechaRef-$AS272)&amp;IF(FechaRef-$AS272=1," día"," días"),IF($AS272=FechaRef,"Vence hoy",IF($AS272-FechaRef&lt;=DiasAlerta,"Vence en "&amp;($AS272-FechaRef)&amp;IF($AS272-FechaRef=1," día"," días"),"En plazo")))))))</f>
        <v/>
      </c>
      <c r="P272" s="62" t="n"/>
      <c r="Q272" s="58" t="n"/>
      <c r="R272" s="63">
        <f>IF(NOT((COUNTA($B272:$D272)+COUNTA($G272:$H272)+COUNTA($Q272))&gt;0),"",IF((IF($C272="","Falta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 OK","⚠ "&amp;LEFT(IF($C272="","Falta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",""),LEN(IF($C272="","Falta el nombre de la actividad"&amp;" · ","")&amp;IF(AND($V272="Sub",N($U272)=0),"Subactividad sin macroactividad arriba"&amp;" · ","")&amp;IF(AND($V272="Macro",$AR272=""),"Sin fecha de inicio"&amp;" · ","")&amp;IF(AND($V272="Macro",$AS272=""),"Sin fecha límite"&amp;" · ","")&amp;IF(AND(LEFT($C272,11)="[Jefatura] ",N($AQ272)=0),"No se encuentra en la hoja de la jefatura (elíjala de nuevo en la lista)"&amp;" · ","")&amp;IF(OR(AND($E272&lt;&gt;"",NOT(ISNUMBER($E272))),AND($F272&lt;&gt;"",NOT(ISNUMBER($F272))),AND($G272&lt;&gt;"",NOT(ISNUMBER($G272)))),"Fecha no válida"&amp;" · ","")&amp;IF(AND(ISNUMBER($AR272),ISNUMBER($AS272),$AR272&gt;$AS272),"Inicio posterior a fecha límite"&amp;" · ","")&amp;IF(AND($V272="Macro",$H272&lt;&gt;"",OR(NOT(ISNUMBER($H272)),$H272&lt;0,$H272&gt;1)),"Peso fuera de rango"&amp;" · ","")&amp;IF(AND($V272="Sub",$H272&lt;&gt;"",OR(NOT(ISNUMBER($H272)),$H272&lt;0,$H272&gt;1)),"% de la subactividad fuera de rango 0-100%"&amp;" · ","")&amp;IF(AND(N($W272)&gt;0,SUMIFS($H$5:$H$1000,$U$5:$U$1000,ROW(),$V$5:$V$1000,"Sub")&gt;1.0001),"Las subactividades suman más de 100%"&amp;" · ","")&amp;IF(AND(N($W272)&gt;0,OR(IF(ISNUMBER($I272),ROUND($I272,6)&lt;&gt;ROUND(MIN(1,SUMIFS($AD$5:$AD$1000,$U$5:$U$1000,ROW(),$V$5:$V$1000,"Sub")),6),FALSE),IF(ISNUMBER($J272),ROUND($J272,6)&lt;&gt;ROUND(MIN(1,SUMIFS($AE$5:$AE$1000,$U$5:$U$1000,ROW(),$V$5:$V$1000,"Sub")),6),FALSE),IF(ISNUMBER($K272),ROUND($K272,6)&lt;&gt;ROUND(MIN(1,SUMIFS($AF$5:$AF$1000,$U$5:$U$1000,ROW(),$V$5:$V$1000,"Sub")),6),FALSE),IF(ISNUMBER($L272),ROUND($L272,6)&lt;&gt;ROUND(MIN(1,SUMIFS($AG$5:$AG$1000,$U$5:$U$1000,ROW(),$V$5:$V$1000,"Sub")),6),FALSE))),"Con subactividades: no escriba en las semanas (se llenan solas)"&amp;" · ","")&amp;IF((COUNTIF($I272:$L272,"&gt;1")+COUNTIF($I272:$L272,"&lt;0")+SUMPRODUCT((LEN($I272:$L272)&gt;0)*NOT(ISNUMBER($I272:$L272))))&gt;0,"Avance fuera de rango 0-100%"&amp;" · ","")&amp;IF(OR(AND(ISNUMBER($J272),$J272&lt;N($I272)),AND(ISNUMBER($K272),$K272&lt;MAX($I272:$J272)),AND(ISNUMBER($L272),$L272&lt;MAX($I272:$K272))),"Avance semanal decreciente"&amp;" · ","")&amp;IF(AND(ISNUMBER($AS272),$AS272&lt;FechaRef,IF($V272="Sub",1,N($M272))&lt;1),"Vencida"&amp;" · ","")&amp;IF(AND(ObsObligatoria="Sí",ISNUMBER($AS272),$AS272&lt;FechaRef,IF($V272="Sub",1,N($M272))&lt;1,$Q272=""),"Vencida sin observación"&amp;" · ",""))-3)))</f>
        <v/>
      </c>
      <c r="S272" s="64">
        <f>IF(NOT((COUNTA($B272:$D272)+COUNTA($G272:$H272)+COUNTA($Q272))&gt;0),"",IF(AND($V272="Sub",N($U272)&gt;0),IF(ISNUMBER(INDEX($AR$5:$AR$1000,$U272-4)),DATE(YEAR(INDEX($AR$5:$AR$1000,$U272-4)),MONTH(INDEX($AR$5:$AR$1000,$U272-4)),1),IF(ISNUMBER(INDEX($AS$5:$AS$1000,$U272-4)),DATE(YEAR(INDEX($AS$5:$AS$1000,$U272-4)),MONTH(INDEX($AS$5:$AS$1000,$U272-4)),1),MesCiclo)),IF(ISNUMBER($AR272),DATE(YEAR($AR272),MONTH($AR272),1),IF(ISNUMBER($AS272),DATE(YEAR($AS272),MONTH($AS272),1),MesCiclo))))</f>
        <v/>
      </c>
      <c r="T272" s="62">
        <f>IF(OR($S272="",$S272&lt;&gt;MesCiclo,$V272&lt;&gt;"Macro"),"",COUNTIFS($S$5:$S272,MesCiclo,$V$5:$V272,"Macro"))</f>
        <v/>
      </c>
      <c r="U272" s="62">
        <f>IF($V272="","",IF($V272="Macro",ROW(),IFERROR(LOOKUP(2,1/($V$5:$V272="Macro"),ROW($V$5:$V272)),0)))</f>
        <v/>
      </c>
      <c r="V272" s="62">
        <f>IF(NOT((COUNTA($B272:$D272)+COUNTA($G272:$H272)+COUNTA($Q272))&gt;0),"",IF($B272="Subactividad","Sub","Macro"))</f>
        <v/>
      </c>
      <c r="W272" s="62">
        <f>IF($V272="Macro",COUNTIFS($U$5:$U$1000,ROW(),$V$5:$V$1000,"Sub"),"")</f>
        <v/>
      </c>
      <c r="X272" s="62">
        <f>IF($V272&lt;&gt;"Sub","",IF(AND(ISNUMBER($H272),N($H272)&gt;0),$H272,IFERROR(MAX(0,1-SUMIFS($H$5:$H$1000,$U$5:$U$1000,$U272,$V$5:$V$1000,"Sub"))/(COUNTIFS($U$5:$U$1000,$U272,$V$5:$V$1000,"Sub")-COUNTIFS($U$5:$U$1000,$U272,$V$5:$V$1000,"Sub",$H$5:$H$1000,"&gt;0")),0)))</f>
        <v/>
      </c>
      <c r="Y272" s="62">
        <f>IF($V272="","",IF($V272="Sub",N($X272)*IF(ISNUMBER($G272),1,MIN(1,MAX(0,IFERROR(LOOKUP(2,1/ISNUMBER($I272:$L272),$I272:$L272),0)))),IF(ISNUMBER($G272),1,IFERROR(LOOKUP(2,1/($I272:$L272&lt;&gt;""),$I272:$L272),0))))</f>
        <v/>
      </c>
      <c r="Z272" s="62">
        <f>IF($V272="","",IF(AND(ISNUMBER($G272),$G272&lt;=IF($S272=MesCiclo,InicioCiclo,$S272+MOD(2-WEEKDAY($S272),7))+6),1,IF(ISNUMBER($I272),$I272,0)))</f>
        <v/>
      </c>
      <c r="AA272" s="62">
        <f>IF($V272="","",IF(AND(ISNUMBER($G272),$G272&lt;=IF($S272=MesCiclo,InicioCiclo,$S272+MOD(2-WEEKDAY($S272),7))+13),1,IF(ISNUMBER($J272),$J272,$Z272)))</f>
        <v/>
      </c>
      <c r="AB272" s="62">
        <f>IF($V272="","",IF(AND(ISNUMBER($G272),$G272&lt;=IF($S272=MesCiclo,InicioCiclo,$S272+MOD(2-WEEKDAY($S272),7))+20),1,IF(ISNUMBER($K272),$K272,$AA272)))</f>
        <v/>
      </c>
      <c r="AC272" s="62">
        <f>IF($V272="","",IF(AND(ISNUMBER($G272),$G272&lt;=IF($S272=MesCiclo,InicioCiclo,$S272+MOD(2-WEEKDAY($S272),7))+27),1,IF(ISNUMBER($L272),$L272,$AB272)))</f>
        <v/>
      </c>
      <c r="AD272" s="62">
        <f>IF($V272&lt;&gt;"Sub","",N($X272)*IF(AND(ISNUMBER($G272),$G272&lt;=IF($S272=MesCiclo,InicioCiclo,$S272+MOD(2-WEEKDAY($S272),7))+6),1,MIN(1,MAX(0,IF(ISNUMBER(OFFSET($A$1,ROW()-1,8)),OFFSET($A$1,ROW()-1,8),0)))))</f>
        <v/>
      </c>
      <c r="AE272" s="62">
        <f>IF($V272&lt;&gt;"Sub","",N($X272)*IF(AND(ISNUMBER($G272),$G272&lt;=IF($S272=MesCiclo,InicioCiclo,$S272+MOD(2-WEEKDAY($S272),7))+13),1,MIN(1,MAX(0,IF(ISNUMBER(OFFSET($A$1,ROW()-1,9)),OFFSET($A$1,ROW()-1,9),IF(ISNUMBER(OFFSET($A$1,ROW()-1,8)),OFFSET($A$1,ROW()-1,8),0))))))</f>
        <v/>
      </c>
      <c r="AF272" s="62">
        <f>IF($V272&lt;&gt;"Sub","",N($X272)*IF(AND(ISNUMBER($G272),$G272&lt;=IF($S272=MesCiclo,InicioCiclo,$S272+MOD(2-WEEKDAY($S272),7))+20),1,MIN(1,MAX(0,IF(ISNUMBER(OFFSET($A$1,ROW()-1,10)),OFFSET($A$1,ROW()-1,10),IF(ISNUMBER(OFFSET($A$1,ROW()-1,9)),OFFSET($A$1,ROW()-1,9),IF(ISNUMBER(OFFSET($A$1,ROW()-1,8)),OFFSET($A$1,ROW()-1,8),0)))))))</f>
        <v/>
      </c>
      <c r="AG272" s="62">
        <f>IF($V272&lt;&gt;"Sub","",N($X272)*IF(AND(ISNUMBER($G272),$G272&lt;=IF($S272=MesCiclo,InicioCiclo,$S272+MOD(2-WEEKDAY($S272),7))+27),1,MIN(1,MAX(0,IF(ISNUMBER(OFFSET($A$1,ROW()-1,11)),OFFSET($A$1,ROW()-1,11),IF(ISNUMBER(OFFSET($A$1,ROW()-1,10)),OFFSET($A$1,ROW()-1,10),IF(ISNUMBER(OFFSET($A$1,ROW()-1,9)),OFFSET($A$1,ROW()-1,9),IF(ISNUMBER(OFFSET($A$1,ROW()-1,8)),OFFSET($A$1,ROW()-1,8),0))))))))</f>
        <v/>
      </c>
      <c r="AH272" s="62">
        <f>IF($V272="","",IF(AND(ISNUMBER($G272),$G272&lt;=IF($S272=MesCiclo,InicioCiclo,$S272+MOD(2-WEEKDAY($S272),7))+6),1,IF(N($W272)&gt;0,MIN(1,SUMIFS($AD$5:$AD$1000,$U$5:$U$1000,ROW(),$V$5:$V$1000,"Sub")),$Z272)))</f>
        <v/>
      </c>
      <c r="AI272" s="62">
        <f>IF($V272="","",IF(AND(ISNUMBER($G272),$G272&lt;=IF($S272=MesCiclo,InicioCiclo,$S272+MOD(2-WEEKDAY($S272),7))+13),1,IF(N($W272)&gt;0,MIN(1,SUMIFS($AE$5:$AE$1000,$U$5:$U$1000,ROW(),$V$5:$V$1000,"Sub")),$AA272)))</f>
        <v/>
      </c>
      <c r="AJ272" s="62">
        <f>IF($V272="","",IF(AND(ISNUMBER($G272),$G272&lt;=IF($S272=MesCiclo,InicioCiclo,$S272+MOD(2-WEEKDAY($S272),7))+20),1,IF(N($W272)&gt;0,MIN(1,SUMIFS($AF$5:$AF$1000,$U$5:$U$1000,ROW(),$V$5:$V$1000,"Sub")),$AB272)))</f>
        <v/>
      </c>
      <c r="AK272" s="62">
        <f>IF($V272="","",IF(AND(ISNUMBER($G272),$G272&lt;=IF($S272=MesCiclo,InicioCiclo,$S272+MOD(2-WEEKDAY($S272),7))+27),1,IF(N($W272)&gt;0,MIN(1,SUMIFS($AG$5:$AG$1000,$U$5:$U$1000,ROW(),$V$5:$V$1000,"Sub")),$AC272)))</f>
        <v/>
      </c>
      <c r="AL272" s="62">
        <f>IF($V272&lt;&gt;"Macro","",IF(COUNTIFS($S$5:$S$1000,$S272,$V$5:$V$1000,"Macro",$H$5:$H$1000,"&gt;0")=0,1/COUNTIFS($S$5:$S$1000,$S272,$V$5:$V$1000,"Macro"),IF(AND(ISNUMBER($H272),N($H272)&gt;0),$H272,SUMIFS($H$5:$H$1000,$S$5:$S$1000,$S272,$V$5:$V$1000,"Macro")/COUNTIFS($S$5:$S$1000,$S272,$V$5:$V$1000,"Macro",$H$5:$H$1000,"&gt;0"))/(COUNTIFS($S$5:$S$1000,$S272,$V$5:$V$1000,"Macro")*SUMIFS($H$5:$H$1000,$S$5:$S$1000,$S272,$V$5:$V$1000,"Macro")/COUNTIFS($S$5:$S$1000,$S272,$V$5:$V$1000,"Macro",$H$5:$H$1000,"&gt;0"))))</f>
        <v/>
      </c>
      <c r="AM272" s="62" t="n"/>
      <c r="AN272" s="62" t="n"/>
      <c r="AO272" s="62" t="n"/>
      <c r="AP272" s="62" t="n"/>
      <c r="AQ272" s="62">
        <f>IF(LEFT($C272,11)="[Jefatura] ",IFERROR(MATCH("Asistente Técnico de Riesgo|"&amp;MID($C272,12,500),rDname_ADM,0),0),"")</f>
        <v/>
      </c>
      <c r="AR272" s="62">
        <f>IF(N($AQ272)&gt;0,INDEX(rIni_ADM,$AQ272),IF(ISNUMBER($E272),$E272,""))</f>
        <v/>
      </c>
      <c r="AS272" s="62">
        <f>IF(N($AQ272)&gt;0,INDEX(rLim_ADM,$AQ272),IF(ISNUMBER($F272),$F272,""))</f>
        <v/>
      </c>
    </row>
    <row r="273">
      <c r="A273" s="56">
        <f>IF(NOT((COUNTA($B273:$D273)+COUNTA($G273:$H273)+COUNTA($Q273))&gt;0),"",IF($V273="Macro",COUNTIFS($V$5:$V273,"Macro",$S$5:$S273,$S273),IF(N($U273)=0,"?",COUNTIFS(INDEX($V$5:$V$1000,1):INDEX($V$5:$V$1000,$U273-4),"Macro",INDEX($S$5:$S$1000,1):INDEX($S$5:$S$1000,$U273-4),INDEX($S$5:$S$1000,$U273-4))&amp;"."&amp;COUNTIFS($U$5:$U273,$U273,$V$5:$V273,"Sub"))))</f>
        <v/>
      </c>
      <c r="B273" s="57" t="n"/>
      <c r="C273" s="58" t="n"/>
      <c r="D273" s="58" t="n"/>
      <c r="E273" s="59">
        <f>IF(N($AQ273)&gt;0,INDEX(rIni_ADM,$AQ273),"")</f>
        <v/>
      </c>
      <c r="F273" s="59">
        <f>IF(N($AQ273)&gt;0,INDEX(rLim_ADM,$AQ273),"")</f>
        <v/>
      </c>
      <c r="G273" s="59" t="n"/>
      <c r="H273" s="60" t="n"/>
      <c r="I273" s="60">
        <f>IF(N($W273)=0,"",IF(AND($S273=MesCiclo,1&gt;SemanaActual),"",MIN(1,SUMIFS(OFFSET($A$1,ROW(),29,1000-ROW(),1),OFFSET($A$1,ROW(),20,1000-ROW(),1),ROW(),OFFSET($A$1,ROW(),21,1000-ROW(),1),"Sub"))))</f>
        <v/>
      </c>
      <c r="J273" s="60">
        <f>IF(N($W273)=0,"",IF(AND($S273=MesCiclo,2&gt;SemanaActual),"",MIN(1,SUMIFS(OFFSET($A$1,ROW(),30,1000-ROW(),1),OFFSET($A$1,ROW(),20,1000-ROW(),1),ROW(),OFFSET($A$1,ROW(),21,1000-ROW(),1),"Sub"))))</f>
        <v/>
      </c>
      <c r="K273" s="60">
        <f>IF(N($W273)=0,"",IF(AND($S273=MesCiclo,3&gt;SemanaActual),"",MIN(1,SUMIFS(OFFSET($A$1,ROW(),31,1000-ROW(),1),OFFSET($A$1,ROW(),20,1000-ROW(),1),ROW(),OFFSET($A$1,ROW(),21,1000-ROW(),1),"Sub"))))</f>
        <v/>
      </c>
      <c r="L273" s="60">
        <f>IF(N($W273)=0,"",IF(AND($S273=MesCiclo,4&gt;SemanaActual),"",MIN(1,SUMIFS(OFFSET($A$1,ROW(),32,1000-ROW(),1),OFFSET($A$1,ROW(),20,1000-ROW(),1),ROW(),OFFSET($A$1,ROW(),21,1000-ROW(),1),"Sub"))))</f>
        <v/>
      </c>
      <c r="M273" s="61">
        <f>IF(OR(NOT((COUNTA($B273:$D273)+COUNTA($G273:$H273)+COUNTA($Q273))&gt;0),$V273="Sub"),"",IF(ISNUMBER($G273),1,IF(N($W273)&gt;0,MIN(1,SUMIFS($Y$5:$Y$1000,$U$5:$U$1000,ROW(),$V$5:$V$1000,"Sub")),$Y273)))</f>
        <v/>
      </c>
      <c r="N273" s="56">
        <f>IF(OR($M273="",$V273="Sub"),"",IF($M273&gt;=1,"Completado",IF($M273&gt;0,"En curso","Pendiente")))</f>
        <v/>
      </c>
      <c r="O273" s="56">
        <f>IF(OR(NOT((COUNTA($B273:$D273)+COUNTA($G273:$H273)+COUNTA($Q273))&gt;0),$V273="Sub"),"",IF(ISNUMBER($G273),IF(AND(ISNUMBER($AS273),$G273&gt;$AS273),"Cumplida con "&amp;($G273-$AS273)&amp;IF($G273-$AS273=1," día"," días")&amp;" de retraso","Cumplida"),IF(N($M273)&gt;=1,"Cumplida",IF(NOT(ISNUMBER($AS273)),"Sin fecha límite",IF($AS273&lt;FechaRef,"Vencida hace "&amp;(FechaRef-$AS273)&amp;IF(FechaRef-$AS273=1," día"," días"),IF($AS273=FechaRef,"Vence hoy",IF($AS273-FechaRef&lt;=DiasAlerta,"Vence en "&amp;($AS273-FechaRef)&amp;IF($AS273-FechaRef=1," día"," días"),"En plazo")))))))</f>
        <v/>
      </c>
      <c r="P273" s="62" t="n"/>
      <c r="Q273" s="58" t="n"/>
      <c r="R273" s="63">
        <f>IF(NOT((COUNTA($B273:$D273)+COUNTA($G273:$H273)+COUNTA($Q273))&gt;0),"",IF((IF($C273="","Falta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 OK","⚠ "&amp;LEFT(IF($C273="","Falta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",""),LEN(IF($C273="","Falta el nombre de la actividad"&amp;" · ","")&amp;IF(AND($V273="Sub",N($U273)=0),"Subactividad sin macroactividad arriba"&amp;" · ","")&amp;IF(AND($V273="Macro",$AR273=""),"Sin fecha de inicio"&amp;" · ","")&amp;IF(AND($V273="Macro",$AS273=""),"Sin fecha límite"&amp;" · ","")&amp;IF(AND(LEFT($C273,11)="[Jefatura] ",N($AQ273)=0),"No se encuentra en la hoja de la jefatura (elíjala de nuevo en la lista)"&amp;" · ","")&amp;IF(OR(AND($E273&lt;&gt;"",NOT(ISNUMBER($E273))),AND($F273&lt;&gt;"",NOT(ISNUMBER($F273))),AND($G273&lt;&gt;"",NOT(ISNUMBER($G273)))),"Fecha no válida"&amp;" · ","")&amp;IF(AND(ISNUMBER($AR273),ISNUMBER($AS273),$AR273&gt;$AS273),"Inicio posterior a fecha límite"&amp;" · ","")&amp;IF(AND($V273="Macro",$H273&lt;&gt;"",OR(NOT(ISNUMBER($H273)),$H273&lt;0,$H273&gt;1)),"Peso fuera de rango"&amp;" · ","")&amp;IF(AND($V273="Sub",$H273&lt;&gt;"",OR(NOT(ISNUMBER($H273)),$H273&lt;0,$H273&gt;1)),"% de la subactividad fuera de rango 0-100%"&amp;" · ","")&amp;IF(AND(N($W273)&gt;0,SUMIFS($H$5:$H$1000,$U$5:$U$1000,ROW(),$V$5:$V$1000,"Sub")&gt;1.0001),"Las subactividades suman más de 100%"&amp;" · ","")&amp;IF(AND(N($W273)&gt;0,OR(IF(ISNUMBER($I273),ROUND($I273,6)&lt;&gt;ROUND(MIN(1,SUMIFS($AD$5:$AD$1000,$U$5:$U$1000,ROW(),$V$5:$V$1000,"Sub")),6),FALSE),IF(ISNUMBER($J273),ROUND($J273,6)&lt;&gt;ROUND(MIN(1,SUMIFS($AE$5:$AE$1000,$U$5:$U$1000,ROW(),$V$5:$V$1000,"Sub")),6),FALSE),IF(ISNUMBER($K273),ROUND($K273,6)&lt;&gt;ROUND(MIN(1,SUMIFS($AF$5:$AF$1000,$U$5:$U$1000,ROW(),$V$5:$V$1000,"Sub")),6),FALSE),IF(ISNUMBER($L273),ROUND($L273,6)&lt;&gt;ROUND(MIN(1,SUMIFS($AG$5:$AG$1000,$U$5:$U$1000,ROW(),$V$5:$V$1000,"Sub")),6),FALSE))),"Con subactividades: no escriba en las semanas (se llenan solas)"&amp;" · ","")&amp;IF((COUNTIF($I273:$L273,"&gt;1")+COUNTIF($I273:$L273,"&lt;0")+SUMPRODUCT((LEN($I273:$L273)&gt;0)*NOT(ISNUMBER($I273:$L273))))&gt;0,"Avance fuera de rango 0-100%"&amp;" · ","")&amp;IF(OR(AND(ISNUMBER($J273),$J273&lt;N($I273)),AND(ISNUMBER($K273),$K273&lt;MAX($I273:$J273)),AND(ISNUMBER($L273),$L273&lt;MAX($I273:$K273))),"Avance semanal decreciente"&amp;" · ","")&amp;IF(AND(ISNUMBER($AS273),$AS273&lt;FechaRef,IF($V273="Sub",1,N($M273))&lt;1),"Vencida"&amp;" · ","")&amp;IF(AND(ObsObligatoria="Sí",ISNUMBER($AS273),$AS273&lt;FechaRef,IF($V273="Sub",1,N($M273))&lt;1,$Q273=""),"Vencida sin observación"&amp;" · ",""))-3)))</f>
        <v/>
      </c>
      <c r="S273" s="64">
        <f>IF(NOT((COUNTA($B273:$D273)+COUNTA($G273:$H273)+COUNTA($Q273))&gt;0),"",IF(AND($V273="Sub",N($U273)&gt;0),IF(ISNUMBER(INDEX($AR$5:$AR$1000,$U273-4)),DATE(YEAR(INDEX($AR$5:$AR$1000,$U273-4)),MONTH(INDEX($AR$5:$AR$1000,$U273-4)),1),IF(ISNUMBER(INDEX($AS$5:$AS$1000,$U273-4)),DATE(YEAR(INDEX($AS$5:$AS$1000,$U273-4)),MONTH(INDEX($AS$5:$AS$1000,$U273-4)),1),MesCiclo)),IF(ISNUMBER($AR273),DATE(YEAR($AR273),MONTH($AR273),1),IF(ISNUMBER($AS273),DATE(YEAR($AS273),MONTH($AS273),1),MesCiclo))))</f>
        <v/>
      </c>
      <c r="T273" s="62">
        <f>IF(OR($S273="",$S273&lt;&gt;MesCiclo,$V273&lt;&gt;"Macro"),"",COUNTIFS($S$5:$S273,MesCiclo,$V$5:$V273,"Macro"))</f>
        <v/>
      </c>
      <c r="U273" s="62">
        <f>IF($V273="","",IF($V273="Macro",ROW(),IFERROR(LOOKUP(2,1/($V$5:$V273="Macro"),ROW($V$5:$V273)),0)))</f>
        <v/>
      </c>
      <c r="V273" s="62">
        <f>IF(NOT((COUNTA($B273:$D273)+COUNTA($G273:$H273)+COUNTA($Q273))&gt;0),"",IF($B273="Subactividad","Sub","Macro"))</f>
        <v/>
      </c>
      <c r="W273" s="62">
        <f>IF($V273="Macro",COUNTIFS($U$5:$U$1000,ROW(),$V$5:$V$1000,"Sub"),"")</f>
        <v/>
      </c>
      <c r="X273" s="62">
        <f>IF($V273&lt;&gt;"Sub","",IF(AND(ISNUMBER($H273),N($H273)&gt;0),$H273,IFERROR(MAX(0,1-SUMIFS($H$5:$H$1000,$U$5:$U$1000,$U273,$V$5:$V$1000,"Sub"))/(COUNTIFS($U$5:$U$1000,$U273,$V$5:$V$1000,"Sub")-COUNTIFS($U$5:$U$1000,$U273,$V$5:$V$1000,"Sub",$H$5:$H$1000,"&gt;0")),0)))</f>
        <v/>
      </c>
      <c r="Y273" s="62">
        <f>IF($V273="","",IF($V273="Sub",N($X273)*IF(ISNUMBER($G273),1,MIN(1,MAX(0,IFERROR(LOOKUP(2,1/ISNUMBER($I273:$L273),$I273:$L273),0)))),IF(ISNUMBER($G273),1,IFERROR(LOOKUP(2,1/($I273:$L273&lt;&gt;""),$I273:$L273),0))))</f>
        <v/>
      </c>
      <c r="Z273" s="62">
        <f>IF($V273="","",IF(AND(ISNUMBER($G273),$G273&lt;=IF($S273=MesCiclo,InicioCiclo,$S273+MOD(2-WEEKDAY($S273),7))+6),1,IF(ISNUMBER($I273),$I273,0)))</f>
        <v/>
      </c>
      <c r="AA273" s="62">
        <f>IF($V273="","",IF(AND(ISNUMBER($G273),$G273&lt;=IF($S273=MesCiclo,InicioCiclo,$S273+MOD(2-WEEKDAY($S273),7))+13),1,IF(ISNUMBER($J273),$J273,$Z273)))</f>
        <v/>
      </c>
      <c r="AB273" s="62">
        <f>IF($V273="","",IF(AND(ISNUMBER($G273),$G273&lt;=IF($S273=MesCiclo,InicioCiclo,$S273+MOD(2-WEEKDAY($S273),7))+20),1,IF(ISNUMBER($K273),$K273,$AA273)))</f>
        <v/>
      </c>
      <c r="AC273" s="62">
        <f>IF($V273="","",IF(AND(ISNUMBER($G273),$G273&lt;=IF($S273=MesCiclo,InicioCiclo,$S273+MOD(2-WEEKDAY($S273),7))+27),1,IF(ISNUMBER($L273),$L273,$AB273)))</f>
        <v/>
      </c>
      <c r="AD273" s="62">
        <f>IF($V273&lt;&gt;"Sub","",N($X273)*IF(AND(ISNUMBER($G273),$G273&lt;=IF($S273=MesCiclo,InicioCiclo,$S273+MOD(2-WEEKDAY($S273),7))+6),1,MIN(1,MAX(0,IF(ISNUMBER(OFFSET($A$1,ROW()-1,8)),OFFSET($A$1,ROW()-1,8),0)))))</f>
        <v/>
      </c>
      <c r="AE273" s="62">
        <f>IF($V273&lt;&gt;"Sub","",N($X273)*IF(AND(ISNUMBER($G273),$G273&lt;=IF($S273=MesCiclo,InicioCiclo,$S273+MOD(2-WEEKDAY($S273),7))+13),1,MIN(1,MAX(0,IF(ISNUMBER(OFFSET($A$1,ROW()-1,9)),OFFSET($A$1,ROW()-1,9),IF(ISNUMBER(OFFSET($A$1,ROW()-1,8)),OFFSET($A$1,ROW()-1,8),0))))))</f>
        <v/>
      </c>
      <c r="AF273" s="62">
        <f>IF($V273&lt;&gt;"Sub","",N($X273)*IF(AND(ISNUMBER($G273),$G273&lt;=IF($S273=MesCiclo,InicioCiclo,$S273+MOD(2-WEEKDAY($S273),7))+20),1,MIN(1,MAX(0,IF(ISNUMBER(OFFSET($A$1,ROW()-1,10)),OFFSET($A$1,ROW()-1,10),IF(ISNUMBER(OFFSET($A$1,ROW()-1,9)),OFFSET($A$1,ROW()-1,9),IF(ISNUMBER(OFFSET($A$1,ROW()-1,8)),OFFSET($A$1,ROW()-1,8),0)))))))</f>
        <v/>
      </c>
      <c r="AG273" s="62">
        <f>IF($V273&lt;&gt;"Sub","",N($X273)*IF(AND(ISNUMBER($G273),$G273&lt;=IF($S273=MesCiclo,InicioCiclo,$S273+MOD(2-WEEKDAY($S273),7))+27),1,MIN(1,MAX(0,IF(ISNUMBER(OFFSET($A$1,ROW()-1,11)),OFFSET($A$1,ROW()-1,11),IF(ISNUMBER(OFFSET($A$1,ROW()-1,10)),OFFSET($A$1,ROW()-1,10),IF(ISNUMBER(OFFSET($A$1,ROW()-1,9)),OFFSET($A$1,ROW()-1,9),IF(ISNUMBER(OFFSET($A$1,ROW()-1,8)),OFFSET($A$1,ROW()-1,8),0))))))))</f>
        <v/>
      </c>
      <c r="AH273" s="62">
        <f>IF($V273="","",IF(AND(ISNUMBER($G273),$G273&lt;=IF($S273=MesCiclo,InicioCiclo,$S273+MOD(2-WEEKDAY($S273),7))+6),1,IF(N($W273)&gt;0,MIN(1,SUMIFS($AD$5:$AD$1000,$U$5:$U$1000,ROW(),$V$5:$V$1000,"Sub")),$Z273)))</f>
        <v/>
      </c>
      <c r="AI273" s="62">
        <f>IF($V273="","",IF(AND(ISNUMBER($G273),$G273&lt;=IF($S273=MesCiclo,InicioCiclo,$S273+MOD(2-WEEKDAY($S273),7))+13),1,IF(N($W273)&gt;0,MIN(1,SUMIFS($AE$5:$AE$1000,$U$5:$U$1000,ROW(),$V$5:$V$1000,"Sub")),$AA273)))</f>
        <v/>
      </c>
      <c r="AJ273" s="62">
        <f>IF($V273="","",IF(AND(ISNUMBER($G273),$G273&lt;=IF($S273=MesCiclo,InicioCiclo,$S273+MOD(2-WEEKDAY($S273),7))+20),1,IF(N($W273)&gt;0,MIN(1,SUMIFS($AF$5:$AF$1000,$U$5:$U$1000,ROW(),$V$5:$V$1000,"Sub")),$AB273)))</f>
        <v/>
      </c>
      <c r="AK273" s="62">
        <f>IF($V273="","",IF(AND(ISNUMBER($G273),$G273&lt;=IF($S273=MesCiclo,InicioCiclo,$S273+MOD(2-WEEKDAY($S273),7))+27),1,IF(N($W273)&gt;0,MIN(1,SUMIFS($AG$5:$AG$1000,$U$5:$U$1000,ROW(),$V$5:$V$1000,"Sub")),$AC273)))</f>
        <v/>
      </c>
      <c r="AL273" s="62">
        <f>IF($V273&lt;&gt;"Macro","",IF(COUNTIFS($S$5:$S$1000,$S273,$V$5:$V$1000,"Macro",$H$5:$H$1000,"&gt;0")=0,1/COUNTIFS($S$5:$S$1000,$S273,$V$5:$V$1000,"Macro"),IF(AND(ISNUMBER($H273),N($H273)&gt;0),$H273,SUMIFS($H$5:$H$1000,$S$5:$S$1000,$S273,$V$5:$V$1000,"Macro")/COUNTIFS($S$5:$S$1000,$S273,$V$5:$V$1000,"Macro",$H$5:$H$1000,"&gt;0"))/(COUNTIFS($S$5:$S$1000,$S273,$V$5:$V$1000,"Macro")*SUMIFS($H$5:$H$1000,$S$5:$S$1000,$S273,$V$5:$V$1000,"Macro")/COUNTIFS($S$5:$S$1000,$S273,$V$5:$V$1000,"Macro",$H$5:$H$1000,"&gt;0"))))</f>
        <v/>
      </c>
      <c r="AM273" s="62" t="n"/>
      <c r="AN273" s="62" t="n"/>
      <c r="AO273" s="62" t="n"/>
      <c r="AP273" s="62" t="n"/>
      <c r="AQ273" s="62">
        <f>IF(LEFT($C273,11)="[Jefatura] ",IFERROR(MATCH("Asistente Técnico de Riesgo|"&amp;MID($C273,12,500),rDname_ADM,0),0),"")</f>
        <v/>
      </c>
      <c r="AR273" s="62">
        <f>IF(N($AQ273)&gt;0,INDEX(rIni_ADM,$AQ273),IF(ISNUMBER($E273),$E273,""))</f>
        <v/>
      </c>
      <c r="AS273" s="62">
        <f>IF(N($AQ273)&gt;0,INDEX(rLim_ADM,$AQ273),IF(ISNUMBER($F273),$F273,""))</f>
        <v/>
      </c>
    </row>
    <row r="274">
      <c r="A274" s="56">
        <f>IF(NOT((COUNTA($B274:$D274)+COUNTA($G274:$H274)+COUNTA($Q274))&gt;0),"",IF($V274="Macro",COUNTIFS($V$5:$V274,"Macro",$S$5:$S274,$S274),IF(N($U274)=0,"?",COUNTIFS(INDEX($V$5:$V$1000,1):INDEX($V$5:$V$1000,$U274-4),"Macro",INDEX($S$5:$S$1000,1):INDEX($S$5:$S$1000,$U274-4),INDEX($S$5:$S$1000,$U274-4))&amp;"."&amp;COUNTIFS($U$5:$U274,$U274,$V$5:$V274,"Sub"))))</f>
        <v/>
      </c>
      <c r="B274" s="57" t="n"/>
      <c r="C274" s="58" t="n"/>
      <c r="D274" s="58" t="n"/>
      <c r="E274" s="59">
        <f>IF(N($AQ274)&gt;0,INDEX(rIni_ADM,$AQ274),"")</f>
        <v/>
      </c>
      <c r="F274" s="59">
        <f>IF(N($AQ274)&gt;0,INDEX(rLim_ADM,$AQ274),"")</f>
        <v/>
      </c>
      <c r="G274" s="59" t="n"/>
      <c r="H274" s="60" t="n"/>
      <c r="I274" s="60">
        <f>IF(N($W274)=0,"",IF(AND($S274=MesCiclo,1&gt;SemanaActual),"",MIN(1,SUMIFS(OFFSET($A$1,ROW(),29,1000-ROW(),1),OFFSET($A$1,ROW(),20,1000-ROW(),1),ROW(),OFFSET($A$1,ROW(),21,1000-ROW(),1),"Sub"))))</f>
        <v/>
      </c>
      <c r="J274" s="60">
        <f>IF(N($W274)=0,"",IF(AND($S274=MesCiclo,2&gt;SemanaActual),"",MIN(1,SUMIFS(OFFSET($A$1,ROW(),30,1000-ROW(),1),OFFSET($A$1,ROW(),20,1000-ROW(),1),ROW(),OFFSET($A$1,ROW(),21,1000-ROW(),1),"Sub"))))</f>
        <v/>
      </c>
      <c r="K274" s="60">
        <f>IF(N($W274)=0,"",IF(AND($S274=MesCiclo,3&gt;SemanaActual),"",MIN(1,SUMIFS(OFFSET($A$1,ROW(),31,1000-ROW(),1),OFFSET($A$1,ROW(),20,1000-ROW(),1),ROW(),OFFSET($A$1,ROW(),21,1000-ROW(),1),"Sub"))))</f>
        <v/>
      </c>
      <c r="L274" s="60">
        <f>IF(N($W274)=0,"",IF(AND($S274=MesCiclo,4&gt;SemanaActual),"",MIN(1,SUMIFS(OFFSET($A$1,ROW(),32,1000-ROW(),1),OFFSET($A$1,ROW(),20,1000-ROW(),1),ROW(),OFFSET($A$1,ROW(),21,1000-ROW(),1),"Sub"))))</f>
        <v/>
      </c>
      <c r="M274" s="61">
        <f>IF(OR(NOT((COUNTA($B274:$D274)+COUNTA($G274:$H274)+COUNTA($Q274))&gt;0),$V274="Sub"),"",IF(ISNUMBER($G274),1,IF(N($W274)&gt;0,MIN(1,SUMIFS($Y$5:$Y$1000,$U$5:$U$1000,ROW(),$V$5:$V$1000,"Sub")),$Y274)))</f>
        <v/>
      </c>
      <c r="N274" s="56">
        <f>IF(OR($M274="",$V274="Sub"),"",IF($M274&gt;=1,"Completado",IF($M274&gt;0,"En curso","Pendiente")))</f>
        <v/>
      </c>
      <c r="O274" s="56">
        <f>IF(OR(NOT((COUNTA($B274:$D274)+COUNTA($G274:$H274)+COUNTA($Q274))&gt;0),$V274="Sub"),"",IF(ISNUMBER($G274),IF(AND(ISNUMBER($AS274),$G274&gt;$AS274),"Cumplida con "&amp;($G274-$AS274)&amp;IF($G274-$AS274=1," día"," días")&amp;" de retraso","Cumplida"),IF(N($M274)&gt;=1,"Cumplida",IF(NOT(ISNUMBER($AS274)),"Sin fecha límite",IF($AS274&lt;FechaRef,"Vencida hace "&amp;(FechaRef-$AS274)&amp;IF(FechaRef-$AS274=1," día"," días"),IF($AS274=FechaRef,"Vence hoy",IF($AS274-FechaRef&lt;=DiasAlerta,"Vence en "&amp;($AS274-FechaRef)&amp;IF($AS274-FechaRef=1," día"," días"),"En plazo")))))))</f>
        <v/>
      </c>
      <c r="P274" s="62" t="n"/>
      <c r="Q274" s="58" t="n"/>
      <c r="R274" s="63">
        <f>IF(NOT((COUNTA($B274:$D274)+COUNTA($G274:$H274)+COUNTA($Q274))&gt;0),"",IF((IF($C274="","Falta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 OK","⚠ "&amp;LEFT(IF($C274="","Falta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",""),LEN(IF($C274="","Falta el nombre de la actividad"&amp;" · ","")&amp;IF(AND($V274="Sub",N($U274)=0),"Subactividad sin macroactividad arriba"&amp;" · ","")&amp;IF(AND($V274="Macro",$AR274=""),"Sin fecha de inicio"&amp;" · ","")&amp;IF(AND($V274="Macro",$AS274=""),"Sin fecha límite"&amp;" · ","")&amp;IF(AND(LEFT($C274,11)="[Jefatura] ",N($AQ274)=0),"No se encuentra en la hoja de la jefatura (elíjala de nuevo en la lista)"&amp;" · ","")&amp;IF(OR(AND($E274&lt;&gt;"",NOT(ISNUMBER($E274))),AND($F274&lt;&gt;"",NOT(ISNUMBER($F274))),AND($G274&lt;&gt;"",NOT(ISNUMBER($G274)))),"Fecha no válida"&amp;" · ","")&amp;IF(AND(ISNUMBER($AR274),ISNUMBER($AS274),$AR274&gt;$AS274),"Inicio posterior a fecha límite"&amp;" · ","")&amp;IF(AND($V274="Macro",$H274&lt;&gt;"",OR(NOT(ISNUMBER($H274)),$H274&lt;0,$H274&gt;1)),"Peso fuera de rango"&amp;" · ","")&amp;IF(AND($V274="Sub",$H274&lt;&gt;"",OR(NOT(ISNUMBER($H274)),$H274&lt;0,$H274&gt;1)),"% de la subactividad fuera de rango 0-100%"&amp;" · ","")&amp;IF(AND(N($W274)&gt;0,SUMIFS($H$5:$H$1000,$U$5:$U$1000,ROW(),$V$5:$V$1000,"Sub")&gt;1.0001),"Las subactividades suman más de 100%"&amp;" · ","")&amp;IF(AND(N($W274)&gt;0,OR(IF(ISNUMBER($I274),ROUND($I274,6)&lt;&gt;ROUND(MIN(1,SUMIFS($AD$5:$AD$1000,$U$5:$U$1000,ROW(),$V$5:$V$1000,"Sub")),6),FALSE),IF(ISNUMBER($J274),ROUND($J274,6)&lt;&gt;ROUND(MIN(1,SUMIFS($AE$5:$AE$1000,$U$5:$U$1000,ROW(),$V$5:$V$1000,"Sub")),6),FALSE),IF(ISNUMBER($K274),ROUND($K274,6)&lt;&gt;ROUND(MIN(1,SUMIFS($AF$5:$AF$1000,$U$5:$U$1000,ROW(),$V$5:$V$1000,"Sub")),6),FALSE),IF(ISNUMBER($L274),ROUND($L274,6)&lt;&gt;ROUND(MIN(1,SUMIFS($AG$5:$AG$1000,$U$5:$U$1000,ROW(),$V$5:$V$1000,"Sub")),6),FALSE))),"Con subactividades: no escriba en las semanas (se llenan solas)"&amp;" · ","")&amp;IF((COUNTIF($I274:$L274,"&gt;1")+COUNTIF($I274:$L274,"&lt;0")+SUMPRODUCT((LEN($I274:$L274)&gt;0)*NOT(ISNUMBER($I274:$L274))))&gt;0,"Avance fuera de rango 0-100%"&amp;" · ","")&amp;IF(OR(AND(ISNUMBER($J274),$J274&lt;N($I274)),AND(ISNUMBER($K274),$K274&lt;MAX($I274:$J274)),AND(ISNUMBER($L274),$L274&lt;MAX($I274:$K274))),"Avance semanal decreciente"&amp;" · ","")&amp;IF(AND(ISNUMBER($AS274),$AS274&lt;FechaRef,IF($V274="Sub",1,N($M274))&lt;1),"Vencida"&amp;" · ","")&amp;IF(AND(ObsObligatoria="Sí",ISNUMBER($AS274),$AS274&lt;FechaRef,IF($V274="Sub",1,N($M274))&lt;1,$Q274=""),"Vencida sin observación"&amp;" · ",""))-3)))</f>
        <v/>
      </c>
      <c r="S274" s="64">
        <f>IF(NOT((COUNTA($B274:$D274)+COUNTA($G274:$H274)+COUNTA($Q274))&gt;0),"",IF(AND($V274="Sub",N($U274)&gt;0),IF(ISNUMBER(INDEX($AR$5:$AR$1000,$U274-4)),DATE(YEAR(INDEX($AR$5:$AR$1000,$U274-4)),MONTH(INDEX($AR$5:$AR$1000,$U274-4)),1),IF(ISNUMBER(INDEX($AS$5:$AS$1000,$U274-4)),DATE(YEAR(INDEX($AS$5:$AS$1000,$U274-4)),MONTH(INDEX($AS$5:$AS$1000,$U274-4)),1),MesCiclo)),IF(ISNUMBER($AR274),DATE(YEAR($AR274),MONTH($AR274),1),IF(ISNUMBER($AS274),DATE(YEAR($AS274),MONTH($AS274),1),MesCiclo))))</f>
        <v/>
      </c>
      <c r="T274" s="62">
        <f>IF(OR($S274="",$S274&lt;&gt;MesCiclo,$V274&lt;&gt;"Macro"),"",COUNTIFS($S$5:$S274,MesCiclo,$V$5:$V274,"Macro"))</f>
        <v/>
      </c>
      <c r="U274" s="62">
        <f>IF($V274="","",IF($V274="Macro",ROW(),IFERROR(LOOKUP(2,1/($V$5:$V274="Macro"),ROW($V$5:$V274)),0)))</f>
        <v/>
      </c>
      <c r="V274" s="62">
        <f>IF(NOT((COUNTA($B274:$D274)+COUNTA($G274:$H274)+COUNTA($Q274))&gt;0),"",IF($B274="Subactividad","Sub","Macro"))</f>
        <v/>
      </c>
      <c r="W274" s="62">
        <f>IF($V274="Macro",COUNTIFS($U$5:$U$1000,ROW(),$V$5:$V$1000,"Sub"),"")</f>
        <v/>
      </c>
      <c r="X274" s="62">
        <f>IF($V274&lt;&gt;"Sub","",IF(AND(ISNUMBER($H274),N($H274)&gt;0),$H274,IFERROR(MAX(0,1-SUMIFS($H$5:$H$1000,$U$5:$U$1000,$U274,$V$5:$V$1000,"Sub"))/(COUNTIFS($U$5:$U$1000,$U274,$V$5:$V$1000,"Sub")-COUNTIFS($U$5:$U$1000,$U274,$V$5:$V$1000,"Sub",$H$5:$H$1000,"&gt;0")),0)))</f>
        <v/>
      </c>
      <c r="Y274" s="62">
        <f>IF($V274="","",IF($V274="Sub",N($X274)*IF(ISNUMBER($G274),1,MIN(1,MAX(0,IFERROR(LOOKUP(2,1/ISNUMBER($I274:$L274),$I274:$L274),0)))),IF(ISNUMBER($G274),1,IFERROR(LOOKUP(2,1/($I274:$L274&lt;&gt;""),$I274:$L274),0))))</f>
        <v/>
      </c>
      <c r="Z274" s="62">
        <f>IF($V274="","",IF(AND(ISNUMBER($G274),$G274&lt;=IF($S274=MesCiclo,InicioCiclo,$S274+MOD(2-WEEKDAY($S274),7))+6),1,IF(ISNUMBER($I274),$I274,0)))</f>
        <v/>
      </c>
      <c r="AA274" s="62">
        <f>IF($V274="","",IF(AND(ISNUMBER($G274),$G274&lt;=IF($S274=MesCiclo,InicioCiclo,$S274+MOD(2-WEEKDAY($S274),7))+13),1,IF(ISNUMBER($J274),$J274,$Z274)))</f>
        <v/>
      </c>
      <c r="AB274" s="62">
        <f>IF($V274="","",IF(AND(ISNUMBER($G274),$G274&lt;=IF($S274=MesCiclo,InicioCiclo,$S274+MOD(2-WEEKDAY($S274),7))+20),1,IF(ISNUMBER($K274),$K274,$AA274)))</f>
        <v/>
      </c>
      <c r="AC274" s="62">
        <f>IF($V274="","",IF(AND(ISNUMBER($G274),$G274&lt;=IF($S274=MesCiclo,InicioCiclo,$S274+MOD(2-WEEKDAY($S274),7))+27),1,IF(ISNUMBER($L274),$L274,$AB274)))</f>
        <v/>
      </c>
      <c r="AD274" s="62">
        <f>IF($V274&lt;&gt;"Sub","",N($X274)*IF(AND(ISNUMBER($G274),$G274&lt;=IF($S274=MesCiclo,InicioCiclo,$S274+MOD(2-WEEKDAY($S274),7))+6),1,MIN(1,MAX(0,IF(ISNUMBER(OFFSET($A$1,ROW()-1,8)),OFFSET($A$1,ROW()-1,8),0)))))</f>
        <v/>
      </c>
      <c r="AE274" s="62">
        <f>IF($V274&lt;&gt;"Sub","",N($X274)*IF(AND(ISNUMBER($G274),$G274&lt;=IF($S274=MesCiclo,InicioCiclo,$S274+MOD(2-WEEKDAY($S274),7))+13),1,MIN(1,MAX(0,IF(ISNUMBER(OFFSET($A$1,ROW()-1,9)),OFFSET($A$1,ROW()-1,9),IF(ISNUMBER(OFFSET($A$1,ROW()-1,8)),OFFSET($A$1,ROW()-1,8),0))))))</f>
        <v/>
      </c>
      <c r="AF274" s="62">
        <f>IF($V274&lt;&gt;"Sub","",N($X274)*IF(AND(ISNUMBER($G274),$G274&lt;=IF($S274=MesCiclo,InicioCiclo,$S274+MOD(2-WEEKDAY($S274),7))+20),1,MIN(1,MAX(0,IF(ISNUMBER(OFFSET($A$1,ROW()-1,10)),OFFSET($A$1,ROW()-1,10),IF(ISNUMBER(OFFSET($A$1,ROW()-1,9)),OFFSET($A$1,ROW()-1,9),IF(ISNUMBER(OFFSET($A$1,ROW()-1,8)),OFFSET($A$1,ROW()-1,8),0)))))))</f>
        <v/>
      </c>
      <c r="AG274" s="62">
        <f>IF($V274&lt;&gt;"Sub","",N($X274)*IF(AND(ISNUMBER($G274),$G274&lt;=IF($S274=MesCiclo,InicioCiclo,$S274+MOD(2-WEEKDAY($S274),7))+27),1,MIN(1,MAX(0,IF(ISNUMBER(OFFSET($A$1,ROW()-1,11)),OFFSET($A$1,ROW()-1,11),IF(ISNUMBER(OFFSET($A$1,ROW()-1,10)),OFFSET($A$1,ROW()-1,10),IF(ISNUMBER(OFFSET($A$1,ROW()-1,9)),OFFSET($A$1,ROW()-1,9),IF(ISNUMBER(OFFSET($A$1,ROW()-1,8)),OFFSET($A$1,ROW()-1,8),0))))))))</f>
        <v/>
      </c>
      <c r="AH274" s="62">
        <f>IF($V274="","",IF(AND(ISNUMBER($G274),$G274&lt;=IF($S274=MesCiclo,InicioCiclo,$S274+MOD(2-WEEKDAY($S274),7))+6),1,IF(N($W274)&gt;0,MIN(1,SUMIFS($AD$5:$AD$1000,$U$5:$U$1000,ROW(),$V$5:$V$1000,"Sub")),$Z274)))</f>
        <v/>
      </c>
      <c r="AI274" s="62">
        <f>IF($V274="","",IF(AND(ISNUMBER($G274),$G274&lt;=IF($S274=MesCiclo,InicioCiclo,$S274+MOD(2-WEEKDAY($S274),7))+13),1,IF(N($W274)&gt;0,MIN(1,SUMIFS($AE$5:$AE$1000,$U$5:$U$1000,ROW(),$V$5:$V$1000,"Sub")),$AA274)))</f>
        <v/>
      </c>
      <c r="AJ274" s="62">
        <f>IF($V274="","",IF(AND(ISNUMBER($G274),$G274&lt;=IF($S274=MesCiclo,InicioCiclo,$S274+MOD(2-WEEKDAY($S274),7))+20),1,IF(N($W274)&gt;0,MIN(1,SUMIFS($AF$5:$AF$1000,$U$5:$U$1000,ROW(),$V$5:$V$1000,"Sub")),$AB274)))</f>
        <v/>
      </c>
      <c r="AK274" s="62">
        <f>IF($V274="","",IF(AND(ISNUMBER($G274),$G274&lt;=IF($S274=MesCiclo,InicioCiclo,$S274+MOD(2-WEEKDAY($S274),7))+27),1,IF(N($W274)&gt;0,MIN(1,SUMIFS($AG$5:$AG$1000,$U$5:$U$1000,ROW(),$V$5:$V$1000,"Sub")),$AC274)))</f>
        <v/>
      </c>
      <c r="AL274" s="62">
        <f>IF($V274&lt;&gt;"Macro","",IF(COUNTIFS($S$5:$S$1000,$S274,$V$5:$V$1000,"Macro",$H$5:$H$1000,"&gt;0")=0,1/COUNTIFS($S$5:$S$1000,$S274,$V$5:$V$1000,"Macro"),IF(AND(ISNUMBER($H274),N($H274)&gt;0),$H274,SUMIFS($H$5:$H$1000,$S$5:$S$1000,$S274,$V$5:$V$1000,"Macro")/COUNTIFS($S$5:$S$1000,$S274,$V$5:$V$1000,"Macro",$H$5:$H$1000,"&gt;0"))/(COUNTIFS($S$5:$S$1000,$S274,$V$5:$V$1000,"Macro")*SUMIFS($H$5:$H$1000,$S$5:$S$1000,$S274,$V$5:$V$1000,"Macro")/COUNTIFS($S$5:$S$1000,$S274,$V$5:$V$1000,"Macro",$H$5:$H$1000,"&gt;0"))))</f>
        <v/>
      </c>
      <c r="AM274" s="62" t="n"/>
      <c r="AN274" s="62" t="n"/>
      <c r="AO274" s="62" t="n"/>
      <c r="AP274" s="62" t="n"/>
      <c r="AQ274" s="62">
        <f>IF(LEFT($C274,11)="[Jefatura] ",IFERROR(MATCH("Asistente Técnico de Riesgo|"&amp;MID($C274,12,500),rDname_ADM,0),0),"")</f>
        <v/>
      </c>
      <c r="AR274" s="62">
        <f>IF(N($AQ274)&gt;0,INDEX(rIni_ADM,$AQ274),IF(ISNUMBER($E274),$E274,""))</f>
        <v/>
      </c>
      <c r="AS274" s="62">
        <f>IF(N($AQ274)&gt;0,INDEX(rLim_ADM,$AQ274),IF(ISNUMBER($F274),$F274,""))</f>
        <v/>
      </c>
    </row>
    <row r="275">
      <c r="A275" s="56">
        <f>IF(NOT((COUNTA($B275:$D275)+COUNTA($G275:$H275)+COUNTA($Q275))&gt;0),"",IF($V275="Macro",COUNTIFS($V$5:$V275,"Macro",$S$5:$S275,$S275),IF(N($U275)=0,"?",COUNTIFS(INDEX($V$5:$V$1000,1):INDEX($V$5:$V$1000,$U275-4),"Macro",INDEX($S$5:$S$1000,1):INDEX($S$5:$S$1000,$U275-4),INDEX($S$5:$S$1000,$U275-4))&amp;"."&amp;COUNTIFS($U$5:$U275,$U275,$V$5:$V275,"Sub"))))</f>
        <v/>
      </c>
      <c r="B275" s="57" t="n"/>
      <c r="C275" s="58" t="n"/>
      <c r="D275" s="58" t="n"/>
      <c r="E275" s="59">
        <f>IF(N($AQ275)&gt;0,INDEX(rIni_ADM,$AQ275),"")</f>
        <v/>
      </c>
      <c r="F275" s="59">
        <f>IF(N($AQ275)&gt;0,INDEX(rLim_ADM,$AQ275),"")</f>
        <v/>
      </c>
      <c r="G275" s="59" t="n"/>
      <c r="H275" s="60" t="n"/>
      <c r="I275" s="60">
        <f>IF(N($W275)=0,"",IF(AND($S275=MesCiclo,1&gt;SemanaActual),"",MIN(1,SUMIFS(OFFSET($A$1,ROW(),29,1000-ROW(),1),OFFSET($A$1,ROW(),20,1000-ROW(),1),ROW(),OFFSET($A$1,ROW(),21,1000-ROW(),1),"Sub"))))</f>
        <v/>
      </c>
      <c r="J275" s="60">
        <f>IF(N($W275)=0,"",IF(AND($S275=MesCiclo,2&gt;SemanaActual),"",MIN(1,SUMIFS(OFFSET($A$1,ROW(),30,1000-ROW(),1),OFFSET($A$1,ROW(),20,1000-ROW(),1),ROW(),OFFSET($A$1,ROW(),21,1000-ROW(),1),"Sub"))))</f>
        <v/>
      </c>
      <c r="K275" s="60">
        <f>IF(N($W275)=0,"",IF(AND($S275=MesCiclo,3&gt;SemanaActual),"",MIN(1,SUMIFS(OFFSET($A$1,ROW(),31,1000-ROW(),1),OFFSET($A$1,ROW(),20,1000-ROW(),1),ROW(),OFFSET($A$1,ROW(),21,1000-ROW(),1),"Sub"))))</f>
        <v/>
      </c>
      <c r="L275" s="60">
        <f>IF(N($W275)=0,"",IF(AND($S275=MesCiclo,4&gt;SemanaActual),"",MIN(1,SUMIFS(OFFSET($A$1,ROW(),32,1000-ROW(),1),OFFSET($A$1,ROW(),20,1000-ROW(),1),ROW(),OFFSET($A$1,ROW(),21,1000-ROW(),1),"Sub"))))</f>
        <v/>
      </c>
      <c r="M275" s="61">
        <f>IF(OR(NOT((COUNTA($B275:$D275)+COUNTA($G275:$H275)+COUNTA($Q275))&gt;0),$V275="Sub"),"",IF(ISNUMBER($G275),1,IF(N($W275)&gt;0,MIN(1,SUMIFS($Y$5:$Y$1000,$U$5:$U$1000,ROW(),$V$5:$V$1000,"Sub")),$Y275)))</f>
        <v/>
      </c>
      <c r="N275" s="56">
        <f>IF(OR($M275="",$V275="Sub"),"",IF($M275&gt;=1,"Completado",IF($M275&gt;0,"En curso","Pendiente")))</f>
        <v/>
      </c>
      <c r="O275" s="56">
        <f>IF(OR(NOT((COUNTA($B275:$D275)+COUNTA($G275:$H275)+COUNTA($Q275))&gt;0),$V275="Sub"),"",IF(ISNUMBER($G275),IF(AND(ISNUMBER($AS275),$G275&gt;$AS275),"Cumplida con "&amp;($G275-$AS275)&amp;IF($G275-$AS275=1," día"," días")&amp;" de retraso","Cumplida"),IF(N($M275)&gt;=1,"Cumplida",IF(NOT(ISNUMBER($AS275)),"Sin fecha límite",IF($AS275&lt;FechaRef,"Vencida hace "&amp;(FechaRef-$AS275)&amp;IF(FechaRef-$AS275=1," día"," días"),IF($AS275=FechaRef,"Vence hoy",IF($AS275-FechaRef&lt;=DiasAlerta,"Vence en "&amp;($AS275-FechaRef)&amp;IF($AS275-FechaRef=1," día"," días"),"En plazo")))))))</f>
        <v/>
      </c>
      <c r="P275" s="62" t="n"/>
      <c r="Q275" s="58" t="n"/>
      <c r="R275" s="63">
        <f>IF(NOT((COUNTA($B275:$D275)+COUNTA($G275:$H275)+COUNTA($Q275))&gt;0),"",IF((IF($C275="","Falta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 OK","⚠ "&amp;LEFT(IF($C275="","Falta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",""),LEN(IF($C275="","Falta el nombre de la actividad"&amp;" · ","")&amp;IF(AND($V275="Sub",N($U275)=0),"Subactividad sin macroactividad arriba"&amp;" · ","")&amp;IF(AND($V275="Macro",$AR275=""),"Sin fecha de inicio"&amp;" · ","")&amp;IF(AND($V275="Macro",$AS275=""),"Sin fecha límite"&amp;" · ","")&amp;IF(AND(LEFT($C275,11)="[Jefatura] ",N($AQ275)=0),"No se encuentra en la hoja de la jefatura (elíjala de nuevo en la lista)"&amp;" · ","")&amp;IF(OR(AND($E275&lt;&gt;"",NOT(ISNUMBER($E275))),AND($F275&lt;&gt;"",NOT(ISNUMBER($F275))),AND($G275&lt;&gt;"",NOT(ISNUMBER($G275)))),"Fecha no válida"&amp;" · ","")&amp;IF(AND(ISNUMBER($AR275),ISNUMBER($AS275),$AR275&gt;$AS275),"Inicio posterior a fecha límite"&amp;" · ","")&amp;IF(AND($V275="Macro",$H275&lt;&gt;"",OR(NOT(ISNUMBER($H275)),$H275&lt;0,$H275&gt;1)),"Peso fuera de rango"&amp;" · ","")&amp;IF(AND($V275="Sub",$H275&lt;&gt;"",OR(NOT(ISNUMBER($H275)),$H275&lt;0,$H275&gt;1)),"% de la subactividad fuera de rango 0-100%"&amp;" · ","")&amp;IF(AND(N($W275)&gt;0,SUMIFS($H$5:$H$1000,$U$5:$U$1000,ROW(),$V$5:$V$1000,"Sub")&gt;1.0001),"Las subactividades suman más de 100%"&amp;" · ","")&amp;IF(AND(N($W275)&gt;0,OR(IF(ISNUMBER($I275),ROUND($I275,6)&lt;&gt;ROUND(MIN(1,SUMIFS($AD$5:$AD$1000,$U$5:$U$1000,ROW(),$V$5:$V$1000,"Sub")),6),FALSE),IF(ISNUMBER($J275),ROUND($J275,6)&lt;&gt;ROUND(MIN(1,SUMIFS($AE$5:$AE$1000,$U$5:$U$1000,ROW(),$V$5:$V$1000,"Sub")),6),FALSE),IF(ISNUMBER($K275),ROUND($K275,6)&lt;&gt;ROUND(MIN(1,SUMIFS($AF$5:$AF$1000,$U$5:$U$1000,ROW(),$V$5:$V$1000,"Sub")),6),FALSE),IF(ISNUMBER($L275),ROUND($L275,6)&lt;&gt;ROUND(MIN(1,SUMIFS($AG$5:$AG$1000,$U$5:$U$1000,ROW(),$V$5:$V$1000,"Sub")),6),FALSE))),"Con subactividades: no escriba en las semanas (se llenan solas)"&amp;" · ","")&amp;IF((COUNTIF($I275:$L275,"&gt;1")+COUNTIF($I275:$L275,"&lt;0")+SUMPRODUCT((LEN($I275:$L275)&gt;0)*NOT(ISNUMBER($I275:$L275))))&gt;0,"Avance fuera de rango 0-100%"&amp;" · ","")&amp;IF(OR(AND(ISNUMBER($J275),$J275&lt;N($I275)),AND(ISNUMBER($K275),$K275&lt;MAX($I275:$J275)),AND(ISNUMBER($L275),$L275&lt;MAX($I275:$K275))),"Avance semanal decreciente"&amp;" · ","")&amp;IF(AND(ISNUMBER($AS275),$AS275&lt;FechaRef,IF($V275="Sub",1,N($M275))&lt;1),"Vencida"&amp;" · ","")&amp;IF(AND(ObsObligatoria="Sí",ISNUMBER($AS275),$AS275&lt;FechaRef,IF($V275="Sub",1,N($M275))&lt;1,$Q275=""),"Vencida sin observación"&amp;" · ",""))-3)))</f>
        <v/>
      </c>
      <c r="S275" s="64">
        <f>IF(NOT((COUNTA($B275:$D275)+COUNTA($G275:$H275)+COUNTA($Q275))&gt;0),"",IF(AND($V275="Sub",N($U275)&gt;0),IF(ISNUMBER(INDEX($AR$5:$AR$1000,$U275-4)),DATE(YEAR(INDEX($AR$5:$AR$1000,$U275-4)),MONTH(INDEX($AR$5:$AR$1000,$U275-4)),1),IF(ISNUMBER(INDEX($AS$5:$AS$1000,$U275-4)),DATE(YEAR(INDEX($AS$5:$AS$1000,$U275-4)),MONTH(INDEX($AS$5:$AS$1000,$U275-4)),1),MesCiclo)),IF(ISNUMBER($AR275),DATE(YEAR($AR275),MONTH($AR275),1),IF(ISNUMBER($AS275),DATE(YEAR($AS275),MONTH($AS275),1),MesCiclo))))</f>
        <v/>
      </c>
      <c r="T275" s="62">
        <f>IF(OR($S275="",$S275&lt;&gt;MesCiclo,$V275&lt;&gt;"Macro"),"",COUNTIFS($S$5:$S275,MesCiclo,$V$5:$V275,"Macro"))</f>
        <v/>
      </c>
      <c r="U275" s="62">
        <f>IF($V275="","",IF($V275="Macro",ROW(),IFERROR(LOOKUP(2,1/($V$5:$V275="Macro"),ROW($V$5:$V275)),0)))</f>
        <v/>
      </c>
      <c r="V275" s="62">
        <f>IF(NOT((COUNTA($B275:$D275)+COUNTA($G275:$H275)+COUNTA($Q275))&gt;0),"",IF($B275="Subactividad","Sub","Macro"))</f>
        <v/>
      </c>
      <c r="W275" s="62">
        <f>IF($V275="Macro",COUNTIFS($U$5:$U$1000,ROW(),$V$5:$V$1000,"Sub"),"")</f>
        <v/>
      </c>
      <c r="X275" s="62">
        <f>IF($V275&lt;&gt;"Sub","",IF(AND(ISNUMBER($H275),N($H275)&gt;0),$H275,IFERROR(MAX(0,1-SUMIFS($H$5:$H$1000,$U$5:$U$1000,$U275,$V$5:$V$1000,"Sub"))/(COUNTIFS($U$5:$U$1000,$U275,$V$5:$V$1000,"Sub")-COUNTIFS($U$5:$U$1000,$U275,$V$5:$V$1000,"Sub",$H$5:$H$1000,"&gt;0")),0)))</f>
        <v/>
      </c>
      <c r="Y275" s="62">
        <f>IF($V275="","",IF($V275="Sub",N($X275)*IF(ISNUMBER($G275),1,MIN(1,MAX(0,IFERROR(LOOKUP(2,1/ISNUMBER($I275:$L275),$I275:$L275),0)))),IF(ISNUMBER($G275),1,IFERROR(LOOKUP(2,1/($I275:$L275&lt;&gt;""),$I275:$L275),0))))</f>
        <v/>
      </c>
      <c r="Z275" s="62">
        <f>IF($V275="","",IF(AND(ISNUMBER($G275),$G275&lt;=IF($S275=MesCiclo,InicioCiclo,$S275+MOD(2-WEEKDAY($S275),7))+6),1,IF(ISNUMBER($I275),$I275,0)))</f>
        <v/>
      </c>
      <c r="AA275" s="62">
        <f>IF($V275="","",IF(AND(ISNUMBER($G275),$G275&lt;=IF($S275=MesCiclo,InicioCiclo,$S275+MOD(2-WEEKDAY($S275),7))+13),1,IF(ISNUMBER($J275),$J275,$Z275)))</f>
        <v/>
      </c>
      <c r="AB275" s="62">
        <f>IF($V275="","",IF(AND(ISNUMBER($G275),$G275&lt;=IF($S275=MesCiclo,InicioCiclo,$S275+MOD(2-WEEKDAY($S275),7))+20),1,IF(ISNUMBER($K275),$K275,$AA275)))</f>
        <v/>
      </c>
      <c r="AC275" s="62">
        <f>IF($V275="","",IF(AND(ISNUMBER($G275),$G275&lt;=IF($S275=MesCiclo,InicioCiclo,$S275+MOD(2-WEEKDAY($S275),7))+27),1,IF(ISNUMBER($L275),$L275,$AB275)))</f>
        <v/>
      </c>
      <c r="AD275" s="62">
        <f>IF($V275&lt;&gt;"Sub","",N($X275)*IF(AND(ISNUMBER($G275),$G275&lt;=IF($S275=MesCiclo,InicioCiclo,$S275+MOD(2-WEEKDAY($S275),7))+6),1,MIN(1,MAX(0,IF(ISNUMBER(OFFSET($A$1,ROW()-1,8)),OFFSET($A$1,ROW()-1,8),0)))))</f>
        <v/>
      </c>
      <c r="AE275" s="62">
        <f>IF($V275&lt;&gt;"Sub","",N($X275)*IF(AND(ISNUMBER($G275),$G275&lt;=IF($S275=MesCiclo,InicioCiclo,$S275+MOD(2-WEEKDAY($S275),7))+13),1,MIN(1,MAX(0,IF(ISNUMBER(OFFSET($A$1,ROW()-1,9)),OFFSET($A$1,ROW()-1,9),IF(ISNUMBER(OFFSET($A$1,ROW()-1,8)),OFFSET($A$1,ROW()-1,8),0))))))</f>
        <v/>
      </c>
      <c r="AF275" s="62">
        <f>IF($V275&lt;&gt;"Sub","",N($X275)*IF(AND(ISNUMBER($G275),$G275&lt;=IF($S275=MesCiclo,InicioCiclo,$S275+MOD(2-WEEKDAY($S275),7))+20),1,MIN(1,MAX(0,IF(ISNUMBER(OFFSET($A$1,ROW()-1,10)),OFFSET($A$1,ROW()-1,10),IF(ISNUMBER(OFFSET($A$1,ROW()-1,9)),OFFSET($A$1,ROW()-1,9),IF(ISNUMBER(OFFSET($A$1,ROW()-1,8)),OFFSET($A$1,ROW()-1,8),0)))))))</f>
        <v/>
      </c>
      <c r="AG275" s="62">
        <f>IF($V275&lt;&gt;"Sub","",N($X275)*IF(AND(ISNUMBER($G275),$G275&lt;=IF($S275=MesCiclo,InicioCiclo,$S275+MOD(2-WEEKDAY($S275),7))+27),1,MIN(1,MAX(0,IF(ISNUMBER(OFFSET($A$1,ROW()-1,11)),OFFSET($A$1,ROW()-1,11),IF(ISNUMBER(OFFSET($A$1,ROW()-1,10)),OFFSET($A$1,ROW()-1,10),IF(ISNUMBER(OFFSET($A$1,ROW()-1,9)),OFFSET($A$1,ROW()-1,9),IF(ISNUMBER(OFFSET($A$1,ROW()-1,8)),OFFSET($A$1,ROW()-1,8),0))))))))</f>
        <v/>
      </c>
      <c r="AH275" s="62">
        <f>IF($V275="","",IF(AND(ISNUMBER($G275),$G275&lt;=IF($S275=MesCiclo,InicioCiclo,$S275+MOD(2-WEEKDAY($S275),7))+6),1,IF(N($W275)&gt;0,MIN(1,SUMIFS($AD$5:$AD$1000,$U$5:$U$1000,ROW(),$V$5:$V$1000,"Sub")),$Z275)))</f>
        <v/>
      </c>
      <c r="AI275" s="62">
        <f>IF($V275="","",IF(AND(ISNUMBER($G275),$G275&lt;=IF($S275=MesCiclo,InicioCiclo,$S275+MOD(2-WEEKDAY($S275),7))+13),1,IF(N($W275)&gt;0,MIN(1,SUMIFS($AE$5:$AE$1000,$U$5:$U$1000,ROW(),$V$5:$V$1000,"Sub")),$AA275)))</f>
        <v/>
      </c>
      <c r="AJ275" s="62">
        <f>IF($V275="","",IF(AND(ISNUMBER($G275),$G275&lt;=IF($S275=MesCiclo,InicioCiclo,$S275+MOD(2-WEEKDAY($S275),7))+20),1,IF(N($W275)&gt;0,MIN(1,SUMIFS($AF$5:$AF$1000,$U$5:$U$1000,ROW(),$V$5:$V$1000,"Sub")),$AB275)))</f>
        <v/>
      </c>
      <c r="AK275" s="62">
        <f>IF($V275="","",IF(AND(ISNUMBER($G275),$G275&lt;=IF($S275=MesCiclo,InicioCiclo,$S275+MOD(2-WEEKDAY($S275),7))+27),1,IF(N($W275)&gt;0,MIN(1,SUMIFS($AG$5:$AG$1000,$U$5:$U$1000,ROW(),$V$5:$V$1000,"Sub")),$AC275)))</f>
        <v/>
      </c>
      <c r="AL275" s="62">
        <f>IF($V275&lt;&gt;"Macro","",IF(COUNTIFS($S$5:$S$1000,$S275,$V$5:$V$1000,"Macro",$H$5:$H$1000,"&gt;0")=0,1/COUNTIFS($S$5:$S$1000,$S275,$V$5:$V$1000,"Macro"),IF(AND(ISNUMBER($H275),N($H275)&gt;0),$H275,SUMIFS($H$5:$H$1000,$S$5:$S$1000,$S275,$V$5:$V$1000,"Macro")/COUNTIFS($S$5:$S$1000,$S275,$V$5:$V$1000,"Macro",$H$5:$H$1000,"&gt;0"))/(COUNTIFS($S$5:$S$1000,$S275,$V$5:$V$1000,"Macro")*SUMIFS($H$5:$H$1000,$S$5:$S$1000,$S275,$V$5:$V$1000,"Macro")/COUNTIFS($S$5:$S$1000,$S275,$V$5:$V$1000,"Macro",$H$5:$H$1000,"&gt;0"))))</f>
        <v/>
      </c>
      <c r="AM275" s="62" t="n"/>
      <c r="AN275" s="62" t="n"/>
      <c r="AO275" s="62" t="n"/>
      <c r="AP275" s="62" t="n"/>
      <c r="AQ275" s="62">
        <f>IF(LEFT($C275,11)="[Jefatura] ",IFERROR(MATCH("Asistente Técnico de Riesgo|"&amp;MID($C275,12,500),rDname_ADM,0),0),"")</f>
        <v/>
      </c>
      <c r="AR275" s="62">
        <f>IF(N($AQ275)&gt;0,INDEX(rIni_ADM,$AQ275),IF(ISNUMBER($E275),$E275,""))</f>
        <v/>
      </c>
      <c r="AS275" s="62">
        <f>IF(N($AQ275)&gt;0,INDEX(rLim_ADM,$AQ275),IF(ISNUMBER($F275),$F275,""))</f>
        <v/>
      </c>
    </row>
    <row r="276">
      <c r="A276" s="56">
        <f>IF(NOT((COUNTA($B276:$D276)+COUNTA($G276:$H276)+COUNTA($Q276))&gt;0),"",IF($V276="Macro",COUNTIFS($V$5:$V276,"Macro",$S$5:$S276,$S276),IF(N($U276)=0,"?",COUNTIFS(INDEX($V$5:$V$1000,1):INDEX($V$5:$V$1000,$U276-4),"Macro",INDEX($S$5:$S$1000,1):INDEX($S$5:$S$1000,$U276-4),INDEX($S$5:$S$1000,$U276-4))&amp;"."&amp;COUNTIFS($U$5:$U276,$U276,$V$5:$V276,"Sub"))))</f>
        <v/>
      </c>
      <c r="B276" s="57" t="n"/>
      <c r="C276" s="58" t="n"/>
      <c r="D276" s="58" t="n"/>
      <c r="E276" s="59">
        <f>IF(N($AQ276)&gt;0,INDEX(rIni_ADM,$AQ276),"")</f>
        <v/>
      </c>
      <c r="F276" s="59">
        <f>IF(N($AQ276)&gt;0,INDEX(rLim_ADM,$AQ276),"")</f>
        <v/>
      </c>
      <c r="G276" s="59" t="n"/>
      <c r="H276" s="60" t="n"/>
      <c r="I276" s="60">
        <f>IF(N($W276)=0,"",IF(AND($S276=MesCiclo,1&gt;SemanaActual),"",MIN(1,SUMIFS(OFFSET($A$1,ROW(),29,1000-ROW(),1),OFFSET($A$1,ROW(),20,1000-ROW(),1),ROW(),OFFSET($A$1,ROW(),21,1000-ROW(),1),"Sub"))))</f>
        <v/>
      </c>
      <c r="J276" s="60">
        <f>IF(N($W276)=0,"",IF(AND($S276=MesCiclo,2&gt;SemanaActual),"",MIN(1,SUMIFS(OFFSET($A$1,ROW(),30,1000-ROW(),1),OFFSET($A$1,ROW(),20,1000-ROW(),1),ROW(),OFFSET($A$1,ROW(),21,1000-ROW(),1),"Sub"))))</f>
        <v/>
      </c>
      <c r="K276" s="60">
        <f>IF(N($W276)=0,"",IF(AND($S276=MesCiclo,3&gt;SemanaActual),"",MIN(1,SUMIFS(OFFSET($A$1,ROW(),31,1000-ROW(),1),OFFSET($A$1,ROW(),20,1000-ROW(),1),ROW(),OFFSET($A$1,ROW(),21,1000-ROW(),1),"Sub"))))</f>
        <v/>
      </c>
      <c r="L276" s="60">
        <f>IF(N($W276)=0,"",IF(AND($S276=MesCiclo,4&gt;SemanaActual),"",MIN(1,SUMIFS(OFFSET($A$1,ROW(),32,1000-ROW(),1),OFFSET($A$1,ROW(),20,1000-ROW(),1),ROW(),OFFSET($A$1,ROW(),21,1000-ROW(),1),"Sub"))))</f>
        <v/>
      </c>
      <c r="M276" s="61">
        <f>IF(OR(NOT((COUNTA($B276:$D276)+COUNTA($G276:$H276)+COUNTA($Q276))&gt;0),$V276="Sub"),"",IF(ISNUMBER($G276),1,IF(N($W276)&gt;0,MIN(1,SUMIFS($Y$5:$Y$1000,$U$5:$U$1000,ROW(),$V$5:$V$1000,"Sub")),$Y276)))</f>
        <v/>
      </c>
      <c r="N276" s="56">
        <f>IF(OR($M276="",$V276="Sub"),"",IF($M276&gt;=1,"Completado",IF($M276&gt;0,"En curso","Pendiente")))</f>
        <v/>
      </c>
      <c r="O276" s="56">
        <f>IF(OR(NOT((COUNTA($B276:$D276)+COUNTA($G276:$H276)+COUNTA($Q276))&gt;0),$V276="Sub"),"",IF(ISNUMBER($G276),IF(AND(ISNUMBER($AS276),$G276&gt;$AS276),"Cumplida con "&amp;($G276-$AS276)&amp;IF($G276-$AS276=1," día"," días")&amp;" de retraso","Cumplida"),IF(N($M276)&gt;=1,"Cumplida",IF(NOT(ISNUMBER($AS276)),"Sin fecha límite",IF($AS276&lt;FechaRef,"Vencida hace "&amp;(FechaRef-$AS276)&amp;IF(FechaRef-$AS276=1," día"," días"),IF($AS276=FechaRef,"Vence hoy",IF($AS276-FechaRef&lt;=DiasAlerta,"Vence en "&amp;($AS276-FechaRef)&amp;IF($AS276-FechaRef=1," día"," días"),"En plazo")))))))</f>
        <v/>
      </c>
      <c r="P276" s="62" t="n"/>
      <c r="Q276" s="58" t="n"/>
      <c r="R276" s="63">
        <f>IF(NOT((COUNTA($B276:$D276)+COUNTA($G276:$H276)+COUNTA($Q276))&gt;0),"",IF((IF($C276="","Falta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 OK","⚠ "&amp;LEFT(IF($C276="","Falta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",""),LEN(IF($C276="","Falta el nombre de la actividad"&amp;" · ","")&amp;IF(AND($V276="Sub",N($U276)=0),"Subactividad sin macroactividad arriba"&amp;" · ","")&amp;IF(AND($V276="Macro",$AR276=""),"Sin fecha de inicio"&amp;" · ","")&amp;IF(AND($V276="Macro",$AS276=""),"Sin fecha límite"&amp;" · ","")&amp;IF(AND(LEFT($C276,11)="[Jefatura] ",N($AQ276)=0),"No se encuentra en la hoja de la jefatura (elíjala de nuevo en la lista)"&amp;" · ","")&amp;IF(OR(AND($E276&lt;&gt;"",NOT(ISNUMBER($E276))),AND($F276&lt;&gt;"",NOT(ISNUMBER($F276))),AND($G276&lt;&gt;"",NOT(ISNUMBER($G276)))),"Fecha no válida"&amp;" · ","")&amp;IF(AND(ISNUMBER($AR276),ISNUMBER($AS276),$AR276&gt;$AS276),"Inicio posterior a fecha límite"&amp;" · ","")&amp;IF(AND($V276="Macro",$H276&lt;&gt;"",OR(NOT(ISNUMBER($H276)),$H276&lt;0,$H276&gt;1)),"Peso fuera de rango"&amp;" · ","")&amp;IF(AND($V276="Sub",$H276&lt;&gt;"",OR(NOT(ISNUMBER($H276)),$H276&lt;0,$H276&gt;1)),"% de la subactividad fuera de rango 0-100%"&amp;" · ","")&amp;IF(AND(N($W276)&gt;0,SUMIFS($H$5:$H$1000,$U$5:$U$1000,ROW(),$V$5:$V$1000,"Sub")&gt;1.0001),"Las subactividades suman más de 100%"&amp;" · ","")&amp;IF(AND(N($W276)&gt;0,OR(IF(ISNUMBER($I276),ROUND($I276,6)&lt;&gt;ROUND(MIN(1,SUMIFS($AD$5:$AD$1000,$U$5:$U$1000,ROW(),$V$5:$V$1000,"Sub")),6),FALSE),IF(ISNUMBER($J276),ROUND($J276,6)&lt;&gt;ROUND(MIN(1,SUMIFS($AE$5:$AE$1000,$U$5:$U$1000,ROW(),$V$5:$V$1000,"Sub")),6),FALSE),IF(ISNUMBER($K276),ROUND($K276,6)&lt;&gt;ROUND(MIN(1,SUMIFS($AF$5:$AF$1000,$U$5:$U$1000,ROW(),$V$5:$V$1000,"Sub")),6),FALSE),IF(ISNUMBER($L276),ROUND($L276,6)&lt;&gt;ROUND(MIN(1,SUMIFS($AG$5:$AG$1000,$U$5:$U$1000,ROW(),$V$5:$V$1000,"Sub")),6),FALSE))),"Con subactividades: no escriba en las semanas (se llenan solas)"&amp;" · ","")&amp;IF((COUNTIF($I276:$L276,"&gt;1")+COUNTIF($I276:$L276,"&lt;0")+SUMPRODUCT((LEN($I276:$L276)&gt;0)*NOT(ISNUMBER($I276:$L276))))&gt;0,"Avance fuera de rango 0-100%"&amp;" · ","")&amp;IF(OR(AND(ISNUMBER($J276),$J276&lt;N($I276)),AND(ISNUMBER($K276),$K276&lt;MAX($I276:$J276)),AND(ISNUMBER($L276),$L276&lt;MAX($I276:$K276))),"Avance semanal decreciente"&amp;" · ","")&amp;IF(AND(ISNUMBER($AS276),$AS276&lt;FechaRef,IF($V276="Sub",1,N($M276))&lt;1),"Vencida"&amp;" · ","")&amp;IF(AND(ObsObligatoria="Sí",ISNUMBER($AS276),$AS276&lt;FechaRef,IF($V276="Sub",1,N($M276))&lt;1,$Q276=""),"Vencida sin observación"&amp;" · ",""))-3)))</f>
        <v/>
      </c>
      <c r="S276" s="64">
        <f>IF(NOT((COUNTA($B276:$D276)+COUNTA($G276:$H276)+COUNTA($Q276))&gt;0),"",IF(AND($V276="Sub",N($U276)&gt;0),IF(ISNUMBER(INDEX($AR$5:$AR$1000,$U276-4)),DATE(YEAR(INDEX($AR$5:$AR$1000,$U276-4)),MONTH(INDEX($AR$5:$AR$1000,$U276-4)),1),IF(ISNUMBER(INDEX($AS$5:$AS$1000,$U276-4)),DATE(YEAR(INDEX($AS$5:$AS$1000,$U276-4)),MONTH(INDEX($AS$5:$AS$1000,$U276-4)),1),MesCiclo)),IF(ISNUMBER($AR276),DATE(YEAR($AR276),MONTH($AR276),1),IF(ISNUMBER($AS276),DATE(YEAR($AS276),MONTH($AS276),1),MesCiclo))))</f>
        <v/>
      </c>
      <c r="T276" s="62">
        <f>IF(OR($S276="",$S276&lt;&gt;MesCiclo,$V276&lt;&gt;"Macro"),"",COUNTIFS($S$5:$S276,MesCiclo,$V$5:$V276,"Macro"))</f>
        <v/>
      </c>
      <c r="U276" s="62">
        <f>IF($V276="","",IF($V276="Macro",ROW(),IFERROR(LOOKUP(2,1/($V$5:$V276="Macro"),ROW($V$5:$V276)),0)))</f>
        <v/>
      </c>
      <c r="V276" s="62">
        <f>IF(NOT((COUNTA($B276:$D276)+COUNTA($G276:$H276)+COUNTA($Q276))&gt;0),"",IF($B276="Subactividad","Sub","Macro"))</f>
        <v/>
      </c>
      <c r="W276" s="62">
        <f>IF($V276="Macro",COUNTIFS($U$5:$U$1000,ROW(),$V$5:$V$1000,"Sub"),"")</f>
        <v/>
      </c>
      <c r="X276" s="62">
        <f>IF($V276&lt;&gt;"Sub","",IF(AND(ISNUMBER($H276),N($H276)&gt;0),$H276,IFERROR(MAX(0,1-SUMIFS($H$5:$H$1000,$U$5:$U$1000,$U276,$V$5:$V$1000,"Sub"))/(COUNTIFS($U$5:$U$1000,$U276,$V$5:$V$1000,"Sub")-COUNTIFS($U$5:$U$1000,$U276,$V$5:$V$1000,"Sub",$H$5:$H$1000,"&gt;0")),0)))</f>
        <v/>
      </c>
      <c r="Y276" s="62">
        <f>IF($V276="","",IF($V276="Sub",N($X276)*IF(ISNUMBER($G276),1,MIN(1,MAX(0,IFERROR(LOOKUP(2,1/ISNUMBER($I276:$L276),$I276:$L276),0)))),IF(ISNUMBER($G276),1,IFERROR(LOOKUP(2,1/($I276:$L276&lt;&gt;""),$I276:$L276),0))))</f>
        <v/>
      </c>
      <c r="Z276" s="62">
        <f>IF($V276="","",IF(AND(ISNUMBER($G276),$G276&lt;=IF($S276=MesCiclo,InicioCiclo,$S276+MOD(2-WEEKDAY($S276),7))+6),1,IF(ISNUMBER($I276),$I276,0)))</f>
        <v/>
      </c>
      <c r="AA276" s="62">
        <f>IF($V276="","",IF(AND(ISNUMBER($G276),$G276&lt;=IF($S276=MesCiclo,InicioCiclo,$S276+MOD(2-WEEKDAY($S276),7))+13),1,IF(ISNUMBER($J276),$J276,$Z276)))</f>
        <v/>
      </c>
      <c r="AB276" s="62">
        <f>IF($V276="","",IF(AND(ISNUMBER($G276),$G276&lt;=IF($S276=MesCiclo,InicioCiclo,$S276+MOD(2-WEEKDAY($S276),7))+20),1,IF(ISNUMBER($K276),$K276,$AA276)))</f>
        <v/>
      </c>
      <c r="AC276" s="62">
        <f>IF($V276="","",IF(AND(ISNUMBER($G276),$G276&lt;=IF($S276=MesCiclo,InicioCiclo,$S276+MOD(2-WEEKDAY($S276),7))+27),1,IF(ISNUMBER($L276),$L276,$AB276)))</f>
        <v/>
      </c>
      <c r="AD276" s="62">
        <f>IF($V276&lt;&gt;"Sub","",N($X276)*IF(AND(ISNUMBER($G276),$G276&lt;=IF($S276=MesCiclo,InicioCiclo,$S276+MOD(2-WEEKDAY($S276),7))+6),1,MIN(1,MAX(0,IF(ISNUMBER(OFFSET($A$1,ROW()-1,8)),OFFSET($A$1,ROW()-1,8),0)))))</f>
        <v/>
      </c>
      <c r="AE276" s="62">
        <f>IF($V276&lt;&gt;"Sub","",N($X276)*IF(AND(ISNUMBER($G276),$G276&lt;=IF($S276=MesCiclo,InicioCiclo,$S276+MOD(2-WEEKDAY($S276),7))+13),1,MIN(1,MAX(0,IF(ISNUMBER(OFFSET($A$1,ROW()-1,9)),OFFSET($A$1,ROW()-1,9),IF(ISNUMBER(OFFSET($A$1,ROW()-1,8)),OFFSET($A$1,ROW()-1,8),0))))))</f>
        <v/>
      </c>
      <c r="AF276" s="62">
        <f>IF($V276&lt;&gt;"Sub","",N($X276)*IF(AND(ISNUMBER($G276),$G276&lt;=IF($S276=MesCiclo,InicioCiclo,$S276+MOD(2-WEEKDAY($S276),7))+20),1,MIN(1,MAX(0,IF(ISNUMBER(OFFSET($A$1,ROW()-1,10)),OFFSET($A$1,ROW()-1,10),IF(ISNUMBER(OFFSET($A$1,ROW()-1,9)),OFFSET($A$1,ROW()-1,9),IF(ISNUMBER(OFFSET($A$1,ROW()-1,8)),OFFSET($A$1,ROW()-1,8),0)))))))</f>
        <v/>
      </c>
      <c r="AG276" s="62">
        <f>IF($V276&lt;&gt;"Sub","",N($X276)*IF(AND(ISNUMBER($G276),$G276&lt;=IF($S276=MesCiclo,InicioCiclo,$S276+MOD(2-WEEKDAY($S276),7))+27),1,MIN(1,MAX(0,IF(ISNUMBER(OFFSET($A$1,ROW()-1,11)),OFFSET($A$1,ROW()-1,11),IF(ISNUMBER(OFFSET($A$1,ROW()-1,10)),OFFSET($A$1,ROW()-1,10),IF(ISNUMBER(OFFSET($A$1,ROW()-1,9)),OFFSET($A$1,ROW()-1,9),IF(ISNUMBER(OFFSET($A$1,ROW()-1,8)),OFFSET($A$1,ROW()-1,8),0))))))))</f>
        <v/>
      </c>
      <c r="AH276" s="62">
        <f>IF($V276="","",IF(AND(ISNUMBER($G276),$G276&lt;=IF($S276=MesCiclo,InicioCiclo,$S276+MOD(2-WEEKDAY($S276),7))+6),1,IF(N($W276)&gt;0,MIN(1,SUMIFS($AD$5:$AD$1000,$U$5:$U$1000,ROW(),$V$5:$V$1000,"Sub")),$Z276)))</f>
        <v/>
      </c>
      <c r="AI276" s="62">
        <f>IF($V276="","",IF(AND(ISNUMBER($G276),$G276&lt;=IF($S276=MesCiclo,InicioCiclo,$S276+MOD(2-WEEKDAY($S276),7))+13),1,IF(N($W276)&gt;0,MIN(1,SUMIFS($AE$5:$AE$1000,$U$5:$U$1000,ROW(),$V$5:$V$1000,"Sub")),$AA276)))</f>
        <v/>
      </c>
      <c r="AJ276" s="62">
        <f>IF($V276="","",IF(AND(ISNUMBER($G276),$G276&lt;=IF($S276=MesCiclo,InicioCiclo,$S276+MOD(2-WEEKDAY($S276),7))+20),1,IF(N($W276)&gt;0,MIN(1,SUMIFS($AF$5:$AF$1000,$U$5:$U$1000,ROW(),$V$5:$V$1000,"Sub")),$AB276)))</f>
        <v/>
      </c>
      <c r="AK276" s="62">
        <f>IF($V276="","",IF(AND(ISNUMBER($G276),$G276&lt;=IF($S276=MesCiclo,InicioCiclo,$S276+MOD(2-WEEKDAY($S276),7))+27),1,IF(N($W276)&gt;0,MIN(1,SUMIFS($AG$5:$AG$1000,$U$5:$U$1000,ROW(),$V$5:$V$1000,"Sub")),$AC276)))</f>
        <v/>
      </c>
      <c r="AL276" s="62">
        <f>IF($V276&lt;&gt;"Macro","",IF(COUNTIFS($S$5:$S$1000,$S276,$V$5:$V$1000,"Macro",$H$5:$H$1000,"&gt;0")=0,1/COUNTIFS($S$5:$S$1000,$S276,$V$5:$V$1000,"Macro"),IF(AND(ISNUMBER($H276),N($H276)&gt;0),$H276,SUMIFS($H$5:$H$1000,$S$5:$S$1000,$S276,$V$5:$V$1000,"Macro")/COUNTIFS($S$5:$S$1000,$S276,$V$5:$V$1000,"Macro",$H$5:$H$1000,"&gt;0"))/(COUNTIFS($S$5:$S$1000,$S276,$V$5:$V$1000,"Macro")*SUMIFS($H$5:$H$1000,$S$5:$S$1000,$S276,$V$5:$V$1000,"Macro")/COUNTIFS($S$5:$S$1000,$S276,$V$5:$V$1000,"Macro",$H$5:$H$1000,"&gt;0"))))</f>
        <v/>
      </c>
      <c r="AM276" s="62" t="n"/>
      <c r="AN276" s="62" t="n"/>
      <c r="AO276" s="62" t="n"/>
      <c r="AP276" s="62" t="n"/>
      <c r="AQ276" s="62">
        <f>IF(LEFT($C276,11)="[Jefatura] ",IFERROR(MATCH("Asistente Técnico de Riesgo|"&amp;MID($C276,12,500),rDname_ADM,0),0),"")</f>
        <v/>
      </c>
      <c r="AR276" s="62">
        <f>IF(N($AQ276)&gt;0,INDEX(rIni_ADM,$AQ276),IF(ISNUMBER($E276),$E276,""))</f>
        <v/>
      </c>
      <c r="AS276" s="62">
        <f>IF(N($AQ276)&gt;0,INDEX(rLim_ADM,$AQ276),IF(ISNUMBER($F276),$F276,""))</f>
        <v/>
      </c>
    </row>
    <row r="277">
      <c r="A277" s="56">
        <f>IF(NOT((COUNTA($B277:$D277)+COUNTA($G277:$H277)+COUNTA($Q277))&gt;0),"",IF($V277="Macro",COUNTIFS($V$5:$V277,"Macro",$S$5:$S277,$S277),IF(N($U277)=0,"?",COUNTIFS(INDEX($V$5:$V$1000,1):INDEX($V$5:$V$1000,$U277-4),"Macro",INDEX($S$5:$S$1000,1):INDEX($S$5:$S$1000,$U277-4),INDEX($S$5:$S$1000,$U277-4))&amp;"."&amp;COUNTIFS($U$5:$U277,$U277,$V$5:$V277,"Sub"))))</f>
        <v/>
      </c>
      <c r="B277" s="57" t="n"/>
      <c r="C277" s="58" t="n"/>
      <c r="D277" s="58" t="n"/>
      <c r="E277" s="59">
        <f>IF(N($AQ277)&gt;0,INDEX(rIni_ADM,$AQ277),"")</f>
        <v/>
      </c>
      <c r="F277" s="59">
        <f>IF(N($AQ277)&gt;0,INDEX(rLim_ADM,$AQ277),"")</f>
        <v/>
      </c>
      <c r="G277" s="59" t="n"/>
      <c r="H277" s="60" t="n"/>
      <c r="I277" s="60">
        <f>IF(N($W277)=0,"",IF(AND($S277=MesCiclo,1&gt;SemanaActual),"",MIN(1,SUMIFS(OFFSET($A$1,ROW(),29,1000-ROW(),1),OFFSET($A$1,ROW(),20,1000-ROW(),1),ROW(),OFFSET($A$1,ROW(),21,1000-ROW(),1),"Sub"))))</f>
        <v/>
      </c>
      <c r="J277" s="60">
        <f>IF(N($W277)=0,"",IF(AND($S277=MesCiclo,2&gt;SemanaActual),"",MIN(1,SUMIFS(OFFSET($A$1,ROW(),30,1000-ROW(),1),OFFSET($A$1,ROW(),20,1000-ROW(),1),ROW(),OFFSET($A$1,ROW(),21,1000-ROW(),1),"Sub"))))</f>
        <v/>
      </c>
      <c r="K277" s="60">
        <f>IF(N($W277)=0,"",IF(AND($S277=MesCiclo,3&gt;SemanaActual),"",MIN(1,SUMIFS(OFFSET($A$1,ROW(),31,1000-ROW(),1),OFFSET($A$1,ROW(),20,1000-ROW(),1),ROW(),OFFSET($A$1,ROW(),21,1000-ROW(),1),"Sub"))))</f>
        <v/>
      </c>
      <c r="L277" s="60">
        <f>IF(N($W277)=0,"",IF(AND($S277=MesCiclo,4&gt;SemanaActual),"",MIN(1,SUMIFS(OFFSET($A$1,ROW(),32,1000-ROW(),1),OFFSET($A$1,ROW(),20,1000-ROW(),1),ROW(),OFFSET($A$1,ROW(),21,1000-ROW(),1),"Sub"))))</f>
        <v/>
      </c>
      <c r="M277" s="61">
        <f>IF(OR(NOT((COUNTA($B277:$D277)+COUNTA($G277:$H277)+COUNTA($Q277))&gt;0),$V277="Sub"),"",IF(ISNUMBER($G277),1,IF(N($W277)&gt;0,MIN(1,SUMIFS($Y$5:$Y$1000,$U$5:$U$1000,ROW(),$V$5:$V$1000,"Sub")),$Y277)))</f>
        <v/>
      </c>
      <c r="N277" s="56">
        <f>IF(OR($M277="",$V277="Sub"),"",IF($M277&gt;=1,"Completado",IF($M277&gt;0,"En curso","Pendiente")))</f>
        <v/>
      </c>
      <c r="O277" s="56">
        <f>IF(OR(NOT((COUNTA($B277:$D277)+COUNTA($G277:$H277)+COUNTA($Q277))&gt;0),$V277="Sub"),"",IF(ISNUMBER($G277),IF(AND(ISNUMBER($AS277),$G277&gt;$AS277),"Cumplida con "&amp;($G277-$AS277)&amp;IF($G277-$AS277=1," día"," días")&amp;" de retraso","Cumplida"),IF(N($M277)&gt;=1,"Cumplida",IF(NOT(ISNUMBER($AS277)),"Sin fecha límite",IF($AS277&lt;FechaRef,"Vencida hace "&amp;(FechaRef-$AS277)&amp;IF(FechaRef-$AS277=1," día"," días"),IF($AS277=FechaRef,"Vence hoy",IF($AS277-FechaRef&lt;=DiasAlerta,"Vence en "&amp;($AS277-FechaRef)&amp;IF($AS277-FechaRef=1," día"," días"),"En plazo")))))))</f>
        <v/>
      </c>
      <c r="P277" s="62" t="n"/>
      <c r="Q277" s="58" t="n"/>
      <c r="R277" s="63">
        <f>IF(NOT((COUNTA($B277:$D277)+COUNTA($G277:$H277)+COUNTA($Q277))&gt;0),"",IF((IF($C277="","Falta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 OK","⚠ "&amp;LEFT(IF($C277="","Falta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",""),LEN(IF($C277="","Falta el nombre de la actividad"&amp;" · ","")&amp;IF(AND($V277="Sub",N($U277)=0),"Subactividad sin macroactividad arriba"&amp;" · ","")&amp;IF(AND($V277="Macro",$AR277=""),"Sin fecha de inicio"&amp;" · ","")&amp;IF(AND($V277="Macro",$AS277=""),"Sin fecha límite"&amp;" · ","")&amp;IF(AND(LEFT($C277,11)="[Jefatura] ",N($AQ277)=0),"No se encuentra en la hoja de la jefatura (elíjala de nuevo en la lista)"&amp;" · ","")&amp;IF(OR(AND($E277&lt;&gt;"",NOT(ISNUMBER($E277))),AND($F277&lt;&gt;"",NOT(ISNUMBER($F277))),AND($G277&lt;&gt;"",NOT(ISNUMBER($G277)))),"Fecha no válida"&amp;" · ","")&amp;IF(AND(ISNUMBER($AR277),ISNUMBER($AS277),$AR277&gt;$AS277),"Inicio posterior a fecha límite"&amp;" · ","")&amp;IF(AND($V277="Macro",$H277&lt;&gt;"",OR(NOT(ISNUMBER($H277)),$H277&lt;0,$H277&gt;1)),"Peso fuera de rango"&amp;" · ","")&amp;IF(AND($V277="Sub",$H277&lt;&gt;"",OR(NOT(ISNUMBER($H277)),$H277&lt;0,$H277&gt;1)),"% de la subactividad fuera de rango 0-100%"&amp;" · ","")&amp;IF(AND(N($W277)&gt;0,SUMIFS($H$5:$H$1000,$U$5:$U$1000,ROW(),$V$5:$V$1000,"Sub")&gt;1.0001),"Las subactividades suman más de 100%"&amp;" · ","")&amp;IF(AND(N($W277)&gt;0,OR(IF(ISNUMBER($I277),ROUND($I277,6)&lt;&gt;ROUND(MIN(1,SUMIFS($AD$5:$AD$1000,$U$5:$U$1000,ROW(),$V$5:$V$1000,"Sub")),6),FALSE),IF(ISNUMBER($J277),ROUND($J277,6)&lt;&gt;ROUND(MIN(1,SUMIFS($AE$5:$AE$1000,$U$5:$U$1000,ROW(),$V$5:$V$1000,"Sub")),6),FALSE),IF(ISNUMBER($K277),ROUND($K277,6)&lt;&gt;ROUND(MIN(1,SUMIFS($AF$5:$AF$1000,$U$5:$U$1000,ROW(),$V$5:$V$1000,"Sub")),6),FALSE),IF(ISNUMBER($L277),ROUND($L277,6)&lt;&gt;ROUND(MIN(1,SUMIFS($AG$5:$AG$1000,$U$5:$U$1000,ROW(),$V$5:$V$1000,"Sub")),6),FALSE))),"Con subactividades: no escriba en las semanas (se llenan solas)"&amp;" · ","")&amp;IF((COUNTIF($I277:$L277,"&gt;1")+COUNTIF($I277:$L277,"&lt;0")+SUMPRODUCT((LEN($I277:$L277)&gt;0)*NOT(ISNUMBER($I277:$L277))))&gt;0,"Avance fuera de rango 0-100%"&amp;" · ","")&amp;IF(OR(AND(ISNUMBER($J277),$J277&lt;N($I277)),AND(ISNUMBER($K277),$K277&lt;MAX($I277:$J277)),AND(ISNUMBER($L277),$L277&lt;MAX($I277:$K277))),"Avance semanal decreciente"&amp;" · ","")&amp;IF(AND(ISNUMBER($AS277),$AS277&lt;FechaRef,IF($V277="Sub",1,N($M277))&lt;1),"Vencida"&amp;" · ","")&amp;IF(AND(ObsObligatoria="Sí",ISNUMBER($AS277),$AS277&lt;FechaRef,IF($V277="Sub",1,N($M277))&lt;1,$Q277=""),"Vencida sin observación"&amp;" · ",""))-3)))</f>
        <v/>
      </c>
      <c r="S277" s="64">
        <f>IF(NOT((COUNTA($B277:$D277)+COUNTA($G277:$H277)+COUNTA($Q277))&gt;0),"",IF(AND($V277="Sub",N($U277)&gt;0),IF(ISNUMBER(INDEX($AR$5:$AR$1000,$U277-4)),DATE(YEAR(INDEX($AR$5:$AR$1000,$U277-4)),MONTH(INDEX($AR$5:$AR$1000,$U277-4)),1),IF(ISNUMBER(INDEX($AS$5:$AS$1000,$U277-4)),DATE(YEAR(INDEX($AS$5:$AS$1000,$U277-4)),MONTH(INDEX($AS$5:$AS$1000,$U277-4)),1),MesCiclo)),IF(ISNUMBER($AR277),DATE(YEAR($AR277),MONTH($AR277),1),IF(ISNUMBER($AS277),DATE(YEAR($AS277),MONTH($AS277),1),MesCiclo))))</f>
        <v/>
      </c>
      <c r="T277" s="62">
        <f>IF(OR($S277="",$S277&lt;&gt;MesCiclo,$V277&lt;&gt;"Macro"),"",COUNTIFS($S$5:$S277,MesCiclo,$V$5:$V277,"Macro"))</f>
        <v/>
      </c>
      <c r="U277" s="62">
        <f>IF($V277="","",IF($V277="Macro",ROW(),IFERROR(LOOKUP(2,1/($V$5:$V277="Macro"),ROW($V$5:$V277)),0)))</f>
        <v/>
      </c>
      <c r="V277" s="62">
        <f>IF(NOT((COUNTA($B277:$D277)+COUNTA($G277:$H277)+COUNTA($Q277))&gt;0),"",IF($B277="Subactividad","Sub","Macro"))</f>
        <v/>
      </c>
      <c r="W277" s="62">
        <f>IF($V277="Macro",COUNTIFS($U$5:$U$1000,ROW(),$V$5:$V$1000,"Sub"),"")</f>
        <v/>
      </c>
      <c r="X277" s="62">
        <f>IF($V277&lt;&gt;"Sub","",IF(AND(ISNUMBER($H277),N($H277)&gt;0),$H277,IFERROR(MAX(0,1-SUMIFS($H$5:$H$1000,$U$5:$U$1000,$U277,$V$5:$V$1000,"Sub"))/(COUNTIFS($U$5:$U$1000,$U277,$V$5:$V$1000,"Sub")-COUNTIFS($U$5:$U$1000,$U277,$V$5:$V$1000,"Sub",$H$5:$H$1000,"&gt;0")),0)))</f>
        <v/>
      </c>
      <c r="Y277" s="62">
        <f>IF($V277="","",IF($V277="Sub",N($X277)*IF(ISNUMBER($G277),1,MIN(1,MAX(0,IFERROR(LOOKUP(2,1/ISNUMBER($I277:$L277),$I277:$L277),0)))),IF(ISNUMBER($G277),1,IFERROR(LOOKUP(2,1/($I277:$L277&lt;&gt;""),$I277:$L277),0))))</f>
        <v/>
      </c>
      <c r="Z277" s="62">
        <f>IF($V277="","",IF(AND(ISNUMBER($G277),$G277&lt;=IF($S277=MesCiclo,InicioCiclo,$S277+MOD(2-WEEKDAY($S277),7))+6),1,IF(ISNUMBER($I277),$I277,0)))</f>
        <v/>
      </c>
      <c r="AA277" s="62">
        <f>IF($V277="","",IF(AND(ISNUMBER($G277),$G277&lt;=IF($S277=MesCiclo,InicioCiclo,$S277+MOD(2-WEEKDAY($S277),7))+13),1,IF(ISNUMBER($J277),$J277,$Z277)))</f>
        <v/>
      </c>
      <c r="AB277" s="62">
        <f>IF($V277="","",IF(AND(ISNUMBER($G277),$G277&lt;=IF($S277=MesCiclo,InicioCiclo,$S277+MOD(2-WEEKDAY($S277),7))+20),1,IF(ISNUMBER($K277),$K277,$AA277)))</f>
        <v/>
      </c>
      <c r="AC277" s="62">
        <f>IF($V277="","",IF(AND(ISNUMBER($G277),$G277&lt;=IF($S277=MesCiclo,InicioCiclo,$S277+MOD(2-WEEKDAY($S277),7))+27),1,IF(ISNUMBER($L277),$L277,$AB277)))</f>
        <v/>
      </c>
      <c r="AD277" s="62">
        <f>IF($V277&lt;&gt;"Sub","",N($X277)*IF(AND(ISNUMBER($G277),$G277&lt;=IF($S277=MesCiclo,InicioCiclo,$S277+MOD(2-WEEKDAY($S277),7))+6),1,MIN(1,MAX(0,IF(ISNUMBER(OFFSET($A$1,ROW()-1,8)),OFFSET($A$1,ROW()-1,8),0)))))</f>
        <v/>
      </c>
      <c r="AE277" s="62">
        <f>IF($V277&lt;&gt;"Sub","",N($X277)*IF(AND(ISNUMBER($G277),$G277&lt;=IF($S277=MesCiclo,InicioCiclo,$S277+MOD(2-WEEKDAY($S277),7))+13),1,MIN(1,MAX(0,IF(ISNUMBER(OFFSET($A$1,ROW()-1,9)),OFFSET($A$1,ROW()-1,9),IF(ISNUMBER(OFFSET($A$1,ROW()-1,8)),OFFSET($A$1,ROW()-1,8),0))))))</f>
        <v/>
      </c>
      <c r="AF277" s="62">
        <f>IF($V277&lt;&gt;"Sub","",N($X277)*IF(AND(ISNUMBER($G277),$G277&lt;=IF($S277=MesCiclo,InicioCiclo,$S277+MOD(2-WEEKDAY($S277),7))+20),1,MIN(1,MAX(0,IF(ISNUMBER(OFFSET($A$1,ROW()-1,10)),OFFSET($A$1,ROW()-1,10),IF(ISNUMBER(OFFSET($A$1,ROW()-1,9)),OFFSET($A$1,ROW()-1,9),IF(ISNUMBER(OFFSET($A$1,ROW()-1,8)),OFFSET($A$1,ROW()-1,8),0)))))))</f>
        <v/>
      </c>
      <c r="AG277" s="62">
        <f>IF($V277&lt;&gt;"Sub","",N($X277)*IF(AND(ISNUMBER($G277),$G277&lt;=IF($S277=MesCiclo,InicioCiclo,$S277+MOD(2-WEEKDAY($S277),7))+27),1,MIN(1,MAX(0,IF(ISNUMBER(OFFSET($A$1,ROW()-1,11)),OFFSET($A$1,ROW()-1,11),IF(ISNUMBER(OFFSET($A$1,ROW()-1,10)),OFFSET($A$1,ROW()-1,10),IF(ISNUMBER(OFFSET($A$1,ROW()-1,9)),OFFSET($A$1,ROW()-1,9),IF(ISNUMBER(OFFSET($A$1,ROW()-1,8)),OFFSET($A$1,ROW()-1,8),0))))))))</f>
        <v/>
      </c>
      <c r="AH277" s="62">
        <f>IF($V277="","",IF(AND(ISNUMBER($G277),$G277&lt;=IF($S277=MesCiclo,InicioCiclo,$S277+MOD(2-WEEKDAY($S277),7))+6),1,IF(N($W277)&gt;0,MIN(1,SUMIFS($AD$5:$AD$1000,$U$5:$U$1000,ROW(),$V$5:$V$1000,"Sub")),$Z277)))</f>
        <v/>
      </c>
      <c r="AI277" s="62">
        <f>IF($V277="","",IF(AND(ISNUMBER($G277),$G277&lt;=IF($S277=MesCiclo,InicioCiclo,$S277+MOD(2-WEEKDAY($S277),7))+13),1,IF(N($W277)&gt;0,MIN(1,SUMIFS($AE$5:$AE$1000,$U$5:$U$1000,ROW(),$V$5:$V$1000,"Sub")),$AA277)))</f>
        <v/>
      </c>
      <c r="AJ277" s="62">
        <f>IF($V277="","",IF(AND(ISNUMBER($G277),$G277&lt;=IF($S277=MesCiclo,InicioCiclo,$S277+MOD(2-WEEKDAY($S277),7))+20),1,IF(N($W277)&gt;0,MIN(1,SUMIFS($AF$5:$AF$1000,$U$5:$U$1000,ROW(),$V$5:$V$1000,"Sub")),$AB277)))</f>
        <v/>
      </c>
      <c r="AK277" s="62">
        <f>IF($V277="","",IF(AND(ISNUMBER($G277),$G277&lt;=IF($S277=MesCiclo,InicioCiclo,$S277+MOD(2-WEEKDAY($S277),7))+27),1,IF(N($W277)&gt;0,MIN(1,SUMIFS($AG$5:$AG$1000,$U$5:$U$1000,ROW(),$V$5:$V$1000,"Sub")),$AC277)))</f>
        <v/>
      </c>
      <c r="AL277" s="62">
        <f>IF($V277&lt;&gt;"Macro","",IF(COUNTIFS($S$5:$S$1000,$S277,$V$5:$V$1000,"Macro",$H$5:$H$1000,"&gt;0")=0,1/COUNTIFS($S$5:$S$1000,$S277,$V$5:$V$1000,"Macro"),IF(AND(ISNUMBER($H277),N($H277)&gt;0),$H277,SUMIFS($H$5:$H$1000,$S$5:$S$1000,$S277,$V$5:$V$1000,"Macro")/COUNTIFS($S$5:$S$1000,$S277,$V$5:$V$1000,"Macro",$H$5:$H$1000,"&gt;0"))/(COUNTIFS($S$5:$S$1000,$S277,$V$5:$V$1000,"Macro")*SUMIFS($H$5:$H$1000,$S$5:$S$1000,$S277,$V$5:$V$1000,"Macro")/COUNTIFS($S$5:$S$1000,$S277,$V$5:$V$1000,"Macro",$H$5:$H$1000,"&gt;0"))))</f>
        <v/>
      </c>
      <c r="AM277" s="62" t="n"/>
      <c r="AN277" s="62" t="n"/>
      <c r="AO277" s="62" t="n"/>
      <c r="AP277" s="62" t="n"/>
      <c r="AQ277" s="62">
        <f>IF(LEFT($C277,11)="[Jefatura] ",IFERROR(MATCH("Asistente Técnico de Riesgo|"&amp;MID($C277,12,500),rDname_ADM,0),0),"")</f>
        <v/>
      </c>
      <c r="AR277" s="62">
        <f>IF(N($AQ277)&gt;0,INDEX(rIni_ADM,$AQ277),IF(ISNUMBER($E277),$E277,""))</f>
        <v/>
      </c>
      <c r="AS277" s="62">
        <f>IF(N($AQ277)&gt;0,INDEX(rLim_ADM,$AQ277),IF(ISNUMBER($F277),$F277,""))</f>
        <v/>
      </c>
    </row>
    <row r="278">
      <c r="A278" s="56">
        <f>IF(NOT((COUNTA($B278:$D278)+COUNTA($G278:$H278)+COUNTA($Q278))&gt;0),"",IF($V278="Macro",COUNTIFS($V$5:$V278,"Macro",$S$5:$S278,$S278),IF(N($U278)=0,"?",COUNTIFS(INDEX($V$5:$V$1000,1):INDEX($V$5:$V$1000,$U278-4),"Macro",INDEX($S$5:$S$1000,1):INDEX($S$5:$S$1000,$U278-4),INDEX($S$5:$S$1000,$U278-4))&amp;"."&amp;COUNTIFS($U$5:$U278,$U278,$V$5:$V278,"Sub"))))</f>
        <v/>
      </c>
      <c r="B278" s="57" t="n"/>
      <c r="C278" s="58" t="n"/>
      <c r="D278" s="58" t="n"/>
      <c r="E278" s="59">
        <f>IF(N($AQ278)&gt;0,INDEX(rIni_ADM,$AQ278),"")</f>
        <v/>
      </c>
      <c r="F278" s="59">
        <f>IF(N($AQ278)&gt;0,INDEX(rLim_ADM,$AQ278),"")</f>
        <v/>
      </c>
      <c r="G278" s="59" t="n"/>
      <c r="H278" s="60" t="n"/>
      <c r="I278" s="60">
        <f>IF(N($W278)=0,"",IF(AND($S278=MesCiclo,1&gt;SemanaActual),"",MIN(1,SUMIFS(OFFSET($A$1,ROW(),29,1000-ROW(),1),OFFSET($A$1,ROW(),20,1000-ROW(),1),ROW(),OFFSET($A$1,ROW(),21,1000-ROW(),1),"Sub"))))</f>
        <v/>
      </c>
      <c r="J278" s="60">
        <f>IF(N($W278)=0,"",IF(AND($S278=MesCiclo,2&gt;SemanaActual),"",MIN(1,SUMIFS(OFFSET($A$1,ROW(),30,1000-ROW(),1),OFFSET($A$1,ROW(),20,1000-ROW(),1),ROW(),OFFSET($A$1,ROW(),21,1000-ROW(),1),"Sub"))))</f>
        <v/>
      </c>
      <c r="K278" s="60">
        <f>IF(N($W278)=0,"",IF(AND($S278=MesCiclo,3&gt;SemanaActual),"",MIN(1,SUMIFS(OFFSET($A$1,ROW(),31,1000-ROW(),1),OFFSET($A$1,ROW(),20,1000-ROW(),1),ROW(),OFFSET($A$1,ROW(),21,1000-ROW(),1),"Sub"))))</f>
        <v/>
      </c>
      <c r="L278" s="60">
        <f>IF(N($W278)=0,"",IF(AND($S278=MesCiclo,4&gt;SemanaActual),"",MIN(1,SUMIFS(OFFSET($A$1,ROW(),32,1000-ROW(),1),OFFSET($A$1,ROW(),20,1000-ROW(),1),ROW(),OFFSET($A$1,ROW(),21,1000-ROW(),1),"Sub"))))</f>
        <v/>
      </c>
      <c r="M278" s="61">
        <f>IF(OR(NOT((COUNTA($B278:$D278)+COUNTA($G278:$H278)+COUNTA($Q278))&gt;0),$V278="Sub"),"",IF(ISNUMBER($G278),1,IF(N($W278)&gt;0,MIN(1,SUMIFS($Y$5:$Y$1000,$U$5:$U$1000,ROW(),$V$5:$V$1000,"Sub")),$Y278)))</f>
        <v/>
      </c>
      <c r="N278" s="56">
        <f>IF(OR($M278="",$V278="Sub"),"",IF($M278&gt;=1,"Completado",IF($M278&gt;0,"En curso","Pendiente")))</f>
        <v/>
      </c>
      <c r="O278" s="56">
        <f>IF(OR(NOT((COUNTA($B278:$D278)+COUNTA($G278:$H278)+COUNTA($Q278))&gt;0),$V278="Sub"),"",IF(ISNUMBER($G278),IF(AND(ISNUMBER($AS278),$G278&gt;$AS278),"Cumplida con "&amp;($G278-$AS278)&amp;IF($G278-$AS278=1," día"," días")&amp;" de retraso","Cumplida"),IF(N($M278)&gt;=1,"Cumplida",IF(NOT(ISNUMBER($AS278)),"Sin fecha límite",IF($AS278&lt;FechaRef,"Vencida hace "&amp;(FechaRef-$AS278)&amp;IF(FechaRef-$AS278=1," día"," días"),IF($AS278=FechaRef,"Vence hoy",IF($AS278-FechaRef&lt;=DiasAlerta,"Vence en "&amp;($AS278-FechaRef)&amp;IF($AS278-FechaRef=1," día"," días"),"En plazo")))))))</f>
        <v/>
      </c>
      <c r="P278" s="62" t="n"/>
      <c r="Q278" s="58" t="n"/>
      <c r="R278" s="63">
        <f>IF(NOT((COUNTA($B278:$D278)+COUNTA($G278:$H278)+COUNTA($Q278))&gt;0),"",IF((IF($C278="","Falta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 OK","⚠ "&amp;LEFT(IF($C278="","Falta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",""),LEN(IF($C278="","Falta el nombre de la actividad"&amp;" · ","")&amp;IF(AND($V278="Sub",N($U278)=0),"Subactividad sin macroactividad arriba"&amp;" · ","")&amp;IF(AND($V278="Macro",$AR278=""),"Sin fecha de inicio"&amp;" · ","")&amp;IF(AND($V278="Macro",$AS278=""),"Sin fecha límite"&amp;" · ","")&amp;IF(AND(LEFT($C278,11)="[Jefatura] ",N($AQ278)=0),"No se encuentra en la hoja de la jefatura (elíjala de nuevo en la lista)"&amp;" · ","")&amp;IF(OR(AND($E278&lt;&gt;"",NOT(ISNUMBER($E278))),AND($F278&lt;&gt;"",NOT(ISNUMBER($F278))),AND($G278&lt;&gt;"",NOT(ISNUMBER($G278)))),"Fecha no válida"&amp;" · ","")&amp;IF(AND(ISNUMBER($AR278),ISNUMBER($AS278),$AR278&gt;$AS278),"Inicio posterior a fecha límite"&amp;" · ","")&amp;IF(AND($V278="Macro",$H278&lt;&gt;"",OR(NOT(ISNUMBER($H278)),$H278&lt;0,$H278&gt;1)),"Peso fuera de rango"&amp;" · ","")&amp;IF(AND($V278="Sub",$H278&lt;&gt;"",OR(NOT(ISNUMBER($H278)),$H278&lt;0,$H278&gt;1)),"% de la subactividad fuera de rango 0-100%"&amp;" · ","")&amp;IF(AND(N($W278)&gt;0,SUMIFS($H$5:$H$1000,$U$5:$U$1000,ROW(),$V$5:$V$1000,"Sub")&gt;1.0001),"Las subactividades suman más de 100%"&amp;" · ","")&amp;IF(AND(N($W278)&gt;0,OR(IF(ISNUMBER($I278),ROUND($I278,6)&lt;&gt;ROUND(MIN(1,SUMIFS($AD$5:$AD$1000,$U$5:$U$1000,ROW(),$V$5:$V$1000,"Sub")),6),FALSE),IF(ISNUMBER($J278),ROUND($J278,6)&lt;&gt;ROUND(MIN(1,SUMIFS($AE$5:$AE$1000,$U$5:$U$1000,ROW(),$V$5:$V$1000,"Sub")),6),FALSE),IF(ISNUMBER($K278),ROUND($K278,6)&lt;&gt;ROUND(MIN(1,SUMIFS($AF$5:$AF$1000,$U$5:$U$1000,ROW(),$V$5:$V$1000,"Sub")),6),FALSE),IF(ISNUMBER($L278),ROUND($L278,6)&lt;&gt;ROUND(MIN(1,SUMIFS($AG$5:$AG$1000,$U$5:$U$1000,ROW(),$V$5:$V$1000,"Sub")),6),FALSE))),"Con subactividades: no escriba en las semanas (se llenan solas)"&amp;" · ","")&amp;IF((COUNTIF($I278:$L278,"&gt;1")+COUNTIF($I278:$L278,"&lt;0")+SUMPRODUCT((LEN($I278:$L278)&gt;0)*NOT(ISNUMBER($I278:$L278))))&gt;0,"Avance fuera de rango 0-100%"&amp;" · ","")&amp;IF(OR(AND(ISNUMBER($J278),$J278&lt;N($I278)),AND(ISNUMBER($K278),$K278&lt;MAX($I278:$J278)),AND(ISNUMBER($L278),$L278&lt;MAX($I278:$K278))),"Avance semanal decreciente"&amp;" · ","")&amp;IF(AND(ISNUMBER($AS278),$AS278&lt;FechaRef,IF($V278="Sub",1,N($M278))&lt;1),"Vencida"&amp;" · ","")&amp;IF(AND(ObsObligatoria="Sí",ISNUMBER($AS278),$AS278&lt;FechaRef,IF($V278="Sub",1,N($M278))&lt;1,$Q278=""),"Vencida sin observación"&amp;" · ",""))-3)))</f>
        <v/>
      </c>
      <c r="S278" s="64">
        <f>IF(NOT((COUNTA($B278:$D278)+COUNTA($G278:$H278)+COUNTA($Q278))&gt;0),"",IF(AND($V278="Sub",N($U278)&gt;0),IF(ISNUMBER(INDEX($AR$5:$AR$1000,$U278-4)),DATE(YEAR(INDEX($AR$5:$AR$1000,$U278-4)),MONTH(INDEX($AR$5:$AR$1000,$U278-4)),1),IF(ISNUMBER(INDEX($AS$5:$AS$1000,$U278-4)),DATE(YEAR(INDEX($AS$5:$AS$1000,$U278-4)),MONTH(INDEX($AS$5:$AS$1000,$U278-4)),1),MesCiclo)),IF(ISNUMBER($AR278),DATE(YEAR($AR278),MONTH($AR278),1),IF(ISNUMBER($AS278),DATE(YEAR($AS278),MONTH($AS278),1),MesCiclo))))</f>
        <v/>
      </c>
      <c r="T278" s="62">
        <f>IF(OR($S278="",$S278&lt;&gt;MesCiclo,$V278&lt;&gt;"Macro"),"",COUNTIFS($S$5:$S278,MesCiclo,$V$5:$V278,"Macro"))</f>
        <v/>
      </c>
      <c r="U278" s="62">
        <f>IF($V278="","",IF($V278="Macro",ROW(),IFERROR(LOOKUP(2,1/($V$5:$V278="Macro"),ROW($V$5:$V278)),0)))</f>
        <v/>
      </c>
      <c r="V278" s="62">
        <f>IF(NOT((COUNTA($B278:$D278)+COUNTA($G278:$H278)+COUNTA($Q278))&gt;0),"",IF($B278="Subactividad","Sub","Macro"))</f>
        <v/>
      </c>
      <c r="W278" s="62">
        <f>IF($V278="Macro",COUNTIFS($U$5:$U$1000,ROW(),$V$5:$V$1000,"Sub"),"")</f>
        <v/>
      </c>
      <c r="X278" s="62">
        <f>IF($V278&lt;&gt;"Sub","",IF(AND(ISNUMBER($H278),N($H278)&gt;0),$H278,IFERROR(MAX(0,1-SUMIFS($H$5:$H$1000,$U$5:$U$1000,$U278,$V$5:$V$1000,"Sub"))/(COUNTIFS($U$5:$U$1000,$U278,$V$5:$V$1000,"Sub")-COUNTIFS($U$5:$U$1000,$U278,$V$5:$V$1000,"Sub",$H$5:$H$1000,"&gt;0")),0)))</f>
        <v/>
      </c>
      <c r="Y278" s="62">
        <f>IF($V278="","",IF($V278="Sub",N($X278)*IF(ISNUMBER($G278),1,MIN(1,MAX(0,IFERROR(LOOKUP(2,1/ISNUMBER($I278:$L278),$I278:$L278),0)))),IF(ISNUMBER($G278),1,IFERROR(LOOKUP(2,1/($I278:$L278&lt;&gt;""),$I278:$L278),0))))</f>
        <v/>
      </c>
      <c r="Z278" s="62">
        <f>IF($V278="","",IF(AND(ISNUMBER($G278),$G278&lt;=IF($S278=MesCiclo,InicioCiclo,$S278+MOD(2-WEEKDAY($S278),7))+6),1,IF(ISNUMBER($I278),$I278,0)))</f>
        <v/>
      </c>
      <c r="AA278" s="62">
        <f>IF($V278="","",IF(AND(ISNUMBER($G278),$G278&lt;=IF($S278=MesCiclo,InicioCiclo,$S278+MOD(2-WEEKDAY($S278),7))+13),1,IF(ISNUMBER($J278),$J278,$Z278)))</f>
        <v/>
      </c>
      <c r="AB278" s="62">
        <f>IF($V278="","",IF(AND(ISNUMBER($G278),$G278&lt;=IF($S278=MesCiclo,InicioCiclo,$S278+MOD(2-WEEKDAY($S278),7))+20),1,IF(ISNUMBER($K278),$K278,$AA278)))</f>
        <v/>
      </c>
      <c r="AC278" s="62">
        <f>IF($V278="","",IF(AND(ISNUMBER($G278),$G278&lt;=IF($S278=MesCiclo,InicioCiclo,$S278+MOD(2-WEEKDAY($S278),7))+27),1,IF(ISNUMBER($L278),$L278,$AB278)))</f>
        <v/>
      </c>
      <c r="AD278" s="62">
        <f>IF($V278&lt;&gt;"Sub","",N($X278)*IF(AND(ISNUMBER($G278),$G278&lt;=IF($S278=MesCiclo,InicioCiclo,$S278+MOD(2-WEEKDAY($S278),7))+6),1,MIN(1,MAX(0,IF(ISNUMBER(OFFSET($A$1,ROW()-1,8)),OFFSET($A$1,ROW()-1,8),0)))))</f>
        <v/>
      </c>
      <c r="AE278" s="62">
        <f>IF($V278&lt;&gt;"Sub","",N($X278)*IF(AND(ISNUMBER($G278),$G278&lt;=IF($S278=MesCiclo,InicioCiclo,$S278+MOD(2-WEEKDAY($S278),7))+13),1,MIN(1,MAX(0,IF(ISNUMBER(OFFSET($A$1,ROW()-1,9)),OFFSET($A$1,ROW()-1,9),IF(ISNUMBER(OFFSET($A$1,ROW()-1,8)),OFFSET($A$1,ROW()-1,8),0))))))</f>
        <v/>
      </c>
      <c r="AF278" s="62">
        <f>IF($V278&lt;&gt;"Sub","",N($X278)*IF(AND(ISNUMBER($G278),$G278&lt;=IF($S278=MesCiclo,InicioCiclo,$S278+MOD(2-WEEKDAY($S278),7))+20),1,MIN(1,MAX(0,IF(ISNUMBER(OFFSET($A$1,ROW()-1,10)),OFFSET($A$1,ROW()-1,10),IF(ISNUMBER(OFFSET($A$1,ROW()-1,9)),OFFSET($A$1,ROW()-1,9),IF(ISNUMBER(OFFSET($A$1,ROW()-1,8)),OFFSET($A$1,ROW()-1,8),0)))))))</f>
        <v/>
      </c>
      <c r="AG278" s="62">
        <f>IF($V278&lt;&gt;"Sub","",N($X278)*IF(AND(ISNUMBER($G278),$G278&lt;=IF($S278=MesCiclo,InicioCiclo,$S278+MOD(2-WEEKDAY($S278),7))+27),1,MIN(1,MAX(0,IF(ISNUMBER(OFFSET($A$1,ROW()-1,11)),OFFSET($A$1,ROW()-1,11),IF(ISNUMBER(OFFSET($A$1,ROW()-1,10)),OFFSET($A$1,ROW()-1,10),IF(ISNUMBER(OFFSET($A$1,ROW()-1,9)),OFFSET($A$1,ROW()-1,9),IF(ISNUMBER(OFFSET($A$1,ROW()-1,8)),OFFSET($A$1,ROW()-1,8),0))))))))</f>
        <v/>
      </c>
      <c r="AH278" s="62">
        <f>IF($V278="","",IF(AND(ISNUMBER($G278),$G278&lt;=IF($S278=MesCiclo,InicioCiclo,$S278+MOD(2-WEEKDAY($S278),7))+6),1,IF(N($W278)&gt;0,MIN(1,SUMIFS($AD$5:$AD$1000,$U$5:$U$1000,ROW(),$V$5:$V$1000,"Sub")),$Z278)))</f>
        <v/>
      </c>
      <c r="AI278" s="62">
        <f>IF($V278="","",IF(AND(ISNUMBER($G278),$G278&lt;=IF($S278=MesCiclo,InicioCiclo,$S278+MOD(2-WEEKDAY($S278),7))+13),1,IF(N($W278)&gt;0,MIN(1,SUMIFS($AE$5:$AE$1000,$U$5:$U$1000,ROW(),$V$5:$V$1000,"Sub")),$AA278)))</f>
        <v/>
      </c>
      <c r="AJ278" s="62">
        <f>IF($V278="","",IF(AND(ISNUMBER($G278),$G278&lt;=IF($S278=MesCiclo,InicioCiclo,$S278+MOD(2-WEEKDAY($S278),7))+20),1,IF(N($W278)&gt;0,MIN(1,SUMIFS($AF$5:$AF$1000,$U$5:$U$1000,ROW(),$V$5:$V$1000,"Sub")),$AB278)))</f>
        <v/>
      </c>
      <c r="AK278" s="62">
        <f>IF($V278="","",IF(AND(ISNUMBER($G278),$G278&lt;=IF($S278=MesCiclo,InicioCiclo,$S278+MOD(2-WEEKDAY($S278),7))+27),1,IF(N($W278)&gt;0,MIN(1,SUMIFS($AG$5:$AG$1000,$U$5:$U$1000,ROW(),$V$5:$V$1000,"Sub")),$AC278)))</f>
        <v/>
      </c>
      <c r="AL278" s="62">
        <f>IF($V278&lt;&gt;"Macro","",IF(COUNTIFS($S$5:$S$1000,$S278,$V$5:$V$1000,"Macro",$H$5:$H$1000,"&gt;0")=0,1/COUNTIFS($S$5:$S$1000,$S278,$V$5:$V$1000,"Macro"),IF(AND(ISNUMBER($H278),N($H278)&gt;0),$H278,SUMIFS($H$5:$H$1000,$S$5:$S$1000,$S278,$V$5:$V$1000,"Macro")/COUNTIFS($S$5:$S$1000,$S278,$V$5:$V$1000,"Macro",$H$5:$H$1000,"&gt;0"))/(COUNTIFS($S$5:$S$1000,$S278,$V$5:$V$1000,"Macro")*SUMIFS($H$5:$H$1000,$S$5:$S$1000,$S278,$V$5:$V$1000,"Macro")/COUNTIFS($S$5:$S$1000,$S278,$V$5:$V$1000,"Macro",$H$5:$H$1000,"&gt;0"))))</f>
        <v/>
      </c>
      <c r="AM278" s="62" t="n"/>
      <c r="AN278" s="62" t="n"/>
      <c r="AO278" s="62" t="n"/>
      <c r="AP278" s="62" t="n"/>
      <c r="AQ278" s="62">
        <f>IF(LEFT($C278,11)="[Jefatura] ",IFERROR(MATCH("Asistente Técnico de Riesgo|"&amp;MID($C278,12,500),rDname_ADM,0),0),"")</f>
        <v/>
      </c>
      <c r="AR278" s="62">
        <f>IF(N($AQ278)&gt;0,INDEX(rIni_ADM,$AQ278),IF(ISNUMBER($E278),$E278,""))</f>
        <v/>
      </c>
      <c r="AS278" s="62">
        <f>IF(N($AQ278)&gt;0,INDEX(rLim_ADM,$AQ278),IF(ISNUMBER($F278),$F278,""))</f>
        <v/>
      </c>
    </row>
    <row r="279">
      <c r="A279" s="56">
        <f>IF(NOT((COUNTA($B279:$D279)+COUNTA($G279:$H279)+COUNTA($Q279))&gt;0),"",IF($V279="Macro",COUNTIFS($V$5:$V279,"Macro",$S$5:$S279,$S279),IF(N($U279)=0,"?",COUNTIFS(INDEX($V$5:$V$1000,1):INDEX($V$5:$V$1000,$U279-4),"Macro",INDEX($S$5:$S$1000,1):INDEX($S$5:$S$1000,$U279-4),INDEX($S$5:$S$1000,$U279-4))&amp;"."&amp;COUNTIFS($U$5:$U279,$U279,$V$5:$V279,"Sub"))))</f>
        <v/>
      </c>
      <c r="B279" s="57" t="n"/>
      <c r="C279" s="58" t="n"/>
      <c r="D279" s="58" t="n"/>
      <c r="E279" s="59">
        <f>IF(N($AQ279)&gt;0,INDEX(rIni_ADM,$AQ279),"")</f>
        <v/>
      </c>
      <c r="F279" s="59">
        <f>IF(N($AQ279)&gt;0,INDEX(rLim_ADM,$AQ279),"")</f>
        <v/>
      </c>
      <c r="G279" s="59" t="n"/>
      <c r="H279" s="60" t="n"/>
      <c r="I279" s="60">
        <f>IF(N($W279)=0,"",IF(AND($S279=MesCiclo,1&gt;SemanaActual),"",MIN(1,SUMIFS(OFFSET($A$1,ROW(),29,1000-ROW(),1),OFFSET($A$1,ROW(),20,1000-ROW(),1),ROW(),OFFSET($A$1,ROW(),21,1000-ROW(),1),"Sub"))))</f>
        <v/>
      </c>
      <c r="J279" s="60">
        <f>IF(N($W279)=0,"",IF(AND($S279=MesCiclo,2&gt;SemanaActual),"",MIN(1,SUMIFS(OFFSET($A$1,ROW(),30,1000-ROW(),1),OFFSET($A$1,ROW(),20,1000-ROW(),1),ROW(),OFFSET($A$1,ROW(),21,1000-ROW(),1),"Sub"))))</f>
        <v/>
      </c>
      <c r="K279" s="60">
        <f>IF(N($W279)=0,"",IF(AND($S279=MesCiclo,3&gt;SemanaActual),"",MIN(1,SUMIFS(OFFSET($A$1,ROW(),31,1000-ROW(),1),OFFSET($A$1,ROW(),20,1000-ROW(),1),ROW(),OFFSET($A$1,ROW(),21,1000-ROW(),1),"Sub"))))</f>
        <v/>
      </c>
      <c r="L279" s="60">
        <f>IF(N($W279)=0,"",IF(AND($S279=MesCiclo,4&gt;SemanaActual),"",MIN(1,SUMIFS(OFFSET($A$1,ROW(),32,1000-ROW(),1),OFFSET($A$1,ROW(),20,1000-ROW(),1),ROW(),OFFSET($A$1,ROW(),21,1000-ROW(),1),"Sub"))))</f>
        <v/>
      </c>
      <c r="M279" s="61">
        <f>IF(OR(NOT((COUNTA($B279:$D279)+COUNTA($G279:$H279)+COUNTA($Q279))&gt;0),$V279="Sub"),"",IF(ISNUMBER($G279),1,IF(N($W279)&gt;0,MIN(1,SUMIFS($Y$5:$Y$1000,$U$5:$U$1000,ROW(),$V$5:$V$1000,"Sub")),$Y279)))</f>
        <v/>
      </c>
      <c r="N279" s="56">
        <f>IF(OR($M279="",$V279="Sub"),"",IF($M279&gt;=1,"Completado",IF($M279&gt;0,"En curso","Pendiente")))</f>
        <v/>
      </c>
      <c r="O279" s="56">
        <f>IF(OR(NOT((COUNTA($B279:$D279)+COUNTA($G279:$H279)+COUNTA($Q279))&gt;0),$V279="Sub"),"",IF(ISNUMBER($G279),IF(AND(ISNUMBER($AS279),$G279&gt;$AS279),"Cumplida con "&amp;($G279-$AS279)&amp;IF($G279-$AS279=1," día"," días")&amp;" de retraso","Cumplida"),IF(N($M279)&gt;=1,"Cumplida",IF(NOT(ISNUMBER($AS279)),"Sin fecha límite",IF($AS279&lt;FechaRef,"Vencida hace "&amp;(FechaRef-$AS279)&amp;IF(FechaRef-$AS279=1," día"," días"),IF($AS279=FechaRef,"Vence hoy",IF($AS279-FechaRef&lt;=DiasAlerta,"Vence en "&amp;($AS279-FechaRef)&amp;IF($AS279-FechaRef=1," día"," días"),"En plazo")))))))</f>
        <v/>
      </c>
      <c r="P279" s="62" t="n"/>
      <c r="Q279" s="58" t="n"/>
      <c r="R279" s="63">
        <f>IF(NOT((COUNTA($B279:$D279)+COUNTA($G279:$H279)+COUNTA($Q279))&gt;0),"",IF((IF($C279="","Falta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 OK","⚠ "&amp;LEFT(IF($C279="","Falta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",""),LEN(IF($C279="","Falta el nombre de la actividad"&amp;" · ","")&amp;IF(AND($V279="Sub",N($U279)=0),"Subactividad sin macroactividad arriba"&amp;" · ","")&amp;IF(AND($V279="Macro",$AR279=""),"Sin fecha de inicio"&amp;" · ","")&amp;IF(AND($V279="Macro",$AS279=""),"Sin fecha límite"&amp;" · ","")&amp;IF(AND(LEFT($C279,11)="[Jefatura] ",N($AQ279)=0),"No se encuentra en la hoja de la jefatura (elíjala de nuevo en la lista)"&amp;" · ","")&amp;IF(OR(AND($E279&lt;&gt;"",NOT(ISNUMBER($E279))),AND($F279&lt;&gt;"",NOT(ISNUMBER($F279))),AND($G279&lt;&gt;"",NOT(ISNUMBER($G279)))),"Fecha no válida"&amp;" · ","")&amp;IF(AND(ISNUMBER($AR279),ISNUMBER($AS279),$AR279&gt;$AS279),"Inicio posterior a fecha límite"&amp;" · ","")&amp;IF(AND($V279="Macro",$H279&lt;&gt;"",OR(NOT(ISNUMBER($H279)),$H279&lt;0,$H279&gt;1)),"Peso fuera de rango"&amp;" · ","")&amp;IF(AND($V279="Sub",$H279&lt;&gt;"",OR(NOT(ISNUMBER($H279)),$H279&lt;0,$H279&gt;1)),"% de la subactividad fuera de rango 0-100%"&amp;" · ","")&amp;IF(AND(N($W279)&gt;0,SUMIFS($H$5:$H$1000,$U$5:$U$1000,ROW(),$V$5:$V$1000,"Sub")&gt;1.0001),"Las subactividades suman más de 100%"&amp;" · ","")&amp;IF(AND(N($W279)&gt;0,OR(IF(ISNUMBER($I279),ROUND($I279,6)&lt;&gt;ROUND(MIN(1,SUMIFS($AD$5:$AD$1000,$U$5:$U$1000,ROW(),$V$5:$V$1000,"Sub")),6),FALSE),IF(ISNUMBER($J279),ROUND($J279,6)&lt;&gt;ROUND(MIN(1,SUMIFS($AE$5:$AE$1000,$U$5:$U$1000,ROW(),$V$5:$V$1000,"Sub")),6),FALSE),IF(ISNUMBER($K279),ROUND($K279,6)&lt;&gt;ROUND(MIN(1,SUMIFS($AF$5:$AF$1000,$U$5:$U$1000,ROW(),$V$5:$V$1000,"Sub")),6),FALSE),IF(ISNUMBER($L279),ROUND($L279,6)&lt;&gt;ROUND(MIN(1,SUMIFS($AG$5:$AG$1000,$U$5:$U$1000,ROW(),$V$5:$V$1000,"Sub")),6),FALSE))),"Con subactividades: no escriba en las semanas (se llenan solas)"&amp;" · ","")&amp;IF((COUNTIF($I279:$L279,"&gt;1")+COUNTIF($I279:$L279,"&lt;0")+SUMPRODUCT((LEN($I279:$L279)&gt;0)*NOT(ISNUMBER($I279:$L279))))&gt;0,"Avance fuera de rango 0-100%"&amp;" · ","")&amp;IF(OR(AND(ISNUMBER($J279),$J279&lt;N($I279)),AND(ISNUMBER($K279),$K279&lt;MAX($I279:$J279)),AND(ISNUMBER($L279),$L279&lt;MAX($I279:$K279))),"Avance semanal decreciente"&amp;" · ","")&amp;IF(AND(ISNUMBER($AS279),$AS279&lt;FechaRef,IF($V279="Sub",1,N($M279))&lt;1),"Vencida"&amp;" · ","")&amp;IF(AND(ObsObligatoria="Sí",ISNUMBER($AS279),$AS279&lt;FechaRef,IF($V279="Sub",1,N($M279))&lt;1,$Q279=""),"Vencida sin observación"&amp;" · ",""))-3)))</f>
        <v/>
      </c>
      <c r="S279" s="64">
        <f>IF(NOT((COUNTA($B279:$D279)+COUNTA($G279:$H279)+COUNTA($Q279))&gt;0),"",IF(AND($V279="Sub",N($U279)&gt;0),IF(ISNUMBER(INDEX($AR$5:$AR$1000,$U279-4)),DATE(YEAR(INDEX($AR$5:$AR$1000,$U279-4)),MONTH(INDEX($AR$5:$AR$1000,$U279-4)),1),IF(ISNUMBER(INDEX($AS$5:$AS$1000,$U279-4)),DATE(YEAR(INDEX($AS$5:$AS$1000,$U279-4)),MONTH(INDEX($AS$5:$AS$1000,$U279-4)),1),MesCiclo)),IF(ISNUMBER($AR279),DATE(YEAR($AR279),MONTH($AR279),1),IF(ISNUMBER($AS279),DATE(YEAR($AS279),MONTH($AS279),1),MesCiclo))))</f>
        <v/>
      </c>
      <c r="T279" s="62">
        <f>IF(OR($S279="",$S279&lt;&gt;MesCiclo,$V279&lt;&gt;"Macro"),"",COUNTIFS($S$5:$S279,MesCiclo,$V$5:$V279,"Macro"))</f>
        <v/>
      </c>
      <c r="U279" s="62">
        <f>IF($V279="","",IF($V279="Macro",ROW(),IFERROR(LOOKUP(2,1/($V$5:$V279="Macro"),ROW($V$5:$V279)),0)))</f>
        <v/>
      </c>
      <c r="V279" s="62">
        <f>IF(NOT((COUNTA($B279:$D279)+COUNTA($G279:$H279)+COUNTA($Q279))&gt;0),"",IF($B279="Subactividad","Sub","Macro"))</f>
        <v/>
      </c>
      <c r="W279" s="62">
        <f>IF($V279="Macro",COUNTIFS($U$5:$U$1000,ROW(),$V$5:$V$1000,"Sub"),"")</f>
        <v/>
      </c>
      <c r="X279" s="62">
        <f>IF($V279&lt;&gt;"Sub","",IF(AND(ISNUMBER($H279),N($H279)&gt;0),$H279,IFERROR(MAX(0,1-SUMIFS($H$5:$H$1000,$U$5:$U$1000,$U279,$V$5:$V$1000,"Sub"))/(COUNTIFS($U$5:$U$1000,$U279,$V$5:$V$1000,"Sub")-COUNTIFS($U$5:$U$1000,$U279,$V$5:$V$1000,"Sub",$H$5:$H$1000,"&gt;0")),0)))</f>
        <v/>
      </c>
      <c r="Y279" s="62">
        <f>IF($V279="","",IF($V279="Sub",N($X279)*IF(ISNUMBER($G279),1,MIN(1,MAX(0,IFERROR(LOOKUP(2,1/ISNUMBER($I279:$L279),$I279:$L279),0)))),IF(ISNUMBER($G279),1,IFERROR(LOOKUP(2,1/($I279:$L279&lt;&gt;""),$I279:$L279),0))))</f>
        <v/>
      </c>
      <c r="Z279" s="62">
        <f>IF($V279="","",IF(AND(ISNUMBER($G279),$G279&lt;=IF($S279=MesCiclo,InicioCiclo,$S279+MOD(2-WEEKDAY($S279),7))+6),1,IF(ISNUMBER($I279),$I279,0)))</f>
        <v/>
      </c>
      <c r="AA279" s="62">
        <f>IF($V279="","",IF(AND(ISNUMBER($G279),$G279&lt;=IF($S279=MesCiclo,InicioCiclo,$S279+MOD(2-WEEKDAY($S279),7))+13),1,IF(ISNUMBER($J279),$J279,$Z279)))</f>
        <v/>
      </c>
      <c r="AB279" s="62">
        <f>IF($V279="","",IF(AND(ISNUMBER($G279),$G279&lt;=IF($S279=MesCiclo,InicioCiclo,$S279+MOD(2-WEEKDAY($S279),7))+20),1,IF(ISNUMBER($K279),$K279,$AA279)))</f>
        <v/>
      </c>
      <c r="AC279" s="62">
        <f>IF($V279="","",IF(AND(ISNUMBER($G279),$G279&lt;=IF($S279=MesCiclo,InicioCiclo,$S279+MOD(2-WEEKDAY($S279),7))+27),1,IF(ISNUMBER($L279),$L279,$AB279)))</f>
        <v/>
      </c>
      <c r="AD279" s="62">
        <f>IF($V279&lt;&gt;"Sub","",N($X279)*IF(AND(ISNUMBER($G279),$G279&lt;=IF($S279=MesCiclo,InicioCiclo,$S279+MOD(2-WEEKDAY($S279),7))+6),1,MIN(1,MAX(0,IF(ISNUMBER(OFFSET($A$1,ROW()-1,8)),OFFSET($A$1,ROW()-1,8),0)))))</f>
        <v/>
      </c>
      <c r="AE279" s="62">
        <f>IF($V279&lt;&gt;"Sub","",N($X279)*IF(AND(ISNUMBER($G279),$G279&lt;=IF($S279=MesCiclo,InicioCiclo,$S279+MOD(2-WEEKDAY($S279),7))+13),1,MIN(1,MAX(0,IF(ISNUMBER(OFFSET($A$1,ROW()-1,9)),OFFSET($A$1,ROW()-1,9),IF(ISNUMBER(OFFSET($A$1,ROW()-1,8)),OFFSET($A$1,ROW()-1,8),0))))))</f>
        <v/>
      </c>
      <c r="AF279" s="62">
        <f>IF($V279&lt;&gt;"Sub","",N($X279)*IF(AND(ISNUMBER($G279),$G279&lt;=IF($S279=MesCiclo,InicioCiclo,$S279+MOD(2-WEEKDAY($S279),7))+20),1,MIN(1,MAX(0,IF(ISNUMBER(OFFSET($A$1,ROW()-1,10)),OFFSET($A$1,ROW()-1,10),IF(ISNUMBER(OFFSET($A$1,ROW()-1,9)),OFFSET($A$1,ROW()-1,9),IF(ISNUMBER(OFFSET($A$1,ROW()-1,8)),OFFSET($A$1,ROW()-1,8),0)))))))</f>
        <v/>
      </c>
      <c r="AG279" s="62">
        <f>IF($V279&lt;&gt;"Sub","",N($X279)*IF(AND(ISNUMBER($G279),$G279&lt;=IF($S279=MesCiclo,InicioCiclo,$S279+MOD(2-WEEKDAY($S279),7))+27),1,MIN(1,MAX(0,IF(ISNUMBER(OFFSET($A$1,ROW()-1,11)),OFFSET($A$1,ROW()-1,11),IF(ISNUMBER(OFFSET($A$1,ROW()-1,10)),OFFSET($A$1,ROW()-1,10),IF(ISNUMBER(OFFSET($A$1,ROW()-1,9)),OFFSET($A$1,ROW()-1,9),IF(ISNUMBER(OFFSET($A$1,ROW()-1,8)),OFFSET($A$1,ROW()-1,8),0))))))))</f>
        <v/>
      </c>
      <c r="AH279" s="62">
        <f>IF($V279="","",IF(AND(ISNUMBER($G279),$G279&lt;=IF($S279=MesCiclo,InicioCiclo,$S279+MOD(2-WEEKDAY($S279),7))+6),1,IF(N($W279)&gt;0,MIN(1,SUMIFS($AD$5:$AD$1000,$U$5:$U$1000,ROW(),$V$5:$V$1000,"Sub")),$Z279)))</f>
        <v/>
      </c>
      <c r="AI279" s="62">
        <f>IF($V279="","",IF(AND(ISNUMBER($G279),$G279&lt;=IF($S279=MesCiclo,InicioCiclo,$S279+MOD(2-WEEKDAY($S279),7))+13),1,IF(N($W279)&gt;0,MIN(1,SUMIFS($AE$5:$AE$1000,$U$5:$U$1000,ROW(),$V$5:$V$1000,"Sub")),$AA279)))</f>
        <v/>
      </c>
      <c r="AJ279" s="62">
        <f>IF($V279="","",IF(AND(ISNUMBER($G279),$G279&lt;=IF($S279=MesCiclo,InicioCiclo,$S279+MOD(2-WEEKDAY($S279),7))+20),1,IF(N($W279)&gt;0,MIN(1,SUMIFS($AF$5:$AF$1000,$U$5:$U$1000,ROW(),$V$5:$V$1000,"Sub")),$AB279)))</f>
        <v/>
      </c>
      <c r="AK279" s="62">
        <f>IF($V279="","",IF(AND(ISNUMBER($G279),$G279&lt;=IF($S279=MesCiclo,InicioCiclo,$S279+MOD(2-WEEKDAY($S279),7))+27),1,IF(N($W279)&gt;0,MIN(1,SUMIFS($AG$5:$AG$1000,$U$5:$U$1000,ROW(),$V$5:$V$1000,"Sub")),$AC279)))</f>
        <v/>
      </c>
      <c r="AL279" s="62">
        <f>IF($V279&lt;&gt;"Macro","",IF(COUNTIFS($S$5:$S$1000,$S279,$V$5:$V$1000,"Macro",$H$5:$H$1000,"&gt;0")=0,1/COUNTIFS($S$5:$S$1000,$S279,$V$5:$V$1000,"Macro"),IF(AND(ISNUMBER($H279),N($H279)&gt;0),$H279,SUMIFS($H$5:$H$1000,$S$5:$S$1000,$S279,$V$5:$V$1000,"Macro")/COUNTIFS($S$5:$S$1000,$S279,$V$5:$V$1000,"Macro",$H$5:$H$1000,"&gt;0"))/(COUNTIFS($S$5:$S$1000,$S279,$V$5:$V$1000,"Macro")*SUMIFS($H$5:$H$1000,$S$5:$S$1000,$S279,$V$5:$V$1000,"Macro")/COUNTIFS($S$5:$S$1000,$S279,$V$5:$V$1000,"Macro",$H$5:$H$1000,"&gt;0"))))</f>
        <v/>
      </c>
      <c r="AM279" s="62" t="n"/>
      <c r="AN279" s="62" t="n"/>
      <c r="AO279" s="62" t="n"/>
      <c r="AP279" s="62" t="n"/>
      <c r="AQ279" s="62">
        <f>IF(LEFT($C279,11)="[Jefatura] ",IFERROR(MATCH("Asistente Técnico de Riesgo|"&amp;MID($C279,12,500),rDname_ADM,0),0),"")</f>
        <v/>
      </c>
      <c r="AR279" s="62">
        <f>IF(N($AQ279)&gt;0,INDEX(rIni_ADM,$AQ279),IF(ISNUMBER($E279),$E279,""))</f>
        <v/>
      </c>
      <c r="AS279" s="62">
        <f>IF(N($AQ279)&gt;0,INDEX(rLim_ADM,$AQ279),IF(ISNUMBER($F279),$F279,""))</f>
        <v/>
      </c>
    </row>
    <row r="280">
      <c r="A280" s="56">
        <f>IF(NOT((COUNTA($B280:$D280)+COUNTA($G280:$H280)+COUNTA($Q280))&gt;0),"",IF($V280="Macro",COUNTIFS($V$5:$V280,"Macro",$S$5:$S280,$S280),IF(N($U280)=0,"?",COUNTIFS(INDEX($V$5:$V$1000,1):INDEX($V$5:$V$1000,$U280-4),"Macro",INDEX($S$5:$S$1000,1):INDEX($S$5:$S$1000,$U280-4),INDEX($S$5:$S$1000,$U280-4))&amp;"."&amp;COUNTIFS($U$5:$U280,$U280,$V$5:$V280,"Sub"))))</f>
        <v/>
      </c>
      <c r="B280" s="57" t="n"/>
      <c r="C280" s="58" t="n"/>
      <c r="D280" s="58" t="n"/>
      <c r="E280" s="59">
        <f>IF(N($AQ280)&gt;0,INDEX(rIni_ADM,$AQ280),"")</f>
        <v/>
      </c>
      <c r="F280" s="59">
        <f>IF(N($AQ280)&gt;0,INDEX(rLim_ADM,$AQ280),"")</f>
        <v/>
      </c>
      <c r="G280" s="59" t="n"/>
      <c r="H280" s="60" t="n"/>
      <c r="I280" s="60">
        <f>IF(N($W280)=0,"",IF(AND($S280=MesCiclo,1&gt;SemanaActual),"",MIN(1,SUMIFS(OFFSET($A$1,ROW(),29,1000-ROW(),1),OFFSET($A$1,ROW(),20,1000-ROW(),1),ROW(),OFFSET($A$1,ROW(),21,1000-ROW(),1),"Sub"))))</f>
        <v/>
      </c>
      <c r="J280" s="60">
        <f>IF(N($W280)=0,"",IF(AND($S280=MesCiclo,2&gt;SemanaActual),"",MIN(1,SUMIFS(OFFSET($A$1,ROW(),30,1000-ROW(),1),OFFSET($A$1,ROW(),20,1000-ROW(),1),ROW(),OFFSET($A$1,ROW(),21,1000-ROW(),1),"Sub"))))</f>
        <v/>
      </c>
      <c r="K280" s="60">
        <f>IF(N($W280)=0,"",IF(AND($S280=MesCiclo,3&gt;SemanaActual),"",MIN(1,SUMIFS(OFFSET($A$1,ROW(),31,1000-ROW(),1),OFFSET($A$1,ROW(),20,1000-ROW(),1),ROW(),OFFSET($A$1,ROW(),21,1000-ROW(),1),"Sub"))))</f>
        <v/>
      </c>
      <c r="L280" s="60">
        <f>IF(N($W280)=0,"",IF(AND($S280=MesCiclo,4&gt;SemanaActual),"",MIN(1,SUMIFS(OFFSET($A$1,ROW(),32,1000-ROW(),1),OFFSET($A$1,ROW(),20,1000-ROW(),1),ROW(),OFFSET($A$1,ROW(),21,1000-ROW(),1),"Sub"))))</f>
        <v/>
      </c>
      <c r="M280" s="61">
        <f>IF(OR(NOT((COUNTA($B280:$D280)+COUNTA($G280:$H280)+COUNTA($Q280))&gt;0),$V280="Sub"),"",IF(ISNUMBER($G280),1,IF(N($W280)&gt;0,MIN(1,SUMIFS($Y$5:$Y$1000,$U$5:$U$1000,ROW(),$V$5:$V$1000,"Sub")),$Y280)))</f>
        <v/>
      </c>
      <c r="N280" s="56">
        <f>IF(OR($M280="",$V280="Sub"),"",IF($M280&gt;=1,"Completado",IF($M280&gt;0,"En curso","Pendiente")))</f>
        <v/>
      </c>
      <c r="O280" s="56">
        <f>IF(OR(NOT((COUNTA($B280:$D280)+COUNTA($G280:$H280)+COUNTA($Q280))&gt;0),$V280="Sub"),"",IF(ISNUMBER($G280),IF(AND(ISNUMBER($AS280),$G280&gt;$AS280),"Cumplida con "&amp;($G280-$AS280)&amp;IF($G280-$AS280=1," día"," días")&amp;" de retraso","Cumplida"),IF(N($M280)&gt;=1,"Cumplida",IF(NOT(ISNUMBER($AS280)),"Sin fecha límite",IF($AS280&lt;FechaRef,"Vencida hace "&amp;(FechaRef-$AS280)&amp;IF(FechaRef-$AS280=1," día"," días"),IF($AS280=FechaRef,"Vence hoy",IF($AS280-FechaRef&lt;=DiasAlerta,"Vence en "&amp;($AS280-FechaRef)&amp;IF($AS280-FechaRef=1," día"," días"),"En plazo")))))))</f>
        <v/>
      </c>
      <c r="P280" s="62" t="n"/>
      <c r="Q280" s="58" t="n"/>
      <c r="R280" s="63">
        <f>IF(NOT((COUNTA($B280:$D280)+COUNTA($G280:$H280)+COUNTA($Q280))&gt;0),"",IF((IF($C280="","Falta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 OK","⚠ "&amp;LEFT(IF($C280="","Falta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",""),LEN(IF($C280="","Falta el nombre de la actividad"&amp;" · ","")&amp;IF(AND($V280="Sub",N($U280)=0),"Subactividad sin macroactividad arriba"&amp;" · ","")&amp;IF(AND($V280="Macro",$AR280=""),"Sin fecha de inicio"&amp;" · ","")&amp;IF(AND($V280="Macro",$AS280=""),"Sin fecha límite"&amp;" · ","")&amp;IF(AND(LEFT($C280,11)="[Jefatura] ",N($AQ280)=0),"No se encuentra en la hoja de la jefatura (elíjala de nuevo en la lista)"&amp;" · ","")&amp;IF(OR(AND($E280&lt;&gt;"",NOT(ISNUMBER($E280))),AND($F280&lt;&gt;"",NOT(ISNUMBER($F280))),AND($G280&lt;&gt;"",NOT(ISNUMBER($G280)))),"Fecha no válida"&amp;" · ","")&amp;IF(AND(ISNUMBER($AR280),ISNUMBER($AS280),$AR280&gt;$AS280),"Inicio posterior a fecha límite"&amp;" · ","")&amp;IF(AND($V280="Macro",$H280&lt;&gt;"",OR(NOT(ISNUMBER($H280)),$H280&lt;0,$H280&gt;1)),"Peso fuera de rango"&amp;" · ","")&amp;IF(AND($V280="Sub",$H280&lt;&gt;"",OR(NOT(ISNUMBER($H280)),$H280&lt;0,$H280&gt;1)),"% de la subactividad fuera de rango 0-100%"&amp;" · ","")&amp;IF(AND(N($W280)&gt;0,SUMIFS($H$5:$H$1000,$U$5:$U$1000,ROW(),$V$5:$V$1000,"Sub")&gt;1.0001),"Las subactividades suman más de 100%"&amp;" · ","")&amp;IF(AND(N($W280)&gt;0,OR(IF(ISNUMBER($I280),ROUND($I280,6)&lt;&gt;ROUND(MIN(1,SUMIFS($AD$5:$AD$1000,$U$5:$U$1000,ROW(),$V$5:$V$1000,"Sub")),6),FALSE),IF(ISNUMBER($J280),ROUND($J280,6)&lt;&gt;ROUND(MIN(1,SUMIFS($AE$5:$AE$1000,$U$5:$U$1000,ROW(),$V$5:$V$1000,"Sub")),6),FALSE),IF(ISNUMBER($K280),ROUND($K280,6)&lt;&gt;ROUND(MIN(1,SUMIFS($AF$5:$AF$1000,$U$5:$U$1000,ROW(),$V$5:$V$1000,"Sub")),6),FALSE),IF(ISNUMBER($L280),ROUND($L280,6)&lt;&gt;ROUND(MIN(1,SUMIFS($AG$5:$AG$1000,$U$5:$U$1000,ROW(),$V$5:$V$1000,"Sub")),6),FALSE))),"Con subactividades: no escriba en las semanas (se llenan solas)"&amp;" · ","")&amp;IF((COUNTIF($I280:$L280,"&gt;1")+COUNTIF($I280:$L280,"&lt;0")+SUMPRODUCT((LEN($I280:$L280)&gt;0)*NOT(ISNUMBER($I280:$L280))))&gt;0,"Avance fuera de rango 0-100%"&amp;" · ","")&amp;IF(OR(AND(ISNUMBER($J280),$J280&lt;N($I280)),AND(ISNUMBER($K280),$K280&lt;MAX($I280:$J280)),AND(ISNUMBER($L280),$L280&lt;MAX($I280:$K280))),"Avance semanal decreciente"&amp;" · ","")&amp;IF(AND(ISNUMBER($AS280),$AS280&lt;FechaRef,IF($V280="Sub",1,N($M280))&lt;1),"Vencida"&amp;" · ","")&amp;IF(AND(ObsObligatoria="Sí",ISNUMBER($AS280),$AS280&lt;FechaRef,IF($V280="Sub",1,N($M280))&lt;1,$Q280=""),"Vencida sin observación"&amp;" · ",""))-3)))</f>
        <v/>
      </c>
      <c r="S280" s="64">
        <f>IF(NOT((COUNTA($B280:$D280)+COUNTA($G280:$H280)+COUNTA($Q280))&gt;0),"",IF(AND($V280="Sub",N($U280)&gt;0),IF(ISNUMBER(INDEX($AR$5:$AR$1000,$U280-4)),DATE(YEAR(INDEX($AR$5:$AR$1000,$U280-4)),MONTH(INDEX($AR$5:$AR$1000,$U280-4)),1),IF(ISNUMBER(INDEX($AS$5:$AS$1000,$U280-4)),DATE(YEAR(INDEX($AS$5:$AS$1000,$U280-4)),MONTH(INDEX($AS$5:$AS$1000,$U280-4)),1),MesCiclo)),IF(ISNUMBER($AR280),DATE(YEAR($AR280),MONTH($AR280),1),IF(ISNUMBER($AS280),DATE(YEAR($AS280),MONTH($AS280),1),MesCiclo))))</f>
        <v/>
      </c>
      <c r="T280" s="62">
        <f>IF(OR($S280="",$S280&lt;&gt;MesCiclo,$V280&lt;&gt;"Macro"),"",COUNTIFS($S$5:$S280,MesCiclo,$V$5:$V280,"Macro"))</f>
        <v/>
      </c>
      <c r="U280" s="62">
        <f>IF($V280="","",IF($V280="Macro",ROW(),IFERROR(LOOKUP(2,1/($V$5:$V280="Macro"),ROW($V$5:$V280)),0)))</f>
        <v/>
      </c>
      <c r="V280" s="62">
        <f>IF(NOT((COUNTA($B280:$D280)+COUNTA($G280:$H280)+COUNTA($Q280))&gt;0),"",IF($B280="Subactividad","Sub","Macro"))</f>
        <v/>
      </c>
      <c r="W280" s="62">
        <f>IF($V280="Macro",COUNTIFS($U$5:$U$1000,ROW(),$V$5:$V$1000,"Sub"),"")</f>
        <v/>
      </c>
      <c r="X280" s="62">
        <f>IF($V280&lt;&gt;"Sub","",IF(AND(ISNUMBER($H280),N($H280)&gt;0),$H280,IFERROR(MAX(0,1-SUMIFS($H$5:$H$1000,$U$5:$U$1000,$U280,$V$5:$V$1000,"Sub"))/(COUNTIFS($U$5:$U$1000,$U280,$V$5:$V$1000,"Sub")-COUNTIFS($U$5:$U$1000,$U280,$V$5:$V$1000,"Sub",$H$5:$H$1000,"&gt;0")),0)))</f>
        <v/>
      </c>
      <c r="Y280" s="62">
        <f>IF($V280="","",IF($V280="Sub",N($X280)*IF(ISNUMBER($G280),1,MIN(1,MAX(0,IFERROR(LOOKUP(2,1/ISNUMBER($I280:$L280),$I280:$L280),0)))),IF(ISNUMBER($G280),1,IFERROR(LOOKUP(2,1/($I280:$L280&lt;&gt;""),$I280:$L280),0))))</f>
        <v/>
      </c>
      <c r="Z280" s="62">
        <f>IF($V280="","",IF(AND(ISNUMBER($G280),$G280&lt;=IF($S280=MesCiclo,InicioCiclo,$S280+MOD(2-WEEKDAY($S280),7))+6),1,IF(ISNUMBER($I280),$I280,0)))</f>
        <v/>
      </c>
      <c r="AA280" s="62">
        <f>IF($V280="","",IF(AND(ISNUMBER($G280),$G280&lt;=IF($S280=MesCiclo,InicioCiclo,$S280+MOD(2-WEEKDAY($S280),7))+13),1,IF(ISNUMBER($J280),$J280,$Z280)))</f>
        <v/>
      </c>
      <c r="AB280" s="62">
        <f>IF($V280="","",IF(AND(ISNUMBER($G280),$G280&lt;=IF($S280=MesCiclo,InicioCiclo,$S280+MOD(2-WEEKDAY($S280),7))+20),1,IF(ISNUMBER($K280),$K280,$AA280)))</f>
        <v/>
      </c>
      <c r="AC280" s="62">
        <f>IF($V280="","",IF(AND(ISNUMBER($G280),$G280&lt;=IF($S280=MesCiclo,InicioCiclo,$S280+MOD(2-WEEKDAY($S280),7))+27),1,IF(ISNUMBER($L280),$L280,$AB280)))</f>
        <v/>
      </c>
      <c r="AD280" s="62">
        <f>IF($V280&lt;&gt;"Sub","",N($X280)*IF(AND(ISNUMBER($G280),$G280&lt;=IF($S280=MesCiclo,InicioCiclo,$S280+MOD(2-WEEKDAY($S280),7))+6),1,MIN(1,MAX(0,IF(ISNUMBER(OFFSET($A$1,ROW()-1,8)),OFFSET($A$1,ROW()-1,8),0)))))</f>
        <v/>
      </c>
      <c r="AE280" s="62">
        <f>IF($V280&lt;&gt;"Sub","",N($X280)*IF(AND(ISNUMBER($G280),$G280&lt;=IF($S280=MesCiclo,InicioCiclo,$S280+MOD(2-WEEKDAY($S280),7))+13),1,MIN(1,MAX(0,IF(ISNUMBER(OFFSET($A$1,ROW()-1,9)),OFFSET($A$1,ROW()-1,9),IF(ISNUMBER(OFFSET($A$1,ROW()-1,8)),OFFSET($A$1,ROW()-1,8),0))))))</f>
        <v/>
      </c>
      <c r="AF280" s="62">
        <f>IF($V280&lt;&gt;"Sub","",N($X280)*IF(AND(ISNUMBER($G280),$G280&lt;=IF($S280=MesCiclo,InicioCiclo,$S280+MOD(2-WEEKDAY($S280),7))+20),1,MIN(1,MAX(0,IF(ISNUMBER(OFFSET($A$1,ROW()-1,10)),OFFSET($A$1,ROW()-1,10),IF(ISNUMBER(OFFSET($A$1,ROW()-1,9)),OFFSET($A$1,ROW()-1,9),IF(ISNUMBER(OFFSET($A$1,ROW()-1,8)),OFFSET($A$1,ROW()-1,8),0)))))))</f>
        <v/>
      </c>
      <c r="AG280" s="62">
        <f>IF($V280&lt;&gt;"Sub","",N($X280)*IF(AND(ISNUMBER($G280),$G280&lt;=IF($S280=MesCiclo,InicioCiclo,$S280+MOD(2-WEEKDAY($S280),7))+27),1,MIN(1,MAX(0,IF(ISNUMBER(OFFSET($A$1,ROW()-1,11)),OFFSET($A$1,ROW()-1,11),IF(ISNUMBER(OFFSET($A$1,ROW()-1,10)),OFFSET($A$1,ROW()-1,10),IF(ISNUMBER(OFFSET($A$1,ROW()-1,9)),OFFSET($A$1,ROW()-1,9),IF(ISNUMBER(OFFSET($A$1,ROW()-1,8)),OFFSET($A$1,ROW()-1,8),0))))))))</f>
        <v/>
      </c>
      <c r="AH280" s="62">
        <f>IF($V280="","",IF(AND(ISNUMBER($G280),$G280&lt;=IF($S280=MesCiclo,InicioCiclo,$S280+MOD(2-WEEKDAY($S280),7))+6),1,IF(N($W280)&gt;0,MIN(1,SUMIFS($AD$5:$AD$1000,$U$5:$U$1000,ROW(),$V$5:$V$1000,"Sub")),$Z280)))</f>
        <v/>
      </c>
      <c r="AI280" s="62">
        <f>IF($V280="","",IF(AND(ISNUMBER($G280),$G280&lt;=IF($S280=MesCiclo,InicioCiclo,$S280+MOD(2-WEEKDAY($S280),7))+13),1,IF(N($W280)&gt;0,MIN(1,SUMIFS($AE$5:$AE$1000,$U$5:$U$1000,ROW(),$V$5:$V$1000,"Sub")),$AA280)))</f>
        <v/>
      </c>
      <c r="AJ280" s="62">
        <f>IF($V280="","",IF(AND(ISNUMBER($G280),$G280&lt;=IF($S280=MesCiclo,InicioCiclo,$S280+MOD(2-WEEKDAY($S280),7))+20),1,IF(N($W280)&gt;0,MIN(1,SUMIFS($AF$5:$AF$1000,$U$5:$U$1000,ROW(),$V$5:$V$1000,"Sub")),$AB280)))</f>
        <v/>
      </c>
      <c r="AK280" s="62">
        <f>IF($V280="","",IF(AND(ISNUMBER($G280),$G280&lt;=IF($S280=MesCiclo,InicioCiclo,$S280+MOD(2-WEEKDAY($S280),7))+27),1,IF(N($W280)&gt;0,MIN(1,SUMIFS($AG$5:$AG$1000,$U$5:$U$1000,ROW(),$V$5:$V$1000,"Sub")),$AC280)))</f>
        <v/>
      </c>
      <c r="AL280" s="62">
        <f>IF($V280&lt;&gt;"Macro","",IF(COUNTIFS($S$5:$S$1000,$S280,$V$5:$V$1000,"Macro",$H$5:$H$1000,"&gt;0")=0,1/COUNTIFS($S$5:$S$1000,$S280,$V$5:$V$1000,"Macro"),IF(AND(ISNUMBER($H280),N($H280)&gt;0),$H280,SUMIFS($H$5:$H$1000,$S$5:$S$1000,$S280,$V$5:$V$1000,"Macro")/COUNTIFS($S$5:$S$1000,$S280,$V$5:$V$1000,"Macro",$H$5:$H$1000,"&gt;0"))/(COUNTIFS($S$5:$S$1000,$S280,$V$5:$V$1000,"Macro")*SUMIFS($H$5:$H$1000,$S$5:$S$1000,$S280,$V$5:$V$1000,"Macro")/COUNTIFS($S$5:$S$1000,$S280,$V$5:$V$1000,"Macro",$H$5:$H$1000,"&gt;0"))))</f>
        <v/>
      </c>
      <c r="AM280" s="62" t="n"/>
      <c r="AN280" s="62" t="n"/>
      <c r="AO280" s="62" t="n"/>
      <c r="AP280" s="62" t="n"/>
      <c r="AQ280" s="62">
        <f>IF(LEFT($C280,11)="[Jefatura] ",IFERROR(MATCH("Asistente Técnico de Riesgo|"&amp;MID($C280,12,500),rDname_ADM,0),0),"")</f>
        <v/>
      </c>
      <c r="AR280" s="62">
        <f>IF(N($AQ280)&gt;0,INDEX(rIni_ADM,$AQ280),IF(ISNUMBER($E280),$E280,""))</f>
        <v/>
      </c>
      <c r="AS280" s="62">
        <f>IF(N($AQ280)&gt;0,INDEX(rLim_ADM,$AQ280),IF(ISNUMBER($F280),$F280,""))</f>
        <v/>
      </c>
    </row>
    <row r="281">
      <c r="A281" s="56">
        <f>IF(NOT((COUNTA($B281:$D281)+COUNTA($G281:$H281)+COUNTA($Q281))&gt;0),"",IF($V281="Macro",COUNTIFS($V$5:$V281,"Macro",$S$5:$S281,$S281),IF(N($U281)=0,"?",COUNTIFS(INDEX($V$5:$V$1000,1):INDEX($V$5:$V$1000,$U281-4),"Macro",INDEX($S$5:$S$1000,1):INDEX($S$5:$S$1000,$U281-4),INDEX($S$5:$S$1000,$U281-4))&amp;"."&amp;COUNTIFS($U$5:$U281,$U281,$V$5:$V281,"Sub"))))</f>
        <v/>
      </c>
      <c r="B281" s="57" t="n"/>
      <c r="C281" s="58" t="n"/>
      <c r="D281" s="58" t="n"/>
      <c r="E281" s="59">
        <f>IF(N($AQ281)&gt;0,INDEX(rIni_ADM,$AQ281),"")</f>
        <v/>
      </c>
      <c r="F281" s="59">
        <f>IF(N($AQ281)&gt;0,INDEX(rLim_ADM,$AQ281),"")</f>
        <v/>
      </c>
      <c r="G281" s="59" t="n"/>
      <c r="H281" s="60" t="n"/>
      <c r="I281" s="60">
        <f>IF(N($W281)=0,"",IF(AND($S281=MesCiclo,1&gt;SemanaActual),"",MIN(1,SUMIFS(OFFSET($A$1,ROW(),29,1000-ROW(),1),OFFSET($A$1,ROW(),20,1000-ROW(),1),ROW(),OFFSET($A$1,ROW(),21,1000-ROW(),1),"Sub"))))</f>
        <v/>
      </c>
      <c r="J281" s="60">
        <f>IF(N($W281)=0,"",IF(AND($S281=MesCiclo,2&gt;SemanaActual),"",MIN(1,SUMIFS(OFFSET($A$1,ROW(),30,1000-ROW(),1),OFFSET($A$1,ROW(),20,1000-ROW(),1),ROW(),OFFSET($A$1,ROW(),21,1000-ROW(),1),"Sub"))))</f>
        <v/>
      </c>
      <c r="K281" s="60">
        <f>IF(N($W281)=0,"",IF(AND($S281=MesCiclo,3&gt;SemanaActual),"",MIN(1,SUMIFS(OFFSET($A$1,ROW(),31,1000-ROW(),1),OFFSET($A$1,ROW(),20,1000-ROW(),1),ROW(),OFFSET($A$1,ROW(),21,1000-ROW(),1),"Sub"))))</f>
        <v/>
      </c>
      <c r="L281" s="60">
        <f>IF(N($W281)=0,"",IF(AND($S281=MesCiclo,4&gt;SemanaActual),"",MIN(1,SUMIFS(OFFSET($A$1,ROW(),32,1000-ROW(),1),OFFSET($A$1,ROW(),20,1000-ROW(),1),ROW(),OFFSET($A$1,ROW(),21,1000-ROW(),1),"Sub"))))</f>
        <v/>
      </c>
      <c r="M281" s="61">
        <f>IF(OR(NOT((COUNTA($B281:$D281)+COUNTA($G281:$H281)+COUNTA($Q281))&gt;0),$V281="Sub"),"",IF(ISNUMBER($G281),1,IF(N($W281)&gt;0,MIN(1,SUMIFS($Y$5:$Y$1000,$U$5:$U$1000,ROW(),$V$5:$V$1000,"Sub")),$Y281)))</f>
        <v/>
      </c>
      <c r="N281" s="56">
        <f>IF(OR($M281="",$V281="Sub"),"",IF($M281&gt;=1,"Completado",IF($M281&gt;0,"En curso","Pendiente")))</f>
        <v/>
      </c>
      <c r="O281" s="56">
        <f>IF(OR(NOT((COUNTA($B281:$D281)+COUNTA($G281:$H281)+COUNTA($Q281))&gt;0),$V281="Sub"),"",IF(ISNUMBER($G281),IF(AND(ISNUMBER($AS281),$G281&gt;$AS281),"Cumplida con "&amp;($G281-$AS281)&amp;IF($G281-$AS281=1," día"," días")&amp;" de retraso","Cumplida"),IF(N($M281)&gt;=1,"Cumplida",IF(NOT(ISNUMBER($AS281)),"Sin fecha límite",IF($AS281&lt;FechaRef,"Vencida hace "&amp;(FechaRef-$AS281)&amp;IF(FechaRef-$AS281=1," día"," días"),IF($AS281=FechaRef,"Vence hoy",IF($AS281-FechaRef&lt;=DiasAlerta,"Vence en "&amp;($AS281-FechaRef)&amp;IF($AS281-FechaRef=1," día"," días"),"En plazo")))))))</f>
        <v/>
      </c>
      <c r="P281" s="62" t="n"/>
      <c r="Q281" s="58" t="n"/>
      <c r="R281" s="63">
        <f>IF(NOT((COUNTA($B281:$D281)+COUNTA($G281:$H281)+COUNTA($Q281))&gt;0),"",IF((IF($C281="","Falta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 OK","⚠ "&amp;LEFT(IF($C281="","Falta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",""),LEN(IF($C281="","Falta el nombre de la actividad"&amp;" · ","")&amp;IF(AND($V281="Sub",N($U281)=0),"Subactividad sin macroactividad arriba"&amp;" · ","")&amp;IF(AND($V281="Macro",$AR281=""),"Sin fecha de inicio"&amp;" · ","")&amp;IF(AND($V281="Macro",$AS281=""),"Sin fecha límite"&amp;" · ","")&amp;IF(AND(LEFT($C281,11)="[Jefatura] ",N($AQ281)=0),"No se encuentra en la hoja de la jefatura (elíjala de nuevo en la lista)"&amp;" · ","")&amp;IF(OR(AND($E281&lt;&gt;"",NOT(ISNUMBER($E281))),AND($F281&lt;&gt;"",NOT(ISNUMBER($F281))),AND($G281&lt;&gt;"",NOT(ISNUMBER($G281)))),"Fecha no válida"&amp;" · ","")&amp;IF(AND(ISNUMBER($AR281),ISNUMBER($AS281),$AR281&gt;$AS281),"Inicio posterior a fecha límite"&amp;" · ","")&amp;IF(AND($V281="Macro",$H281&lt;&gt;"",OR(NOT(ISNUMBER($H281)),$H281&lt;0,$H281&gt;1)),"Peso fuera de rango"&amp;" · ","")&amp;IF(AND($V281="Sub",$H281&lt;&gt;"",OR(NOT(ISNUMBER($H281)),$H281&lt;0,$H281&gt;1)),"% de la subactividad fuera de rango 0-100%"&amp;" · ","")&amp;IF(AND(N($W281)&gt;0,SUMIFS($H$5:$H$1000,$U$5:$U$1000,ROW(),$V$5:$V$1000,"Sub")&gt;1.0001),"Las subactividades suman más de 100%"&amp;" · ","")&amp;IF(AND(N($W281)&gt;0,OR(IF(ISNUMBER($I281),ROUND($I281,6)&lt;&gt;ROUND(MIN(1,SUMIFS($AD$5:$AD$1000,$U$5:$U$1000,ROW(),$V$5:$V$1000,"Sub")),6),FALSE),IF(ISNUMBER($J281),ROUND($J281,6)&lt;&gt;ROUND(MIN(1,SUMIFS($AE$5:$AE$1000,$U$5:$U$1000,ROW(),$V$5:$V$1000,"Sub")),6),FALSE),IF(ISNUMBER($K281),ROUND($K281,6)&lt;&gt;ROUND(MIN(1,SUMIFS($AF$5:$AF$1000,$U$5:$U$1000,ROW(),$V$5:$V$1000,"Sub")),6),FALSE),IF(ISNUMBER($L281),ROUND($L281,6)&lt;&gt;ROUND(MIN(1,SUMIFS($AG$5:$AG$1000,$U$5:$U$1000,ROW(),$V$5:$V$1000,"Sub")),6),FALSE))),"Con subactividades: no escriba en las semanas (se llenan solas)"&amp;" · ","")&amp;IF((COUNTIF($I281:$L281,"&gt;1")+COUNTIF($I281:$L281,"&lt;0")+SUMPRODUCT((LEN($I281:$L281)&gt;0)*NOT(ISNUMBER($I281:$L281))))&gt;0,"Avance fuera de rango 0-100%"&amp;" · ","")&amp;IF(OR(AND(ISNUMBER($J281),$J281&lt;N($I281)),AND(ISNUMBER($K281),$K281&lt;MAX($I281:$J281)),AND(ISNUMBER($L281),$L281&lt;MAX($I281:$K281))),"Avance semanal decreciente"&amp;" · ","")&amp;IF(AND(ISNUMBER($AS281),$AS281&lt;FechaRef,IF($V281="Sub",1,N($M281))&lt;1),"Vencida"&amp;" · ","")&amp;IF(AND(ObsObligatoria="Sí",ISNUMBER($AS281),$AS281&lt;FechaRef,IF($V281="Sub",1,N($M281))&lt;1,$Q281=""),"Vencida sin observación"&amp;" · ",""))-3)))</f>
        <v/>
      </c>
      <c r="S281" s="64">
        <f>IF(NOT((COUNTA($B281:$D281)+COUNTA($G281:$H281)+COUNTA($Q281))&gt;0),"",IF(AND($V281="Sub",N($U281)&gt;0),IF(ISNUMBER(INDEX($AR$5:$AR$1000,$U281-4)),DATE(YEAR(INDEX($AR$5:$AR$1000,$U281-4)),MONTH(INDEX($AR$5:$AR$1000,$U281-4)),1),IF(ISNUMBER(INDEX($AS$5:$AS$1000,$U281-4)),DATE(YEAR(INDEX($AS$5:$AS$1000,$U281-4)),MONTH(INDEX($AS$5:$AS$1000,$U281-4)),1),MesCiclo)),IF(ISNUMBER($AR281),DATE(YEAR($AR281),MONTH($AR281),1),IF(ISNUMBER($AS281),DATE(YEAR($AS281),MONTH($AS281),1),MesCiclo))))</f>
        <v/>
      </c>
      <c r="T281" s="62">
        <f>IF(OR($S281="",$S281&lt;&gt;MesCiclo,$V281&lt;&gt;"Macro"),"",COUNTIFS($S$5:$S281,MesCiclo,$V$5:$V281,"Macro"))</f>
        <v/>
      </c>
      <c r="U281" s="62">
        <f>IF($V281="","",IF($V281="Macro",ROW(),IFERROR(LOOKUP(2,1/($V$5:$V281="Macro"),ROW($V$5:$V281)),0)))</f>
        <v/>
      </c>
      <c r="V281" s="62">
        <f>IF(NOT((COUNTA($B281:$D281)+COUNTA($G281:$H281)+COUNTA($Q281))&gt;0),"",IF($B281="Subactividad","Sub","Macro"))</f>
        <v/>
      </c>
      <c r="W281" s="62">
        <f>IF($V281="Macro",COUNTIFS($U$5:$U$1000,ROW(),$V$5:$V$1000,"Sub"),"")</f>
        <v/>
      </c>
      <c r="X281" s="62">
        <f>IF($V281&lt;&gt;"Sub","",IF(AND(ISNUMBER($H281),N($H281)&gt;0),$H281,IFERROR(MAX(0,1-SUMIFS($H$5:$H$1000,$U$5:$U$1000,$U281,$V$5:$V$1000,"Sub"))/(COUNTIFS($U$5:$U$1000,$U281,$V$5:$V$1000,"Sub")-COUNTIFS($U$5:$U$1000,$U281,$V$5:$V$1000,"Sub",$H$5:$H$1000,"&gt;0")),0)))</f>
        <v/>
      </c>
      <c r="Y281" s="62">
        <f>IF($V281="","",IF($V281="Sub",N($X281)*IF(ISNUMBER($G281),1,MIN(1,MAX(0,IFERROR(LOOKUP(2,1/ISNUMBER($I281:$L281),$I281:$L281),0)))),IF(ISNUMBER($G281),1,IFERROR(LOOKUP(2,1/($I281:$L281&lt;&gt;""),$I281:$L281),0))))</f>
        <v/>
      </c>
      <c r="Z281" s="62">
        <f>IF($V281="","",IF(AND(ISNUMBER($G281),$G281&lt;=IF($S281=MesCiclo,InicioCiclo,$S281+MOD(2-WEEKDAY($S281),7))+6),1,IF(ISNUMBER($I281),$I281,0)))</f>
        <v/>
      </c>
      <c r="AA281" s="62">
        <f>IF($V281="","",IF(AND(ISNUMBER($G281),$G281&lt;=IF($S281=MesCiclo,InicioCiclo,$S281+MOD(2-WEEKDAY($S281),7))+13),1,IF(ISNUMBER($J281),$J281,$Z281)))</f>
        <v/>
      </c>
      <c r="AB281" s="62">
        <f>IF($V281="","",IF(AND(ISNUMBER($G281),$G281&lt;=IF($S281=MesCiclo,InicioCiclo,$S281+MOD(2-WEEKDAY($S281),7))+20),1,IF(ISNUMBER($K281),$K281,$AA281)))</f>
        <v/>
      </c>
      <c r="AC281" s="62">
        <f>IF($V281="","",IF(AND(ISNUMBER($G281),$G281&lt;=IF($S281=MesCiclo,InicioCiclo,$S281+MOD(2-WEEKDAY($S281),7))+27),1,IF(ISNUMBER($L281),$L281,$AB281)))</f>
        <v/>
      </c>
      <c r="AD281" s="62">
        <f>IF($V281&lt;&gt;"Sub","",N($X281)*IF(AND(ISNUMBER($G281),$G281&lt;=IF($S281=MesCiclo,InicioCiclo,$S281+MOD(2-WEEKDAY($S281),7))+6),1,MIN(1,MAX(0,IF(ISNUMBER(OFFSET($A$1,ROW()-1,8)),OFFSET($A$1,ROW()-1,8),0)))))</f>
        <v/>
      </c>
      <c r="AE281" s="62">
        <f>IF($V281&lt;&gt;"Sub","",N($X281)*IF(AND(ISNUMBER($G281),$G281&lt;=IF($S281=MesCiclo,InicioCiclo,$S281+MOD(2-WEEKDAY($S281),7))+13),1,MIN(1,MAX(0,IF(ISNUMBER(OFFSET($A$1,ROW()-1,9)),OFFSET($A$1,ROW()-1,9),IF(ISNUMBER(OFFSET($A$1,ROW()-1,8)),OFFSET($A$1,ROW()-1,8),0))))))</f>
        <v/>
      </c>
      <c r="AF281" s="62">
        <f>IF($V281&lt;&gt;"Sub","",N($X281)*IF(AND(ISNUMBER($G281),$G281&lt;=IF($S281=MesCiclo,InicioCiclo,$S281+MOD(2-WEEKDAY($S281),7))+20),1,MIN(1,MAX(0,IF(ISNUMBER(OFFSET($A$1,ROW()-1,10)),OFFSET($A$1,ROW()-1,10),IF(ISNUMBER(OFFSET($A$1,ROW()-1,9)),OFFSET($A$1,ROW()-1,9),IF(ISNUMBER(OFFSET($A$1,ROW()-1,8)),OFFSET($A$1,ROW()-1,8),0)))))))</f>
        <v/>
      </c>
      <c r="AG281" s="62">
        <f>IF($V281&lt;&gt;"Sub","",N($X281)*IF(AND(ISNUMBER($G281),$G281&lt;=IF($S281=MesCiclo,InicioCiclo,$S281+MOD(2-WEEKDAY($S281),7))+27),1,MIN(1,MAX(0,IF(ISNUMBER(OFFSET($A$1,ROW()-1,11)),OFFSET($A$1,ROW()-1,11),IF(ISNUMBER(OFFSET($A$1,ROW()-1,10)),OFFSET($A$1,ROW()-1,10),IF(ISNUMBER(OFFSET($A$1,ROW()-1,9)),OFFSET($A$1,ROW()-1,9),IF(ISNUMBER(OFFSET($A$1,ROW()-1,8)),OFFSET($A$1,ROW()-1,8),0))))))))</f>
        <v/>
      </c>
      <c r="AH281" s="62">
        <f>IF($V281="","",IF(AND(ISNUMBER($G281),$G281&lt;=IF($S281=MesCiclo,InicioCiclo,$S281+MOD(2-WEEKDAY($S281),7))+6),1,IF(N($W281)&gt;0,MIN(1,SUMIFS($AD$5:$AD$1000,$U$5:$U$1000,ROW(),$V$5:$V$1000,"Sub")),$Z281)))</f>
        <v/>
      </c>
      <c r="AI281" s="62">
        <f>IF($V281="","",IF(AND(ISNUMBER($G281),$G281&lt;=IF($S281=MesCiclo,InicioCiclo,$S281+MOD(2-WEEKDAY($S281),7))+13),1,IF(N($W281)&gt;0,MIN(1,SUMIFS($AE$5:$AE$1000,$U$5:$U$1000,ROW(),$V$5:$V$1000,"Sub")),$AA281)))</f>
        <v/>
      </c>
      <c r="AJ281" s="62">
        <f>IF($V281="","",IF(AND(ISNUMBER($G281),$G281&lt;=IF($S281=MesCiclo,InicioCiclo,$S281+MOD(2-WEEKDAY($S281),7))+20),1,IF(N($W281)&gt;0,MIN(1,SUMIFS($AF$5:$AF$1000,$U$5:$U$1000,ROW(),$V$5:$V$1000,"Sub")),$AB281)))</f>
        <v/>
      </c>
      <c r="AK281" s="62">
        <f>IF($V281="","",IF(AND(ISNUMBER($G281),$G281&lt;=IF($S281=MesCiclo,InicioCiclo,$S281+MOD(2-WEEKDAY($S281),7))+27),1,IF(N($W281)&gt;0,MIN(1,SUMIFS($AG$5:$AG$1000,$U$5:$U$1000,ROW(),$V$5:$V$1000,"Sub")),$AC281)))</f>
        <v/>
      </c>
      <c r="AL281" s="62">
        <f>IF($V281&lt;&gt;"Macro","",IF(COUNTIFS($S$5:$S$1000,$S281,$V$5:$V$1000,"Macro",$H$5:$H$1000,"&gt;0")=0,1/COUNTIFS($S$5:$S$1000,$S281,$V$5:$V$1000,"Macro"),IF(AND(ISNUMBER($H281),N($H281)&gt;0),$H281,SUMIFS($H$5:$H$1000,$S$5:$S$1000,$S281,$V$5:$V$1000,"Macro")/COUNTIFS($S$5:$S$1000,$S281,$V$5:$V$1000,"Macro",$H$5:$H$1000,"&gt;0"))/(COUNTIFS($S$5:$S$1000,$S281,$V$5:$V$1000,"Macro")*SUMIFS($H$5:$H$1000,$S$5:$S$1000,$S281,$V$5:$V$1000,"Macro")/COUNTIFS($S$5:$S$1000,$S281,$V$5:$V$1000,"Macro",$H$5:$H$1000,"&gt;0"))))</f>
        <v/>
      </c>
      <c r="AM281" s="62" t="n"/>
      <c r="AN281" s="62" t="n"/>
      <c r="AO281" s="62" t="n"/>
      <c r="AP281" s="62" t="n"/>
      <c r="AQ281" s="62">
        <f>IF(LEFT($C281,11)="[Jefatura] ",IFERROR(MATCH("Asistente Técnico de Riesgo|"&amp;MID($C281,12,500),rDname_ADM,0),0),"")</f>
        <v/>
      </c>
      <c r="AR281" s="62">
        <f>IF(N($AQ281)&gt;0,INDEX(rIni_ADM,$AQ281),IF(ISNUMBER($E281),$E281,""))</f>
        <v/>
      </c>
      <c r="AS281" s="62">
        <f>IF(N($AQ281)&gt;0,INDEX(rLim_ADM,$AQ281),IF(ISNUMBER($F281),$F281,""))</f>
        <v/>
      </c>
    </row>
    <row r="282">
      <c r="A282" s="56">
        <f>IF(NOT((COUNTA($B282:$D282)+COUNTA($G282:$H282)+COUNTA($Q282))&gt;0),"",IF($V282="Macro",COUNTIFS($V$5:$V282,"Macro",$S$5:$S282,$S282),IF(N($U282)=0,"?",COUNTIFS(INDEX($V$5:$V$1000,1):INDEX($V$5:$V$1000,$U282-4),"Macro",INDEX($S$5:$S$1000,1):INDEX($S$5:$S$1000,$U282-4),INDEX($S$5:$S$1000,$U282-4))&amp;"."&amp;COUNTIFS($U$5:$U282,$U282,$V$5:$V282,"Sub"))))</f>
        <v/>
      </c>
      <c r="B282" s="57" t="n"/>
      <c r="C282" s="58" t="n"/>
      <c r="D282" s="58" t="n"/>
      <c r="E282" s="59">
        <f>IF(N($AQ282)&gt;0,INDEX(rIni_ADM,$AQ282),"")</f>
        <v/>
      </c>
      <c r="F282" s="59">
        <f>IF(N($AQ282)&gt;0,INDEX(rLim_ADM,$AQ282),"")</f>
        <v/>
      </c>
      <c r="G282" s="59" t="n"/>
      <c r="H282" s="60" t="n"/>
      <c r="I282" s="60">
        <f>IF(N($W282)=0,"",IF(AND($S282=MesCiclo,1&gt;SemanaActual),"",MIN(1,SUMIFS(OFFSET($A$1,ROW(),29,1000-ROW(),1),OFFSET($A$1,ROW(),20,1000-ROW(),1),ROW(),OFFSET($A$1,ROW(),21,1000-ROW(),1),"Sub"))))</f>
        <v/>
      </c>
      <c r="J282" s="60">
        <f>IF(N($W282)=0,"",IF(AND($S282=MesCiclo,2&gt;SemanaActual),"",MIN(1,SUMIFS(OFFSET($A$1,ROW(),30,1000-ROW(),1),OFFSET($A$1,ROW(),20,1000-ROW(),1),ROW(),OFFSET($A$1,ROW(),21,1000-ROW(),1),"Sub"))))</f>
        <v/>
      </c>
      <c r="K282" s="60">
        <f>IF(N($W282)=0,"",IF(AND($S282=MesCiclo,3&gt;SemanaActual),"",MIN(1,SUMIFS(OFFSET($A$1,ROW(),31,1000-ROW(),1),OFFSET($A$1,ROW(),20,1000-ROW(),1),ROW(),OFFSET($A$1,ROW(),21,1000-ROW(),1),"Sub"))))</f>
        <v/>
      </c>
      <c r="L282" s="60">
        <f>IF(N($W282)=0,"",IF(AND($S282=MesCiclo,4&gt;SemanaActual),"",MIN(1,SUMIFS(OFFSET($A$1,ROW(),32,1000-ROW(),1),OFFSET($A$1,ROW(),20,1000-ROW(),1),ROW(),OFFSET($A$1,ROW(),21,1000-ROW(),1),"Sub"))))</f>
        <v/>
      </c>
      <c r="M282" s="61">
        <f>IF(OR(NOT((COUNTA($B282:$D282)+COUNTA($G282:$H282)+COUNTA($Q282))&gt;0),$V282="Sub"),"",IF(ISNUMBER($G282),1,IF(N($W282)&gt;0,MIN(1,SUMIFS($Y$5:$Y$1000,$U$5:$U$1000,ROW(),$V$5:$V$1000,"Sub")),$Y282)))</f>
        <v/>
      </c>
      <c r="N282" s="56">
        <f>IF(OR($M282="",$V282="Sub"),"",IF($M282&gt;=1,"Completado",IF($M282&gt;0,"En curso","Pendiente")))</f>
        <v/>
      </c>
      <c r="O282" s="56">
        <f>IF(OR(NOT((COUNTA($B282:$D282)+COUNTA($G282:$H282)+COUNTA($Q282))&gt;0),$V282="Sub"),"",IF(ISNUMBER($G282),IF(AND(ISNUMBER($AS282),$G282&gt;$AS282),"Cumplida con "&amp;($G282-$AS282)&amp;IF($G282-$AS282=1," día"," días")&amp;" de retraso","Cumplida"),IF(N($M282)&gt;=1,"Cumplida",IF(NOT(ISNUMBER($AS282)),"Sin fecha límite",IF($AS282&lt;FechaRef,"Vencida hace "&amp;(FechaRef-$AS282)&amp;IF(FechaRef-$AS282=1," día"," días"),IF($AS282=FechaRef,"Vence hoy",IF($AS282-FechaRef&lt;=DiasAlerta,"Vence en "&amp;($AS282-FechaRef)&amp;IF($AS282-FechaRef=1," día"," días"),"En plazo")))))))</f>
        <v/>
      </c>
      <c r="P282" s="62" t="n"/>
      <c r="Q282" s="58" t="n"/>
      <c r="R282" s="63">
        <f>IF(NOT((COUNTA($B282:$D282)+COUNTA($G282:$H282)+COUNTA($Q282))&gt;0),"",IF((IF($C282="","Falta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 OK","⚠ "&amp;LEFT(IF($C282="","Falta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",""),LEN(IF($C282="","Falta el nombre de la actividad"&amp;" · ","")&amp;IF(AND($V282="Sub",N($U282)=0),"Subactividad sin macroactividad arriba"&amp;" · ","")&amp;IF(AND($V282="Macro",$AR282=""),"Sin fecha de inicio"&amp;" · ","")&amp;IF(AND($V282="Macro",$AS282=""),"Sin fecha límite"&amp;" · ","")&amp;IF(AND(LEFT($C282,11)="[Jefatura] ",N($AQ282)=0),"No se encuentra en la hoja de la jefatura (elíjala de nuevo en la lista)"&amp;" · ","")&amp;IF(OR(AND($E282&lt;&gt;"",NOT(ISNUMBER($E282))),AND($F282&lt;&gt;"",NOT(ISNUMBER($F282))),AND($G282&lt;&gt;"",NOT(ISNUMBER($G282)))),"Fecha no válida"&amp;" · ","")&amp;IF(AND(ISNUMBER($AR282),ISNUMBER($AS282),$AR282&gt;$AS282),"Inicio posterior a fecha límite"&amp;" · ","")&amp;IF(AND($V282="Macro",$H282&lt;&gt;"",OR(NOT(ISNUMBER($H282)),$H282&lt;0,$H282&gt;1)),"Peso fuera de rango"&amp;" · ","")&amp;IF(AND($V282="Sub",$H282&lt;&gt;"",OR(NOT(ISNUMBER($H282)),$H282&lt;0,$H282&gt;1)),"% de la subactividad fuera de rango 0-100%"&amp;" · ","")&amp;IF(AND(N($W282)&gt;0,SUMIFS($H$5:$H$1000,$U$5:$U$1000,ROW(),$V$5:$V$1000,"Sub")&gt;1.0001),"Las subactividades suman más de 100%"&amp;" · ","")&amp;IF(AND(N($W282)&gt;0,OR(IF(ISNUMBER($I282),ROUND($I282,6)&lt;&gt;ROUND(MIN(1,SUMIFS($AD$5:$AD$1000,$U$5:$U$1000,ROW(),$V$5:$V$1000,"Sub")),6),FALSE),IF(ISNUMBER($J282),ROUND($J282,6)&lt;&gt;ROUND(MIN(1,SUMIFS($AE$5:$AE$1000,$U$5:$U$1000,ROW(),$V$5:$V$1000,"Sub")),6),FALSE),IF(ISNUMBER($K282),ROUND($K282,6)&lt;&gt;ROUND(MIN(1,SUMIFS($AF$5:$AF$1000,$U$5:$U$1000,ROW(),$V$5:$V$1000,"Sub")),6),FALSE),IF(ISNUMBER($L282),ROUND($L282,6)&lt;&gt;ROUND(MIN(1,SUMIFS($AG$5:$AG$1000,$U$5:$U$1000,ROW(),$V$5:$V$1000,"Sub")),6),FALSE))),"Con subactividades: no escriba en las semanas (se llenan solas)"&amp;" · ","")&amp;IF((COUNTIF($I282:$L282,"&gt;1")+COUNTIF($I282:$L282,"&lt;0")+SUMPRODUCT((LEN($I282:$L282)&gt;0)*NOT(ISNUMBER($I282:$L282))))&gt;0,"Avance fuera de rango 0-100%"&amp;" · ","")&amp;IF(OR(AND(ISNUMBER($J282),$J282&lt;N($I282)),AND(ISNUMBER($K282),$K282&lt;MAX($I282:$J282)),AND(ISNUMBER($L282),$L282&lt;MAX($I282:$K282))),"Avance semanal decreciente"&amp;" · ","")&amp;IF(AND(ISNUMBER($AS282),$AS282&lt;FechaRef,IF($V282="Sub",1,N($M282))&lt;1),"Vencida"&amp;" · ","")&amp;IF(AND(ObsObligatoria="Sí",ISNUMBER($AS282),$AS282&lt;FechaRef,IF($V282="Sub",1,N($M282))&lt;1,$Q282=""),"Vencida sin observación"&amp;" · ",""))-3)))</f>
        <v/>
      </c>
      <c r="S282" s="64">
        <f>IF(NOT((COUNTA($B282:$D282)+COUNTA($G282:$H282)+COUNTA($Q282))&gt;0),"",IF(AND($V282="Sub",N($U282)&gt;0),IF(ISNUMBER(INDEX($AR$5:$AR$1000,$U282-4)),DATE(YEAR(INDEX($AR$5:$AR$1000,$U282-4)),MONTH(INDEX($AR$5:$AR$1000,$U282-4)),1),IF(ISNUMBER(INDEX($AS$5:$AS$1000,$U282-4)),DATE(YEAR(INDEX($AS$5:$AS$1000,$U282-4)),MONTH(INDEX($AS$5:$AS$1000,$U282-4)),1),MesCiclo)),IF(ISNUMBER($AR282),DATE(YEAR($AR282),MONTH($AR282),1),IF(ISNUMBER($AS282),DATE(YEAR($AS282),MONTH($AS282),1),MesCiclo))))</f>
        <v/>
      </c>
      <c r="T282" s="62">
        <f>IF(OR($S282="",$S282&lt;&gt;MesCiclo,$V282&lt;&gt;"Macro"),"",COUNTIFS($S$5:$S282,MesCiclo,$V$5:$V282,"Macro"))</f>
        <v/>
      </c>
      <c r="U282" s="62">
        <f>IF($V282="","",IF($V282="Macro",ROW(),IFERROR(LOOKUP(2,1/($V$5:$V282="Macro"),ROW($V$5:$V282)),0)))</f>
        <v/>
      </c>
      <c r="V282" s="62">
        <f>IF(NOT((COUNTA($B282:$D282)+COUNTA($G282:$H282)+COUNTA($Q282))&gt;0),"",IF($B282="Subactividad","Sub","Macro"))</f>
        <v/>
      </c>
      <c r="W282" s="62">
        <f>IF($V282="Macro",COUNTIFS($U$5:$U$1000,ROW(),$V$5:$V$1000,"Sub"),"")</f>
        <v/>
      </c>
      <c r="X282" s="62">
        <f>IF($V282&lt;&gt;"Sub","",IF(AND(ISNUMBER($H282),N($H282)&gt;0),$H282,IFERROR(MAX(0,1-SUMIFS($H$5:$H$1000,$U$5:$U$1000,$U282,$V$5:$V$1000,"Sub"))/(COUNTIFS($U$5:$U$1000,$U282,$V$5:$V$1000,"Sub")-COUNTIFS($U$5:$U$1000,$U282,$V$5:$V$1000,"Sub",$H$5:$H$1000,"&gt;0")),0)))</f>
        <v/>
      </c>
      <c r="Y282" s="62">
        <f>IF($V282="","",IF($V282="Sub",N($X282)*IF(ISNUMBER($G282),1,MIN(1,MAX(0,IFERROR(LOOKUP(2,1/ISNUMBER($I282:$L282),$I282:$L282),0)))),IF(ISNUMBER($G282),1,IFERROR(LOOKUP(2,1/($I282:$L282&lt;&gt;""),$I282:$L282),0))))</f>
        <v/>
      </c>
      <c r="Z282" s="62">
        <f>IF($V282="","",IF(AND(ISNUMBER($G282),$G282&lt;=IF($S282=MesCiclo,InicioCiclo,$S282+MOD(2-WEEKDAY($S282),7))+6),1,IF(ISNUMBER($I282),$I282,0)))</f>
        <v/>
      </c>
      <c r="AA282" s="62">
        <f>IF($V282="","",IF(AND(ISNUMBER($G282),$G282&lt;=IF($S282=MesCiclo,InicioCiclo,$S282+MOD(2-WEEKDAY($S282),7))+13),1,IF(ISNUMBER($J282),$J282,$Z282)))</f>
        <v/>
      </c>
      <c r="AB282" s="62">
        <f>IF($V282="","",IF(AND(ISNUMBER($G282),$G282&lt;=IF($S282=MesCiclo,InicioCiclo,$S282+MOD(2-WEEKDAY($S282),7))+20),1,IF(ISNUMBER($K282),$K282,$AA282)))</f>
        <v/>
      </c>
      <c r="AC282" s="62">
        <f>IF($V282="","",IF(AND(ISNUMBER($G282),$G282&lt;=IF($S282=MesCiclo,InicioCiclo,$S282+MOD(2-WEEKDAY($S282),7))+27),1,IF(ISNUMBER($L282),$L282,$AB282)))</f>
        <v/>
      </c>
      <c r="AD282" s="62">
        <f>IF($V282&lt;&gt;"Sub","",N($X282)*IF(AND(ISNUMBER($G282),$G282&lt;=IF($S282=MesCiclo,InicioCiclo,$S282+MOD(2-WEEKDAY($S282),7))+6),1,MIN(1,MAX(0,IF(ISNUMBER(OFFSET($A$1,ROW()-1,8)),OFFSET($A$1,ROW()-1,8),0)))))</f>
        <v/>
      </c>
      <c r="AE282" s="62">
        <f>IF($V282&lt;&gt;"Sub","",N($X282)*IF(AND(ISNUMBER($G282),$G282&lt;=IF($S282=MesCiclo,InicioCiclo,$S282+MOD(2-WEEKDAY($S282),7))+13),1,MIN(1,MAX(0,IF(ISNUMBER(OFFSET($A$1,ROW()-1,9)),OFFSET($A$1,ROW()-1,9),IF(ISNUMBER(OFFSET($A$1,ROW()-1,8)),OFFSET($A$1,ROW()-1,8),0))))))</f>
        <v/>
      </c>
      <c r="AF282" s="62">
        <f>IF($V282&lt;&gt;"Sub","",N($X282)*IF(AND(ISNUMBER($G282),$G282&lt;=IF($S282=MesCiclo,InicioCiclo,$S282+MOD(2-WEEKDAY($S282),7))+20),1,MIN(1,MAX(0,IF(ISNUMBER(OFFSET($A$1,ROW()-1,10)),OFFSET($A$1,ROW()-1,10),IF(ISNUMBER(OFFSET($A$1,ROW()-1,9)),OFFSET($A$1,ROW()-1,9),IF(ISNUMBER(OFFSET($A$1,ROW()-1,8)),OFFSET($A$1,ROW()-1,8),0)))))))</f>
        <v/>
      </c>
      <c r="AG282" s="62">
        <f>IF($V282&lt;&gt;"Sub","",N($X282)*IF(AND(ISNUMBER($G282),$G282&lt;=IF($S282=MesCiclo,InicioCiclo,$S282+MOD(2-WEEKDAY($S282),7))+27),1,MIN(1,MAX(0,IF(ISNUMBER(OFFSET($A$1,ROW()-1,11)),OFFSET($A$1,ROW()-1,11),IF(ISNUMBER(OFFSET($A$1,ROW()-1,10)),OFFSET($A$1,ROW()-1,10),IF(ISNUMBER(OFFSET($A$1,ROW()-1,9)),OFFSET($A$1,ROW()-1,9),IF(ISNUMBER(OFFSET($A$1,ROW()-1,8)),OFFSET($A$1,ROW()-1,8),0))))))))</f>
        <v/>
      </c>
      <c r="AH282" s="62">
        <f>IF($V282="","",IF(AND(ISNUMBER($G282),$G282&lt;=IF($S282=MesCiclo,InicioCiclo,$S282+MOD(2-WEEKDAY($S282),7))+6),1,IF(N($W282)&gt;0,MIN(1,SUMIFS($AD$5:$AD$1000,$U$5:$U$1000,ROW(),$V$5:$V$1000,"Sub")),$Z282)))</f>
        <v/>
      </c>
      <c r="AI282" s="62">
        <f>IF($V282="","",IF(AND(ISNUMBER($G282),$G282&lt;=IF($S282=MesCiclo,InicioCiclo,$S282+MOD(2-WEEKDAY($S282),7))+13),1,IF(N($W282)&gt;0,MIN(1,SUMIFS($AE$5:$AE$1000,$U$5:$U$1000,ROW(),$V$5:$V$1000,"Sub")),$AA282)))</f>
        <v/>
      </c>
      <c r="AJ282" s="62">
        <f>IF($V282="","",IF(AND(ISNUMBER($G282),$G282&lt;=IF($S282=MesCiclo,InicioCiclo,$S282+MOD(2-WEEKDAY($S282),7))+20),1,IF(N($W282)&gt;0,MIN(1,SUMIFS($AF$5:$AF$1000,$U$5:$U$1000,ROW(),$V$5:$V$1000,"Sub")),$AB282)))</f>
        <v/>
      </c>
      <c r="AK282" s="62">
        <f>IF($V282="","",IF(AND(ISNUMBER($G282),$G282&lt;=IF($S282=MesCiclo,InicioCiclo,$S282+MOD(2-WEEKDAY($S282),7))+27),1,IF(N($W282)&gt;0,MIN(1,SUMIFS($AG$5:$AG$1000,$U$5:$U$1000,ROW(),$V$5:$V$1000,"Sub")),$AC282)))</f>
        <v/>
      </c>
      <c r="AL282" s="62">
        <f>IF($V282&lt;&gt;"Macro","",IF(COUNTIFS($S$5:$S$1000,$S282,$V$5:$V$1000,"Macro",$H$5:$H$1000,"&gt;0")=0,1/COUNTIFS($S$5:$S$1000,$S282,$V$5:$V$1000,"Macro"),IF(AND(ISNUMBER($H282),N($H282)&gt;0),$H282,SUMIFS($H$5:$H$1000,$S$5:$S$1000,$S282,$V$5:$V$1000,"Macro")/COUNTIFS($S$5:$S$1000,$S282,$V$5:$V$1000,"Macro",$H$5:$H$1000,"&gt;0"))/(COUNTIFS($S$5:$S$1000,$S282,$V$5:$V$1000,"Macro")*SUMIFS($H$5:$H$1000,$S$5:$S$1000,$S282,$V$5:$V$1000,"Macro")/COUNTIFS($S$5:$S$1000,$S282,$V$5:$V$1000,"Macro",$H$5:$H$1000,"&gt;0"))))</f>
        <v/>
      </c>
      <c r="AM282" s="62" t="n"/>
      <c r="AN282" s="62" t="n"/>
      <c r="AO282" s="62" t="n"/>
      <c r="AP282" s="62" t="n"/>
      <c r="AQ282" s="62">
        <f>IF(LEFT($C282,11)="[Jefatura] ",IFERROR(MATCH("Asistente Técnico de Riesgo|"&amp;MID($C282,12,500),rDname_ADM,0),0),"")</f>
        <v/>
      </c>
      <c r="AR282" s="62">
        <f>IF(N($AQ282)&gt;0,INDEX(rIni_ADM,$AQ282),IF(ISNUMBER($E282),$E282,""))</f>
        <v/>
      </c>
      <c r="AS282" s="62">
        <f>IF(N($AQ282)&gt;0,INDEX(rLim_ADM,$AQ282),IF(ISNUMBER($F282),$F282,""))</f>
        <v/>
      </c>
    </row>
    <row r="283">
      <c r="A283" s="56">
        <f>IF(NOT((COUNTA($B283:$D283)+COUNTA($G283:$H283)+COUNTA($Q283))&gt;0),"",IF($V283="Macro",COUNTIFS($V$5:$V283,"Macro",$S$5:$S283,$S283),IF(N($U283)=0,"?",COUNTIFS(INDEX($V$5:$V$1000,1):INDEX($V$5:$V$1000,$U283-4),"Macro",INDEX($S$5:$S$1000,1):INDEX($S$5:$S$1000,$U283-4),INDEX($S$5:$S$1000,$U283-4))&amp;"."&amp;COUNTIFS($U$5:$U283,$U283,$V$5:$V283,"Sub"))))</f>
        <v/>
      </c>
      <c r="B283" s="57" t="n"/>
      <c r="C283" s="58" t="n"/>
      <c r="D283" s="58" t="n"/>
      <c r="E283" s="59">
        <f>IF(N($AQ283)&gt;0,INDEX(rIni_ADM,$AQ283),"")</f>
        <v/>
      </c>
      <c r="F283" s="59">
        <f>IF(N($AQ283)&gt;0,INDEX(rLim_ADM,$AQ283),"")</f>
        <v/>
      </c>
      <c r="G283" s="59" t="n"/>
      <c r="H283" s="60" t="n"/>
      <c r="I283" s="60">
        <f>IF(N($W283)=0,"",IF(AND($S283=MesCiclo,1&gt;SemanaActual),"",MIN(1,SUMIFS(OFFSET($A$1,ROW(),29,1000-ROW(),1),OFFSET($A$1,ROW(),20,1000-ROW(),1),ROW(),OFFSET($A$1,ROW(),21,1000-ROW(),1),"Sub"))))</f>
        <v/>
      </c>
      <c r="J283" s="60">
        <f>IF(N($W283)=0,"",IF(AND($S283=MesCiclo,2&gt;SemanaActual),"",MIN(1,SUMIFS(OFFSET($A$1,ROW(),30,1000-ROW(),1),OFFSET($A$1,ROW(),20,1000-ROW(),1),ROW(),OFFSET($A$1,ROW(),21,1000-ROW(),1),"Sub"))))</f>
        <v/>
      </c>
      <c r="K283" s="60">
        <f>IF(N($W283)=0,"",IF(AND($S283=MesCiclo,3&gt;SemanaActual),"",MIN(1,SUMIFS(OFFSET($A$1,ROW(),31,1000-ROW(),1),OFFSET($A$1,ROW(),20,1000-ROW(),1),ROW(),OFFSET($A$1,ROW(),21,1000-ROW(),1),"Sub"))))</f>
        <v/>
      </c>
      <c r="L283" s="60">
        <f>IF(N($W283)=0,"",IF(AND($S283=MesCiclo,4&gt;SemanaActual),"",MIN(1,SUMIFS(OFFSET($A$1,ROW(),32,1000-ROW(),1),OFFSET($A$1,ROW(),20,1000-ROW(),1),ROW(),OFFSET($A$1,ROW(),21,1000-ROW(),1),"Sub"))))</f>
        <v/>
      </c>
      <c r="M283" s="61">
        <f>IF(OR(NOT((COUNTA($B283:$D283)+COUNTA($G283:$H283)+COUNTA($Q283))&gt;0),$V283="Sub"),"",IF(ISNUMBER($G283),1,IF(N($W283)&gt;0,MIN(1,SUMIFS($Y$5:$Y$1000,$U$5:$U$1000,ROW(),$V$5:$V$1000,"Sub")),$Y283)))</f>
        <v/>
      </c>
      <c r="N283" s="56">
        <f>IF(OR($M283="",$V283="Sub"),"",IF($M283&gt;=1,"Completado",IF($M283&gt;0,"En curso","Pendiente")))</f>
        <v/>
      </c>
      <c r="O283" s="56">
        <f>IF(OR(NOT((COUNTA($B283:$D283)+COUNTA($G283:$H283)+COUNTA($Q283))&gt;0),$V283="Sub"),"",IF(ISNUMBER($G283),IF(AND(ISNUMBER($AS283),$G283&gt;$AS283),"Cumplida con "&amp;($G283-$AS283)&amp;IF($G283-$AS283=1," día"," días")&amp;" de retraso","Cumplida"),IF(N($M283)&gt;=1,"Cumplida",IF(NOT(ISNUMBER($AS283)),"Sin fecha límite",IF($AS283&lt;FechaRef,"Vencida hace "&amp;(FechaRef-$AS283)&amp;IF(FechaRef-$AS283=1," día"," días"),IF($AS283=FechaRef,"Vence hoy",IF($AS283-FechaRef&lt;=DiasAlerta,"Vence en "&amp;($AS283-FechaRef)&amp;IF($AS283-FechaRef=1," día"," días"),"En plazo")))))))</f>
        <v/>
      </c>
      <c r="P283" s="62" t="n"/>
      <c r="Q283" s="58" t="n"/>
      <c r="R283" s="63">
        <f>IF(NOT((COUNTA($B283:$D283)+COUNTA($G283:$H283)+COUNTA($Q283))&gt;0),"",IF((IF($C283="","Falta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 OK","⚠ "&amp;LEFT(IF($C283="","Falta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",""),LEN(IF($C283="","Falta el nombre de la actividad"&amp;" · ","")&amp;IF(AND($V283="Sub",N($U283)=0),"Subactividad sin macroactividad arriba"&amp;" · ","")&amp;IF(AND($V283="Macro",$AR283=""),"Sin fecha de inicio"&amp;" · ","")&amp;IF(AND($V283="Macro",$AS283=""),"Sin fecha límite"&amp;" · ","")&amp;IF(AND(LEFT($C283,11)="[Jefatura] ",N($AQ283)=0),"No se encuentra en la hoja de la jefatura (elíjala de nuevo en la lista)"&amp;" · ","")&amp;IF(OR(AND($E283&lt;&gt;"",NOT(ISNUMBER($E283))),AND($F283&lt;&gt;"",NOT(ISNUMBER($F283))),AND($G283&lt;&gt;"",NOT(ISNUMBER($G283)))),"Fecha no válida"&amp;" · ","")&amp;IF(AND(ISNUMBER($AR283),ISNUMBER($AS283),$AR283&gt;$AS283),"Inicio posterior a fecha límite"&amp;" · ","")&amp;IF(AND($V283="Macro",$H283&lt;&gt;"",OR(NOT(ISNUMBER($H283)),$H283&lt;0,$H283&gt;1)),"Peso fuera de rango"&amp;" · ","")&amp;IF(AND($V283="Sub",$H283&lt;&gt;"",OR(NOT(ISNUMBER($H283)),$H283&lt;0,$H283&gt;1)),"% de la subactividad fuera de rango 0-100%"&amp;" · ","")&amp;IF(AND(N($W283)&gt;0,SUMIFS($H$5:$H$1000,$U$5:$U$1000,ROW(),$V$5:$V$1000,"Sub")&gt;1.0001),"Las subactividades suman más de 100%"&amp;" · ","")&amp;IF(AND(N($W283)&gt;0,OR(IF(ISNUMBER($I283),ROUND($I283,6)&lt;&gt;ROUND(MIN(1,SUMIFS($AD$5:$AD$1000,$U$5:$U$1000,ROW(),$V$5:$V$1000,"Sub")),6),FALSE),IF(ISNUMBER($J283),ROUND($J283,6)&lt;&gt;ROUND(MIN(1,SUMIFS($AE$5:$AE$1000,$U$5:$U$1000,ROW(),$V$5:$V$1000,"Sub")),6),FALSE),IF(ISNUMBER($K283),ROUND($K283,6)&lt;&gt;ROUND(MIN(1,SUMIFS($AF$5:$AF$1000,$U$5:$U$1000,ROW(),$V$5:$V$1000,"Sub")),6),FALSE),IF(ISNUMBER($L283),ROUND($L283,6)&lt;&gt;ROUND(MIN(1,SUMIFS($AG$5:$AG$1000,$U$5:$U$1000,ROW(),$V$5:$V$1000,"Sub")),6),FALSE))),"Con subactividades: no escriba en las semanas (se llenan solas)"&amp;" · ","")&amp;IF((COUNTIF($I283:$L283,"&gt;1")+COUNTIF($I283:$L283,"&lt;0")+SUMPRODUCT((LEN($I283:$L283)&gt;0)*NOT(ISNUMBER($I283:$L283))))&gt;0,"Avance fuera de rango 0-100%"&amp;" · ","")&amp;IF(OR(AND(ISNUMBER($J283),$J283&lt;N($I283)),AND(ISNUMBER($K283),$K283&lt;MAX($I283:$J283)),AND(ISNUMBER($L283),$L283&lt;MAX($I283:$K283))),"Avance semanal decreciente"&amp;" · ","")&amp;IF(AND(ISNUMBER($AS283),$AS283&lt;FechaRef,IF($V283="Sub",1,N($M283))&lt;1),"Vencida"&amp;" · ","")&amp;IF(AND(ObsObligatoria="Sí",ISNUMBER($AS283),$AS283&lt;FechaRef,IF($V283="Sub",1,N($M283))&lt;1,$Q283=""),"Vencida sin observación"&amp;" · ",""))-3)))</f>
        <v/>
      </c>
      <c r="S283" s="64">
        <f>IF(NOT((COUNTA($B283:$D283)+COUNTA($G283:$H283)+COUNTA($Q283))&gt;0),"",IF(AND($V283="Sub",N($U283)&gt;0),IF(ISNUMBER(INDEX($AR$5:$AR$1000,$U283-4)),DATE(YEAR(INDEX($AR$5:$AR$1000,$U283-4)),MONTH(INDEX($AR$5:$AR$1000,$U283-4)),1),IF(ISNUMBER(INDEX($AS$5:$AS$1000,$U283-4)),DATE(YEAR(INDEX($AS$5:$AS$1000,$U283-4)),MONTH(INDEX($AS$5:$AS$1000,$U283-4)),1),MesCiclo)),IF(ISNUMBER($AR283),DATE(YEAR($AR283),MONTH($AR283),1),IF(ISNUMBER($AS283),DATE(YEAR($AS283),MONTH($AS283),1),MesCiclo))))</f>
        <v/>
      </c>
      <c r="T283" s="62">
        <f>IF(OR($S283="",$S283&lt;&gt;MesCiclo,$V283&lt;&gt;"Macro"),"",COUNTIFS($S$5:$S283,MesCiclo,$V$5:$V283,"Macro"))</f>
        <v/>
      </c>
      <c r="U283" s="62">
        <f>IF($V283="","",IF($V283="Macro",ROW(),IFERROR(LOOKUP(2,1/($V$5:$V283="Macro"),ROW($V$5:$V283)),0)))</f>
        <v/>
      </c>
      <c r="V283" s="62">
        <f>IF(NOT((COUNTA($B283:$D283)+COUNTA($G283:$H283)+COUNTA($Q283))&gt;0),"",IF($B283="Subactividad","Sub","Macro"))</f>
        <v/>
      </c>
      <c r="W283" s="62">
        <f>IF($V283="Macro",COUNTIFS($U$5:$U$1000,ROW(),$V$5:$V$1000,"Sub"),"")</f>
        <v/>
      </c>
      <c r="X283" s="62">
        <f>IF($V283&lt;&gt;"Sub","",IF(AND(ISNUMBER($H283),N($H283)&gt;0),$H283,IFERROR(MAX(0,1-SUMIFS($H$5:$H$1000,$U$5:$U$1000,$U283,$V$5:$V$1000,"Sub"))/(COUNTIFS($U$5:$U$1000,$U283,$V$5:$V$1000,"Sub")-COUNTIFS($U$5:$U$1000,$U283,$V$5:$V$1000,"Sub",$H$5:$H$1000,"&gt;0")),0)))</f>
        <v/>
      </c>
      <c r="Y283" s="62">
        <f>IF($V283="","",IF($V283="Sub",N($X283)*IF(ISNUMBER($G283),1,MIN(1,MAX(0,IFERROR(LOOKUP(2,1/ISNUMBER($I283:$L283),$I283:$L283),0)))),IF(ISNUMBER($G283),1,IFERROR(LOOKUP(2,1/($I283:$L283&lt;&gt;""),$I283:$L283),0))))</f>
        <v/>
      </c>
      <c r="Z283" s="62">
        <f>IF($V283="","",IF(AND(ISNUMBER($G283),$G283&lt;=IF($S283=MesCiclo,InicioCiclo,$S283+MOD(2-WEEKDAY($S283),7))+6),1,IF(ISNUMBER($I283),$I283,0)))</f>
        <v/>
      </c>
      <c r="AA283" s="62">
        <f>IF($V283="","",IF(AND(ISNUMBER($G283),$G283&lt;=IF($S283=MesCiclo,InicioCiclo,$S283+MOD(2-WEEKDAY($S283),7))+13),1,IF(ISNUMBER($J283),$J283,$Z283)))</f>
        <v/>
      </c>
      <c r="AB283" s="62">
        <f>IF($V283="","",IF(AND(ISNUMBER($G283),$G283&lt;=IF($S283=MesCiclo,InicioCiclo,$S283+MOD(2-WEEKDAY($S283),7))+20),1,IF(ISNUMBER($K283),$K283,$AA283)))</f>
        <v/>
      </c>
      <c r="AC283" s="62">
        <f>IF($V283="","",IF(AND(ISNUMBER($G283),$G283&lt;=IF($S283=MesCiclo,InicioCiclo,$S283+MOD(2-WEEKDAY($S283),7))+27),1,IF(ISNUMBER($L283),$L283,$AB283)))</f>
        <v/>
      </c>
      <c r="AD283" s="62">
        <f>IF($V283&lt;&gt;"Sub","",N($X283)*IF(AND(ISNUMBER($G283),$G283&lt;=IF($S283=MesCiclo,InicioCiclo,$S283+MOD(2-WEEKDAY($S283),7))+6),1,MIN(1,MAX(0,IF(ISNUMBER(OFFSET($A$1,ROW()-1,8)),OFFSET($A$1,ROW()-1,8),0)))))</f>
        <v/>
      </c>
      <c r="AE283" s="62">
        <f>IF($V283&lt;&gt;"Sub","",N($X283)*IF(AND(ISNUMBER($G283),$G283&lt;=IF($S283=MesCiclo,InicioCiclo,$S283+MOD(2-WEEKDAY($S283),7))+13),1,MIN(1,MAX(0,IF(ISNUMBER(OFFSET($A$1,ROW()-1,9)),OFFSET($A$1,ROW()-1,9),IF(ISNUMBER(OFFSET($A$1,ROW()-1,8)),OFFSET($A$1,ROW()-1,8),0))))))</f>
        <v/>
      </c>
      <c r="AF283" s="62">
        <f>IF($V283&lt;&gt;"Sub","",N($X283)*IF(AND(ISNUMBER($G283),$G283&lt;=IF($S283=MesCiclo,InicioCiclo,$S283+MOD(2-WEEKDAY($S283),7))+20),1,MIN(1,MAX(0,IF(ISNUMBER(OFFSET($A$1,ROW()-1,10)),OFFSET($A$1,ROW()-1,10),IF(ISNUMBER(OFFSET($A$1,ROW()-1,9)),OFFSET($A$1,ROW()-1,9),IF(ISNUMBER(OFFSET($A$1,ROW()-1,8)),OFFSET($A$1,ROW()-1,8),0)))))))</f>
        <v/>
      </c>
      <c r="AG283" s="62">
        <f>IF($V283&lt;&gt;"Sub","",N($X283)*IF(AND(ISNUMBER($G283),$G283&lt;=IF($S283=MesCiclo,InicioCiclo,$S283+MOD(2-WEEKDAY($S283),7))+27),1,MIN(1,MAX(0,IF(ISNUMBER(OFFSET($A$1,ROW()-1,11)),OFFSET($A$1,ROW()-1,11),IF(ISNUMBER(OFFSET($A$1,ROW()-1,10)),OFFSET($A$1,ROW()-1,10),IF(ISNUMBER(OFFSET($A$1,ROW()-1,9)),OFFSET($A$1,ROW()-1,9),IF(ISNUMBER(OFFSET($A$1,ROW()-1,8)),OFFSET($A$1,ROW()-1,8),0))))))))</f>
        <v/>
      </c>
      <c r="AH283" s="62">
        <f>IF($V283="","",IF(AND(ISNUMBER($G283),$G283&lt;=IF($S283=MesCiclo,InicioCiclo,$S283+MOD(2-WEEKDAY($S283),7))+6),1,IF(N($W283)&gt;0,MIN(1,SUMIFS($AD$5:$AD$1000,$U$5:$U$1000,ROW(),$V$5:$V$1000,"Sub")),$Z283)))</f>
        <v/>
      </c>
      <c r="AI283" s="62">
        <f>IF($V283="","",IF(AND(ISNUMBER($G283),$G283&lt;=IF($S283=MesCiclo,InicioCiclo,$S283+MOD(2-WEEKDAY($S283),7))+13),1,IF(N($W283)&gt;0,MIN(1,SUMIFS($AE$5:$AE$1000,$U$5:$U$1000,ROW(),$V$5:$V$1000,"Sub")),$AA283)))</f>
        <v/>
      </c>
      <c r="AJ283" s="62">
        <f>IF($V283="","",IF(AND(ISNUMBER($G283),$G283&lt;=IF($S283=MesCiclo,InicioCiclo,$S283+MOD(2-WEEKDAY($S283),7))+20),1,IF(N($W283)&gt;0,MIN(1,SUMIFS($AF$5:$AF$1000,$U$5:$U$1000,ROW(),$V$5:$V$1000,"Sub")),$AB283)))</f>
        <v/>
      </c>
      <c r="AK283" s="62">
        <f>IF($V283="","",IF(AND(ISNUMBER($G283),$G283&lt;=IF($S283=MesCiclo,InicioCiclo,$S283+MOD(2-WEEKDAY($S283),7))+27),1,IF(N($W283)&gt;0,MIN(1,SUMIFS($AG$5:$AG$1000,$U$5:$U$1000,ROW(),$V$5:$V$1000,"Sub")),$AC283)))</f>
        <v/>
      </c>
      <c r="AL283" s="62">
        <f>IF($V283&lt;&gt;"Macro","",IF(COUNTIFS($S$5:$S$1000,$S283,$V$5:$V$1000,"Macro",$H$5:$H$1000,"&gt;0")=0,1/COUNTIFS($S$5:$S$1000,$S283,$V$5:$V$1000,"Macro"),IF(AND(ISNUMBER($H283),N($H283)&gt;0),$H283,SUMIFS($H$5:$H$1000,$S$5:$S$1000,$S283,$V$5:$V$1000,"Macro")/COUNTIFS($S$5:$S$1000,$S283,$V$5:$V$1000,"Macro",$H$5:$H$1000,"&gt;0"))/(COUNTIFS($S$5:$S$1000,$S283,$V$5:$V$1000,"Macro")*SUMIFS($H$5:$H$1000,$S$5:$S$1000,$S283,$V$5:$V$1000,"Macro")/COUNTIFS($S$5:$S$1000,$S283,$V$5:$V$1000,"Macro",$H$5:$H$1000,"&gt;0"))))</f>
        <v/>
      </c>
      <c r="AM283" s="62" t="n"/>
      <c r="AN283" s="62" t="n"/>
      <c r="AO283" s="62" t="n"/>
      <c r="AP283" s="62" t="n"/>
      <c r="AQ283" s="62">
        <f>IF(LEFT($C283,11)="[Jefatura] ",IFERROR(MATCH("Asistente Técnico de Riesgo|"&amp;MID($C283,12,500),rDname_ADM,0),0),"")</f>
        <v/>
      </c>
      <c r="AR283" s="62">
        <f>IF(N($AQ283)&gt;0,INDEX(rIni_ADM,$AQ283),IF(ISNUMBER($E283),$E283,""))</f>
        <v/>
      </c>
      <c r="AS283" s="62">
        <f>IF(N($AQ283)&gt;0,INDEX(rLim_ADM,$AQ283),IF(ISNUMBER($F283),$F283,""))</f>
        <v/>
      </c>
    </row>
    <row r="284">
      <c r="A284" s="56">
        <f>IF(NOT((COUNTA($B284:$D284)+COUNTA($G284:$H284)+COUNTA($Q284))&gt;0),"",IF($V284="Macro",COUNTIFS($V$5:$V284,"Macro",$S$5:$S284,$S284),IF(N($U284)=0,"?",COUNTIFS(INDEX($V$5:$V$1000,1):INDEX($V$5:$V$1000,$U284-4),"Macro",INDEX($S$5:$S$1000,1):INDEX($S$5:$S$1000,$U284-4),INDEX($S$5:$S$1000,$U284-4))&amp;"."&amp;COUNTIFS($U$5:$U284,$U284,$V$5:$V284,"Sub"))))</f>
        <v/>
      </c>
      <c r="B284" s="57" t="n"/>
      <c r="C284" s="58" t="n"/>
      <c r="D284" s="58" t="n"/>
      <c r="E284" s="59">
        <f>IF(N($AQ284)&gt;0,INDEX(rIni_ADM,$AQ284),"")</f>
        <v/>
      </c>
      <c r="F284" s="59">
        <f>IF(N($AQ284)&gt;0,INDEX(rLim_ADM,$AQ284),"")</f>
        <v/>
      </c>
      <c r="G284" s="59" t="n"/>
      <c r="H284" s="60" t="n"/>
      <c r="I284" s="60">
        <f>IF(N($W284)=0,"",IF(AND($S284=MesCiclo,1&gt;SemanaActual),"",MIN(1,SUMIFS(OFFSET($A$1,ROW(),29,1000-ROW(),1),OFFSET($A$1,ROW(),20,1000-ROW(),1),ROW(),OFFSET($A$1,ROW(),21,1000-ROW(),1),"Sub"))))</f>
        <v/>
      </c>
      <c r="J284" s="60">
        <f>IF(N($W284)=0,"",IF(AND($S284=MesCiclo,2&gt;SemanaActual),"",MIN(1,SUMIFS(OFFSET($A$1,ROW(),30,1000-ROW(),1),OFFSET($A$1,ROW(),20,1000-ROW(),1),ROW(),OFFSET($A$1,ROW(),21,1000-ROW(),1),"Sub"))))</f>
        <v/>
      </c>
      <c r="K284" s="60">
        <f>IF(N($W284)=0,"",IF(AND($S284=MesCiclo,3&gt;SemanaActual),"",MIN(1,SUMIFS(OFFSET($A$1,ROW(),31,1000-ROW(),1),OFFSET($A$1,ROW(),20,1000-ROW(),1),ROW(),OFFSET($A$1,ROW(),21,1000-ROW(),1),"Sub"))))</f>
        <v/>
      </c>
      <c r="L284" s="60">
        <f>IF(N($W284)=0,"",IF(AND($S284=MesCiclo,4&gt;SemanaActual),"",MIN(1,SUMIFS(OFFSET($A$1,ROW(),32,1000-ROW(),1),OFFSET($A$1,ROW(),20,1000-ROW(),1),ROW(),OFFSET($A$1,ROW(),21,1000-ROW(),1),"Sub"))))</f>
        <v/>
      </c>
      <c r="M284" s="61">
        <f>IF(OR(NOT((COUNTA($B284:$D284)+COUNTA($G284:$H284)+COUNTA($Q284))&gt;0),$V284="Sub"),"",IF(ISNUMBER($G284),1,IF(N($W284)&gt;0,MIN(1,SUMIFS($Y$5:$Y$1000,$U$5:$U$1000,ROW(),$V$5:$V$1000,"Sub")),$Y284)))</f>
        <v/>
      </c>
      <c r="N284" s="56">
        <f>IF(OR($M284="",$V284="Sub"),"",IF($M284&gt;=1,"Completado",IF($M284&gt;0,"En curso","Pendiente")))</f>
        <v/>
      </c>
      <c r="O284" s="56">
        <f>IF(OR(NOT((COUNTA($B284:$D284)+COUNTA($G284:$H284)+COUNTA($Q284))&gt;0),$V284="Sub"),"",IF(ISNUMBER($G284),IF(AND(ISNUMBER($AS284),$G284&gt;$AS284),"Cumplida con "&amp;($G284-$AS284)&amp;IF($G284-$AS284=1," día"," días")&amp;" de retraso","Cumplida"),IF(N($M284)&gt;=1,"Cumplida",IF(NOT(ISNUMBER($AS284)),"Sin fecha límite",IF($AS284&lt;FechaRef,"Vencida hace "&amp;(FechaRef-$AS284)&amp;IF(FechaRef-$AS284=1," día"," días"),IF($AS284=FechaRef,"Vence hoy",IF($AS284-FechaRef&lt;=DiasAlerta,"Vence en "&amp;($AS284-FechaRef)&amp;IF($AS284-FechaRef=1," día"," días"),"En plazo")))))))</f>
        <v/>
      </c>
      <c r="P284" s="62" t="n"/>
      <c r="Q284" s="58" t="n"/>
      <c r="R284" s="63">
        <f>IF(NOT((COUNTA($B284:$D284)+COUNTA($G284:$H284)+COUNTA($Q284))&gt;0),"",IF((IF($C284="","Falta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 OK","⚠ "&amp;LEFT(IF($C284="","Falta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",""),LEN(IF($C284="","Falta el nombre de la actividad"&amp;" · ","")&amp;IF(AND($V284="Sub",N($U284)=0),"Subactividad sin macroactividad arriba"&amp;" · ","")&amp;IF(AND($V284="Macro",$AR284=""),"Sin fecha de inicio"&amp;" · ","")&amp;IF(AND($V284="Macro",$AS284=""),"Sin fecha límite"&amp;" · ","")&amp;IF(AND(LEFT($C284,11)="[Jefatura] ",N($AQ284)=0),"No se encuentra en la hoja de la jefatura (elíjala de nuevo en la lista)"&amp;" · ","")&amp;IF(OR(AND($E284&lt;&gt;"",NOT(ISNUMBER($E284))),AND($F284&lt;&gt;"",NOT(ISNUMBER($F284))),AND($G284&lt;&gt;"",NOT(ISNUMBER($G284)))),"Fecha no válida"&amp;" · ","")&amp;IF(AND(ISNUMBER($AR284),ISNUMBER($AS284),$AR284&gt;$AS284),"Inicio posterior a fecha límite"&amp;" · ","")&amp;IF(AND($V284="Macro",$H284&lt;&gt;"",OR(NOT(ISNUMBER($H284)),$H284&lt;0,$H284&gt;1)),"Peso fuera de rango"&amp;" · ","")&amp;IF(AND($V284="Sub",$H284&lt;&gt;"",OR(NOT(ISNUMBER($H284)),$H284&lt;0,$H284&gt;1)),"% de la subactividad fuera de rango 0-100%"&amp;" · ","")&amp;IF(AND(N($W284)&gt;0,SUMIFS($H$5:$H$1000,$U$5:$U$1000,ROW(),$V$5:$V$1000,"Sub")&gt;1.0001),"Las subactividades suman más de 100%"&amp;" · ","")&amp;IF(AND(N($W284)&gt;0,OR(IF(ISNUMBER($I284),ROUND($I284,6)&lt;&gt;ROUND(MIN(1,SUMIFS($AD$5:$AD$1000,$U$5:$U$1000,ROW(),$V$5:$V$1000,"Sub")),6),FALSE),IF(ISNUMBER($J284),ROUND($J284,6)&lt;&gt;ROUND(MIN(1,SUMIFS($AE$5:$AE$1000,$U$5:$U$1000,ROW(),$V$5:$V$1000,"Sub")),6),FALSE),IF(ISNUMBER($K284),ROUND($K284,6)&lt;&gt;ROUND(MIN(1,SUMIFS($AF$5:$AF$1000,$U$5:$U$1000,ROW(),$V$5:$V$1000,"Sub")),6),FALSE),IF(ISNUMBER($L284),ROUND($L284,6)&lt;&gt;ROUND(MIN(1,SUMIFS($AG$5:$AG$1000,$U$5:$U$1000,ROW(),$V$5:$V$1000,"Sub")),6),FALSE))),"Con subactividades: no escriba en las semanas (se llenan solas)"&amp;" · ","")&amp;IF((COUNTIF($I284:$L284,"&gt;1")+COUNTIF($I284:$L284,"&lt;0")+SUMPRODUCT((LEN($I284:$L284)&gt;0)*NOT(ISNUMBER($I284:$L284))))&gt;0,"Avance fuera de rango 0-100%"&amp;" · ","")&amp;IF(OR(AND(ISNUMBER($J284),$J284&lt;N($I284)),AND(ISNUMBER($K284),$K284&lt;MAX($I284:$J284)),AND(ISNUMBER($L284),$L284&lt;MAX($I284:$K284))),"Avance semanal decreciente"&amp;" · ","")&amp;IF(AND(ISNUMBER($AS284),$AS284&lt;FechaRef,IF($V284="Sub",1,N($M284))&lt;1),"Vencida"&amp;" · ","")&amp;IF(AND(ObsObligatoria="Sí",ISNUMBER($AS284),$AS284&lt;FechaRef,IF($V284="Sub",1,N($M284))&lt;1,$Q284=""),"Vencida sin observación"&amp;" · ",""))-3)))</f>
        <v/>
      </c>
      <c r="S284" s="64">
        <f>IF(NOT((COUNTA($B284:$D284)+COUNTA($G284:$H284)+COUNTA($Q284))&gt;0),"",IF(AND($V284="Sub",N($U284)&gt;0),IF(ISNUMBER(INDEX($AR$5:$AR$1000,$U284-4)),DATE(YEAR(INDEX($AR$5:$AR$1000,$U284-4)),MONTH(INDEX($AR$5:$AR$1000,$U284-4)),1),IF(ISNUMBER(INDEX($AS$5:$AS$1000,$U284-4)),DATE(YEAR(INDEX($AS$5:$AS$1000,$U284-4)),MONTH(INDEX($AS$5:$AS$1000,$U284-4)),1),MesCiclo)),IF(ISNUMBER($AR284),DATE(YEAR($AR284),MONTH($AR284),1),IF(ISNUMBER($AS284),DATE(YEAR($AS284),MONTH($AS284),1),MesCiclo))))</f>
        <v/>
      </c>
      <c r="T284" s="62">
        <f>IF(OR($S284="",$S284&lt;&gt;MesCiclo,$V284&lt;&gt;"Macro"),"",COUNTIFS($S$5:$S284,MesCiclo,$V$5:$V284,"Macro"))</f>
        <v/>
      </c>
      <c r="U284" s="62">
        <f>IF($V284="","",IF($V284="Macro",ROW(),IFERROR(LOOKUP(2,1/($V$5:$V284="Macro"),ROW($V$5:$V284)),0)))</f>
        <v/>
      </c>
      <c r="V284" s="62">
        <f>IF(NOT((COUNTA($B284:$D284)+COUNTA($G284:$H284)+COUNTA($Q284))&gt;0),"",IF($B284="Subactividad","Sub","Macro"))</f>
        <v/>
      </c>
      <c r="W284" s="62">
        <f>IF($V284="Macro",COUNTIFS($U$5:$U$1000,ROW(),$V$5:$V$1000,"Sub"),"")</f>
        <v/>
      </c>
      <c r="X284" s="62">
        <f>IF($V284&lt;&gt;"Sub","",IF(AND(ISNUMBER($H284),N($H284)&gt;0),$H284,IFERROR(MAX(0,1-SUMIFS($H$5:$H$1000,$U$5:$U$1000,$U284,$V$5:$V$1000,"Sub"))/(COUNTIFS($U$5:$U$1000,$U284,$V$5:$V$1000,"Sub")-COUNTIFS($U$5:$U$1000,$U284,$V$5:$V$1000,"Sub",$H$5:$H$1000,"&gt;0")),0)))</f>
        <v/>
      </c>
      <c r="Y284" s="62">
        <f>IF($V284="","",IF($V284="Sub",N($X284)*IF(ISNUMBER($G284),1,MIN(1,MAX(0,IFERROR(LOOKUP(2,1/ISNUMBER($I284:$L284),$I284:$L284),0)))),IF(ISNUMBER($G284),1,IFERROR(LOOKUP(2,1/($I284:$L284&lt;&gt;""),$I284:$L284),0))))</f>
        <v/>
      </c>
      <c r="Z284" s="62">
        <f>IF($V284="","",IF(AND(ISNUMBER($G284),$G284&lt;=IF($S284=MesCiclo,InicioCiclo,$S284+MOD(2-WEEKDAY($S284),7))+6),1,IF(ISNUMBER($I284),$I284,0)))</f>
        <v/>
      </c>
      <c r="AA284" s="62">
        <f>IF($V284="","",IF(AND(ISNUMBER($G284),$G284&lt;=IF($S284=MesCiclo,InicioCiclo,$S284+MOD(2-WEEKDAY($S284),7))+13),1,IF(ISNUMBER($J284),$J284,$Z284)))</f>
        <v/>
      </c>
      <c r="AB284" s="62">
        <f>IF($V284="","",IF(AND(ISNUMBER($G284),$G284&lt;=IF($S284=MesCiclo,InicioCiclo,$S284+MOD(2-WEEKDAY($S284),7))+20),1,IF(ISNUMBER($K284),$K284,$AA284)))</f>
        <v/>
      </c>
      <c r="AC284" s="62">
        <f>IF($V284="","",IF(AND(ISNUMBER($G284),$G284&lt;=IF($S284=MesCiclo,InicioCiclo,$S284+MOD(2-WEEKDAY($S284),7))+27),1,IF(ISNUMBER($L284),$L284,$AB284)))</f>
        <v/>
      </c>
      <c r="AD284" s="62">
        <f>IF($V284&lt;&gt;"Sub","",N($X284)*IF(AND(ISNUMBER($G284),$G284&lt;=IF($S284=MesCiclo,InicioCiclo,$S284+MOD(2-WEEKDAY($S284),7))+6),1,MIN(1,MAX(0,IF(ISNUMBER(OFFSET($A$1,ROW()-1,8)),OFFSET($A$1,ROW()-1,8),0)))))</f>
        <v/>
      </c>
      <c r="AE284" s="62">
        <f>IF($V284&lt;&gt;"Sub","",N($X284)*IF(AND(ISNUMBER($G284),$G284&lt;=IF($S284=MesCiclo,InicioCiclo,$S284+MOD(2-WEEKDAY($S284),7))+13),1,MIN(1,MAX(0,IF(ISNUMBER(OFFSET($A$1,ROW()-1,9)),OFFSET($A$1,ROW()-1,9),IF(ISNUMBER(OFFSET($A$1,ROW()-1,8)),OFFSET($A$1,ROW()-1,8),0))))))</f>
        <v/>
      </c>
      <c r="AF284" s="62">
        <f>IF($V284&lt;&gt;"Sub","",N($X284)*IF(AND(ISNUMBER($G284),$G284&lt;=IF($S284=MesCiclo,InicioCiclo,$S284+MOD(2-WEEKDAY($S284),7))+20),1,MIN(1,MAX(0,IF(ISNUMBER(OFFSET($A$1,ROW()-1,10)),OFFSET($A$1,ROW()-1,10),IF(ISNUMBER(OFFSET($A$1,ROW()-1,9)),OFFSET($A$1,ROW()-1,9),IF(ISNUMBER(OFFSET($A$1,ROW()-1,8)),OFFSET($A$1,ROW()-1,8),0)))))))</f>
        <v/>
      </c>
      <c r="AG284" s="62">
        <f>IF($V284&lt;&gt;"Sub","",N($X284)*IF(AND(ISNUMBER($G284),$G284&lt;=IF($S284=MesCiclo,InicioCiclo,$S284+MOD(2-WEEKDAY($S284),7))+27),1,MIN(1,MAX(0,IF(ISNUMBER(OFFSET($A$1,ROW()-1,11)),OFFSET($A$1,ROW()-1,11),IF(ISNUMBER(OFFSET($A$1,ROW()-1,10)),OFFSET($A$1,ROW()-1,10),IF(ISNUMBER(OFFSET($A$1,ROW()-1,9)),OFFSET($A$1,ROW()-1,9),IF(ISNUMBER(OFFSET($A$1,ROW()-1,8)),OFFSET($A$1,ROW()-1,8),0))))))))</f>
        <v/>
      </c>
      <c r="AH284" s="62">
        <f>IF($V284="","",IF(AND(ISNUMBER($G284),$G284&lt;=IF($S284=MesCiclo,InicioCiclo,$S284+MOD(2-WEEKDAY($S284),7))+6),1,IF(N($W284)&gt;0,MIN(1,SUMIFS($AD$5:$AD$1000,$U$5:$U$1000,ROW(),$V$5:$V$1000,"Sub")),$Z284)))</f>
        <v/>
      </c>
      <c r="AI284" s="62">
        <f>IF($V284="","",IF(AND(ISNUMBER($G284),$G284&lt;=IF($S284=MesCiclo,InicioCiclo,$S284+MOD(2-WEEKDAY($S284),7))+13),1,IF(N($W284)&gt;0,MIN(1,SUMIFS($AE$5:$AE$1000,$U$5:$U$1000,ROW(),$V$5:$V$1000,"Sub")),$AA284)))</f>
        <v/>
      </c>
      <c r="AJ284" s="62">
        <f>IF($V284="","",IF(AND(ISNUMBER($G284),$G284&lt;=IF($S284=MesCiclo,InicioCiclo,$S284+MOD(2-WEEKDAY($S284),7))+20),1,IF(N($W284)&gt;0,MIN(1,SUMIFS($AF$5:$AF$1000,$U$5:$U$1000,ROW(),$V$5:$V$1000,"Sub")),$AB284)))</f>
        <v/>
      </c>
      <c r="AK284" s="62">
        <f>IF($V284="","",IF(AND(ISNUMBER($G284),$G284&lt;=IF($S284=MesCiclo,InicioCiclo,$S284+MOD(2-WEEKDAY($S284),7))+27),1,IF(N($W284)&gt;0,MIN(1,SUMIFS($AG$5:$AG$1000,$U$5:$U$1000,ROW(),$V$5:$V$1000,"Sub")),$AC284)))</f>
        <v/>
      </c>
      <c r="AL284" s="62">
        <f>IF($V284&lt;&gt;"Macro","",IF(COUNTIFS($S$5:$S$1000,$S284,$V$5:$V$1000,"Macro",$H$5:$H$1000,"&gt;0")=0,1/COUNTIFS($S$5:$S$1000,$S284,$V$5:$V$1000,"Macro"),IF(AND(ISNUMBER($H284),N($H284)&gt;0),$H284,SUMIFS($H$5:$H$1000,$S$5:$S$1000,$S284,$V$5:$V$1000,"Macro")/COUNTIFS($S$5:$S$1000,$S284,$V$5:$V$1000,"Macro",$H$5:$H$1000,"&gt;0"))/(COUNTIFS($S$5:$S$1000,$S284,$V$5:$V$1000,"Macro")*SUMIFS($H$5:$H$1000,$S$5:$S$1000,$S284,$V$5:$V$1000,"Macro")/COUNTIFS($S$5:$S$1000,$S284,$V$5:$V$1000,"Macro",$H$5:$H$1000,"&gt;0"))))</f>
        <v/>
      </c>
      <c r="AM284" s="62" t="n"/>
      <c r="AN284" s="62" t="n"/>
      <c r="AO284" s="62" t="n"/>
      <c r="AP284" s="62" t="n"/>
      <c r="AQ284" s="62">
        <f>IF(LEFT($C284,11)="[Jefatura] ",IFERROR(MATCH("Asistente Técnico de Riesgo|"&amp;MID($C284,12,500),rDname_ADM,0),0),"")</f>
        <v/>
      </c>
      <c r="AR284" s="62">
        <f>IF(N($AQ284)&gt;0,INDEX(rIni_ADM,$AQ284),IF(ISNUMBER($E284),$E284,""))</f>
        <v/>
      </c>
      <c r="AS284" s="62">
        <f>IF(N($AQ284)&gt;0,INDEX(rLim_ADM,$AQ284),IF(ISNUMBER($F284),$F284,""))</f>
        <v/>
      </c>
    </row>
    <row r="285">
      <c r="A285" s="56">
        <f>IF(NOT((COUNTA($B285:$D285)+COUNTA($G285:$H285)+COUNTA($Q285))&gt;0),"",IF($V285="Macro",COUNTIFS($V$5:$V285,"Macro",$S$5:$S285,$S285),IF(N($U285)=0,"?",COUNTIFS(INDEX($V$5:$V$1000,1):INDEX($V$5:$V$1000,$U285-4),"Macro",INDEX($S$5:$S$1000,1):INDEX($S$5:$S$1000,$U285-4),INDEX($S$5:$S$1000,$U285-4))&amp;"."&amp;COUNTIFS($U$5:$U285,$U285,$V$5:$V285,"Sub"))))</f>
        <v/>
      </c>
      <c r="B285" s="57" t="n"/>
      <c r="C285" s="58" t="n"/>
      <c r="D285" s="58" t="n"/>
      <c r="E285" s="59">
        <f>IF(N($AQ285)&gt;0,INDEX(rIni_ADM,$AQ285),"")</f>
        <v/>
      </c>
      <c r="F285" s="59">
        <f>IF(N($AQ285)&gt;0,INDEX(rLim_ADM,$AQ285),"")</f>
        <v/>
      </c>
      <c r="G285" s="59" t="n"/>
      <c r="H285" s="60" t="n"/>
      <c r="I285" s="60">
        <f>IF(N($W285)=0,"",IF(AND($S285=MesCiclo,1&gt;SemanaActual),"",MIN(1,SUMIFS(OFFSET($A$1,ROW(),29,1000-ROW(),1),OFFSET($A$1,ROW(),20,1000-ROW(),1),ROW(),OFFSET($A$1,ROW(),21,1000-ROW(),1),"Sub"))))</f>
        <v/>
      </c>
      <c r="J285" s="60">
        <f>IF(N($W285)=0,"",IF(AND($S285=MesCiclo,2&gt;SemanaActual),"",MIN(1,SUMIFS(OFFSET($A$1,ROW(),30,1000-ROW(),1),OFFSET($A$1,ROW(),20,1000-ROW(),1),ROW(),OFFSET($A$1,ROW(),21,1000-ROW(),1),"Sub"))))</f>
        <v/>
      </c>
      <c r="K285" s="60">
        <f>IF(N($W285)=0,"",IF(AND($S285=MesCiclo,3&gt;SemanaActual),"",MIN(1,SUMIFS(OFFSET($A$1,ROW(),31,1000-ROW(),1),OFFSET($A$1,ROW(),20,1000-ROW(),1),ROW(),OFFSET($A$1,ROW(),21,1000-ROW(),1),"Sub"))))</f>
        <v/>
      </c>
      <c r="L285" s="60">
        <f>IF(N($W285)=0,"",IF(AND($S285=MesCiclo,4&gt;SemanaActual),"",MIN(1,SUMIFS(OFFSET($A$1,ROW(),32,1000-ROW(),1),OFFSET($A$1,ROW(),20,1000-ROW(),1),ROW(),OFFSET($A$1,ROW(),21,1000-ROW(),1),"Sub"))))</f>
        <v/>
      </c>
      <c r="M285" s="61">
        <f>IF(OR(NOT((COUNTA($B285:$D285)+COUNTA($G285:$H285)+COUNTA($Q285))&gt;0),$V285="Sub"),"",IF(ISNUMBER($G285),1,IF(N($W285)&gt;0,MIN(1,SUMIFS($Y$5:$Y$1000,$U$5:$U$1000,ROW(),$V$5:$V$1000,"Sub")),$Y285)))</f>
        <v/>
      </c>
      <c r="N285" s="56">
        <f>IF(OR($M285="",$V285="Sub"),"",IF($M285&gt;=1,"Completado",IF($M285&gt;0,"En curso","Pendiente")))</f>
        <v/>
      </c>
      <c r="O285" s="56">
        <f>IF(OR(NOT((COUNTA($B285:$D285)+COUNTA($G285:$H285)+COUNTA($Q285))&gt;0),$V285="Sub"),"",IF(ISNUMBER($G285),IF(AND(ISNUMBER($AS285),$G285&gt;$AS285),"Cumplida con "&amp;($G285-$AS285)&amp;IF($G285-$AS285=1," día"," días")&amp;" de retraso","Cumplida"),IF(N($M285)&gt;=1,"Cumplida",IF(NOT(ISNUMBER($AS285)),"Sin fecha límite",IF($AS285&lt;FechaRef,"Vencida hace "&amp;(FechaRef-$AS285)&amp;IF(FechaRef-$AS285=1," día"," días"),IF($AS285=FechaRef,"Vence hoy",IF($AS285-FechaRef&lt;=DiasAlerta,"Vence en "&amp;($AS285-FechaRef)&amp;IF($AS285-FechaRef=1," día"," días"),"En plazo")))))))</f>
        <v/>
      </c>
      <c r="P285" s="62" t="n"/>
      <c r="Q285" s="58" t="n"/>
      <c r="R285" s="63">
        <f>IF(NOT((COUNTA($B285:$D285)+COUNTA($G285:$H285)+COUNTA($Q285))&gt;0),"",IF((IF($C285="","Falta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 OK","⚠ "&amp;LEFT(IF($C285="","Falta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",""),LEN(IF($C285="","Falta el nombre de la actividad"&amp;" · ","")&amp;IF(AND($V285="Sub",N($U285)=0),"Subactividad sin macroactividad arriba"&amp;" · ","")&amp;IF(AND($V285="Macro",$AR285=""),"Sin fecha de inicio"&amp;" · ","")&amp;IF(AND($V285="Macro",$AS285=""),"Sin fecha límite"&amp;" · ","")&amp;IF(AND(LEFT($C285,11)="[Jefatura] ",N($AQ285)=0),"No se encuentra en la hoja de la jefatura (elíjala de nuevo en la lista)"&amp;" · ","")&amp;IF(OR(AND($E285&lt;&gt;"",NOT(ISNUMBER($E285))),AND($F285&lt;&gt;"",NOT(ISNUMBER($F285))),AND($G285&lt;&gt;"",NOT(ISNUMBER($G285)))),"Fecha no válida"&amp;" · ","")&amp;IF(AND(ISNUMBER($AR285),ISNUMBER($AS285),$AR285&gt;$AS285),"Inicio posterior a fecha límite"&amp;" · ","")&amp;IF(AND($V285="Macro",$H285&lt;&gt;"",OR(NOT(ISNUMBER($H285)),$H285&lt;0,$H285&gt;1)),"Peso fuera de rango"&amp;" · ","")&amp;IF(AND($V285="Sub",$H285&lt;&gt;"",OR(NOT(ISNUMBER($H285)),$H285&lt;0,$H285&gt;1)),"% de la subactividad fuera de rango 0-100%"&amp;" · ","")&amp;IF(AND(N($W285)&gt;0,SUMIFS($H$5:$H$1000,$U$5:$U$1000,ROW(),$V$5:$V$1000,"Sub")&gt;1.0001),"Las subactividades suman más de 100%"&amp;" · ","")&amp;IF(AND(N($W285)&gt;0,OR(IF(ISNUMBER($I285),ROUND($I285,6)&lt;&gt;ROUND(MIN(1,SUMIFS($AD$5:$AD$1000,$U$5:$U$1000,ROW(),$V$5:$V$1000,"Sub")),6),FALSE),IF(ISNUMBER($J285),ROUND($J285,6)&lt;&gt;ROUND(MIN(1,SUMIFS($AE$5:$AE$1000,$U$5:$U$1000,ROW(),$V$5:$V$1000,"Sub")),6),FALSE),IF(ISNUMBER($K285),ROUND($K285,6)&lt;&gt;ROUND(MIN(1,SUMIFS($AF$5:$AF$1000,$U$5:$U$1000,ROW(),$V$5:$V$1000,"Sub")),6),FALSE),IF(ISNUMBER($L285),ROUND($L285,6)&lt;&gt;ROUND(MIN(1,SUMIFS($AG$5:$AG$1000,$U$5:$U$1000,ROW(),$V$5:$V$1000,"Sub")),6),FALSE))),"Con subactividades: no escriba en las semanas (se llenan solas)"&amp;" · ","")&amp;IF((COUNTIF($I285:$L285,"&gt;1")+COUNTIF($I285:$L285,"&lt;0")+SUMPRODUCT((LEN($I285:$L285)&gt;0)*NOT(ISNUMBER($I285:$L285))))&gt;0,"Avance fuera de rango 0-100%"&amp;" · ","")&amp;IF(OR(AND(ISNUMBER($J285),$J285&lt;N($I285)),AND(ISNUMBER($K285),$K285&lt;MAX($I285:$J285)),AND(ISNUMBER($L285),$L285&lt;MAX($I285:$K285))),"Avance semanal decreciente"&amp;" · ","")&amp;IF(AND(ISNUMBER($AS285),$AS285&lt;FechaRef,IF($V285="Sub",1,N($M285))&lt;1),"Vencida"&amp;" · ","")&amp;IF(AND(ObsObligatoria="Sí",ISNUMBER($AS285),$AS285&lt;FechaRef,IF($V285="Sub",1,N($M285))&lt;1,$Q285=""),"Vencida sin observación"&amp;" · ",""))-3)))</f>
        <v/>
      </c>
      <c r="S285" s="64">
        <f>IF(NOT((COUNTA($B285:$D285)+COUNTA($G285:$H285)+COUNTA($Q285))&gt;0),"",IF(AND($V285="Sub",N($U285)&gt;0),IF(ISNUMBER(INDEX($AR$5:$AR$1000,$U285-4)),DATE(YEAR(INDEX($AR$5:$AR$1000,$U285-4)),MONTH(INDEX($AR$5:$AR$1000,$U285-4)),1),IF(ISNUMBER(INDEX($AS$5:$AS$1000,$U285-4)),DATE(YEAR(INDEX($AS$5:$AS$1000,$U285-4)),MONTH(INDEX($AS$5:$AS$1000,$U285-4)),1),MesCiclo)),IF(ISNUMBER($AR285),DATE(YEAR($AR285),MONTH($AR285),1),IF(ISNUMBER($AS285),DATE(YEAR($AS285),MONTH($AS285),1),MesCiclo))))</f>
        <v/>
      </c>
      <c r="T285" s="62">
        <f>IF(OR($S285="",$S285&lt;&gt;MesCiclo,$V285&lt;&gt;"Macro"),"",COUNTIFS($S$5:$S285,MesCiclo,$V$5:$V285,"Macro"))</f>
        <v/>
      </c>
      <c r="U285" s="62">
        <f>IF($V285="","",IF($V285="Macro",ROW(),IFERROR(LOOKUP(2,1/($V$5:$V285="Macro"),ROW($V$5:$V285)),0)))</f>
        <v/>
      </c>
      <c r="V285" s="62">
        <f>IF(NOT((COUNTA($B285:$D285)+COUNTA($G285:$H285)+COUNTA($Q285))&gt;0),"",IF($B285="Subactividad","Sub","Macro"))</f>
        <v/>
      </c>
      <c r="W285" s="62">
        <f>IF($V285="Macro",COUNTIFS($U$5:$U$1000,ROW(),$V$5:$V$1000,"Sub"),"")</f>
        <v/>
      </c>
      <c r="X285" s="62">
        <f>IF($V285&lt;&gt;"Sub","",IF(AND(ISNUMBER($H285),N($H285)&gt;0),$H285,IFERROR(MAX(0,1-SUMIFS($H$5:$H$1000,$U$5:$U$1000,$U285,$V$5:$V$1000,"Sub"))/(COUNTIFS($U$5:$U$1000,$U285,$V$5:$V$1000,"Sub")-COUNTIFS($U$5:$U$1000,$U285,$V$5:$V$1000,"Sub",$H$5:$H$1000,"&gt;0")),0)))</f>
        <v/>
      </c>
      <c r="Y285" s="62">
        <f>IF($V285="","",IF($V285="Sub",N($X285)*IF(ISNUMBER($G285),1,MIN(1,MAX(0,IFERROR(LOOKUP(2,1/ISNUMBER($I285:$L285),$I285:$L285),0)))),IF(ISNUMBER($G285),1,IFERROR(LOOKUP(2,1/($I285:$L285&lt;&gt;""),$I285:$L285),0))))</f>
        <v/>
      </c>
      <c r="Z285" s="62">
        <f>IF($V285="","",IF(AND(ISNUMBER($G285),$G285&lt;=IF($S285=MesCiclo,InicioCiclo,$S285+MOD(2-WEEKDAY($S285),7))+6),1,IF(ISNUMBER($I285),$I285,0)))</f>
        <v/>
      </c>
      <c r="AA285" s="62">
        <f>IF($V285="","",IF(AND(ISNUMBER($G285),$G285&lt;=IF($S285=MesCiclo,InicioCiclo,$S285+MOD(2-WEEKDAY($S285),7))+13),1,IF(ISNUMBER($J285),$J285,$Z285)))</f>
        <v/>
      </c>
      <c r="AB285" s="62">
        <f>IF($V285="","",IF(AND(ISNUMBER($G285),$G285&lt;=IF($S285=MesCiclo,InicioCiclo,$S285+MOD(2-WEEKDAY($S285),7))+20),1,IF(ISNUMBER($K285),$K285,$AA285)))</f>
        <v/>
      </c>
      <c r="AC285" s="62">
        <f>IF($V285="","",IF(AND(ISNUMBER($G285),$G285&lt;=IF($S285=MesCiclo,InicioCiclo,$S285+MOD(2-WEEKDAY($S285),7))+27),1,IF(ISNUMBER($L285),$L285,$AB285)))</f>
        <v/>
      </c>
      <c r="AD285" s="62">
        <f>IF($V285&lt;&gt;"Sub","",N($X285)*IF(AND(ISNUMBER($G285),$G285&lt;=IF($S285=MesCiclo,InicioCiclo,$S285+MOD(2-WEEKDAY($S285),7))+6),1,MIN(1,MAX(0,IF(ISNUMBER(OFFSET($A$1,ROW()-1,8)),OFFSET($A$1,ROW()-1,8),0)))))</f>
        <v/>
      </c>
      <c r="AE285" s="62">
        <f>IF($V285&lt;&gt;"Sub","",N($X285)*IF(AND(ISNUMBER($G285),$G285&lt;=IF($S285=MesCiclo,InicioCiclo,$S285+MOD(2-WEEKDAY($S285),7))+13),1,MIN(1,MAX(0,IF(ISNUMBER(OFFSET($A$1,ROW()-1,9)),OFFSET($A$1,ROW()-1,9),IF(ISNUMBER(OFFSET($A$1,ROW()-1,8)),OFFSET($A$1,ROW()-1,8),0))))))</f>
        <v/>
      </c>
      <c r="AF285" s="62">
        <f>IF($V285&lt;&gt;"Sub","",N($X285)*IF(AND(ISNUMBER($G285),$G285&lt;=IF($S285=MesCiclo,InicioCiclo,$S285+MOD(2-WEEKDAY($S285),7))+20),1,MIN(1,MAX(0,IF(ISNUMBER(OFFSET($A$1,ROW()-1,10)),OFFSET($A$1,ROW()-1,10),IF(ISNUMBER(OFFSET($A$1,ROW()-1,9)),OFFSET($A$1,ROW()-1,9),IF(ISNUMBER(OFFSET($A$1,ROW()-1,8)),OFFSET($A$1,ROW()-1,8),0)))))))</f>
        <v/>
      </c>
      <c r="AG285" s="62">
        <f>IF($V285&lt;&gt;"Sub","",N($X285)*IF(AND(ISNUMBER($G285),$G285&lt;=IF($S285=MesCiclo,InicioCiclo,$S285+MOD(2-WEEKDAY($S285),7))+27),1,MIN(1,MAX(0,IF(ISNUMBER(OFFSET($A$1,ROW()-1,11)),OFFSET($A$1,ROW()-1,11),IF(ISNUMBER(OFFSET($A$1,ROW()-1,10)),OFFSET($A$1,ROW()-1,10),IF(ISNUMBER(OFFSET($A$1,ROW()-1,9)),OFFSET($A$1,ROW()-1,9),IF(ISNUMBER(OFFSET($A$1,ROW()-1,8)),OFFSET($A$1,ROW()-1,8),0))))))))</f>
        <v/>
      </c>
      <c r="AH285" s="62">
        <f>IF($V285="","",IF(AND(ISNUMBER($G285),$G285&lt;=IF($S285=MesCiclo,InicioCiclo,$S285+MOD(2-WEEKDAY($S285),7))+6),1,IF(N($W285)&gt;0,MIN(1,SUMIFS($AD$5:$AD$1000,$U$5:$U$1000,ROW(),$V$5:$V$1000,"Sub")),$Z285)))</f>
        <v/>
      </c>
      <c r="AI285" s="62">
        <f>IF($V285="","",IF(AND(ISNUMBER($G285),$G285&lt;=IF($S285=MesCiclo,InicioCiclo,$S285+MOD(2-WEEKDAY($S285),7))+13),1,IF(N($W285)&gt;0,MIN(1,SUMIFS($AE$5:$AE$1000,$U$5:$U$1000,ROW(),$V$5:$V$1000,"Sub")),$AA285)))</f>
        <v/>
      </c>
      <c r="AJ285" s="62">
        <f>IF($V285="","",IF(AND(ISNUMBER($G285),$G285&lt;=IF($S285=MesCiclo,InicioCiclo,$S285+MOD(2-WEEKDAY($S285),7))+20),1,IF(N($W285)&gt;0,MIN(1,SUMIFS($AF$5:$AF$1000,$U$5:$U$1000,ROW(),$V$5:$V$1000,"Sub")),$AB285)))</f>
        <v/>
      </c>
      <c r="AK285" s="62">
        <f>IF($V285="","",IF(AND(ISNUMBER($G285),$G285&lt;=IF($S285=MesCiclo,InicioCiclo,$S285+MOD(2-WEEKDAY($S285),7))+27),1,IF(N($W285)&gt;0,MIN(1,SUMIFS($AG$5:$AG$1000,$U$5:$U$1000,ROW(),$V$5:$V$1000,"Sub")),$AC285)))</f>
        <v/>
      </c>
      <c r="AL285" s="62">
        <f>IF($V285&lt;&gt;"Macro","",IF(COUNTIFS($S$5:$S$1000,$S285,$V$5:$V$1000,"Macro",$H$5:$H$1000,"&gt;0")=0,1/COUNTIFS($S$5:$S$1000,$S285,$V$5:$V$1000,"Macro"),IF(AND(ISNUMBER($H285),N($H285)&gt;0),$H285,SUMIFS($H$5:$H$1000,$S$5:$S$1000,$S285,$V$5:$V$1000,"Macro")/COUNTIFS($S$5:$S$1000,$S285,$V$5:$V$1000,"Macro",$H$5:$H$1000,"&gt;0"))/(COUNTIFS($S$5:$S$1000,$S285,$V$5:$V$1000,"Macro")*SUMIFS($H$5:$H$1000,$S$5:$S$1000,$S285,$V$5:$V$1000,"Macro")/COUNTIFS($S$5:$S$1000,$S285,$V$5:$V$1000,"Macro",$H$5:$H$1000,"&gt;0"))))</f>
        <v/>
      </c>
      <c r="AM285" s="62" t="n"/>
      <c r="AN285" s="62" t="n"/>
      <c r="AO285" s="62" t="n"/>
      <c r="AP285" s="62" t="n"/>
      <c r="AQ285" s="62">
        <f>IF(LEFT($C285,11)="[Jefatura] ",IFERROR(MATCH("Asistente Técnico de Riesgo|"&amp;MID($C285,12,500),rDname_ADM,0),0),"")</f>
        <v/>
      </c>
      <c r="AR285" s="62">
        <f>IF(N($AQ285)&gt;0,INDEX(rIni_ADM,$AQ285),IF(ISNUMBER($E285),$E285,""))</f>
        <v/>
      </c>
      <c r="AS285" s="62">
        <f>IF(N($AQ285)&gt;0,INDEX(rLim_ADM,$AQ285),IF(ISNUMBER($F285),$F285,""))</f>
        <v/>
      </c>
    </row>
    <row r="286">
      <c r="A286" s="56">
        <f>IF(NOT((COUNTA($B286:$D286)+COUNTA($G286:$H286)+COUNTA($Q286))&gt;0),"",IF($V286="Macro",COUNTIFS($V$5:$V286,"Macro",$S$5:$S286,$S286),IF(N($U286)=0,"?",COUNTIFS(INDEX($V$5:$V$1000,1):INDEX($V$5:$V$1000,$U286-4),"Macro",INDEX($S$5:$S$1000,1):INDEX($S$5:$S$1000,$U286-4),INDEX($S$5:$S$1000,$U286-4))&amp;"."&amp;COUNTIFS($U$5:$U286,$U286,$V$5:$V286,"Sub"))))</f>
        <v/>
      </c>
      <c r="B286" s="57" t="n"/>
      <c r="C286" s="58" t="n"/>
      <c r="D286" s="58" t="n"/>
      <c r="E286" s="59">
        <f>IF(N($AQ286)&gt;0,INDEX(rIni_ADM,$AQ286),"")</f>
        <v/>
      </c>
      <c r="F286" s="59">
        <f>IF(N($AQ286)&gt;0,INDEX(rLim_ADM,$AQ286),"")</f>
        <v/>
      </c>
      <c r="G286" s="59" t="n"/>
      <c r="H286" s="60" t="n"/>
      <c r="I286" s="60">
        <f>IF(N($W286)=0,"",IF(AND($S286=MesCiclo,1&gt;SemanaActual),"",MIN(1,SUMIFS(OFFSET($A$1,ROW(),29,1000-ROW(),1),OFFSET($A$1,ROW(),20,1000-ROW(),1),ROW(),OFFSET($A$1,ROW(),21,1000-ROW(),1),"Sub"))))</f>
        <v/>
      </c>
      <c r="J286" s="60">
        <f>IF(N($W286)=0,"",IF(AND($S286=MesCiclo,2&gt;SemanaActual),"",MIN(1,SUMIFS(OFFSET($A$1,ROW(),30,1000-ROW(),1),OFFSET($A$1,ROW(),20,1000-ROW(),1),ROW(),OFFSET($A$1,ROW(),21,1000-ROW(),1),"Sub"))))</f>
        <v/>
      </c>
      <c r="K286" s="60">
        <f>IF(N($W286)=0,"",IF(AND($S286=MesCiclo,3&gt;SemanaActual),"",MIN(1,SUMIFS(OFFSET($A$1,ROW(),31,1000-ROW(),1),OFFSET($A$1,ROW(),20,1000-ROW(),1),ROW(),OFFSET($A$1,ROW(),21,1000-ROW(),1),"Sub"))))</f>
        <v/>
      </c>
      <c r="L286" s="60">
        <f>IF(N($W286)=0,"",IF(AND($S286=MesCiclo,4&gt;SemanaActual),"",MIN(1,SUMIFS(OFFSET($A$1,ROW(),32,1000-ROW(),1),OFFSET($A$1,ROW(),20,1000-ROW(),1),ROW(),OFFSET($A$1,ROW(),21,1000-ROW(),1),"Sub"))))</f>
        <v/>
      </c>
      <c r="M286" s="61">
        <f>IF(OR(NOT((COUNTA($B286:$D286)+COUNTA($G286:$H286)+COUNTA($Q286))&gt;0),$V286="Sub"),"",IF(ISNUMBER($G286),1,IF(N($W286)&gt;0,MIN(1,SUMIFS($Y$5:$Y$1000,$U$5:$U$1000,ROW(),$V$5:$V$1000,"Sub")),$Y286)))</f>
        <v/>
      </c>
      <c r="N286" s="56">
        <f>IF(OR($M286="",$V286="Sub"),"",IF($M286&gt;=1,"Completado",IF($M286&gt;0,"En curso","Pendiente")))</f>
        <v/>
      </c>
      <c r="O286" s="56">
        <f>IF(OR(NOT((COUNTA($B286:$D286)+COUNTA($G286:$H286)+COUNTA($Q286))&gt;0),$V286="Sub"),"",IF(ISNUMBER($G286),IF(AND(ISNUMBER($AS286),$G286&gt;$AS286),"Cumplida con "&amp;($G286-$AS286)&amp;IF($G286-$AS286=1," día"," días")&amp;" de retraso","Cumplida"),IF(N($M286)&gt;=1,"Cumplida",IF(NOT(ISNUMBER($AS286)),"Sin fecha límite",IF($AS286&lt;FechaRef,"Vencida hace "&amp;(FechaRef-$AS286)&amp;IF(FechaRef-$AS286=1," día"," días"),IF($AS286=FechaRef,"Vence hoy",IF($AS286-FechaRef&lt;=DiasAlerta,"Vence en "&amp;($AS286-FechaRef)&amp;IF($AS286-FechaRef=1," día"," días"),"En plazo")))))))</f>
        <v/>
      </c>
      <c r="P286" s="62" t="n"/>
      <c r="Q286" s="58" t="n"/>
      <c r="R286" s="63">
        <f>IF(NOT((COUNTA($B286:$D286)+COUNTA($G286:$H286)+COUNTA($Q286))&gt;0),"",IF((IF($C286="","Falta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 OK","⚠ "&amp;LEFT(IF($C286="","Falta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",""),LEN(IF($C286="","Falta el nombre de la actividad"&amp;" · ","")&amp;IF(AND($V286="Sub",N($U286)=0),"Subactividad sin macroactividad arriba"&amp;" · ","")&amp;IF(AND($V286="Macro",$AR286=""),"Sin fecha de inicio"&amp;" · ","")&amp;IF(AND($V286="Macro",$AS286=""),"Sin fecha límite"&amp;" · ","")&amp;IF(AND(LEFT($C286,11)="[Jefatura] ",N($AQ286)=0),"No se encuentra en la hoja de la jefatura (elíjala de nuevo en la lista)"&amp;" · ","")&amp;IF(OR(AND($E286&lt;&gt;"",NOT(ISNUMBER($E286))),AND($F286&lt;&gt;"",NOT(ISNUMBER($F286))),AND($G286&lt;&gt;"",NOT(ISNUMBER($G286)))),"Fecha no válida"&amp;" · ","")&amp;IF(AND(ISNUMBER($AR286),ISNUMBER($AS286),$AR286&gt;$AS286),"Inicio posterior a fecha límite"&amp;" · ","")&amp;IF(AND($V286="Macro",$H286&lt;&gt;"",OR(NOT(ISNUMBER($H286)),$H286&lt;0,$H286&gt;1)),"Peso fuera de rango"&amp;" · ","")&amp;IF(AND($V286="Sub",$H286&lt;&gt;"",OR(NOT(ISNUMBER($H286)),$H286&lt;0,$H286&gt;1)),"% de la subactividad fuera de rango 0-100%"&amp;" · ","")&amp;IF(AND(N($W286)&gt;0,SUMIFS($H$5:$H$1000,$U$5:$U$1000,ROW(),$V$5:$V$1000,"Sub")&gt;1.0001),"Las subactividades suman más de 100%"&amp;" · ","")&amp;IF(AND(N($W286)&gt;0,OR(IF(ISNUMBER($I286),ROUND($I286,6)&lt;&gt;ROUND(MIN(1,SUMIFS($AD$5:$AD$1000,$U$5:$U$1000,ROW(),$V$5:$V$1000,"Sub")),6),FALSE),IF(ISNUMBER($J286),ROUND($J286,6)&lt;&gt;ROUND(MIN(1,SUMIFS($AE$5:$AE$1000,$U$5:$U$1000,ROW(),$V$5:$V$1000,"Sub")),6),FALSE),IF(ISNUMBER($K286),ROUND($K286,6)&lt;&gt;ROUND(MIN(1,SUMIFS($AF$5:$AF$1000,$U$5:$U$1000,ROW(),$V$5:$V$1000,"Sub")),6),FALSE),IF(ISNUMBER($L286),ROUND($L286,6)&lt;&gt;ROUND(MIN(1,SUMIFS($AG$5:$AG$1000,$U$5:$U$1000,ROW(),$V$5:$V$1000,"Sub")),6),FALSE))),"Con subactividades: no escriba en las semanas (se llenan solas)"&amp;" · ","")&amp;IF((COUNTIF($I286:$L286,"&gt;1")+COUNTIF($I286:$L286,"&lt;0")+SUMPRODUCT((LEN($I286:$L286)&gt;0)*NOT(ISNUMBER($I286:$L286))))&gt;0,"Avance fuera de rango 0-100%"&amp;" · ","")&amp;IF(OR(AND(ISNUMBER($J286),$J286&lt;N($I286)),AND(ISNUMBER($K286),$K286&lt;MAX($I286:$J286)),AND(ISNUMBER($L286),$L286&lt;MAX($I286:$K286))),"Avance semanal decreciente"&amp;" · ","")&amp;IF(AND(ISNUMBER($AS286),$AS286&lt;FechaRef,IF($V286="Sub",1,N($M286))&lt;1),"Vencida"&amp;" · ","")&amp;IF(AND(ObsObligatoria="Sí",ISNUMBER($AS286),$AS286&lt;FechaRef,IF($V286="Sub",1,N($M286))&lt;1,$Q286=""),"Vencida sin observación"&amp;" · ",""))-3)))</f>
        <v/>
      </c>
      <c r="S286" s="64">
        <f>IF(NOT((COUNTA($B286:$D286)+COUNTA($G286:$H286)+COUNTA($Q286))&gt;0),"",IF(AND($V286="Sub",N($U286)&gt;0),IF(ISNUMBER(INDEX($AR$5:$AR$1000,$U286-4)),DATE(YEAR(INDEX($AR$5:$AR$1000,$U286-4)),MONTH(INDEX($AR$5:$AR$1000,$U286-4)),1),IF(ISNUMBER(INDEX($AS$5:$AS$1000,$U286-4)),DATE(YEAR(INDEX($AS$5:$AS$1000,$U286-4)),MONTH(INDEX($AS$5:$AS$1000,$U286-4)),1),MesCiclo)),IF(ISNUMBER($AR286),DATE(YEAR($AR286),MONTH($AR286),1),IF(ISNUMBER($AS286),DATE(YEAR($AS286),MONTH($AS286),1),MesCiclo))))</f>
        <v/>
      </c>
      <c r="T286" s="62">
        <f>IF(OR($S286="",$S286&lt;&gt;MesCiclo,$V286&lt;&gt;"Macro"),"",COUNTIFS($S$5:$S286,MesCiclo,$V$5:$V286,"Macro"))</f>
        <v/>
      </c>
      <c r="U286" s="62">
        <f>IF($V286="","",IF($V286="Macro",ROW(),IFERROR(LOOKUP(2,1/($V$5:$V286="Macro"),ROW($V$5:$V286)),0)))</f>
        <v/>
      </c>
      <c r="V286" s="62">
        <f>IF(NOT((COUNTA($B286:$D286)+COUNTA($G286:$H286)+COUNTA($Q286))&gt;0),"",IF($B286="Subactividad","Sub","Macro"))</f>
        <v/>
      </c>
      <c r="W286" s="62">
        <f>IF($V286="Macro",COUNTIFS($U$5:$U$1000,ROW(),$V$5:$V$1000,"Sub"),"")</f>
        <v/>
      </c>
      <c r="X286" s="62">
        <f>IF($V286&lt;&gt;"Sub","",IF(AND(ISNUMBER($H286),N($H286)&gt;0),$H286,IFERROR(MAX(0,1-SUMIFS($H$5:$H$1000,$U$5:$U$1000,$U286,$V$5:$V$1000,"Sub"))/(COUNTIFS($U$5:$U$1000,$U286,$V$5:$V$1000,"Sub")-COUNTIFS($U$5:$U$1000,$U286,$V$5:$V$1000,"Sub",$H$5:$H$1000,"&gt;0")),0)))</f>
        <v/>
      </c>
      <c r="Y286" s="62">
        <f>IF($V286="","",IF($V286="Sub",N($X286)*IF(ISNUMBER($G286),1,MIN(1,MAX(0,IFERROR(LOOKUP(2,1/ISNUMBER($I286:$L286),$I286:$L286),0)))),IF(ISNUMBER($G286),1,IFERROR(LOOKUP(2,1/($I286:$L286&lt;&gt;""),$I286:$L286),0))))</f>
        <v/>
      </c>
      <c r="Z286" s="62">
        <f>IF($V286="","",IF(AND(ISNUMBER($G286),$G286&lt;=IF($S286=MesCiclo,InicioCiclo,$S286+MOD(2-WEEKDAY($S286),7))+6),1,IF(ISNUMBER($I286),$I286,0)))</f>
        <v/>
      </c>
      <c r="AA286" s="62">
        <f>IF($V286="","",IF(AND(ISNUMBER($G286),$G286&lt;=IF($S286=MesCiclo,InicioCiclo,$S286+MOD(2-WEEKDAY($S286),7))+13),1,IF(ISNUMBER($J286),$J286,$Z286)))</f>
        <v/>
      </c>
      <c r="AB286" s="62">
        <f>IF($V286="","",IF(AND(ISNUMBER($G286),$G286&lt;=IF($S286=MesCiclo,InicioCiclo,$S286+MOD(2-WEEKDAY($S286),7))+20),1,IF(ISNUMBER($K286),$K286,$AA286)))</f>
        <v/>
      </c>
      <c r="AC286" s="62">
        <f>IF($V286="","",IF(AND(ISNUMBER($G286),$G286&lt;=IF($S286=MesCiclo,InicioCiclo,$S286+MOD(2-WEEKDAY($S286),7))+27),1,IF(ISNUMBER($L286),$L286,$AB286)))</f>
        <v/>
      </c>
      <c r="AD286" s="62">
        <f>IF($V286&lt;&gt;"Sub","",N($X286)*IF(AND(ISNUMBER($G286),$G286&lt;=IF($S286=MesCiclo,InicioCiclo,$S286+MOD(2-WEEKDAY($S286),7))+6),1,MIN(1,MAX(0,IF(ISNUMBER(OFFSET($A$1,ROW()-1,8)),OFFSET($A$1,ROW()-1,8),0)))))</f>
        <v/>
      </c>
      <c r="AE286" s="62">
        <f>IF($V286&lt;&gt;"Sub","",N($X286)*IF(AND(ISNUMBER($G286),$G286&lt;=IF($S286=MesCiclo,InicioCiclo,$S286+MOD(2-WEEKDAY($S286),7))+13),1,MIN(1,MAX(0,IF(ISNUMBER(OFFSET($A$1,ROW()-1,9)),OFFSET($A$1,ROW()-1,9),IF(ISNUMBER(OFFSET($A$1,ROW()-1,8)),OFFSET($A$1,ROW()-1,8),0))))))</f>
        <v/>
      </c>
      <c r="AF286" s="62">
        <f>IF($V286&lt;&gt;"Sub","",N($X286)*IF(AND(ISNUMBER($G286),$G286&lt;=IF($S286=MesCiclo,InicioCiclo,$S286+MOD(2-WEEKDAY($S286),7))+20),1,MIN(1,MAX(0,IF(ISNUMBER(OFFSET($A$1,ROW()-1,10)),OFFSET($A$1,ROW()-1,10),IF(ISNUMBER(OFFSET($A$1,ROW()-1,9)),OFFSET($A$1,ROW()-1,9),IF(ISNUMBER(OFFSET($A$1,ROW()-1,8)),OFFSET($A$1,ROW()-1,8),0)))))))</f>
        <v/>
      </c>
      <c r="AG286" s="62">
        <f>IF($V286&lt;&gt;"Sub","",N($X286)*IF(AND(ISNUMBER($G286),$G286&lt;=IF($S286=MesCiclo,InicioCiclo,$S286+MOD(2-WEEKDAY($S286),7))+27),1,MIN(1,MAX(0,IF(ISNUMBER(OFFSET($A$1,ROW()-1,11)),OFFSET($A$1,ROW()-1,11),IF(ISNUMBER(OFFSET($A$1,ROW()-1,10)),OFFSET($A$1,ROW()-1,10),IF(ISNUMBER(OFFSET($A$1,ROW()-1,9)),OFFSET($A$1,ROW()-1,9),IF(ISNUMBER(OFFSET($A$1,ROW()-1,8)),OFFSET($A$1,ROW()-1,8),0))))))))</f>
        <v/>
      </c>
      <c r="AH286" s="62">
        <f>IF($V286="","",IF(AND(ISNUMBER($G286),$G286&lt;=IF($S286=MesCiclo,InicioCiclo,$S286+MOD(2-WEEKDAY($S286),7))+6),1,IF(N($W286)&gt;0,MIN(1,SUMIFS($AD$5:$AD$1000,$U$5:$U$1000,ROW(),$V$5:$V$1000,"Sub")),$Z286)))</f>
        <v/>
      </c>
      <c r="AI286" s="62">
        <f>IF($V286="","",IF(AND(ISNUMBER($G286),$G286&lt;=IF($S286=MesCiclo,InicioCiclo,$S286+MOD(2-WEEKDAY($S286),7))+13),1,IF(N($W286)&gt;0,MIN(1,SUMIFS($AE$5:$AE$1000,$U$5:$U$1000,ROW(),$V$5:$V$1000,"Sub")),$AA286)))</f>
        <v/>
      </c>
      <c r="AJ286" s="62">
        <f>IF($V286="","",IF(AND(ISNUMBER($G286),$G286&lt;=IF($S286=MesCiclo,InicioCiclo,$S286+MOD(2-WEEKDAY($S286),7))+20),1,IF(N($W286)&gt;0,MIN(1,SUMIFS($AF$5:$AF$1000,$U$5:$U$1000,ROW(),$V$5:$V$1000,"Sub")),$AB286)))</f>
        <v/>
      </c>
      <c r="AK286" s="62">
        <f>IF($V286="","",IF(AND(ISNUMBER($G286),$G286&lt;=IF($S286=MesCiclo,InicioCiclo,$S286+MOD(2-WEEKDAY($S286),7))+27),1,IF(N($W286)&gt;0,MIN(1,SUMIFS($AG$5:$AG$1000,$U$5:$U$1000,ROW(),$V$5:$V$1000,"Sub")),$AC286)))</f>
        <v/>
      </c>
      <c r="AL286" s="62">
        <f>IF($V286&lt;&gt;"Macro","",IF(COUNTIFS($S$5:$S$1000,$S286,$V$5:$V$1000,"Macro",$H$5:$H$1000,"&gt;0")=0,1/COUNTIFS($S$5:$S$1000,$S286,$V$5:$V$1000,"Macro"),IF(AND(ISNUMBER($H286),N($H286)&gt;0),$H286,SUMIFS($H$5:$H$1000,$S$5:$S$1000,$S286,$V$5:$V$1000,"Macro")/COUNTIFS($S$5:$S$1000,$S286,$V$5:$V$1000,"Macro",$H$5:$H$1000,"&gt;0"))/(COUNTIFS($S$5:$S$1000,$S286,$V$5:$V$1000,"Macro")*SUMIFS($H$5:$H$1000,$S$5:$S$1000,$S286,$V$5:$V$1000,"Macro")/COUNTIFS($S$5:$S$1000,$S286,$V$5:$V$1000,"Macro",$H$5:$H$1000,"&gt;0"))))</f>
        <v/>
      </c>
      <c r="AM286" s="62" t="n"/>
      <c r="AN286" s="62" t="n"/>
      <c r="AO286" s="62" t="n"/>
      <c r="AP286" s="62" t="n"/>
      <c r="AQ286" s="62">
        <f>IF(LEFT($C286,11)="[Jefatura] ",IFERROR(MATCH("Asistente Técnico de Riesgo|"&amp;MID($C286,12,500),rDname_ADM,0),0),"")</f>
        <v/>
      </c>
      <c r="AR286" s="62">
        <f>IF(N($AQ286)&gt;0,INDEX(rIni_ADM,$AQ286),IF(ISNUMBER($E286),$E286,""))</f>
        <v/>
      </c>
      <c r="AS286" s="62">
        <f>IF(N($AQ286)&gt;0,INDEX(rLim_ADM,$AQ286),IF(ISNUMBER($F286),$F286,""))</f>
        <v/>
      </c>
    </row>
    <row r="287">
      <c r="A287" s="56">
        <f>IF(NOT((COUNTA($B287:$D287)+COUNTA($G287:$H287)+COUNTA($Q287))&gt;0),"",IF($V287="Macro",COUNTIFS($V$5:$V287,"Macro",$S$5:$S287,$S287),IF(N($U287)=0,"?",COUNTIFS(INDEX($V$5:$V$1000,1):INDEX($V$5:$V$1000,$U287-4),"Macro",INDEX($S$5:$S$1000,1):INDEX($S$5:$S$1000,$U287-4),INDEX($S$5:$S$1000,$U287-4))&amp;"."&amp;COUNTIFS($U$5:$U287,$U287,$V$5:$V287,"Sub"))))</f>
        <v/>
      </c>
      <c r="B287" s="57" t="n"/>
      <c r="C287" s="58" t="n"/>
      <c r="D287" s="58" t="n"/>
      <c r="E287" s="59">
        <f>IF(N($AQ287)&gt;0,INDEX(rIni_ADM,$AQ287),"")</f>
        <v/>
      </c>
      <c r="F287" s="59">
        <f>IF(N($AQ287)&gt;0,INDEX(rLim_ADM,$AQ287),"")</f>
        <v/>
      </c>
      <c r="G287" s="59" t="n"/>
      <c r="H287" s="60" t="n"/>
      <c r="I287" s="60">
        <f>IF(N($W287)=0,"",IF(AND($S287=MesCiclo,1&gt;SemanaActual),"",MIN(1,SUMIFS(OFFSET($A$1,ROW(),29,1000-ROW(),1),OFFSET($A$1,ROW(),20,1000-ROW(),1),ROW(),OFFSET($A$1,ROW(),21,1000-ROW(),1),"Sub"))))</f>
        <v/>
      </c>
      <c r="J287" s="60">
        <f>IF(N($W287)=0,"",IF(AND($S287=MesCiclo,2&gt;SemanaActual),"",MIN(1,SUMIFS(OFFSET($A$1,ROW(),30,1000-ROW(),1),OFFSET($A$1,ROW(),20,1000-ROW(),1),ROW(),OFFSET($A$1,ROW(),21,1000-ROW(),1),"Sub"))))</f>
        <v/>
      </c>
      <c r="K287" s="60">
        <f>IF(N($W287)=0,"",IF(AND($S287=MesCiclo,3&gt;SemanaActual),"",MIN(1,SUMIFS(OFFSET($A$1,ROW(),31,1000-ROW(),1),OFFSET($A$1,ROW(),20,1000-ROW(),1),ROW(),OFFSET($A$1,ROW(),21,1000-ROW(),1),"Sub"))))</f>
        <v/>
      </c>
      <c r="L287" s="60">
        <f>IF(N($W287)=0,"",IF(AND($S287=MesCiclo,4&gt;SemanaActual),"",MIN(1,SUMIFS(OFFSET($A$1,ROW(),32,1000-ROW(),1),OFFSET($A$1,ROW(),20,1000-ROW(),1),ROW(),OFFSET($A$1,ROW(),21,1000-ROW(),1),"Sub"))))</f>
        <v/>
      </c>
      <c r="M287" s="61">
        <f>IF(OR(NOT((COUNTA($B287:$D287)+COUNTA($G287:$H287)+COUNTA($Q287))&gt;0),$V287="Sub"),"",IF(ISNUMBER($G287),1,IF(N($W287)&gt;0,MIN(1,SUMIFS($Y$5:$Y$1000,$U$5:$U$1000,ROW(),$V$5:$V$1000,"Sub")),$Y287)))</f>
        <v/>
      </c>
      <c r="N287" s="56">
        <f>IF(OR($M287="",$V287="Sub"),"",IF($M287&gt;=1,"Completado",IF($M287&gt;0,"En curso","Pendiente")))</f>
        <v/>
      </c>
      <c r="O287" s="56">
        <f>IF(OR(NOT((COUNTA($B287:$D287)+COUNTA($G287:$H287)+COUNTA($Q287))&gt;0),$V287="Sub"),"",IF(ISNUMBER($G287),IF(AND(ISNUMBER($AS287),$G287&gt;$AS287),"Cumplida con "&amp;($G287-$AS287)&amp;IF($G287-$AS287=1," día"," días")&amp;" de retraso","Cumplida"),IF(N($M287)&gt;=1,"Cumplida",IF(NOT(ISNUMBER($AS287)),"Sin fecha límite",IF($AS287&lt;FechaRef,"Vencida hace "&amp;(FechaRef-$AS287)&amp;IF(FechaRef-$AS287=1," día"," días"),IF($AS287=FechaRef,"Vence hoy",IF($AS287-FechaRef&lt;=DiasAlerta,"Vence en "&amp;($AS287-FechaRef)&amp;IF($AS287-FechaRef=1," día"," días"),"En plazo")))))))</f>
        <v/>
      </c>
      <c r="P287" s="62" t="n"/>
      <c r="Q287" s="58" t="n"/>
      <c r="R287" s="63">
        <f>IF(NOT((COUNTA($B287:$D287)+COUNTA($G287:$H287)+COUNTA($Q287))&gt;0),"",IF((IF($C287="","Falta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 OK","⚠ "&amp;LEFT(IF($C287="","Falta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",""),LEN(IF($C287="","Falta el nombre de la actividad"&amp;" · ","")&amp;IF(AND($V287="Sub",N($U287)=0),"Subactividad sin macroactividad arriba"&amp;" · ","")&amp;IF(AND($V287="Macro",$AR287=""),"Sin fecha de inicio"&amp;" · ","")&amp;IF(AND($V287="Macro",$AS287=""),"Sin fecha límite"&amp;" · ","")&amp;IF(AND(LEFT($C287,11)="[Jefatura] ",N($AQ287)=0),"No se encuentra en la hoja de la jefatura (elíjala de nuevo en la lista)"&amp;" · ","")&amp;IF(OR(AND($E287&lt;&gt;"",NOT(ISNUMBER($E287))),AND($F287&lt;&gt;"",NOT(ISNUMBER($F287))),AND($G287&lt;&gt;"",NOT(ISNUMBER($G287)))),"Fecha no válida"&amp;" · ","")&amp;IF(AND(ISNUMBER($AR287),ISNUMBER($AS287),$AR287&gt;$AS287),"Inicio posterior a fecha límite"&amp;" · ","")&amp;IF(AND($V287="Macro",$H287&lt;&gt;"",OR(NOT(ISNUMBER($H287)),$H287&lt;0,$H287&gt;1)),"Peso fuera de rango"&amp;" · ","")&amp;IF(AND($V287="Sub",$H287&lt;&gt;"",OR(NOT(ISNUMBER($H287)),$H287&lt;0,$H287&gt;1)),"% de la subactividad fuera de rango 0-100%"&amp;" · ","")&amp;IF(AND(N($W287)&gt;0,SUMIFS($H$5:$H$1000,$U$5:$U$1000,ROW(),$V$5:$V$1000,"Sub")&gt;1.0001),"Las subactividades suman más de 100%"&amp;" · ","")&amp;IF(AND(N($W287)&gt;0,OR(IF(ISNUMBER($I287),ROUND($I287,6)&lt;&gt;ROUND(MIN(1,SUMIFS($AD$5:$AD$1000,$U$5:$U$1000,ROW(),$V$5:$V$1000,"Sub")),6),FALSE),IF(ISNUMBER($J287),ROUND($J287,6)&lt;&gt;ROUND(MIN(1,SUMIFS($AE$5:$AE$1000,$U$5:$U$1000,ROW(),$V$5:$V$1000,"Sub")),6),FALSE),IF(ISNUMBER($K287),ROUND($K287,6)&lt;&gt;ROUND(MIN(1,SUMIFS($AF$5:$AF$1000,$U$5:$U$1000,ROW(),$V$5:$V$1000,"Sub")),6),FALSE),IF(ISNUMBER($L287),ROUND($L287,6)&lt;&gt;ROUND(MIN(1,SUMIFS($AG$5:$AG$1000,$U$5:$U$1000,ROW(),$V$5:$V$1000,"Sub")),6),FALSE))),"Con subactividades: no escriba en las semanas (se llenan solas)"&amp;" · ","")&amp;IF((COUNTIF($I287:$L287,"&gt;1")+COUNTIF($I287:$L287,"&lt;0")+SUMPRODUCT((LEN($I287:$L287)&gt;0)*NOT(ISNUMBER($I287:$L287))))&gt;0,"Avance fuera de rango 0-100%"&amp;" · ","")&amp;IF(OR(AND(ISNUMBER($J287),$J287&lt;N($I287)),AND(ISNUMBER($K287),$K287&lt;MAX($I287:$J287)),AND(ISNUMBER($L287),$L287&lt;MAX($I287:$K287))),"Avance semanal decreciente"&amp;" · ","")&amp;IF(AND(ISNUMBER($AS287),$AS287&lt;FechaRef,IF($V287="Sub",1,N($M287))&lt;1),"Vencida"&amp;" · ","")&amp;IF(AND(ObsObligatoria="Sí",ISNUMBER($AS287),$AS287&lt;FechaRef,IF($V287="Sub",1,N($M287))&lt;1,$Q287=""),"Vencida sin observación"&amp;" · ",""))-3)))</f>
        <v/>
      </c>
      <c r="S287" s="64">
        <f>IF(NOT((COUNTA($B287:$D287)+COUNTA($G287:$H287)+COUNTA($Q287))&gt;0),"",IF(AND($V287="Sub",N($U287)&gt;0),IF(ISNUMBER(INDEX($AR$5:$AR$1000,$U287-4)),DATE(YEAR(INDEX($AR$5:$AR$1000,$U287-4)),MONTH(INDEX($AR$5:$AR$1000,$U287-4)),1),IF(ISNUMBER(INDEX($AS$5:$AS$1000,$U287-4)),DATE(YEAR(INDEX($AS$5:$AS$1000,$U287-4)),MONTH(INDEX($AS$5:$AS$1000,$U287-4)),1),MesCiclo)),IF(ISNUMBER($AR287),DATE(YEAR($AR287),MONTH($AR287),1),IF(ISNUMBER($AS287),DATE(YEAR($AS287),MONTH($AS287),1),MesCiclo))))</f>
        <v/>
      </c>
      <c r="T287" s="62">
        <f>IF(OR($S287="",$S287&lt;&gt;MesCiclo,$V287&lt;&gt;"Macro"),"",COUNTIFS($S$5:$S287,MesCiclo,$V$5:$V287,"Macro"))</f>
        <v/>
      </c>
      <c r="U287" s="62">
        <f>IF($V287="","",IF($V287="Macro",ROW(),IFERROR(LOOKUP(2,1/($V$5:$V287="Macro"),ROW($V$5:$V287)),0)))</f>
        <v/>
      </c>
      <c r="V287" s="62">
        <f>IF(NOT((COUNTA($B287:$D287)+COUNTA($G287:$H287)+COUNTA($Q287))&gt;0),"",IF($B287="Subactividad","Sub","Macro"))</f>
        <v/>
      </c>
      <c r="W287" s="62">
        <f>IF($V287="Macro",COUNTIFS($U$5:$U$1000,ROW(),$V$5:$V$1000,"Sub"),"")</f>
        <v/>
      </c>
      <c r="X287" s="62">
        <f>IF($V287&lt;&gt;"Sub","",IF(AND(ISNUMBER($H287),N($H287)&gt;0),$H287,IFERROR(MAX(0,1-SUMIFS($H$5:$H$1000,$U$5:$U$1000,$U287,$V$5:$V$1000,"Sub"))/(COUNTIFS($U$5:$U$1000,$U287,$V$5:$V$1000,"Sub")-COUNTIFS($U$5:$U$1000,$U287,$V$5:$V$1000,"Sub",$H$5:$H$1000,"&gt;0")),0)))</f>
        <v/>
      </c>
      <c r="Y287" s="62">
        <f>IF($V287="","",IF($V287="Sub",N($X287)*IF(ISNUMBER($G287),1,MIN(1,MAX(0,IFERROR(LOOKUP(2,1/ISNUMBER($I287:$L287),$I287:$L287),0)))),IF(ISNUMBER($G287),1,IFERROR(LOOKUP(2,1/($I287:$L287&lt;&gt;""),$I287:$L287),0))))</f>
        <v/>
      </c>
      <c r="Z287" s="62">
        <f>IF($V287="","",IF(AND(ISNUMBER($G287),$G287&lt;=IF($S287=MesCiclo,InicioCiclo,$S287+MOD(2-WEEKDAY($S287),7))+6),1,IF(ISNUMBER($I287),$I287,0)))</f>
        <v/>
      </c>
      <c r="AA287" s="62">
        <f>IF($V287="","",IF(AND(ISNUMBER($G287),$G287&lt;=IF($S287=MesCiclo,InicioCiclo,$S287+MOD(2-WEEKDAY($S287),7))+13),1,IF(ISNUMBER($J287),$J287,$Z287)))</f>
        <v/>
      </c>
      <c r="AB287" s="62">
        <f>IF($V287="","",IF(AND(ISNUMBER($G287),$G287&lt;=IF($S287=MesCiclo,InicioCiclo,$S287+MOD(2-WEEKDAY($S287),7))+20),1,IF(ISNUMBER($K287),$K287,$AA287)))</f>
        <v/>
      </c>
      <c r="AC287" s="62">
        <f>IF($V287="","",IF(AND(ISNUMBER($G287),$G287&lt;=IF($S287=MesCiclo,InicioCiclo,$S287+MOD(2-WEEKDAY($S287),7))+27),1,IF(ISNUMBER($L287),$L287,$AB287)))</f>
        <v/>
      </c>
      <c r="AD287" s="62">
        <f>IF($V287&lt;&gt;"Sub","",N($X287)*IF(AND(ISNUMBER($G287),$G287&lt;=IF($S287=MesCiclo,InicioCiclo,$S287+MOD(2-WEEKDAY($S287),7))+6),1,MIN(1,MAX(0,IF(ISNUMBER(OFFSET($A$1,ROW()-1,8)),OFFSET($A$1,ROW()-1,8),0)))))</f>
        <v/>
      </c>
      <c r="AE287" s="62">
        <f>IF($V287&lt;&gt;"Sub","",N($X287)*IF(AND(ISNUMBER($G287),$G287&lt;=IF($S287=MesCiclo,InicioCiclo,$S287+MOD(2-WEEKDAY($S287),7))+13),1,MIN(1,MAX(0,IF(ISNUMBER(OFFSET($A$1,ROW()-1,9)),OFFSET($A$1,ROW()-1,9),IF(ISNUMBER(OFFSET($A$1,ROW()-1,8)),OFFSET($A$1,ROW()-1,8),0))))))</f>
        <v/>
      </c>
      <c r="AF287" s="62">
        <f>IF($V287&lt;&gt;"Sub","",N($X287)*IF(AND(ISNUMBER($G287),$G287&lt;=IF($S287=MesCiclo,InicioCiclo,$S287+MOD(2-WEEKDAY($S287),7))+20),1,MIN(1,MAX(0,IF(ISNUMBER(OFFSET($A$1,ROW()-1,10)),OFFSET($A$1,ROW()-1,10),IF(ISNUMBER(OFFSET($A$1,ROW()-1,9)),OFFSET($A$1,ROW()-1,9),IF(ISNUMBER(OFFSET($A$1,ROW()-1,8)),OFFSET($A$1,ROW()-1,8),0)))))))</f>
        <v/>
      </c>
      <c r="AG287" s="62">
        <f>IF($V287&lt;&gt;"Sub","",N($X287)*IF(AND(ISNUMBER($G287),$G287&lt;=IF($S287=MesCiclo,InicioCiclo,$S287+MOD(2-WEEKDAY($S287),7))+27),1,MIN(1,MAX(0,IF(ISNUMBER(OFFSET($A$1,ROW()-1,11)),OFFSET($A$1,ROW()-1,11),IF(ISNUMBER(OFFSET($A$1,ROW()-1,10)),OFFSET($A$1,ROW()-1,10),IF(ISNUMBER(OFFSET($A$1,ROW()-1,9)),OFFSET($A$1,ROW()-1,9),IF(ISNUMBER(OFFSET($A$1,ROW()-1,8)),OFFSET($A$1,ROW()-1,8),0))))))))</f>
        <v/>
      </c>
      <c r="AH287" s="62">
        <f>IF($V287="","",IF(AND(ISNUMBER($G287),$G287&lt;=IF($S287=MesCiclo,InicioCiclo,$S287+MOD(2-WEEKDAY($S287),7))+6),1,IF(N($W287)&gt;0,MIN(1,SUMIFS($AD$5:$AD$1000,$U$5:$U$1000,ROW(),$V$5:$V$1000,"Sub")),$Z287)))</f>
        <v/>
      </c>
      <c r="AI287" s="62">
        <f>IF($V287="","",IF(AND(ISNUMBER($G287),$G287&lt;=IF($S287=MesCiclo,InicioCiclo,$S287+MOD(2-WEEKDAY($S287),7))+13),1,IF(N($W287)&gt;0,MIN(1,SUMIFS($AE$5:$AE$1000,$U$5:$U$1000,ROW(),$V$5:$V$1000,"Sub")),$AA287)))</f>
        <v/>
      </c>
      <c r="AJ287" s="62">
        <f>IF($V287="","",IF(AND(ISNUMBER($G287),$G287&lt;=IF($S287=MesCiclo,InicioCiclo,$S287+MOD(2-WEEKDAY($S287),7))+20),1,IF(N($W287)&gt;0,MIN(1,SUMIFS($AF$5:$AF$1000,$U$5:$U$1000,ROW(),$V$5:$V$1000,"Sub")),$AB287)))</f>
        <v/>
      </c>
      <c r="AK287" s="62">
        <f>IF($V287="","",IF(AND(ISNUMBER($G287),$G287&lt;=IF($S287=MesCiclo,InicioCiclo,$S287+MOD(2-WEEKDAY($S287),7))+27),1,IF(N($W287)&gt;0,MIN(1,SUMIFS($AG$5:$AG$1000,$U$5:$U$1000,ROW(),$V$5:$V$1000,"Sub")),$AC287)))</f>
        <v/>
      </c>
      <c r="AL287" s="62">
        <f>IF($V287&lt;&gt;"Macro","",IF(COUNTIFS($S$5:$S$1000,$S287,$V$5:$V$1000,"Macro",$H$5:$H$1000,"&gt;0")=0,1/COUNTIFS($S$5:$S$1000,$S287,$V$5:$V$1000,"Macro"),IF(AND(ISNUMBER($H287),N($H287)&gt;0),$H287,SUMIFS($H$5:$H$1000,$S$5:$S$1000,$S287,$V$5:$V$1000,"Macro")/COUNTIFS($S$5:$S$1000,$S287,$V$5:$V$1000,"Macro",$H$5:$H$1000,"&gt;0"))/(COUNTIFS($S$5:$S$1000,$S287,$V$5:$V$1000,"Macro")*SUMIFS($H$5:$H$1000,$S$5:$S$1000,$S287,$V$5:$V$1000,"Macro")/COUNTIFS($S$5:$S$1000,$S287,$V$5:$V$1000,"Macro",$H$5:$H$1000,"&gt;0"))))</f>
        <v/>
      </c>
      <c r="AM287" s="62" t="n"/>
      <c r="AN287" s="62" t="n"/>
      <c r="AO287" s="62" t="n"/>
      <c r="AP287" s="62" t="n"/>
      <c r="AQ287" s="62">
        <f>IF(LEFT($C287,11)="[Jefatura] ",IFERROR(MATCH("Asistente Técnico de Riesgo|"&amp;MID($C287,12,500),rDname_ADM,0),0),"")</f>
        <v/>
      </c>
      <c r="AR287" s="62">
        <f>IF(N($AQ287)&gt;0,INDEX(rIni_ADM,$AQ287),IF(ISNUMBER($E287),$E287,""))</f>
        <v/>
      </c>
      <c r="AS287" s="62">
        <f>IF(N($AQ287)&gt;0,INDEX(rLim_ADM,$AQ287),IF(ISNUMBER($F287),$F287,""))</f>
        <v/>
      </c>
    </row>
    <row r="288">
      <c r="A288" s="56">
        <f>IF(NOT((COUNTA($B288:$D288)+COUNTA($G288:$H288)+COUNTA($Q288))&gt;0),"",IF($V288="Macro",COUNTIFS($V$5:$V288,"Macro",$S$5:$S288,$S288),IF(N($U288)=0,"?",COUNTIFS(INDEX($V$5:$V$1000,1):INDEX($V$5:$V$1000,$U288-4),"Macro",INDEX($S$5:$S$1000,1):INDEX($S$5:$S$1000,$U288-4),INDEX($S$5:$S$1000,$U288-4))&amp;"."&amp;COUNTIFS($U$5:$U288,$U288,$V$5:$V288,"Sub"))))</f>
        <v/>
      </c>
      <c r="B288" s="57" t="n"/>
      <c r="C288" s="58" t="n"/>
      <c r="D288" s="58" t="n"/>
      <c r="E288" s="59">
        <f>IF(N($AQ288)&gt;0,INDEX(rIni_ADM,$AQ288),"")</f>
        <v/>
      </c>
      <c r="F288" s="59">
        <f>IF(N($AQ288)&gt;0,INDEX(rLim_ADM,$AQ288),"")</f>
        <v/>
      </c>
      <c r="G288" s="59" t="n"/>
      <c r="H288" s="60" t="n"/>
      <c r="I288" s="60">
        <f>IF(N($W288)=0,"",IF(AND($S288=MesCiclo,1&gt;SemanaActual),"",MIN(1,SUMIFS(OFFSET($A$1,ROW(),29,1000-ROW(),1),OFFSET($A$1,ROW(),20,1000-ROW(),1),ROW(),OFFSET($A$1,ROW(),21,1000-ROW(),1),"Sub"))))</f>
        <v/>
      </c>
      <c r="J288" s="60">
        <f>IF(N($W288)=0,"",IF(AND($S288=MesCiclo,2&gt;SemanaActual),"",MIN(1,SUMIFS(OFFSET($A$1,ROW(),30,1000-ROW(),1),OFFSET($A$1,ROW(),20,1000-ROW(),1),ROW(),OFFSET($A$1,ROW(),21,1000-ROW(),1),"Sub"))))</f>
        <v/>
      </c>
      <c r="K288" s="60">
        <f>IF(N($W288)=0,"",IF(AND($S288=MesCiclo,3&gt;SemanaActual),"",MIN(1,SUMIFS(OFFSET($A$1,ROW(),31,1000-ROW(),1),OFFSET($A$1,ROW(),20,1000-ROW(),1),ROW(),OFFSET($A$1,ROW(),21,1000-ROW(),1),"Sub"))))</f>
        <v/>
      </c>
      <c r="L288" s="60">
        <f>IF(N($W288)=0,"",IF(AND($S288=MesCiclo,4&gt;SemanaActual),"",MIN(1,SUMIFS(OFFSET($A$1,ROW(),32,1000-ROW(),1),OFFSET($A$1,ROW(),20,1000-ROW(),1),ROW(),OFFSET($A$1,ROW(),21,1000-ROW(),1),"Sub"))))</f>
        <v/>
      </c>
      <c r="M288" s="61">
        <f>IF(OR(NOT((COUNTA($B288:$D288)+COUNTA($G288:$H288)+COUNTA($Q288))&gt;0),$V288="Sub"),"",IF(ISNUMBER($G288),1,IF(N($W288)&gt;0,MIN(1,SUMIFS($Y$5:$Y$1000,$U$5:$U$1000,ROW(),$V$5:$V$1000,"Sub")),$Y288)))</f>
        <v/>
      </c>
      <c r="N288" s="56">
        <f>IF(OR($M288="",$V288="Sub"),"",IF($M288&gt;=1,"Completado",IF($M288&gt;0,"En curso","Pendiente")))</f>
        <v/>
      </c>
      <c r="O288" s="56">
        <f>IF(OR(NOT((COUNTA($B288:$D288)+COUNTA($G288:$H288)+COUNTA($Q288))&gt;0),$V288="Sub"),"",IF(ISNUMBER($G288),IF(AND(ISNUMBER($AS288),$G288&gt;$AS288),"Cumplida con "&amp;($G288-$AS288)&amp;IF($G288-$AS288=1," día"," días")&amp;" de retraso","Cumplida"),IF(N($M288)&gt;=1,"Cumplida",IF(NOT(ISNUMBER($AS288)),"Sin fecha límite",IF($AS288&lt;FechaRef,"Vencida hace "&amp;(FechaRef-$AS288)&amp;IF(FechaRef-$AS288=1," día"," días"),IF($AS288=FechaRef,"Vence hoy",IF($AS288-FechaRef&lt;=DiasAlerta,"Vence en "&amp;($AS288-FechaRef)&amp;IF($AS288-FechaRef=1," día"," días"),"En plazo")))))))</f>
        <v/>
      </c>
      <c r="P288" s="62" t="n"/>
      <c r="Q288" s="58" t="n"/>
      <c r="R288" s="63">
        <f>IF(NOT((COUNTA($B288:$D288)+COUNTA($G288:$H288)+COUNTA($Q288))&gt;0),"",IF((IF($C288="","Falta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 OK","⚠ "&amp;LEFT(IF($C288="","Falta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",""),LEN(IF($C288="","Falta el nombre de la actividad"&amp;" · ","")&amp;IF(AND($V288="Sub",N($U288)=0),"Subactividad sin macroactividad arriba"&amp;" · ","")&amp;IF(AND($V288="Macro",$AR288=""),"Sin fecha de inicio"&amp;" · ","")&amp;IF(AND($V288="Macro",$AS288=""),"Sin fecha límite"&amp;" · ","")&amp;IF(AND(LEFT($C288,11)="[Jefatura] ",N($AQ288)=0),"No se encuentra en la hoja de la jefatura (elíjala de nuevo en la lista)"&amp;" · ","")&amp;IF(OR(AND($E288&lt;&gt;"",NOT(ISNUMBER($E288))),AND($F288&lt;&gt;"",NOT(ISNUMBER($F288))),AND($G288&lt;&gt;"",NOT(ISNUMBER($G288)))),"Fecha no válida"&amp;" · ","")&amp;IF(AND(ISNUMBER($AR288),ISNUMBER($AS288),$AR288&gt;$AS288),"Inicio posterior a fecha límite"&amp;" · ","")&amp;IF(AND($V288="Macro",$H288&lt;&gt;"",OR(NOT(ISNUMBER($H288)),$H288&lt;0,$H288&gt;1)),"Peso fuera de rango"&amp;" · ","")&amp;IF(AND($V288="Sub",$H288&lt;&gt;"",OR(NOT(ISNUMBER($H288)),$H288&lt;0,$H288&gt;1)),"% de la subactividad fuera de rango 0-100%"&amp;" · ","")&amp;IF(AND(N($W288)&gt;0,SUMIFS($H$5:$H$1000,$U$5:$U$1000,ROW(),$V$5:$V$1000,"Sub")&gt;1.0001),"Las subactividades suman más de 100%"&amp;" · ","")&amp;IF(AND(N($W288)&gt;0,OR(IF(ISNUMBER($I288),ROUND($I288,6)&lt;&gt;ROUND(MIN(1,SUMIFS($AD$5:$AD$1000,$U$5:$U$1000,ROW(),$V$5:$V$1000,"Sub")),6),FALSE),IF(ISNUMBER($J288),ROUND($J288,6)&lt;&gt;ROUND(MIN(1,SUMIFS($AE$5:$AE$1000,$U$5:$U$1000,ROW(),$V$5:$V$1000,"Sub")),6),FALSE),IF(ISNUMBER($K288),ROUND($K288,6)&lt;&gt;ROUND(MIN(1,SUMIFS($AF$5:$AF$1000,$U$5:$U$1000,ROW(),$V$5:$V$1000,"Sub")),6),FALSE),IF(ISNUMBER($L288),ROUND($L288,6)&lt;&gt;ROUND(MIN(1,SUMIFS($AG$5:$AG$1000,$U$5:$U$1000,ROW(),$V$5:$V$1000,"Sub")),6),FALSE))),"Con subactividades: no escriba en las semanas (se llenan solas)"&amp;" · ","")&amp;IF((COUNTIF($I288:$L288,"&gt;1")+COUNTIF($I288:$L288,"&lt;0")+SUMPRODUCT((LEN($I288:$L288)&gt;0)*NOT(ISNUMBER($I288:$L288))))&gt;0,"Avance fuera de rango 0-100%"&amp;" · ","")&amp;IF(OR(AND(ISNUMBER($J288),$J288&lt;N($I288)),AND(ISNUMBER($K288),$K288&lt;MAX($I288:$J288)),AND(ISNUMBER($L288),$L288&lt;MAX($I288:$K288))),"Avance semanal decreciente"&amp;" · ","")&amp;IF(AND(ISNUMBER($AS288),$AS288&lt;FechaRef,IF($V288="Sub",1,N($M288))&lt;1),"Vencida"&amp;" · ","")&amp;IF(AND(ObsObligatoria="Sí",ISNUMBER($AS288),$AS288&lt;FechaRef,IF($V288="Sub",1,N($M288))&lt;1,$Q288=""),"Vencida sin observación"&amp;" · ",""))-3)))</f>
        <v/>
      </c>
      <c r="S288" s="64">
        <f>IF(NOT((COUNTA($B288:$D288)+COUNTA($G288:$H288)+COUNTA($Q288))&gt;0),"",IF(AND($V288="Sub",N($U288)&gt;0),IF(ISNUMBER(INDEX($AR$5:$AR$1000,$U288-4)),DATE(YEAR(INDEX($AR$5:$AR$1000,$U288-4)),MONTH(INDEX($AR$5:$AR$1000,$U288-4)),1),IF(ISNUMBER(INDEX($AS$5:$AS$1000,$U288-4)),DATE(YEAR(INDEX($AS$5:$AS$1000,$U288-4)),MONTH(INDEX($AS$5:$AS$1000,$U288-4)),1),MesCiclo)),IF(ISNUMBER($AR288),DATE(YEAR($AR288),MONTH($AR288),1),IF(ISNUMBER($AS288),DATE(YEAR($AS288),MONTH($AS288),1),MesCiclo))))</f>
        <v/>
      </c>
      <c r="T288" s="62">
        <f>IF(OR($S288="",$S288&lt;&gt;MesCiclo,$V288&lt;&gt;"Macro"),"",COUNTIFS($S$5:$S288,MesCiclo,$V$5:$V288,"Macro"))</f>
        <v/>
      </c>
      <c r="U288" s="62">
        <f>IF($V288="","",IF($V288="Macro",ROW(),IFERROR(LOOKUP(2,1/($V$5:$V288="Macro"),ROW($V$5:$V288)),0)))</f>
        <v/>
      </c>
      <c r="V288" s="62">
        <f>IF(NOT((COUNTA($B288:$D288)+COUNTA($G288:$H288)+COUNTA($Q288))&gt;0),"",IF($B288="Subactividad","Sub","Macro"))</f>
        <v/>
      </c>
      <c r="W288" s="62">
        <f>IF($V288="Macro",COUNTIFS($U$5:$U$1000,ROW(),$V$5:$V$1000,"Sub"),"")</f>
        <v/>
      </c>
      <c r="X288" s="62">
        <f>IF($V288&lt;&gt;"Sub","",IF(AND(ISNUMBER($H288),N($H288)&gt;0),$H288,IFERROR(MAX(0,1-SUMIFS($H$5:$H$1000,$U$5:$U$1000,$U288,$V$5:$V$1000,"Sub"))/(COUNTIFS($U$5:$U$1000,$U288,$V$5:$V$1000,"Sub")-COUNTIFS($U$5:$U$1000,$U288,$V$5:$V$1000,"Sub",$H$5:$H$1000,"&gt;0")),0)))</f>
        <v/>
      </c>
      <c r="Y288" s="62">
        <f>IF($V288="","",IF($V288="Sub",N($X288)*IF(ISNUMBER($G288),1,MIN(1,MAX(0,IFERROR(LOOKUP(2,1/ISNUMBER($I288:$L288),$I288:$L288),0)))),IF(ISNUMBER($G288),1,IFERROR(LOOKUP(2,1/($I288:$L288&lt;&gt;""),$I288:$L288),0))))</f>
        <v/>
      </c>
      <c r="Z288" s="62">
        <f>IF($V288="","",IF(AND(ISNUMBER($G288),$G288&lt;=IF($S288=MesCiclo,InicioCiclo,$S288+MOD(2-WEEKDAY($S288),7))+6),1,IF(ISNUMBER($I288),$I288,0)))</f>
        <v/>
      </c>
      <c r="AA288" s="62">
        <f>IF($V288="","",IF(AND(ISNUMBER($G288),$G288&lt;=IF($S288=MesCiclo,InicioCiclo,$S288+MOD(2-WEEKDAY($S288),7))+13),1,IF(ISNUMBER($J288),$J288,$Z288)))</f>
        <v/>
      </c>
      <c r="AB288" s="62">
        <f>IF($V288="","",IF(AND(ISNUMBER($G288),$G288&lt;=IF($S288=MesCiclo,InicioCiclo,$S288+MOD(2-WEEKDAY($S288),7))+20),1,IF(ISNUMBER($K288),$K288,$AA288)))</f>
        <v/>
      </c>
      <c r="AC288" s="62">
        <f>IF($V288="","",IF(AND(ISNUMBER($G288),$G288&lt;=IF($S288=MesCiclo,InicioCiclo,$S288+MOD(2-WEEKDAY($S288),7))+27),1,IF(ISNUMBER($L288),$L288,$AB288)))</f>
        <v/>
      </c>
      <c r="AD288" s="62">
        <f>IF($V288&lt;&gt;"Sub","",N($X288)*IF(AND(ISNUMBER($G288),$G288&lt;=IF($S288=MesCiclo,InicioCiclo,$S288+MOD(2-WEEKDAY($S288),7))+6),1,MIN(1,MAX(0,IF(ISNUMBER(OFFSET($A$1,ROW()-1,8)),OFFSET($A$1,ROW()-1,8),0)))))</f>
        <v/>
      </c>
      <c r="AE288" s="62">
        <f>IF($V288&lt;&gt;"Sub","",N($X288)*IF(AND(ISNUMBER($G288),$G288&lt;=IF($S288=MesCiclo,InicioCiclo,$S288+MOD(2-WEEKDAY($S288),7))+13),1,MIN(1,MAX(0,IF(ISNUMBER(OFFSET($A$1,ROW()-1,9)),OFFSET($A$1,ROW()-1,9),IF(ISNUMBER(OFFSET($A$1,ROW()-1,8)),OFFSET($A$1,ROW()-1,8),0))))))</f>
        <v/>
      </c>
      <c r="AF288" s="62">
        <f>IF($V288&lt;&gt;"Sub","",N($X288)*IF(AND(ISNUMBER($G288),$G288&lt;=IF($S288=MesCiclo,InicioCiclo,$S288+MOD(2-WEEKDAY($S288),7))+20),1,MIN(1,MAX(0,IF(ISNUMBER(OFFSET($A$1,ROW()-1,10)),OFFSET($A$1,ROW()-1,10),IF(ISNUMBER(OFFSET($A$1,ROW()-1,9)),OFFSET($A$1,ROW()-1,9),IF(ISNUMBER(OFFSET($A$1,ROW()-1,8)),OFFSET($A$1,ROW()-1,8),0)))))))</f>
        <v/>
      </c>
      <c r="AG288" s="62">
        <f>IF($V288&lt;&gt;"Sub","",N($X288)*IF(AND(ISNUMBER($G288),$G288&lt;=IF($S288=MesCiclo,InicioCiclo,$S288+MOD(2-WEEKDAY($S288),7))+27),1,MIN(1,MAX(0,IF(ISNUMBER(OFFSET($A$1,ROW()-1,11)),OFFSET($A$1,ROW()-1,11),IF(ISNUMBER(OFFSET($A$1,ROW()-1,10)),OFFSET($A$1,ROW()-1,10),IF(ISNUMBER(OFFSET($A$1,ROW()-1,9)),OFFSET($A$1,ROW()-1,9),IF(ISNUMBER(OFFSET($A$1,ROW()-1,8)),OFFSET($A$1,ROW()-1,8),0))))))))</f>
        <v/>
      </c>
      <c r="AH288" s="62">
        <f>IF($V288="","",IF(AND(ISNUMBER($G288),$G288&lt;=IF($S288=MesCiclo,InicioCiclo,$S288+MOD(2-WEEKDAY($S288),7))+6),1,IF(N($W288)&gt;0,MIN(1,SUMIFS($AD$5:$AD$1000,$U$5:$U$1000,ROW(),$V$5:$V$1000,"Sub")),$Z288)))</f>
        <v/>
      </c>
      <c r="AI288" s="62">
        <f>IF($V288="","",IF(AND(ISNUMBER($G288),$G288&lt;=IF($S288=MesCiclo,InicioCiclo,$S288+MOD(2-WEEKDAY($S288),7))+13),1,IF(N($W288)&gt;0,MIN(1,SUMIFS($AE$5:$AE$1000,$U$5:$U$1000,ROW(),$V$5:$V$1000,"Sub")),$AA288)))</f>
        <v/>
      </c>
      <c r="AJ288" s="62">
        <f>IF($V288="","",IF(AND(ISNUMBER($G288),$G288&lt;=IF($S288=MesCiclo,InicioCiclo,$S288+MOD(2-WEEKDAY($S288),7))+20),1,IF(N($W288)&gt;0,MIN(1,SUMIFS($AF$5:$AF$1000,$U$5:$U$1000,ROW(),$V$5:$V$1000,"Sub")),$AB288)))</f>
        <v/>
      </c>
      <c r="AK288" s="62">
        <f>IF($V288="","",IF(AND(ISNUMBER($G288),$G288&lt;=IF($S288=MesCiclo,InicioCiclo,$S288+MOD(2-WEEKDAY($S288),7))+27),1,IF(N($W288)&gt;0,MIN(1,SUMIFS($AG$5:$AG$1000,$U$5:$U$1000,ROW(),$V$5:$V$1000,"Sub")),$AC288)))</f>
        <v/>
      </c>
      <c r="AL288" s="62">
        <f>IF($V288&lt;&gt;"Macro","",IF(COUNTIFS($S$5:$S$1000,$S288,$V$5:$V$1000,"Macro",$H$5:$H$1000,"&gt;0")=0,1/COUNTIFS($S$5:$S$1000,$S288,$V$5:$V$1000,"Macro"),IF(AND(ISNUMBER($H288),N($H288)&gt;0),$H288,SUMIFS($H$5:$H$1000,$S$5:$S$1000,$S288,$V$5:$V$1000,"Macro")/COUNTIFS($S$5:$S$1000,$S288,$V$5:$V$1000,"Macro",$H$5:$H$1000,"&gt;0"))/(COUNTIFS($S$5:$S$1000,$S288,$V$5:$V$1000,"Macro")*SUMIFS($H$5:$H$1000,$S$5:$S$1000,$S288,$V$5:$V$1000,"Macro")/COUNTIFS($S$5:$S$1000,$S288,$V$5:$V$1000,"Macro",$H$5:$H$1000,"&gt;0"))))</f>
        <v/>
      </c>
      <c r="AM288" s="62" t="n"/>
      <c r="AN288" s="62" t="n"/>
      <c r="AO288" s="62" t="n"/>
      <c r="AP288" s="62" t="n"/>
      <c r="AQ288" s="62">
        <f>IF(LEFT($C288,11)="[Jefatura] ",IFERROR(MATCH("Asistente Técnico de Riesgo|"&amp;MID($C288,12,500),rDname_ADM,0),0),"")</f>
        <v/>
      </c>
      <c r="AR288" s="62">
        <f>IF(N($AQ288)&gt;0,INDEX(rIni_ADM,$AQ288),IF(ISNUMBER($E288),$E288,""))</f>
        <v/>
      </c>
      <c r="AS288" s="62">
        <f>IF(N($AQ288)&gt;0,INDEX(rLim_ADM,$AQ288),IF(ISNUMBER($F288),$F288,""))</f>
        <v/>
      </c>
    </row>
    <row r="289">
      <c r="A289" s="56">
        <f>IF(NOT((COUNTA($B289:$D289)+COUNTA($G289:$H289)+COUNTA($Q289))&gt;0),"",IF($V289="Macro",COUNTIFS($V$5:$V289,"Macro",$S$5:$S289,$S289),IF(N($U289)=0,"?",COUNTIFS(INDEX($V$5:$V$1000,1):INDEX($V$5:$V$1000,$U289-4),"Macro",INDEX($S$5:$S$1000,1):INDEX($S$5:$S$1000,$U289-4),INDEX($S$5:$S$1000,$U289-4))&amp;"."&amp;COUNTIFS($U$5:$U289,$U289,$V$5:$V289,"Sub"))))</f>
        <v/>
      </c>
      <c r="B289" s="57" t="n"/>
      <c r="C289" s="58" t="n"/>
      <c r="D289" s="58" t="n"/>
      <c r="E289" s="59">
        <f>IF(N($AQ289)&gt;0,INDEX(rIni_ADM,$AQ289),"")</f>
        <v/>
      </c>
      <c r="F289" s="59">
        <f>IF(N($AQ289)&gt;0,INDEX(rLim_ADM,$AQ289),"")</f>
        <v/>
      </c>
      <c r="G289" s="59" t="n"/>
      <c r="H289" s="60" t="n"/>
      <c r="I289" s="60">
        <f>IF(N($W289)=0,"",IF(AND($S289=MesCiclo,1&gt;SemanaActual),"",MIN(1,SUMIFS(OFFSET($A$1,ROW(),29,1000-ROW(),1),OFFSET($A$1,ROW(),20,1000-ROW(),1),ROW(),OFFSET($A$1,ROW(),21,1000-ROW(),1),"Sub"))))</f>
        <v/>
      </c>
      <c r="J289" s="60">
        <f>IF(N($W289)=0,"",IF(AND($S289=MesCiclo,2&gt;SemanaActual),"",MIN(1,SUMIFS(OFFSET($A$1,ROW(),30,1000-ROW(),1),OFFSET($A$1,ROW(),20,1000-ROW(),1),ROW(),OFFSET($A$1,ROW(),21,1000-ROW(),1),"Sub"))))</f>
        <v/>
      </c>
      <c r="K289" s="60">
        <f>IF(N($W289)=0,"",IF(AND($S289=MesCiclo,3&gt;SemanaActual),"",MIN(1,SUMIFS(OFFSET($A$1,ROW(),31,1000-ROW(),1),OFFSET($A$1,ROW(),20,1000-ROW(),1),ROW(),OFFSET($A$1,ROW(),21,1000-ROW(),1),"Sub"))))</f>
        <v/>
      </c>
      <c r="L289" s="60">
        <f>IF(N($W289)=0,"",IF(AND($S289=MesCiclo,4&gt;SemanaActual),"",MIN(1,SUMIFS(OFFSET($A$1,ROW(),32,1000-ROW(),1),OFFSET($A$1,ROW(),20,1000-ROW(),1),ROW(),OFFSET($A$1,ROW(),21,1000-ROW(),1),"Sub"))))</f>
        <v/>
      </c>
      <c r="M289" s="61">
        <f>IF(OR(NOT((COUNTA($B289:$D289)+COUNTA($G289:$H289)+COUNTA($Q289))&gt;0),$V289="Sub"),"",IF(ISNUMBER($G289),1,IF(N($W289)&gt;0,MIN(1,SUMIFS($Y$5:$Y$1000,$U$5:$U$1000,ROW(),$V$5:$V$1000,"Sub")),$Y289)))</f>
        <v/>
      </c>
      <c r="N289" s="56">
        <f>IF(OR($M289="",$V289="Sub"),"",IF($M289&gt;=1,"Completado",IF($M289&gt;0,"En curso","Pendiente")))</f>
        <v/>
      </c>
      <c r="O289" s="56">
        <f>IF(OR(NOT((COUNTA($B289:$D289)+COUNTA($G289:$H289)+COUNTA($Q289))&gt;0),$V289="Sub"),"",IF(ISNUMBER($G289),IF(AND(ISNUMBER($AS289),$G289&gt;$AS289),"Cumplida con "&amp;($G289-$AS289)&amp;IF($G289-$AS289=1," día"," días")&amp;" de retraso","Cumplida"),IF(N($M289)&gt;=1,"Cumplida",IF(NOT(ISNUMBER($AS289)),"Sin fecha límite",IF($AS289&lt;FechaRef,"Vencida hace "&amp;(FechaRef-$AS289)&amp;IF(FechaRef-$AS289=1," día"," días"),IF($AS289=FechaRef,"Vence hoy",IF($AS289-FechaRef&lt;=DiasAlerta,"Vence en "&amp;($AS289-FechaRef)&amp;IF($AS289-FechaRef=1," día"," días"),"En plazo")))))))</f>
        <v/>
      </c>
      <c r="P289" s="62" t="n"/>
      <c r="Q289" s="58" t="n"/>
      <c r="R289" s="63">
        <f>IF(NOT((COUNTA($B289:$D289)+COUNTA($G289:$H289)+COUNTA($Q289))&gt;0),"",IF((IF($C289="","Falta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 OK","⚠ "&amp;LEFT(IF($C289="","Falta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",""),LEN(IF($C289="","Falta el nombre de la actividad"&amp;" · ","")&amp;IF(AND($V289="Sub",N($U289)=0),"Subactividad sin macroactividad arriba"&amp;" · ","")&amp;IF(AND($V289="Macro",$AR289=""),"Sin fecha de inicio"&amp;" · ","")&amp;IF(AND($V289="Macro",$AS289=""),"Sin fecha límite"&amp;" · ","")&amp;IF(AND(LEFT($C289,11)="[Jefatura] ",N($AQ289)=0),"No se encuentra en la hoja de la jefatura (elíjala de nuevo en la lista)"&amp;" · ","")&amp;IF(OR(AND($E289&lt;&gt;"",NOT(ISNUMBER($E289))),AND($F289&lt;&gt;"",NOT(ISNUMBER($F289))),AND($G289&lt;&gt;"",NOT(ISNUMBER($G289)))),"Fecha no válida"&amp;" · ","")&amp;IF(AND(ISNUMBER($AR289),ISNUMBER($AS289),$AR289&gt;$AS289),"Inicio posterior a fecha límite"&amp;" · ","")&amp;IF(AND($V289="Macro",$H289&lt;&gt;"",OR(NOT(ISNUMBER($H289)),$H289&lt;0,$H289&gt;1)),"Peso fuera de rango"&amp;" · ","")&amp;IF(AND($V289="Sub",$H289&lt;&gt;"",OR(NOT(ISNUMBER($H289)),$H289&lt;0,$H289&gt;1)),"% de la subactividad fuera de rango 0-100%"&amp;" · ","")&amp;IF(AND(N($W289)&gt;0,SUMIFS($H$5:$H$1000,$U$5:$U$1000,ROW(),$V$5:$V$1000,"Sub")&gt;1.0001),"Las subactividades suman más de 100%"&amp;" · ","")&amp;IF(AND(N($W289)&gt;0,OR(IF(ISNUMBER($I289),ROUND($I289,6)&lt;&gt;ROUND(MIN(1,SUMIFS($AD$5:$AD$1000,$U$5:$U$1000,ROW(),$V$5:$V$1000,"Sub")),6),FALSE),IF(ISNUMBER($J289),ROUND($J289,6)&lt;&gt;ROUND(MIN(1,SUMIFS($AE$5:$AE$1000,$U$5:$U$1000,ROW(),$V$5:$V$1000,"Sub")),6),FALSE),IF(ISNUMBER($K289),ROUND($K289,6)&lt;&gt;ROUND(MIN(1,SUMIFS($AF$5:$AF$1000,$U$5:$U$1000,ROW(),$V$5:$V$1000,"Sub")),6),FALSE),IF(ISNUMBER($L289),ROUND($L289,6)&lt;&gt;ROUND(MIN(1,SUMIFS($AG$5:$AG$1000,$U$5:$U$1000,ROW(),$V$5:$V$1000,"Sub")),6),FALSE))),"Con subactividades: no escriba en las semanas (se llenan solas)"&amp;" · ","")&amp;IF((COUNTIF($I289:$L289,"&gt;1")+COUNTIF($I289:$L289,"&lt;0")+SUMPRODUCT((LEN($I289:$L289)&gt;0)*NOT(ISNUMBER($I289:$L289))))&gt;0,"Avance fuera de rango 0-100%"&amp;" · ","")&amp;IF(OR(AND(ISNUMBER($J289),$J289&lt;N($I289)),AND(ISNUMBER($K289),$K289&lt;MAX($I289:$J289)),AND(ISNUMBER($L289),$L289&lt;MAX($I289:$K289))),"Avance semanal decreciente"&amp;" · ","")&amp;IF(AND(ISNUMBER($AS289),$AS289&lt;FechaRef,IF($V289="Sub",1,N($M289))&lt;1),"Vencida"&amp;" · ","")&amp;IF(AND(ObsObligatoria="Sí",ISNUMBER($AS289),$AS289&lt;FechaRef,IF($V289="Sub",1,N($M289))&lt;1,$Q289=""),"Vencida sin observación"&amp;" · ",""))-3)))</f>
        <v/>
      </c>
      <c r="S289" s="64">
        <f>IF(NOT((COUNTA($B289:$D289)+COUNTA($G289:$H289)+COUNTA($Q289))&gt;0),"",IF(AND($V289="Sub",N($U289)&gt;0),IF(ISNUMBER(INDEX($AR$5:$AR$1000,$U289-4)),DATE(YEAR(INDEX($AR$5:$AR$1000,$U289-4)),MONTH(INDEX($AR$5:$AR$1000,$U289-4)),1),IF(ISNUMBER(INDEX($AS$5:$AS$1000,$U289-4)),DATE(YEAR(INDEX($AS$5:$AS$1000,$U289-4)),MONTH(INDEX($AS$5:$AS$1000,$U289-4)),1),MesCiclo)),IF(ISNUMBER($AR289),DATE(YEAR($AR289),MONTH($AR289),1),IF(ISNUMBER($AS289),DATE(YEAR($AS289),MONTH($AS289),1),MesCiclo))))</f>
        <v/>
      </c>
      <c r="T289" s="62">
        <f>IF(OR($S289="",$S289&lt;&gt;MesCiclo,$V289&lt;&gt;"Macro"),"",COUNTIFS($S$5:$S289,MesCiclo,$V$5:$V289,"Macro"))</f>
        <v/>
      </c>
      <c r="U289" s="62">
        <f>IF($V289="","",IF($V289="Macro",ROW(),IFERROR(LOOKUP(2,1/($V$5:$V289="Macro"),ROW($V$5:$V289)),0)))</f>
        <v/>
      </c>
      <c r="V289" s="62">
        <f>IF(NOT((COUNTA($B289:$D289)+COUNTA($G289:$H289)+COUNTA($Q289))&gt;0),"",IF($B289="Subactividad","Sub","Macro"))</f>
        <v/>
      </c>
      <c r="W289" s="62">
        <f>IF($V289="Macro",COUNTIFS($U$5:$U$1000,ROW(),$V$5:$V$1000,"Sub"),"")</f>
        <v/>
      </c>
      <c r="X289" s="62">
        <f>IF($V289&lt;&gt;"Sub","",IF(AND(ISNUMBER($H289),N($H289)&gt;0),$H289,IFERROR(MAX(0,1-SUMIFS($H$5:$H$1000,$U$5:$U$1000,$U289,$V$5:$V$1000,"Sub"))/(COUNTIFS($U$5:$U$1000,$U289,$V$5:$V$1000,"Sub")-COUNTIFS($U$5:$U$1000,$U289,$V$5:$V$1000,"Sub",$H$5:$H$1000,"&gt;0")),0)))</f>
        <v/>
      </c>
      <c r="Y289" s="62">
        <f>IF($V289="","",IF($V289="Sub",N($X289)*IF(ISNUMBER($G289),1,MIN(1,MAX(0,IFERROR(LOOKUP(2,1/ISNUMBER($I289:$L289),$I289:$L289),0)))),IF(ISNUMBER($G289),1,IFERROR(LOOKUP(2,1/($I289:$L289&lt;&gt;""),$I289:$L289),0))))</f>
        <v/>
      </c>
      <c r="Z289" s="62">
        <f>IF($V289="","",IF(AND(ISNUMBER($G289),$G289&lt;=IF($S289=MesCiclo,InicioCiclo,$S289+MOD(2-WEEKDAY($S289),7))+6),1,IF(ISNUMBER($I289),$I289,0)))</f>
        <v/>
      </c>
      <c r="AA289" s="62">
        <f>IF($V289="","",IF(AND(ISNUMBER($G289),$G289&lt;=IF($S289=MesCiclo,InicioCiclo,$S289+MOD(2-WEEKDAY($S289),7))+13),1,IF(ISNUMBER($J289),$J289,$Z289)))</f>
        <v/>
      </c>
      <c r="AB289" s="62">
        <f>IF($V289="","",IF(AND(ISNUMBER($G289),$G289&lt;=IF($S289=MesCiclo,InicioCiclo,$S289+MOD(2-WEEKDAY($S289),7))+20),1,IF(ISNUMBER($K289),$K289,$AA289)))</f>
        <v/>
      </c>
      <c r="AC289" s="62">
        <f>IF($V289="","",IF(AND(ISNUMBER($G289),$G289&lt;=IF($S289=MesCiclo,InicioCiclo,$S289+MOD(2-WEEKDAY($S289),7))+27),1,IF(ISNUMBER($L289),$L289,$AB289)))</f>
        <v/>
      </c>
      <c r="AD289" s="62">
        <f>IF($V289&lt;&gt;"Sub","",N($X289)*IF(AND(ISNUMBER($G289),$G289&lt;=IF($S289=MesCiclo,InicioCiclo,$S289+MOD(2-WEEKDAY($S289),7))+6),1,MIN(1,MAX(0,IF(ISNUMBER(OFFSET($A$1,ROW()-1,8)),OFFSET($A$1,ROW()-1,8),0)))))</f>
        <v/>
      </c>
      <c r="AE289" s="62">
        <f>IF($V289&lt;&gt;"Sub","",N($X289)*IF(AND(ISNUMBER($G289),$G289&lt;=IF($S289=MesCiclo,InicioCiclo,$S289+MOD(2-WEEKDAY($S289),7))+13),1,MIN(1,MAX(0,IF(ISNUMBER(OFFSET($A$1,ROW()-1,9)),OFFSET($A$1,ROW()-1,9),IF(ISNUMBER(OFFSET($A$1,ROW()-1,8)),OFFSET($A$1,ROW()-1,8),0))))))</f>
        <v/>
      </c>
      <c r="AF289" s="62">
        <f>IF($V289&lt;&gt;"Sub","",N($X289)*IF(AND(ISNUMBER($G289),$G289&lt;=IF($S289=MesCiclo,InicioCiclo,$S289+MOD(2-WEEKDAY($S289),7))+20),1,MIN(1,MAX(0,IF(ISNUMBER(OFFSET($A$1,ROW()-1,10)),OFFSET($A$1,ROW()-1,10),IF(ISNUMBER(OFFSET($A$1,ROW()-1,9)),OFFSET($A$1,ROW()-1,9),IF(ISNUMBER(OFFSET($A$1,ROW()-1,8)),OFFSET($A$1,ROW()-1,8),0)))))))</f>
        <v/>
      </c>
      <c r="AG289" s="62">
        <f>IF($V289&lt;&gt;"Sub","",N($X289)*IF(AND(ISNUMBER($G289),$G289&lt;=IF($S289=MesCiclo,InicioCiclo,$S289+MOD(2-WEEKDAY($S289),7))+27),1,MIN(1,MAX(0,IF(ISNUMBER(OFFSET($A$1,ROW()-1,11)),OFFSET($A$1,ROW()-1,11),IF(ISNUMBER(OFFSET($A$1,ROW()-1,10)),OFFSET($A$1,ROW()-1,10),IF(ISNUMBER(OFFSET($A$1,ROW()-1,9)),OFFSET($A$1,ROW()-1,9),IF(ISNUMBER(OFFSET($A$1,ROW()-1,8)),OFFSET($A$1,ROW()-1,8),0))))))))</f>
        <v/>
      </c>
      <c r="AH289" s="62">
        <f>IF($V289="","",IF(AND(ISNUMBER($G289),$G289&lt;=IF($S289=MesCiclo,InicioCiclo,$S289+MOD(2-WEEKDAY($S289),7))+6),1,IF(N($W289)&gt;0,MIN(1,SUMIFS($AD$5:$AD$1000,$U$5:$U$1000,ROW(),$V$5:$V$1000,"Sub")),$Z289)))</f>
        <v/>
      </c>
      <c r="AI289" s="62">
        <f>IF($V289="","",IF(AND(ISNUMBER($G289),$G289&lt;=IF($S289=MesCiclo,InicioCiclo,$S289+MOD(2-WEEKDAY($S289),7))+13),1,IF(N($W289)&gt;0,MIN(1,SUMIFS($AE$5:$AE$1000,$U$5:$U$1000,ROW(),$V$5:$V$1000,"Sub")),$AA289)))</f>
        <v/>
      </c>
      <c r="AJ289" s="62">
        <f>IF($V289="","",IF(AND(ISNUMBER($G289),$G289&lt;=IF($S289=MesCiclo,InicioCiclo,$S289+MOD(2-WEEKDAY($S289),7))+20),1,IF(N($W289)&gt;0,MIN(1,SUMIFS($AF$5:$AF$1000,$U$5:$U$1000,ROW(),$V$5:$V$1000,"Sub")),$AB289)))</f>
        <v/>
      </c>
      <c r="AK289" s="62">
        <f>IF($V289="","",IF(AND(ISNUMBER($G289),$G289&lt;=IF($S289=MesCiclo,InicioCiclo,$S289+MOD(2-WEEKDAY($S289),7))+27),1,IF(N($W289)&gt;0,MIN(1,SUMIFS($AG$5:$AG$1000,$U$5:$U$1000,ROW(),$V$5:$V$1000,"Sub")),$AC289)))</f>
        <v/>
      </c>
      <c r="AL289" s="62">
        <f>IF($V289&lt;&gt;"Macro","",IF(COUNTIFS($S$5:$S$1000,$S289,$V$5:$V$1000,"Macro",$H$5:$H$1000,"&gt;0")=0,1/COUNTIFS($S$5:$S$1000,$S289,$V$5:$V$1000,"Macro"),IF(AND(ISNUMBER($H289),N($H289)&gt;0),$H289,SUMIFS($H$5:$H$1000,$S$5:$S$1000,$S289,$V$5:$V$1000,"Macro")/COUNTIFS($S$5:$S$1000,$S289,$V$5:$V$1000,"Macro",$H$5:$H$1000,"&gt;0"))/(COUNTIFS($S$5:$S$1000,$S289,$V$5:$V$1000,"Macro")*SUMIFS($H$5:$H$1000,$S$5:$S$1000,$S289,$V$5:$V$1000,"Macro")/COUNTIFS($S$5:$S$1000,$S289,$V$5:$V$1000,"Macro",$H$5:$H$1000,"&gt;0"))))</f>
        <v/>
      </c>
      <c r="AM289" s="62" t="n"/>
      <c r="AN289" s="62" t="n"/>
      <c r="AO289" s="62" t="n"/>
      <c r="AP289" s="62" t="n"/>
      <c r="AQ289" s="62">
        <f>IF(LEFT($C289,11)="[Jefatura] ",IFERROR(MATCH("Asistente Técnico de Riesgo|"&amp;MID($C289,12,500),rDname_ADM,0),0),"")</f>
        <v/>
      </c>
      <c r="AR289" s="62">
        <f>IF(N($AQ289)&gt;0,INDEX(rIni_ADM,$AQ289),IF(ISNUMBER($E289),$E289,""))</f>
        <v/>
      </c>
      <c r="AS289" s="62">
        <f>IF(N($AQ289)&gt;0,INDEX(rLim_ADM,$AQ289),IF(ISNUMBER($F289),$F289,""))</f>
        <v/>
      </c>
    </row>
    <row r="290">
      <c r="A290" s="56">
        <f>IF(NOT((COUNTA($B290:$D290)+COUNTA($G290:$H290)+COUNTA($Q290))&gt;0),"",IF($V290="Macro",COUNTIFS($V$5:$V290,"Macro",$S$5:$S290,$S290),IF(N($U290)=0,"?",COUNTIFS(INDEX($V$5:$V$1000,1):INDEX($V$5:$V$1000,$U290-4),"Macro",INDEX($S$5:$S$1000,1):INDEX($S$5:$S$1000,$U290-4),INDEX($S$5:$S$1000,$U290-4))&amp;"."&amp;COUNTIFS($U$5:$U290,$U290,$V$5:$V290,"Sub"))))</f>
        <v/>
      </c>
      <c r="B290" s="57" t="n"/>
      <c r="C290" s="58" t="n"/>
      <c r="D290" s="58" t="n"/>
      <c r="E290" s="59">
        <f>IF(N($AQ290)&gt;0,INDEX(rIni_ADM,$AQ290),"")</f>
        <v/>
      </c>
      <c r="F290" s="59">
        <f>IF(N($AQ290)&gt;0,INDEX(rLim_ADM,$AQ290),"")</f>
        <v/>
      </c>
      <c r="G290" s="59" t="n"/>
      <c r="H290" s="60" t="n"/>
      <c r="I290" s="60">
        <f>IF(N($W290)=0,"",IF(AND($S290=MesCiclo,1&gt;SemanaActual),"",MIN(1,SUMIFS(OFFSET($A$1,ROW(),29,1000-ROW(),1),OFFSET($A$1,ROW(),20,1000-ROW(),1),ROW(),OFFSET($A$1,ROW(),21,1000-ROW(),1),"Sub"))))</f>
        <v/>
      </c>
      <c r="J290" s="60">
        <f>IF(N($W290)=0,"",IF(AND($S290=MesCiclo,2&gt;SemanaActual),"",MIN(1,SUMIFS(OFFSET($A$1,ROW(),30,1000-ROW(),1),OFFSET($A$1,ROW(),20,1000-ROW(),1),ROW(),OFFSET($A$1,ROW(),21,1000-ROW(),1),"Sub"))))</f>
        <v/>
      </c>
      <c r="K290" s="60">
        <f>IF(N($W290)=0,"",IF(AND($S290=MesCiclo,3&gt;SemanaActual),"",MIN(1,SUMIFS(OFFSET($A$1,ROW(),31,1000-ROW(),1),OFFSET($A$1,ROW(),20,1000-ROW(),1),ROW(),OFFSET($A$1,ROW(),21,1000-ROW(),1),"Sub"))))</f>
        <v/>
      </c>
      <c r="L290" s="60">
        <f>IF(N($W290)=0,"",IF(AND($S290=MesCiclo,4&gt;SemanaActual),"",MIN(1,SUMIFS(OFFSET($A$1,ROW(),32,1000-ROW(),1),OFFSET($A$1,ROW(),20,1000-ROW(),1),ROW(),OFFSET($A$1,ROW(),21,1000-ROW(),1),"Sub"))))</f>
        <v/>
      </c>
      <c r="M290" s="61">
        <f>IF(OR(NOT((COUNTA($B290:$D290)+COUNTA($G290:$H290)+COUNTA($Q290))&gt;0),$V290="Sub"),"",IF(ISNUMBER($G290),1,IF(N($W290)&gt;0,MIN(1,SUMIFS($Y$5:$Y$1000,$U$5:$U$1000,ROW(),$V$5:$V$1000,"Sub")),$Y290)))</f>
        <v/>
      </c>
      <c r="N290" s="56">
        <f>IF(OR($M290="",$V290="Sub"),"",IF($M290&gt;=1,"Completado",IF($M290&gt;0,"En curso","Pendiente")))</f>
        <v/>
      </c>
      <c r="O290" s="56">
        <f>IF(OR(NOT((COUNTA($B290:$D290)+COUNTA($G290:$H290)+COUNTA($Q290))&gt;0),$V290="Sub"),"",IF(ISNUMBER($G290),IF(AND(ISNUMBER($AS290),$G290&gt;$AS290),"Cumplida con "&amp;($G290-$AS290)&amp;IF($G290-$AS290=1," día"," días")&amp;" de retraso","Cumplida"),IF(N($M290)&gt;=1,"Cumplida",IF(NOT(ISNUMBER($AS290)),"Sin fecha límite",IF($AS290&lt;FechaRef,"Vencida hace "&amp;(FechaRef-$AS290)&amp;IF(FechaRef-$AS290=1," día"," días"),IF($AS290=FechaRef,"Vence hoy",IF($AS290-FechaRef&lt;=DiasAlerta,"Vence en "&amp;($AS290-FechaRef)&amp;IF($AS290-FechaRef=1," día"," días"),"En plazo")))))))</f>
        <v/>
      </c>
      <c r="P290" s="62" t="n"/>
      <c r="Q290" s="58" t="n"/>
      <c r="R290" s="63">
        <f>IF(NOT((COUNTA($B290:$D290)+COUNTA($G290:$H290)+COUNTA($Q290))&gt;0),"",IF((IF($C290="","Falta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 OK","⚠ "&amp;LEFT(IF($C290="","Falta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",""),LEN(IF($C290="","Falta el nombre de la actividad"&amp;" · ","")&amp;IF(AND($V290="Sub",N($U290)=0),"Subactividad sin macroactividad arriba"&amp;" · ","")&amp;IF(AND($V290="Macro",$AR290=""),"Sin fecha de inicio"&amp;" · ","")&amp;IF(AND($V290="Macro",$AS290=""),"Sin fecha límite"&amp;" · ","")&amp;IF(AND(LEFT($C290,11)="[Jefatura] ",N($AQ290)=0),"No se encuentra en la hoja de la jefatura (elíjala de nuevo en la lista)"&amp;" · ","")&amp;IF(OR(AND($E290&lt;&gt;"",NOT(ISNUMBER($E290))),AND($F290&lt;&gt;"",NOT(ISNUMBER($F290))),AND($G290&lt;&gt;"",NOT(ISNUMBER($G290)))),"Fecha no válida"&amp;" · ","")&amp;IF(AND(ISNUMBER($AR290),ISNUMBER($AS290),$AR290&gt;$AS290),"Inicio posterior a fecha límite"&amp;" · ","")&amp;IF(AND($V290="Macro",$H290&lt;&gt;"",OR(NOT(ISNUMBER($H290)),$H290&lt;0,$H290&gt;1)),"Peso fuera de rango"&amp;" · ","")&amp;IF(AND($V290="Sub",$H290&lt;&gt;"",OR(NOT(ISNUMBER($H290)),$H290&lt;0,$H290&gt;1)),"% de la subactividad fuera de rango 0-100%"&amp;" · ","")&amp;IF(AND(N($W290)&gt;0,SUMIFS($H$5:$H$1000,$U$5:$U$1000,ROW(),$V$5:$V$1000,"Sub")&gt;1.0001),"Las subactividades suman más de 100%"&amp;" · ","")&amp;IF(AND(N($W290)&gt;0,OR(IF(ISNUMBER($I290),ROUND($I290,6)&lt;&gt;ROUND(MIN(1,SUMIFS($AD$5:$AD$1000,$U$5:$U$1000,ROW(),$V$5:$V$1000,"Sub")),6),FALSE),IF(ISNUMBER($J290),ROUND($J290,6)&lt;&gt;ROUND(MIN(1,SUMIFS($AE$5:$AE$1000,$U$5:$U$1000,ROW(),$V$5:$V$1000,"Sub")),6),FALSE),IF(ISNUMBER($K290),ROUND($K290,6)&lt;&gt;ROUND(MIN(1,SUMIFS($AF$5:$AF$1000,$U$5:$U$1000,ROW(),$V$5:$V$1000,"Sub")),6),FALSE),IF(ISNUMBER($L290),ROUND($L290,6)&lt;&gt;ROUND(MIN(1,SUMIFS($AG$5:$AG$1000,$U$5:$U$1000,ROW(),$V$5:$V$1000,"Sub")),6),FALSE))),"Con subactividades: no escriba en las semanas (se llenan solas)"&amp;" · ","")&amp;IF((COUNTIF($I290:$L290,"&gt;1")+COUNTIF($I290:$L290,"&lt;0")+SUMPRODUCT((LEN($I290:$L290)&gt;0)*NOT(ISNUMBER($I290:$L290))))&gt;0,"Avance fuera de rango 0-100%"&amp;" · ","")&amp;IF(OR(AND(ISNUMBER($J290),$J290&lt;N($I290)),AND(ISNUMBER($K290),$K290&lt;MAX($I290:$J290)),AND(ISNUMBER($L290),$L290&lt;MAX($I290:$K290))),"Avance semanal decreciente"&amp;" · ","")&amp;IF(AND(ISNUMBER($AS290),$AS290&lt;FechaRef,IF($V290="Sub",1,N($M290))&lt;1),"Vencida"&amp;" · ","")&amp;IF(AND(ObsObligatoria="Sí",ISNUMBER($AS290),$AS290&lt;FechaRef,IF($V290="Sub",1,N($M290))&lt;1,$Q290=""),"Vencida sin observación"&amp;" · ",""))-3)))</f>
        <v/>
      </c>
      <c r="S290" s="64">
        <f>IF(NOT((COUNTA($B290:$D290)+COUNTA($G290:$H290)+COUNTA($Q290))&gt;0),"",IF(AND($V290="Sub",N($U290)&gt;0),IF(ISNUMBER(INDEX($AR$5:$AR$1000,$U290-4)),DATE(YEAR(INDEX($AR$5:$AR$1000,$U290-4)),MONTH(INDEX($AR$5:$AR$1000,$U290-4)),1),IF(ISNUMBER(INDEX($AS$5:$AS$1000,$U290-4)),DATE(YEAR(INDEX($AS$5:$AS$1000,$U290-4)),MONTH(INDEX($AS$5:$AS$1000,$U290-4)),1),MesCiclo)),IF(ISNUMBER($AR290),DATE(YEAR($AR290),MONTH($AR290),1),IF(ISNUMBER($AS290),DATE(YEAR($AS290),MONTH($AS290),1),MesCiclo))))</f>
        <v/>
      </c>
      <c r="T290" s="62">
        <f>IF(OR($S290="",$S290&lt;&gt;MesCiclo,$V290&lt;&gt;"Macro"),"",COUNTIFS($S$5:$S290,MesCiclo,$V$5:$V290,"Macro"))</f>
        <v/>
      </c>
      <c r="U290" s="62">
        <f>IF($V290="","",IF($V290="Macro",ROW(),IFERROR(LOOKUP(2,1/($V$5:$V290="Macro"),ROW($V$5:$V290)),0)))</f>
        <v/>
      </c>
      <c r="V290" s="62">
        <f>IF(NOT((COUNTA($B290:$D290)+COUNTA($G290:$H290)+COUNTA($Q290))&gt;0),"",IF($B290="Subactividad","Sub","Macro"))</f>
        <v/>
      </c>
      <c r="W290" s="62">
        <f>IF($V290="Macro",COUNTIFS($U$5:$U$1000,ROW(),$V$5:$V$1000,"Sub"),"")</f>
        <v/>
      </c>
      <c r="X290" s="62">
        <f>IF($V290&lt;&gt;"Sub","",IF(AND(ISNUMBER($H290),N($H290)&gt;0),$H290,IFERROR(MAX(0,1-SUMIFS($H$5:$H$1000,$U$5:$U$1000,$U290,$V$5:$V$1000,"Sub"))/(COUNTIFS($U$5:$U$1000,$U290,$V$5:$V$1000,"Sub")-COUNTIFS($U$5:$U$1000,$U290,$V$5:$V$1000,"Sub",$H$5:$H$1000,"&gt;0")),0)))</f>
        <v/>
      </c>
      <c r="Y290" s="62">
        <f>IF($V290="","",IF($V290="Sub",N($X290)*IF(ISNUMBER($G290),1,MIN(1,MAX(0,IFERROR(LOOKUP(2,1/ISNUMBER($I290:$L290),$I290:$L290),0)))),IF(ISNUMBER($G290),1,IFERROR(LOOKUP(2,1/($I290:$L290&lt;&gt;""),$I290:$L290),0))))</f>
        <v/>
      </c>
      <c r="Z290" s="62">
        <f>IF($V290="","",IF(AND(ISNUMBER($G290),$G290&lt;=IF($S290=MesCiclo,InicioCiclo,$S290+MOD(2-WEEKDAY($S290),7))+6),1,IF(ISNUMBER($I290),$I290,0)))</f>
        <v/>
      </c>
      <c r="AA290" s="62">
        <f>IF($V290="","",IF(AND(ISNUMBER($G290),$G290&lt;=IF($S290=MesCiclo,InicioCiclo,$S290+MOD(2-WEEKDAY($S290),7))+13),1,IF(ISNUMBER($J290),$J290,$Z290)))</f>
        <v/>
      </c>
      <c r="AB290" s="62">
        <f>IF($V290="","",IF(AND(ISNUMBER($G290),$G290&lt;=IF($S290=MesCiclo,InicioCiclo,$S290+MOD(2-WEEKDAY($S290),7))+20),1,IF(ISNUMBER($K290),$K290,$AA290)))</f>
        <v/>
      </c>
      <c r="AC290" s="62">
        <f>IF($V290="","",IF(AND(ISNUMBER($G290),$G290&lt;=IF($S290=MesCiclo,InicioCiclo,$S290+MOD(2-WEEKDAY($S290),7))+27),1,IF(ISNUMBER($L290),$L290,$AB290)))</f>
        <v/>
      </c>
      <c r="AD290" s="62">
        <f>IF($V290&lt;&gt;"Sub","",N($X290)*IF(AND(ISNUMBER($G290),$G290&lt;=IF($S290=MesCiclo,InicioCiclo,$S290+MOD(2-WEEKDAY($S290),7))+6),1,MIN(1,MAX(0,IF(ISNUMBER(OFFSET($A$1,ROW()-1,8)),OFFSET($A$1,ROW()-1,8),0)))))</f>
        <v/>
      </c>
      <c r="AE290" s="62">
        <f>IF($V290&lt;&gt;"Sub","",N($X290)*IF(AND(ISNUMBER($G290),$G290&lt;=IF($S290=MesCiclo,InicioCiclo,$S290+MOD(2-WEEKDAY($S290),7))+13),1,MIN(1,MAX(0,IF(ISNUMBER(OFFSET($A$1,ROW()-1,9)),OFFSET($A$1,ROW()-1,9),IF(ISNUMBER(OFFSET($A$1,ROW()-1,8)),OFFSET($A$1,ROW()-1,8),0))))))</f>
        <v/>
      </c>
      <c r="AF290" s="62">
        <f>IF($V290&lt;&gt;"Sub","",N($X290)*IF(AND(ISNUMBER($G290),$G290&lt;=IF($S290=MesCiclo,InicioCiclo,$S290+MOD(2-WEEKDAY($S290),7))+20),1,MIN(1,MAX(0,IF(ISNUMBER(OFFSET($A$1,ROW()-1,10)),OFFSET($A$1,ROW()-1,10),IF(ISNUMBER(OFFSET($A$1,ROW()-1,9)),OFFSET($A$1,ROW()-1,9),IF(ISNUMBER(OFFSET($A$1,ROW()-1,8)),OFFSET($A$1,ROW()-1,8),0)))))))</f>
        <v/>
      </c>
      <c r="AG290" s="62">
        <f>IF($V290&lt;&gt;"Sub","",N($X290)*IF(AND(ISNUMBER($G290),$G290&lt;=IF($S290=MesCiclo,InicioCiclo,$S290+MOD(2-WEEKDAY($S290),7))+27),1,MIN(1,MAX(0,IF(ISNUMBER(OFFSET($A$1,ROW()-1,11)),OFFSET($A$1,ROW()-1,11),IF(ISNUMBER(OFFSET($A$1,ROW()-1,10)),OFFSET($A$1,ROW()-1,10),IF(ISNUMBER(OFFSET($A$1,ROW()-1,9)),OFFSET($A$1,ROW()-1,9),IF(ISNUMBER(OFFSET($A$1,ROW()-1,8)),OFFSET($A$1,ROW()-1,8),0))))))))</f>
        <v/>
      </c>
      <c r="AH290" s="62">
        <f>IF($V290="","",IF(AND(ISNUMBER($G290),$G290&lt;=IF($S290=MesCiclo,InicioCiclo,$S290+MOD(2-WEEKDAY($S290),7))+6),1,IF(N($W290)&gt;0,MIN(1,SUMIFS($AD$5:$AD$1000,$U$5:$U$1000,ROW(),$V$5:$V$1000,"Sub")),$Z290)))</f>
        <v/>
      </c>
      <c r="AI290" s="62">
        <f>IF($V290="","",IF(AND(ISNUMBER($G290),$G290&lt;=IF($S290=MesCiclo,InicioCiclo,$S290+MOD(2-WEEKDAY($S290),7))+13),1,IF(N($W290)&gt;0,MIN(1,SUMIFS($AE$5:$AE$1000,$U$5:$U$1000,ROW(),$V$5:$V$1000,"Sub")),$AA290)))</f>
        <v/>
      </c>
      <c r="AJ290" s="62">
        <f>IF($V290="","",IF(AND(ISNUMBER($G290),$G290&lt;=IF($S290=MesCiclo,InicioCiclo,$S290+MOD(2-WEEKDAY($S290),7))+20),1,IF(N($W290)&gt;0,MIN(1,SUMIFS($AF$5:$AF$1000,$U$5:$U$1000,ROW(),$V$5:$V$1000,"Sub")),$AB290)))</f>
        <v/>
      </c>
      <c r="AK290" s="62">
        <f>IF($V290="","",IF(AND(ISNUMBER($G290),$G290&lt;=IF($S290=MesCiclo,InicioCiclo,$S290+MOD(2-WEEKDAY($S290),7))+27),1,IF(N($W290)&gt;0,MIN(1,SUMIFS($AG$5:$AG$1000,$U$5:$U$1000,ROW(),$V$5:$V$1000,"Sub")),$AC290)))</f>
        <v/>
      </c>
      <c r="AL290" s="62">
        <f>IF($V290&lt;&gt;"Macro","",IF(COUNTIFS($S$5:$S$1000,$S290,$V$5:$V$1000,"Macro",$H$5:$H$1000,"&gt;0")=0,1/COUNTIFS($S$5:$S$1000,$S290,$V$5:$V$1000,"Macro"),IF(AND(ISNUMBER($H290),N($H290)&gt;0),$H290,SUMIFS($H$5:$H$1000,$S$5:$S$1000,$S290,$V$5:$V$1000,"Macro")/COUNTIFS($S$5:$S$1000,$S290,$V$5:$V$1000,"Macro",$H$5:$H$1000,"&gt;0"))/(COUNTIFS($S$5:$S$1000,$S290,$V$5:$V$1000,"Macro")*SUMIFS($H$5:$H$1000,$S$5:$S$1000,$S290,$V$5:$V$1000,"Macro")/COUNTIFS($S$5:$S$1000,$S290,$V$5:$V$1000,"Macro",$H$5:$H$1000,"&gt;0"))))</f>
        <v/>
      </c>
      <c r="AM290" s="62" t="n"/>
      <c r="AN290" s="62" t="n"/>
      <c r="AO290" s="62" t="n"/>
      <c r="AP290" s="62" t="n"/>
      <c r="AQ290" s="62">
        <f>IF(LEFT($C290,11)="[Jefatura] ",IFERROR(MATCH("Asistente Técnico de Riesgo|"&amp;MID($C290,12,500),rDname_ADM,0),0),"")</f>
        <v/>
      </c>
      <c r="AR290" s="62">
        <f>IF(N($AQ290)&gt;0,INDEX(rIni_ADM,$AQ290),IF(ISNUMBER($E290),$E290,""))</f>
        <v/>
      </c>
      <c r="AS290" s="62">
        <f>IF(N($AQ290)&gt;0,INDEX(rLim_ADM,$AQ290),IF(ISNUMBER($F290),$F290,""))</f>
        <v/>
      </c>
    </row>
    <row r="291">
      <c r="A291" s="56">
        <f>IF(NOT((COUNTA($B291:$D291)+COUNTA($G291:$H291)+COUNTA($Q291))&gt;0),"",IF($V291="Macro",COUNTIFS($V$5:$V291,"Macro",$S$5:$S291,$S291),IF(N($U291)=0,"?",COUNTIFS(INDEX($V$5:$V$1000,1):INDEX($V$5:$V$1000,$U291-4),"Macro",INDEX($S$5:$S$1000,1):INDEX($S$5:$S$1000,$U291-4),INDEX($S$5:$S$1000,$U291-4))&amp;"."&amp;COUNTIFS($U$5:$U291,$U291,$V$5:$V291,"Sub"))))</f>
        <v/>
      </c>
      <c r="B291" s="57" t="n"/>
      <c r="C291" s="58" t="n"/>
      <c r="D291" s="58" t="n"/>
      <c r="E291" s="59">
        <f>IF(N($AQ291)&gt;0,INDEX(rIni_ADM,$AQ291),"")</f>
        <v/>
      </c>
      <c r="F291" s="59">
        <f>IF(N($AQ291)&gt;0,INDEX(rLim_ADM,$AQ291),"")</f>
        <v/>
      </c>
      <c r="G291" s="59" t="n"/>
      <c r="H291" s="60" t="n"/>
      <c r="I291" s="60">
        <f>IF(N($W291)=0,"",IF(AND($S291=MesCiclo,1&gt;SemanaActual),"",MIN(1,SUMIFS(OFFSET($A$1,ROW(),29,1000-ROW(),1),OFFSET($A$1,ROW(),20,1000-ROW(),1),ROW(),OFFSET($A$1,ROW(),21,1000-ROW(),1),"Sub"))))</f>
        <v/>
      </c>
      <c r="J291" s="60">
        <f>IF(N($W291)=0,"",IF(AND($S291=MesCiclo,2&gt;SemanaActual),"",MIN(1,SUMIFS(OFFSET($A$1,ROW(),30,1000-ROW(),1),OFFSET($A$1,ROW(),20,1000-ROW(),1),ROW(),OFFSET($A$1,ROW(),21,1000-ROW(),1),"Sub"))))</f>
        <v/>
      </c>
      <c r="K291" s="60">
        <f>IF(N($W291)=0,"",IF(AND($S291=MesCiclo,3&gt;SemanaActual),"",MIN(1,SUMIFS(OFFSET($A$1,ROW(),31,1000-ROW(),1),OFFSET($A$1,ROW(),20,1000-ROW(),1),ROW(),OFFSET($A$1,ROW(),21,1000-ROW(),1),"Sub"))))</f>
        <v/>
      </c>
      <c r="L291" s="60">
        <f>IF(N($W291)=0,"",IF(AND($S291=MesCiclo,4&gt;SemanaActual),"",MIN(1,SUMIFS(OFFSET($A$1,ROW(),32,1000-ROW(),1),OFFSET($A$1,ROW(),20,1000-ROW(),1),ROW(),OFFSET($A$1,ROW(),21,1000-ROW(),1),"Sub"))))</f>
        <v/>
      </c>
      <c r="M291" s="61">
        <f>IF(OR(NOT((COUNTA($B291:$D291)+COUNTA($G291:$H291)+COUNTA($Q291))&gt;0),$V291="Sub"),"",IF(ISNUMBER($G291),1,IF(N($W291)&gt;0,MIN(1,SUMIFS($Y$5:$Y$1000,$U$5:$U$1000,ROW(),$V$5:$V$1000,"Sub")),$Y291)))</f>
        <v/>
      </c>
      <c r="N291" s="56">
        <f>IF(OR($M291="",$V291="Sub"),"",IF($M291&gt;=1,"Completado",IF($M291&gt;0,"En curso","Pendiente")))</f>
        <v/>
      </c>
      <c r="O291" s="56">
        <f>IF(OR(NOT((COUNTA($B291:$D291)+COUNTA($G291:$H291)+COUNTA($Q291))&gt;0),$V291="Sub"),"",IF(ISNUMBER($G291),IF(AND(ISNUMBER($AS291),$G291&gt;$AS291),"Cumplida con "&amp;($G291-$AS291)&amp;IF($G291-$AS291=1," día"," días")&amp;" de retraso","Cumplida"),IF(N($M291)&gt;=1,"Cumplida",IF(NOT(ISNUMBER($AS291)),"Sin fecha límite",IF($AS291&lt;FechaRef,"Vencida hace "&amp;(FechaRef-$AS291)&amp;IF(FechaRef-$AS291=1," día"," días"),IF($AS291=FechaRef,"Vence hoy",IF($AS291-FechaRef&lt;=DiasAlerta,"Vence en "&amp;($AS291-FechaRef)&amp;IF($AS291-FechaRef=1," día"," días"),"En plazo")))))))</f>
        <v/>
      </c>
      <c r="P291" s="62" t="n"/>
      <c r="Q291" s="58" t="n"/>
      <c r="R291" s="63">
        <f>IF(NOT((COUNTA($B291:$D291)+COUNTA($G291:$H291)+COUNTA($Q291))&gt;0),"",IF((IF($C291="","Falta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 OK","⚠ "&amp;LEFT(IF($C291="","Falta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",""),LEN(IF($C291="","Falta el nombre de la actividad"&amp;" · ","")&amp;IF(AND($V291="Sub",N($U291)=0),"Subactividad sin macroactividad arriba"&amp;" · ","")&amp;IF(AND($V291="Macro",$AR291=""),"Sin fecha de inicio"&amp;" · ","")&amp;IF(AND($V291="Macro",$AS291=""),"Sin fecha límite"&amp;" · ","")&amp;IF(AND(LEFT($C291,11)="[Jefatura] ",N($AQ291)=0),"No se encuentra en la hoja de la jefatura (elíjala de nuevo en la lista)"&amp;" · ","")&amp;IF(OR(AND($E291&lt;&gt;"",NOT(ISNUMBER($E291))),AND($F291&lt;&gt;"",NOT(ISNUMBER($F291))),AND($G291&lt;&gt;"",NOT(ISNUMBER($G291)))),"Fecha no válida"&amp;" · ","")&amp;IF(AND(ISNUMBER($AR291),ISNUMBER($AS291),$AR291&gt;$AS291),"Inicio posterior a fecha límite"&amp;" · ","")&amp;IF(AND($V291="Macro",$H291&lt;&gt;"",OR(NOT(ISNUMBER($H291)),$H291&lt;0,$H291&gt;1)),"Peso fuera de rango"&amp;" · ","")&amp;IF(AND($V291="Sub",$H291&lt;&gt;"",OR(NOT(ISNUMBER($H291)),$H291&lt;0,$H291&gt;1)),"% de la subactividad fuera de rango 0-100%"&amp;" · ","")&amp;IF(AND(N($W291)&gt;0,SUMIFS($H$5:$H$1000,$U$5:$U$1000,ROW(),$V$5:$V$1000,"Sub")&gt;1.0001),"Las subactividades suman más de 100%"&amp;" · ","")&amp;IF(AND(N($W291)&gt;0,OR(IF(ISNUMBER($I291),ROUND($I291,6)&lt;&gt;ROUND(MIN(1,SUMIFS($AD$5:$AD$1000,$U$5:$U$1000,ROW(),$V$5:$V$1000,"Sub")),6),FALSE),IF(ISNUMBER($J291),ROUND($J291,6)&lt;&gt;ROUND(MIN(1,SUMIFS($AE$5:$AE$1000,$U$5:$U$1000,ROW(),$V$5:$V$1000,"Sub")),6),FALSE),IF(ISNUMBER($K291),ROUND($K291,6)&lt;&gt;ROUND(MIN(1,SUMIFS($AF$5:$AF$1000,$U$5:$U$1000,ROW(),$V$5:$V$1000,"Sub")),6),FALSE),IF(ISNUMBER($L291),ROUND($L291,6)&lt;&gt;ROUND(MIN(1,SUMIFS($AG$5:$AG$1000,$U$5:$U$1000,ROW(),$V$5:$V$1000,"Sub")),6),FALSE))),"Con subactividades: no escriba en las semanas (se llenan solas)"&amp;" · ","")&amp;IF((COUNTIF($I291:$L291,"&gt;1")+COUNTIF($I291:$L291,"&lt;0")+SUMPRODUCT((LEN($I291:$L291)&gt;0)*NOT(ISNUMBER($I291:$L291))))&gt;0,"Avance fuera de rango 0-100%"&amp;" · ","")&amp;IF(OR(AND(ISNUMBER($J291),$J291&lt;N($I291)),AND(ISNUMBER($K291),$K291&lt;MAX($I291:$J291)),AND(ISNUMBER($L291),$L291&lt;MAX($I291:$K291))),"Avance semanal decreciente"&amp;" · ","")&amp;IF(AND(ISNUMBER($AS291),$AS291&lt;FechaRef,IF($V291="Sub",1,N($M291))&lt;1),"Vencida"&amp;" · ","")&amp;IF(AND(ObsObligatoria="Sí",ISNUMBER($AS291),$AS291&lt;FechaRef,IF($V291="Sub",1,N($M291))&lt;1,$Q291=""),"Vencida sin observación"&amp;" · ",""))-3)))</f>
        <v/>
      </c>
      <c r="S291" s="64">
        <f>IF(NOT((COUNTA($B291:$D291)+COUNTA($G291:$H291)+COUNTA($Q291))&gt;0),"",IF(AND($V291="Sub",N($U291)&gt;0),IF(ISNUMBER(INDEX($AR$5:$AR$1000,$U291-4)),DATE(YEAR(INDEX($AR$5:$AR$1000,$U291-4)),MONTH(INDEX($AR$5:$AR$1000,$U291-4)),1),IF(ISNUMBER(INDEX($AS$5:$AS$1000,$U291-4)),DATE(YEAR(INDEX($AS$5:$AS$1000,$U291-4)),MONTH(INDEX($AS$5:$AS$1000,$U291-4)),1),MesCiclo)),IF(ISNUMBER($AR291),DATE(YEAR($AR291),MONTH($AR291),1),IF(ISNUMBER($AS291),DATE(YEAR($AS291),MONTH($AS291),1),MesCiclo))))</f>
        <v/>
      </c>
      <c r="T291" s="62">
        <f>IF(OR($S291="",$S291&lt;&gt;MesCiclo,$V291&lt;&gt;"Macro"),"",COUNTIFS($S$5:$S291,MesCiclo,$V$5:$V291,"Macro"))</f>
        <v/>
      </c>
      <c r="U291" s="62">
        <f>IF($V291="","",IF($V291="Macro",ROW(),IFERROR(LOOKUP(2,1/($V$5:$V291="Macro"),ROW($V$5:$V291)),0)))</f>
        <v/>
      </c>
      <c r="V291" s="62">
        <f>IF(NOT((COUNTA($B291:$D291)+COUNTA($G291:$H291)+COUNTA($Q291))&gt;0),"",IF($B291="Subactividad","Sub","Macro"))</f>
        <v/>
      </c>
      <c r="W291" s="62">
        <f>IF($V291="Macro",COUNTIFS($U$5:$U$1000,ROW(),$V$5:$V$1000,"Sub"),"")</f>
        <v/>
      </c>
      <c r="X291" s="62">
        <f>IF($V291&lt;&gt;"Sub","",IF(AND(ISNUMBER($H291),N($H291)&gt;0),$H291,IFERROR(MAX(0,1-SUMIFS($H$5:$H$1000,$U$5:$U$1000,$U291,$V$5:$V$1000,"Sub"))/(COUNTIFS($U$5:$U$1000,$U291,$V$5:$V$1000,"Sub")-COUNTIFS($U$5:$U$1000,$U291,$V$5:$V$1000,"Sub",$H$5:$H$1000,"&gt;0")),0)))</f>
        <v/>
      </c>
      <c r="Y291" s="62">
        <f>IF($V291="","",IF($V291="Sub",N($X291)*IF(ISNUMBER($G291),1,MIN(1,MAX(0,IFERROR(LOOKUP(2,1/ISNUMBER($I291:$L291),$I291:$L291),0)))),IF(ISNUMBER($G291),1,IFERROR(LOOKUP(2,1/($I291:$L291&lt;&gt;""),$I291:$L291),0))))</f>
        <v/>
      </c>
      <c r="Z291" s="62">
        <f>IF($V291="","",IF(AND(ISNUMBER($G291),$G291&lt;=IF($S291=MesCiclo,InicioCiclo,$S291+MOD(2-WEEKDAY($S291),7))+6),1,IF(ISNUMBER($I291),$I291,0)))</f>
        <v/>
      </c>
      <c r="AA291" s="62">
        <f>IF($V291="","",IF(AND(ISNUMBER($G291),$G291&lt;=IF($S291=MesCiclo,InicioCiclo,$S291+MOD(2-WEEKDAY($S291),7))+13),1,IF(ISNUMBER($J291),$J291,$Z291)))</f>
        <v/>
      </c>
      <c r="AB291" s="62">
        <f>IF($V291="","",IF(AND(ISNUMBER($G291),$G291&lt;=IF($S291=MesCiclo,InicioCiclo,$S291+MOD(2-WEEKDAY($S291),7))+20),1,IF(ISNUMBER($K291),$K291,$AA291)))</f>
        <v/>
      </c>
      <c r="AC291" s="62">
        <f>IF($V291="","",IF(AND(ISNUMBER($G291),$G291&lt;=IF($S291=MesCiclo,InicioCiclo,$S291+MOD(2-WEEKDAY($S291),7))+27),1,IF(ISNUMBER($L291),$L291,$AB291)))</f>
        <v/>
      </c>
      <c r="AD291" s="62">
        <f>IF($V291&lt;&gt;"Sub","",N($X291)*IF(AND(ISNUMBER($G291),$G291&lt;=IF($S291=MesCiclo,InicioCiclo,$S291+MOD(2-WEEKDAY($S291),7))+6),1,MIN(1,MAX(0,IF(ISNUMBER(OFFSET($A$1,ROW()-1,8)),OFFSET($A$1,ROW()-1,8),0)))))</f>
        <v/>
      </c>
      <c r="AE291" s="62">
        <f>IF($V291&lt;&gt;"Sub","",N($X291)*IF(AND(ISNUMBER($G291),$G291&lt;=IF($S291=MesCiclo,InicioCiclo,$S291+MOD(2-WEEKDAY($S291),7))+13),1,MIN(1,MAX(0,IF(ISNUMBER(OFFSET($A$1,ROW()-1,9)),OFFSET($A$1,ROW()-1,9),IF(ISNUMBER(OFFSET($A$1,ROW()-1,8)),OFFSET($A$1,ROW()-1,8),0))))))</f>
        <v/>
      </c>
      <c r="AF291" s="62">
        <f>IF($V291&lt;&gt;"Sub","",N($X291)*IF(AND(ISNUMBER($G291),$G291&lt;=IF($S291=MesCiclo,InicioCiclo,$S291+MOD(2-WEEKDAY($S291),7))+20),1,MIN(1,MAX(0,IF(ISNUMBER(OFFSET($A$1,ROW()-1,10)),OFFSET($A$1,ROW()-1,10),IF(ISNUMBER(OFFSET($A$1,ROW()-1,9)),OFFSET($A$1,ROW()-1,9),IF(ISNUMBER(OFFSET($A$1,ROW()-1,8)),OFFSET($A$1,ROW()-1,8),0)))))))</f>
        <v/>
      </c>
      <c r="AG291" s="62">
        <f>IF($V291&lt;&gt;"Sub","",N($X291)*IF(AND(ISNUMBER($G291),$G291&lt;=IF($S291=MesCiclo,InicioCiclo,$S291+MOD(2-WEEKDAY($S291),7))+27),1,MIN(1,MAX(0,IF(ISNUMBER(OFFSET($A$1,ROW()-1,11)),OFFSET($A$1,ROW()-1,11),IF(ISNUMBER(OFFSET($A$1,ROW()-1,10)),OFFSET($A$1,ROW()-1,10),IF(ISNUMBER(OFFSET($A$1,ROW()-1,9)),OFFSET($A$1,ROW()-1,9),IF(ISNUMBER(OFFSET($A$1,ROW()-1,8)),OFFSET($A$1,ROW()-1,8),0))))))))</f>
        <v/>
      </c>
      <c r="AH291" s="62">
        <f>IF($V291="","",IF(AND(ISNUMBER($G291),$G291&lt;=IF($S291=MesCiclo,InicioCiclo,$S291+MOD(2-WEEKDAY($S291),7))+6),1,IF(N($W291)&gt;0,MIN(1,SUMIFS($AD$5:$AD$1000,$U$5:$U$1000,ROW(),$V$5:$V$1000,"Sub")),$Z291)))</f>
        <v/>
      </c>
      <c r="AI291" s="62">
        <f>IF($V291="","",IF(AND(ISNUMBER($G291),$G291&lt;=IF($S291=MesCiclo,InicioCiclo,$S291+MOD(2-WEEKDAY($S291),7))+13),1,IF(N($W291)&gt;0,MIN(1,SUMIFS($AE$5:$AE$1000,$U$5:$U$1000,ROW(),$V$5:$V$1000,"Sub")),$AA291)))</f>
        <v/>
      </c>
      <c r="AJ291" s="62">
        <f>IF($V291="","",IF(AND(ISNUMBER($G291),$G291&lt;=IF($S291=MesCiclo,InicioCiclo,$S291+MOD(2-WEEKDAY($S291),7))+20),1,IF(N($W291)&gt;0,MIN(1,SUMIFS($AF$5:$AF$1000,$U$5:$U$1000,ROW(),$V$5:$V$1000,"Sub")),$AB291)))</f>
        <v/>
      </c>
      <c r="AK291" s="62">
        <f>IF($V291="","",IF(AND(ISNUMBER($G291),$G291&lt;=IF($S291=MesCiclo,InicioCiclo,$S291+MOD(2-WEEKDAY($S291),7))+27),1,IF(N($W291)&gt;0,MIN(1,SUMIFS($AG$5:$AG$1000,$U$5:$U$1000,ROW(),$V$5:$V$1000,"Sub")),$AC291)))</f>
        <v/>
      </c>
      <c r="AL291" s="62">
        <f>IF($V291&lt;&gt;"Macro","",IF(COUNTIFS($S$5:$S$1000,$S291,$V$5:$V$1000,"Macro",$H$5:$H$1000,"&gt;0")=0,1/COUNTIFS($S$5:$S$1000,$S291,$V$5:$V$1000,"Macro"),IF(AND(ISNUMBER($H291),N($H291)&gt;0),$H291,SUMIFS($H$5:$H$1000,$S$5:$S$1000,$S291,$V$5:$V$1000,"Macro")/COUNTIFS($S$5:$S$1000,$S291,$V$5:$V$1000,"Macro",$H$5:$H$1000,"&gt;0"))/(COUNTIFS($S$5:$S$1000,$S291,$V$5:$V$1000,"Macro")*SUMIFS($H$5:$H$1000,$S$5:$S$1000,$S291,$V$5:$V$1000,"Macro")/COUNTIFS($S$5:$S$1000,$S291,$V$5:$V$1000,"Macro",$H$5:$H$1000,"&gt;0"))))</f>
        <v/>
      </c>
      <c r="AM291" s="62" t="n"/>
      <c r="AN291" s="62" t="n"/>
      <c r="AO291" s="62" t="n"/>
      <c r="AP291" s="62" t="n"/>
      <c r="AQ291" s="62">
        <f>IF(LEFT($C291,11)="[Jefatura] ",IFERROR(MATCH("Asistente Técnico de Riesgo|"&amp;MID($C291,12,500),rDname_ADM,0),0),"")</f>
        <v/>
      </c>
      <c r="AR291" s="62">
        <f>IF(N($AQ291)&gt;0,INDEX(rIni_ADM,$AQ291),IF(ISNUMBER($E291),$E291,""))</f>
        <v/>
      </c>
      <c r="AS291" s="62">
        <f>IF(N($AQ291)&gt;0,INDEX(rLim_ADM,$AQ291),IF(ISNUMBER($F291),$F291,""))</f>
        <v/>
      </c>
    </row>
    <row r="292">
      <c r="A292" s="56">
        <f>IF(NOT((COUNTA($B292:$D292)+COUNTA($G292:$H292)+COUNTA($Q292))&gt;0),"",IF($V292="Macro",COUNTIFS($V$5:$V292,"Macro",$S$5:$S292,$S292),IF(N($U292)=0,"?",COUNTIFS(INDEX($V$5:$V$1000,1):INDEX($V$5:$V$1000,$U292-4),"Macro",INDEX($S$5:$S$1000,1):INDEX($S$5:$S$1000,$U292-4),INDEX($S$5:$S$1000,$U292-4))&amp;"."&amp;COUNTIFS($U$5:$U292,$U292,$V$5:$V292,"Sub"))))</f>
        <v/>
      </c>
      <c r="B292" s="57" t="n"/>
      <c r="C292" s="58" t="n"/>
      <c r="D292" s="58" t="n"/>
      <c r="E292" s="59">
        <f>IF(N($AQ292)&gt;0,INDEX(rIni_ADM,$AQ292),"")</f>
        <v/>
      </c>
      <c r="F292" s="59">
        <f>IF(N($AQ292)&gt;0,INDEX(rLim_ADM,$AQ292),"")</f>
        <v/>
      </c>
      <c r="G292" s="59" t="n"/>
      <c r="H292" s="60" t="n"/>
      <c r="I292" s="60">
        <f>IF(N($W292)=0,"",IF(AND($S292=MesCiclo,1&gt;SemanaActual),"",MIN(1,SUMIFS(OFFSET($A$1,ROW(),29,1000-ROW(),1),OFFSET($A$1,ROW(),20,1000-ROW(),1),ROW(),OFFSET($A$1,ROW(),21,1000-ROW(),1),"Sub"))))</f>
        <v/>
      </c>
      <c r="J292" s="60">
        <f>IF(N($W292)=0,"",IF(AND($S292=MesCiclo,2&gt;SemanaActual),"",MIN(1,SUMIFS(OFFSET($A$1,ROW(),30,1000-ROW(),1),OFFSET($A$1,ROW(),20,1000-ROW(),1),ROW(),OFFSET($A$1,ROW(),21,1000-ROW(),1),"Sub"))))</f>
        <v/>
      </c>
      <c r="K292" s="60">
        <f>IF(N($W292)=0,"",IF(AND($S292=MesCiclo,3&gt;SemanaActual),"",MIN(1,SUMIFS(OFFSET($A$1,ROW(),31,1000-ROW(),1),OFFSET($A$1,ROW(),20,1000-ROW(),1),ROW(),OFFSET($A$1,ROW(),21,1000-ROW(),1),"Sub"))))</f>
        <v/>
      </c>
      <c r="L292" s="60">
        <f>IF(N($W292)=0,"",IF(AND($S292=MesCiclo,4&gt;SemanaActual),"",MIN(1,SUMIFS(OFFSET($A$1,ROW(),32,1000-ROW(),1),OFFSET($A$1,ROW(),20,1000-ROW(),1),ROW(),OFFSET($A$1,ROW(),21,1000-ROW(),1),"Sub"))))</f>
        <v/>
      </c>
      <c r="M292" s="61">
        <f>IF(OR(NOT((COUNTA($B292:$D292)+COUNTA($G292:$H292)+COUNTA($Q292))&gt;0),$V292="Sub"),"",IF(ISNUMBER($G292),1,IF(N($W292)&gt;0,MIN(1,SUMIFS($Y$5:$Y$1000,$U$5:$U$1000,ROW(),$V$5:$V$1000,"Sub")),$Y292)))</f>
        <v/>
      </c>
      <c r="N292" s="56">
        <f>IF(OR($M292="",$V292="Sub"),"",IF($M292&gt;=1,"Completado",IF($M292&gt;0,"En curso","Pendiente")))</f>
        <v/>
      </c>
      <c r="O292" s="56">
        <f>IF(OR(NOT((COUNTA($B292:$D292)+COUNTA($G292:$H292)+COUNTA($Q292))&gt;0),$V292="Sub"),"",IF(ISNUMBER($G292),IF(AND(ISNUMBER($AS292),$G292&gt;$AS292),"Cumplida con "&amp;($G292-$AS292)&amp;IF($G292-$AS292=1," día"," días")&amp;" de retraso","Cumplida"),IF(N($M292)&gt;=1,"Cumplida",IF(NOT(ISNUMBER($AS292)),"Sin fecha límite",IF($AS292&lt;FechaRef,"Vencida hace "&amp;(FechaRef-$AS292)&amp;IF(FechaRef-$AS292=1," día"," días"),IF($AS292=FechaRef,"Vence hoy",IF($AS292-FechaRef&lt;=DiasAlerta,"Vence en "&amp;($AS292-FechaRef)&amp;IF($AS292-FechaRef=1," día"," días"),"En plazo")))))))</f>
        <v/>
      </c>
      <c r="P292" s="62" t="n"/>
      <c r="Q292" s="58" t="n"/>
      <c r="R292" s="63">
        <f>IF(NOT((COUNTA($B292:$D292)+COUNTA($G292:$H292)+COUNTA($Q292))&gt;0),"",IF((IF($C292="","Falta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 OK","⚠ "&amp;LEFT(IF($C292="","Falta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",""),LEN(IF($C292="","Falta el nombre de la actividad"&amp;" · ","")&amp;IF(AND($V292="Sub",N($U292)=0),"Subactividad sin macroactividad arriba"&amp;" · ","")&amp;IF(AND($V292="Macro",$AR292=""),"Sin fecha de inicio"&amp;" · ","")&amp;IF(AND($V292="Macro",$AS292=""),"Sin fecha límite"&amp;" · ","")&amp;IF(AND(LEFT($C292,11)="[Jefatura] ",N($AQ292)=0),"No se encuentra en la hoja de la jefatura (elíjala de nuevo en la lista)"&amp;" · ","")&amp;IF(OR(AND($E292&lt;&gt;"",NOT(ISNUMBER($E292))),AND($F292&lt;&gt;"",NOT(ISNUMBER($F292))),AND($G292&lt;&gt;"",NOT(ISNUMBER($G292)))),"Fecha no válida"&amp;" · ","")&amp;IF(AND(ISNUMBER($AR292),ISNUMBER($AS292),$AR292&gt;$AS292),"Inicio posterior a fecha límite"&amp;" · ","")&amp;IF(AND($V292="Macro",$H292&lt;&gt;"",OR(NOT(ISNUMBER($H292)),$H292&lt;0,$H292&gt;1)),"Peso fuera de rango"&amp;" · ","")&amp;IF(AND($V292="Sub",$H292&lt;&gt;"",OR(NOT(ISNUMBER($H292)),$H292&lt;0,$H292&gt;1)),"% de la subactividad fuera de rango 0-100%"&amp;" · ","")&amp;IF(AND(N($W292)&gt;0,SUMIFS($H$5:$H$1000,$U$5:$U$1000,ROW(),$V$5:$V$1000,"Sub")&gt;1.0001),"Las subactividades suman más de 100%"&amp;" · ","")&amp;IF(AND(N($W292)&gt;0,OR(IF(ISNUMBER($I292),ROUND($I292,6)&lt;&gt;ROUND(MIN(1,SUMIFS($AD$5:$AD$1000,$U$5:$U$1000,ROW(),$V$5:$V$1000,"Sub")),6),FALSE),IF(ISNUMBER($J292),ROUND($J292,6)&lt;&gt;ROUND(MIN(1,SUMIFS($AE$5:$AE$1000,$U$5:$U$1000,ROW(),$V$5:$V$1000,"Sub")),6),FALSE),IF(ISNUMBER($K292),ROUND($K292,6)&lt;&gt;ROUND(MIN(1,SUMIFS($AF$5:$AF$1000,$U$5:$U$1000,ROW(),$V$5:$V$1000,"Sub")),6),FALSE),IF(ISNUMBER($L292),ROUND($L292,6)&lt;&gt;ROUND(MIN(1,SUMIFS($AG$5:$AG$1000,$U$5:$U$1000,ROW(),$V$5:$V$1000,"Sub")),6),FALSE))),"Con subactividades: no escriba en las semanas (se llenan solas)"&amp;" · ","")&amp;IF((COUNTIF($I292:$L292,"&gt;1")+COUNTIF($I292:$L292,"&lt;0")+SUMPRODUCT((LEN($I292:$L292)&gt;0)*NOT(ISNUMBER($I292:$L292))))&gt;0,"Avance fuera de rango 0-100%"&amp;" · ","")&amp;IF(OR(AND(ISNUMBER($J292),$J292&lt;N($I292)),AND(ISNUMBER($K292),$K292&lt;MAX($I292:$J292)),AND(ISNUMBER($L292),$L292&lt;MAX($I292:$K292))),"Avance semanal decreciente"&amp;" · ","")&amp;IF(AND(ISNUMBER($AS292),$AS292&lt;FechaRef,IF($V292="Sub",1,N($M292))&lt;1),"Vencida"&amp;" · ","")&amp;IF(AND(ObsObligatoria="Sí",ISNUMBER($AS292),$AS292&lt;FechaRef,IF($V292="Sub",1,N($M292))&lt;1,$Q292=""),"Vencida sin observación"&amp;" · ",""))-3)))</f>
        <v/>
      </c>
      <c r="S292" s="64">
        <f>IF(NOT((COUNTA($B292:$D292)+COUNTA($G292:$H292)+COUNTA($Q292))&gt;0),"",IF(AND($V292="Sub",N($U292)&gt;0),IF(ISNUMBER(INDEX($AR$5:$AR$1000,$U292-4)),DATE(YEAR(INDEX($AR$5:$AR$1000,$U292-4)),MONTH(INDEX($AR$5:$AR$1000,$U292-4)),1),IF(ISNUMBER(INDEX($AS$5:$AS$1000,$U292-4)),DATE(YEAR(INDEX($AS$5:$AS$1000,$U292-4)),MONTH(INDEX($AS$5:$AS$1000,$U292-4)),1),MesCiclo)),IF(ISNUMBER($AR292),DATE(YEAR($AR292),MONTH($AR292),1),IF(ISNUMBER($AS292),DATE(YEAR($AS292),MONTH($AS292),1),MesCiclo))))</f>
        <v/>
      </c>
      <c r="T292" s="62">
        <f>IF(OR($S292="",$S292&lt;&gt;MesCiclo,$V292&lt;&gt;"Macro"),"",COUNTIFS($S$5:$S292,MesCiclo,$V$5:$V292,"Macro"))</f>
        <v/>
      </c>
      <c r="U292" s="62">
        <f>IF($V292="","",IF($V292="Macro",ROW(),IFERROR(LOOKUP(2,1/($V$5:$V292="Macro"),ROW($V$5:$V292)),0)))</f>
        <v/>
      </c>
      <c r="V292" s="62">
        <f>IF(NOT((COUNTA($B292:$D292)+COUNTA($G292:$H292)+COUNTA($Q292))&gt;0),"",IF($B292="Subactividad","Sub","Macro"))</f>
        <v/>
      </c>
      <c r="W292" s="62">
        <f>IF($V292="Macro",COUNTIFS($U$5:$U$1000,ROW(),$V$5:$V$1000,"Sub"),"")</f>
        <v/>
      </c>
      <c r="X292" s="62">
        <f>IF($V292&lt;&gt;"Sub","",IF(AND(ISNUMBER($H292),N($H292)&gt;0),$H292,IFERROR(MAX(0,1-SUMIFS($H$5:$H$1000,$U$5:$U$1000,$U292,$V$5:$V$1000,"Sub"))/(COUNTIFS($U$5:$U$1000,$U292,$V$5:$V$1000,"Sub")-COUNTIFS($U$5:$U$1000,$U292,$V$5:$V$1000,"Sub",$H$5:$H$1000,"&gt;0")),0)))</f>
        <v/>
      </c>
      <c r="Y292" s="62">
        <f>IF($V292="","",IF($V292="Sub",N($X292)*IF(ISNUMBER($G292),1,MIN(1,MAX(0,IFERROR(LOOKUP(2,1/ISNUMBER($I292:$L292),$I292:$L292),0)))),IF(ISNUMBER($G292),1,IFERROR(LOOKUP(2,1/($I292:$L292&lt;&gt;""),$I292:$L292),0))))</f>
        <v/>
      </c>
      <c r="Z292" s="62">
        <f>IF($V292="","",IF(AND(ISNUMBER($G292),$G292&lt;=IF($S292=MesCiclo,InicioCiclo,$S292+MOD(2-WEEKDAY($S292),7))+6),1,IF(ISNUMBER($I292),$I292,0)))</f>
        <v/>
      </c>
      <c r="AA292" s="62">
        <f>IF($V292="","",IF(AND(ISNUMBER($G292),$G292&lt;=IF($S292=MesCiclo,InicioCiclo,$S292+MOD(2-WEEKDAY($S292),7))+13),1,IF(ISNUMBER($J292),$J292,$Z292)))</f>
        <v/>
      </c>
      <c r="AB292" s="62">
        <f>IF($V292="","",IF(AND(ISNUMBER($G292),$G292&lt;=IF($S292=MesCiclo,InicioCiclo,$S292+MOD(2-WEEKDAY($S292),7))+20),1,IF(ISNUMBER($K292),$K292,$AA292)))</f>
        <v/>
      </c>
      <c r="AC292" s="62">
        <f>IF($V292="","",IF(AND(ISNUMBER($G292),$G292&lt;=IF($S292=MesCiclo,InicioCiclo,$S292+MOD(2-WEEKDAY($S292),7))+27),1,IF(ISNUMBER($L292),$L292,$AB292)))</f>
        <v/>
      </c>
      <c r="AD292" s="62">
        <f>IF($V292&lt;&gt;"Sub","",N($X292)*IF(AND(ISNUMBER($G292),$G292&lt;=IF($S292=MesCiclo,InicioCiclo,$S292+MOD(2-WEEKDAY($S292),7))+6),1,MIN(1,MAX(0,IF(ISNUMBER(OFFSET($A$1,ROW()-1,8)),OFFSET($A$1,ROW()-1,8),0)))))</f>
        <v/>
      </c>
      <c r="AE292" s="62">
        <f>IF($V292&lt;&gt;"Sub","",N($X292)*IF(AND(ISNUMBER($G292),$G292&lt;=IF($S292=MesCiclo,InicioCiclo,$S292+MOD(2-WEEKDAY($S292),7))+13),1,MIN(1,MAX(0,IF(ISNUMBER(OFFSET($A$1,ROW()-1,9)),OFFSET($A$1,ROW()-1,9),IF(ISNUMBER(OFFSET($A$1,ROW()-1,8)),OFFSET($A$1,ROW()-1,8),0))))))</f>
        <v/>
      </c>
      <c r="AF292" s="62">
        <f>IF($V292&lt;&gt;"Sub","",N($X292)*IF(AND(ISNUMBER($G292),$G292&lt;=IF($S292=MesCiclo,InicioCiclo,$S292+MOD(2-WEEKDAY($S292),7))+20),1,MIN(1,MAX(0,IF(ISNUMBER(OFFSET($A$1,ROW()-1,10)),OFFSET($A$1,ROW()-1,10),IF(ISNUMBER(OFFSET($A$1,ROW()-1,9)),OFFSET($A$1,ROW()-1,9),IF(ISNUMBER(OFFSET($A$1,ROW()-1,8)),OFFSET($A$1,ROW()-1,8),0)))))))</f>
        <v/>
      </c>
      <c r="AG292" s="62">
        <f>IF($V292&lt;&gt;"Sub","",N($X292)*IF(AND(ISNUMBER($G292),$G292&lt;=IF($S292=MesCiclo,InicioCiclo,$S292+MOD(2-WEEKDAY($S292),7))+27),1,MIN(1,MAX(0,IF(ISNUMBER(OFFSET($A$1,ROW()-1,11)),OFFSET($A$1,ROW()-1,11),IF(ISNUMBER(OFFSET($A$1,ROW()-1,10)),OFFSET($A$1,ROW()-1,10),IF(ISNUMBER(OFFSET($A$1,ROW()-1,9)),OFFSET($A$1,ROW()-1,9),IF(ISNUMBER(OFFSET($A$1,ROW()-1,8)),OFFSET($A$1,ROW()-1,8),0))))))))</f>
        <v/>
      </c>
      <c r="AH292" s="62">
        <f>IF($V292="","",IF(AND(ISNUMBER($G292),$G292&lt;=IF($S292=MesCiclo,InicioCiclo,$S292+MOD(2-WEEKDAY($S292),7))+6),1,IF(N($W292)&gt;0,MIN(1,SUMIFS($AD$5:$AD$1000,$U$5:$U$1000,ROW(),$V$5:$V$1000,"Sub")),$Z292)))</f>
        <v/>
      </c>
      <c r="AI292" s="62">
        <f>IF($V292="","",IF(AND(ISNUMBER($G292),$G292&lt;=IF($S292=MesCiclo,InicioCiclo,$S292+MOD(2-WEEKDAY($S292),7))+13),1,IF(N($W292)&gt;0,MIN(1,SUMIFS($AE$5:$AE$1000,$U$5:$U$1000,ROW(),$V$5:$V$1000,"Sub")),$AA292)))</f>
        <v/>
      </c>
      <c r="AJ292" s="62">
        <f>IF($V292="","",IF(AND(ISNUMBER($G292),$G292&lt;=IF($S292=MesCiclo,InicioCiclo,$S292+MOD(2-WEEKDAY($S292),7))+20),1,IF(N($W292)&gt;0,MIN(1,SUMIFS($AF$5:$AF$1000,$U$5:$U$1000,ROW(),$V$5:$V$1000,"Sub")),$AB292)))</f>
        <v/>
      </c>
      <c r="AK292" s="62">
        <f>IF($V292="","",IF(AND(ISNUMBER($G292),$G292&lt;=IF($S292=MesCiclo,InicioCiclo,$S292+MOD(2-WEEKDAY($S292),7))+27),1,IF(N($W292)&gt;0,MIN(1,SUMIFS($AG$5:$AG$1000,$U$5:$U$1000,ROW(),$V$5:$V$1000,"Sub")),$AC292)))</f>
        <v/>
      </c>
      <c r="AL292" s="62">
        <f>IF($V292&lt;&gt;"Macro","",IF(COUNTIFS($S$5:$S$1000,$S292,$V$5:$V$1000,"Macro",$H$5:$H$1000,"&gt;0")=0,1/COUNTIFS($S$5:$S$1000,$S292,$V$5:$V$1000,"Macro"),IF(AND(ISNUMBER($H292),N($H292)&gt;0),$H292,SUMIFS($H$5:$H$1000,$S$5:$S$1000,$S292,$V$5:$V$1000,"Macro")/COUNTIFS($S$5:$S$1000,$S292,$V$5:$V$1000,"Macro",$H$5:$H$1000,"&gt;0"))/(COUNTIFS($S$5:$S$1000,$S292,$V$5:$V$1000,"Macro")*SUMIFS($H$5:$H$1000,$S$5:$S$1000,$S292,$V$5:$V$1000,"Macro")/COUNTIFS($S$5:$S$1000,$S292,$V$5:$V$1000,"Macro",$H$5:$H$1000,"&gt;0"))))</f>
        <v/>
      </c>
      <c r="AM292" s="62" t="n"/>
      <c r="AN292" s="62" t="n"/>
      <c r="AO292" s="62" t="n"/>
      <c r="AP292" s="62" t="n"/>
      <c r="AQ292" s="62">
        <f>IF(LEFT($C292,11)="[Jefatura] ",IFERROR(MATCH("Asistente Técnico de Riesgo|"&amp;MID($C292,12,500),rDname_ADM,0),0),"")</f>
        <v/>
      </c>
      <c r="AR292" s="62">
        <f>IF(N($AQ292)&gt;0,INDEX(rIni_ADM,$AQ292),IF(ISNUMBER($E292),$E292,""))</f>
        <v/>
      </c>
      <c r="AS292" s="62">
        <f>IF(N($AQ292)&gt;0,INDEX(rLim_ADM,$AQ292),IF(ISNUMBER($F292),$F292,""))</f>
        <v/>
      </c>
    </row>
    <row r="293">
      <c r="A293" s="56">
        <f>IF(NOT((COUNTA($B293:$D293)+COUNTA($G293:$H293)+COUNTA($Q293))&gt;0),"",IF($V293="Macro",COUNTIFS($V$5:$V293,"Macro",$S$5:$S293,$S293),IF(N($U293)=0,"?",COUNTIFS(INDEX($V$5:$V$1000,1):INDEX($V$5:$V$1000,$U293-4),"Macro",INDEX($S$5:$S$1000,1):INDEX($S$5:$S$1000,$U293-4),INDEX($S$5:$S$1000,$U293-4))&amp;"."&amp;COUNTIFS($U$5:$U293,$U293,$V$5:$V293,"Sub"))))</f>
        <v/>
      </c>
      <c r="B293" s="57" t="n"/>
      <c r="C293" s="58" t="n"/>
      <c r="D293" s="58" t="n"/>
      <c r="E293" s="59">
        <f>IF(N($AQ293)&gt;0,INDEX(rIni_ADM,$AQ293),"")</f>
        <v/>
      </c>
      <c r="F293" s="59">
        <f>IF(N($AQ293)&gt;0,INDEX(rLim_ADM,$AQ293),"")</f>
        <v/>
      </c>
      <c r="G293" s="59" t="n"/>
      <c r="H293" s="60" t="n"/>
      <c r="I293" s="60">
        <f>IF(N($W293)=0,"",IF(AND($S293=MesCiclo,1&gt;SemanaActual),"",MIN(1,SUMIFS(OFFSET($A$1,ROW(),29,1000-ROW(),1),OFFSET($A$1,ROW(),20,1000-ROW(),1),ROW(),OFFSET($A$1,ROW(),21,1000-ROW(),1),"Sub"))))</f>
        <v/>
      </c>
      <c r="J293" s="60">
        <f>IF(N($W293)=0,"",IF(AND($S293=MesCiclo,2&gt;SemanaActual),"",MIN(1,SUMIFS(OFFSET($A$1,ROW(),30,1000-ROW(),1),OFFSET($A$1,ROW(),20,1000-ROW(),1),ROW(),OFFSET($A$1,ROW(),21,1000-ROW(),1),"Sub"))))</f>
        <v/>
      </c>
      <c r="K293" s="60">
        <f>IF(N($W293)=0,"",IF(AND($S293=MesCiclo,3&gt;SemanaActual),"",MIN(1,SUMIFS(OFFSET($A$1,ROW(),31,1000-ROW(),1),OFFSET($A$1,ROW(),20,1000-ROW(),1),ROW(),OFFSET($A$1,ROW(),21,1000-ROW(),1),"Sub"))))</f>
        <v/>
      </c>
      <c r="L293" s="60">
        <f>IF(N($W293)=0,"",IF(AND($S293=MesCiclo,4&gt;SemanaActual),"",MIN(1,SUMIFS(OFFSET($A$1,ROW(),32,1000-ROW(),1),OFFSET($A$1,ROW(),20,1000-ROW(),1),ROW(),OFFSET($A$1,ROW(),21,1000-ROW(),1),"Sub"))))</f>
        <v/>
      </c>
      <c r="M293" s="61">
        <f>IF(OR(NOT((COUNTA($B293:$D293)+COUNTA($G293:$H293)+COUNTA($Q293))&gt;0),$V293="Sub"),"",IF(ISNUMBER($G293),1,IF(N($W293)&gt;0,MIN(1,SUMIFS($Y$5:$Y$1000,$U$5:$U$1000,ROW(),$V$5:$V$1000,"Sub")),$Y293)))</f>
        <v/>
      </c>
      <c r="N293" s="56">
        <f>IF(OR($M293="",$V293="Sub"),"",IF($M293&gt;=1,"Completado",IF($M293&gt;0,"En curso","Pendiente")))</f>
        <v/>
      </c>
      <c r="O293" s="56">
        <f>IF(OR(NOT((COUNTA($B293:$D293)+COUNTA($G293:$H293)+COUNTA($Q293))&gt;0),$V293="Sub"),"",IF(ISNUMBER($G293),IF(AND(ISNUMBER($AS293),$G293&gt;$AS293),"Cumplida con "&amp;($G293-$AS293)&amp;IF($G293-$AS293=1," día"," días")&amp;" de retraso","Cumplida"),IF(N($M293)&gt;=1,"Cumplida",IF(NOT(ISNUMBER($AS293)),"Sin fecha límite",IF($AS293&lt;FechaRef,"Vencida hace "&amp;(FechaRef-$AS293)&amp;IF(FechaRef-$AS293=1," día"," días"),IF($AS293=FechaRef,"Vence hoy",IF($AS293-FechaRef&lt;=DiasAlerta,"Vence en "&amp;($AS293-FechaRef)&amp;IF($AS293-FechaRef=1," día"," días"),"En plazo")))))))</f>
        <v/>
      </c>
      <c r="P293" s="62" t="n"/>
      <c r="Q293" s="58" t="n"/>
      <c r="R293" s="63">
        <f>IF(NOT((COUNTA($B293:$D293)+COUNTA($G293:$H293)+COUNTA($Q293))&gt;0),"",IF((IF($C293="","Falta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 OK","⚠ "&amp;LEFT(IF($C293="","Falta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",""),LEN(IF($C293="","Falta el nombre de la actividad"&amp;" · ","")&amp;IF(AND($V293="Sub",N($U293)=0),"Subactividad sin macroactividad arriba"&amp;" · ","")&amp;IF(AND($V293="Macro",$AR293=""),"Sin fecha de inicio"&amp;" · ","")&amp;IF(AND($V293="Macro",$AS293=""),"Sin fecha límite"&amp;" · ","")&amp;IF(AND(LEFT($C293,11)="[Jefatura] ",N($AQ293)=0),"No se encuentra en la hoja de la jefatura (elíjala de nuevo en la lista)"&amp;" · ","")&amp;IF(OR(AND($E293&lt;&gt;"",NOT(ISNUMBER($E293))),AND($F293&lt;&gt;"",NOT(ISNUMBER($F293))),AND($G293&lt;&gt;"",NOT(ISNUMBER($G293)))),"Fecha no válida"&amp;" · ","")&amp;IF(AND(ISNUMBER($AR293),ISNUMBER($AS293),$AR293&gt;$AS293),"Inicio posterior a fecha límite"&amp;" · ","")&amp;IF(AND($V293="Macro",$H293&lt;&gt;"",OR(NOT(ISNUMBER($H293)),$H293&lt;0,$H293&gt;1)),"Peso fuera de rango"&amp;" · ","")&amp;IF(AND($V293="Sub",$H293&lt;&gt;"",OR(NOT(ISNUMBER($H293)),$H293&lt;0,$H293&gt;1)),"% de la subactividad fuera de rango 0-100%"&amp;" · ","")&amp;IF(AND(N($W293)&gt;0,SUMIFS($H$5:$H$1000,$U$5:$U$1000,ROW(),$V$5:$V$1000,"Sub")&gt;1.0001),"Las subactividades suman más de 100%"&amp;" · ","")&amp;IF(AND(N($W293)&gt;0,OR(IF(ISNUMBER($I293),ROUND($I293,6)&lt;&gt;ROUND(MIN(1,SUMIFS($AD$5:$AD$1000,$U$5:$U$1000,ROW(),$V$5:$V$1000,"Sub")),6),FALSE),IF(ISNUMBER($J293),ROUND($J293,6)&lt;&gt;ROUND(MIN(1,SUMIFS($AE$5:$AE$1000,$U$5:$U$1000,ROW(),$V$5:$V$1000,"Sub")),6),FALSE),IF(ISNUMBER($K293),ROUND($K293,6)&lt;&gt;ROUND(MIN(1,SUMIFS($AF$5:$AF$1000,$U$5:$U$1000,ROW(),$V$5:$V$1000,"Sub")),6),FALSE),IF(ISNUMBER($L293),ROUND($L293,6)&lt;&gt;ROUND(MIN(1,SUMIFS($AG$5:$AG$1000,$U$5:$U$1000,ROW(),$V$5:$V$1000,"Sub")),6),FALSE))),"Con subactividades: no escriba en las semanas (se llenan solas)"&amp;" · ","")&amp;IF((COUNTIF($I293:$L293,"&gt;1")+COUNTIF($I293:$L293,"&lt;0")+SUMPRODUCT((LEN($I293:$L293)&gt;0)*NOT(ISNUMBER($I293:$L293))))&gt;0,"Avance fuera de rango 0-100%"&amp;" · ","")&amp;IF(OR(AND(ISNUMBER($J293),$J293&lt;N($I293)),AND(ISNUMBER($K293),$K293&lt;MAX($I293:$J293)),AND(ISNUMBER($L293),$L293&lt;MAX($I293:$K293))),"Avance semanal decreciente"&amp;" · ","")&amp;IF(AND(ISNUMBER($AS293),$AS293&lt;FechaRef,IF($V293="Sub",1,N($M293))&lt;1),"Vencida"&amp;" · ","")&amp;IF(AND(ObsObligatoria="Sí",ISNUMBER($AS293),$AS293&lt;FechaRef,IF($V293="Sub",1,N($M293))&lt;1,$Q293=""),"Vencida sin observación"&amp;" · ",""))-3)))</f>
        <v/>
      </c>
      <c r="S293" s="64">
        <f>IF(NOT((COUNTA($B293:$D293)+COUNTA($G293:$H293)+COUNTA($Q293))&gt;0),"",IF(AND($V293="Sub",N($U293)&gt;0),IF(ISNUMBER(INDEX($AR$5:$AR$1000,$U293-4)),DATE(YEAR(INDEX($AR$5:$AR$1000,$U293-4)),MONTH(INDEX($AR$5:$AR$1000,$U293-4)),1),IF(ISNUMBER(INDEX($AS$5:$AS$1000,$U293-4)),DATE(YEAR(INDEX($AS$5:$AS$1000,$U293-4)),MONTH(INDEX($AS$5:$AS$1000,$U293-4)),1),MesCiclo)),IF(ISNUMBER($AR293),DATE(YEAR($AR293),MONTH($AR293),1),IF(ISNUMBER($AS293),DATE(YEAR($AS293),MONTH($AS293),1),MesCiclo))))</f>
        <v/>
      </c>
      <c r="T293" s="62">
        <f>IF(OR($S293="",$S293&lt;&gt;MesCiclo,$V293&lt;&gt;"Macro"),"",COUNTIFS($S$5:$S293,MesCiclo,$V$5:$V293,"Macro"))</f>
        <v/>
      </c>
      <c r="U293" s="62">
        <f>IF($V293="","",IF($V293="Macro",ROW(),IFERROR(LOOKUP(2,1/($V$5:$V293="Macro"),ROW($V$5:$V293)),0)))</f>
        <v/>
      </c>
      <c r="V293" s="62">
        <f>IF(NOT((COUNTA($B293:$D293)+COUNTA($G293:$H293)+COUNTA($Q293))&gt;0),"",IF($B293="Subactividad","Sub","Macro"))</f>
        <v/>
      </c>
      <c r="W293" s="62">
        <f>IF($V293="Macro",COUNTIFS($U$5:$U$1000,ROW(),$V$5:$V$1000,"Sub"),"")</f>
        <v/>
      </c>
      <c r="X293" s="62">
        <f>IF($V293&lt;&gt;"Sub","",IF(AND(ISNUMBER($H293),N($H293)&gt;0),$H293,IFERROR(MAX(0,1-SUMIFS($H$5:$H$1000,$U$5:$U$1000,$U293,$V$5:$V$1000,"Sub"))/(COUNTIFS($U$5:$U$1000,$U293,$V$5:$V$1000,"Sub")-COUNTIFS($U$5:$U$1000,$U293,$V$5:$V$1000,"Sub",$H$5:$H$1000,"&gt;0")),0)))</f>
        <v/>
      </c>
      <c r="Y293" s="62">
        <f>IF($V293="","",IF($V293="Sub",N($X293)*IF(ISNUMBER($G293),1,MIN(1,MAX(0,IFERROR(LOOKUP(2,1/ISNUMBER($I293:$L293),$I293:$L293),0)))),IF(ISNUMBER($G293),1,IFERROR(LOOKUP(2,1/($I293:$L293&lt;&gt;""),$I293:$L293),0))))</f>
        <v/>
      </c>
      <c r="Z293" s="62">
        <f>IF($V293="","",IF(AND(ISNUMBER($G293),$G293&lt;=IF($S293=MesCiclo,InicioCiclo,$S293+MOD(2-WEEKDAY($S293),7))+6),1,IF(ISNUMBER($I293),$I293,0)))</f>
        <v/>
      </c>
      <c r="AA293" s="62">
        <f>IF($V293="","",IF(AND(ISNUMBER($G293),$G293&lt;=IF($S293=MesCiclo,InicioCiclo,$S293+MOD(2-WEEKDAY($S293),7))+13),1,IF(ISNUMBER($J293),$J293,$Z293)))</f>
        <v/>
      </c>
      <c r="AB293" s="62">
        <f>IF($V293="","",IF(AND(ISNUMBER($G293),$G293&lt;=IF($S293=MesCiclo,InicioCiclo,$S293+MOD(2-WEEKDAY($S293),7))+20),1,IF(ISNUMBER($K293),$K293,$AA293)))</f>
        <v/>
      </c>
      <c r="AC293" s="62">
        <f>IF($V293="","",IF(AND(ISNUMBER($G293),$G293&lt;=IF($S293=MesCiclo,InicioCiclo,$S293+MOD(2-WEEKDAY($S293),7))+27),1,IF(ISNUMBER($L293),$L293,$AB293)))</f>
        <v/>
      </c>
      <c r="AD293" s="62">
        <f>IF($V293&lt;&gt;"Sub","",N($X293)*IF(AND(ISNUMBER($G293),$G293&lt;=IF($S293=MesCiclo,InicioCiclo,$S293+MOD(2-WEEKDAY($S293),7))+6),1,MIN(1,MAX(0,IF(ISNUMBER(OFFSET($A$1,ROW()-1,8)),OFFSET($A$1,ROW()-1,8),0)))))</f>
        <v/>
      </c>
      <c r="AE293" s="62">
        <f>IF($V293&lt;&gt;"Sub","",N($X293)*IF(AND(ISNUMBER($G293),$G293&lt;=IF($S293=MesCiclo,InicioCiclo,$S293+MOD(2-WEEKDAY($S293),7))+13),1,MIN(1,MAX(0,IF(ISNUMBER(OFFSET($A$1,ROW()-1,9)),OFFSET($A$1,ROW()-1,9),IF(ISNUMBER(OFFSET($A$1,ROW()-1,8)),OFFSET($A$1,ROW()-1,8),0))))))</f>
        <v/>
      </c>
      <c r="AF293" s="62">
        <f>IF($V293&lt;&gt;"Sub","",N($X293)*IF(AND(ISNUMBER($G293),$G293&lt;=IF($S293=MesCiclo,InicioCiclo,$S293+MOD(2-WEEKDAY($S293),7))+20),1,MIN(1,MAX(0,IF(ISNUMBER(OFFSET($A$1,ROW()-1,10)),OFFSET($A$1,ROW()-1,10),IF(ISNUMBER(OFFSET($A$1,ROW()-1,9)),OFFSET($A$1,ROW()-1,9),IF(ISNUMBER(OFFSET($A$1,ROW()-1,8)),OFFSET($A$1,ROW()-1,8),0)))))))</f>
        <v/>
      </c>
      <c r="AG293" s="62">
        <f>IF($V293&lt;&gt;"Sub","",N($X293)*IF(AND(ISNUMBER($G293),$G293&lt;=IF($S293=MesCiclo,InicioCiclo,$S293+MOD(2-WEEKDAY($S293),7))+27),1,MIN(1,MAX(0,IF(ISNUMBER(OFFSET($A$1,ROW()-1,11)),OFFSET($A$1,ROW()-1,11),IF(ISNUMBER(OFFSET($A$1,ROW()-1,10)),OFFSET($A$1,ROW()-1,10),IF(ISNUMBER(OFFSET($A$1,ROW()-1,9)),OFFSET($A$1,ROW()-1,9),IF(ISNUMBER(OFFSET($A$1,ROW()-1,8)),OFFSET($A$1,ROW()-1,8),0))))))))</f>
        <v/>
      </c>
      <c r="AH293" s="62">
        <f>IF($V293="","",IF(AND(ISNUMBER($G293),$G293&lt;=IF($S293=MesCiclo,InicioCiclo,$S293+MOD(2-WEEKDAY($S293),7))+6),1,IF(N($W293)&gt;0,MIN(1,SUMIFS($AD$5:$AD$1000,$U$5:$U$1000,ROW(),$V$5:$V$1000,"Sub")),$Z293)))</f>
        <v/>
      </c>
      <c r="AI293" s="62">
        <f>IF($V293="","",IF(AND(ISNUMBER($G293),$G293&lt;=IF($S293=MesCiclo,InicioCiclo,$S293+MOD(2-WEEKDAY($S293),7))+13),1,IF(N($W293)&gt;0,MIN(1,SUMIFS($AE$5:$AE$1000,$U$5:$U$1000,ROW(),$V$5:$V$1000,"Sub")),$AA293)))</f>
        <v/>
      </c>
      <c r="AJ293" s="62">
        <f>IF($V293="","",IF(AND(ISNUMBER($G293),$G293&lt;=IF($S293=MesCiclo,InicioCiclo,$S293+MOD(2-WEEKDAY($S293),7))+20),1,IF(N($W293)&gt;0,MIN(1,SUMIFS($AF$5:$AF$1000,$U$5:$U$1000,ROW(),$V$5:$V$1000,"Sub")),$AB293)))</f>
        <v/>
      </c>
      <c r="AK293" s="62">
        <f>IF($V293="","",IF(AND(ISNUMBER($G293),$G293&lt;=IF($S293=MesCiclo,InicioCiclo,$S293+MOD(2-WEEKDAY($S293),7))+27),1,IF(N($W293)&gt;0,MIN(1,SUMIFS($AG$5:$AG$1000,$U$5:$U$1000,ROW(),$V$5:$V$1000,"Sub")),$AC293)))</f>
        <v/>
      </c>
      <c r="AL293" s="62">
        <f>IF($V293&lt;&gt;"Macro","",IF(COUNTIFS($S$5:$S$1000,$S293,$V$5:$V$1000,"Macro",$H$5:$H$1000,"&gt;0")=0,1/COUNTIFS($S$5:$S$1000,$S293,$V$5:$V$1000,"Macro"),IF(AND(ISNUMBER($H293),N($H293)&gt;0),$H293,SUMIFS($H$5:$H$1000,$S$5:$S$1000,$S293,$V$5:$V$1000,"Macro")/COUNTIFS($S$5:$S$1000,$S293,$V$5:$V$1000,"Macro",$H$5:$H$1000,"&gt;0"))/(COUNTIFS($S$5:$S$1000,$S293,$V$5:$V$1000,"Macro")*SUMIFS($H$5:$H$1000,$S$5:$S$1000,$S293,$V$5:$V$1000,"Macro")/COUNTIFS($S$5:$S$1000,$S293,$V$5:$V$1000,"Macro",$H$5:$H$1000,"&gt;0"))))</f>
        <v/>
      </c>
      <c r="AM293" s="62" t="n"/>
      <c r="AN293" s="62" t="n"/>
      <c r="AO293" s="62" t="n"/>
      <c r="AP293" s="62" t="n"/>
      <c r="AQ293" s="62">
        <f>IF(LEFT($C293,11)="[Jefatura] ",IFERROR(MATCH("Asistente Técnico de Riesgo|"&amp;MID($C293,12,500),rDname_ADM,0),0),"")</f>
        <v/>
      </c>
      <c r="AR293" s="62">
        <f>IF(N($AQ293)&gt;0,INDEX(rIni_ADM,$AQ293),IF(ISNUMBER($E293),$E293,""))</f>
        <v/>
      </c>
      <c r="AS293" s="62">
        <f>IF(N($AQ293)&gt;0,INDEX(rLim_ADM,$AQ293),IF(ISNUMBER($F293),$F293,""))</f>
        <v/>
      </c>
    </row>
    <row r="294">
      <c r="A294" s="56">
        <f>IF(NOT((COUNTA($B294:$D294)+COUNTA($G294:$H294)+COUNTA($Q294))&gt;0),"",IF($V294="Macro",COUNTIFS($V$5:$V294,"Macro",$S$5:$S294,$S294),IF(N($U294)=0,"?",COUNTIFS(INDEX($V$5:$V$1000,1):INDEX($V$5:$V$1000,$U294-4),"Macro",INDEX($S$5:$S$1000,1):INDEX($S$5:$S$1000,$U294-4),INDEX($S$5:$S$1000,$U294-4))&amp;"."&amp;COUNTIFS($U$5:$U294,$U294,$V$5:$V294,"Sub"))))</f>
        <v/>
      </c>
      <c r="B294" s="57" t="n"/>
      <c r="C294" s="58" t="n"/>
      <c r="D294" s="58" t="n"/>
      <c r="E294" s="59">
        <f>IF(N($AQ294)&gt;0,INDEX(rIni_ADM,$AQ294),"")</f>
        <v/>
      </c>
      <c r="F294" s="59">
        <f>IF(N($AQ294)&gt;0,INDEX(rLim_ADM,$AQ294),"")</f>
        <v/>
      </c>
      <c r="G294" s="59" t="n"/>
      <c r="H294" s="60" t="n"/>
      <c r="I294" s="60">
        <f>IF(N($W294)=0,"",IF(AND($S294=MesCiclo,1&gt;SemanaActual),"",MIN(1,SUMIFS(OFFSET($A$1,ROW(),29,1000-ROW(),1),OFFSET($A$1,ROW(),20,1000-ROW(),1),ROW(),OFFSET($A$1,ROW(),21,1000-ROW(),1),"Sub"))))</f>
        <v/>
      </c>
      <c r="J294" s="60">
        <f>IF(N($W294)=0,"",IF(AND($S294=MesCiclo,2&gt;SemanaActual),"",MIN(1,SUMIFS(OFFSET($A$1,ROW(),30,1000-ROW(),1),OFFSET($A$1,ROW(),20,1000-ROW(),1),ROW(),OFFSET($A$1,ROW(),21,1000-ROW(),1),"Sub"))))</f>
        <v/>
      </c>
      <c r="K294" s="60">
        <f>IF(N($W294)=0,"",IF(AND($S294=MesCiclo,3&gt;SemanaActual),"",MIN(1,SUMIFS(OFFSET($A$1,ROW(),31,1000-ROW(),1),OFFSET($A$1,ROW(),20,1000-ROW(),1),ROW(),OFFSET($A$1,ROW(),21,1000-ROW(),1),"Sub"))))</f>
        <v/>
      </c>
      <c r="L294" s="60">
        <f>IF(N($W294)=0,"",IF(AND($S294=MesCiclo,4&gt;SemanaActual),"",MIN(1,SUMIFS(OFFSET($A$1,ROW(),32,1000-ROW(),1),OFFSET($A$1,ROW(),20,1000-ROW(),1),ROW(),OFFSET($A$1,ROW(),21,1000-ROW(),1),"Sub"))))</f>
        <v/>
      </c>
      <c r="M294" s="61">
        <f>IF(OR(NOT((COUNTA($B294:$D294)+COUNTA($G294:$H294)+COUNTA($Q294))&gt;0),$V294="Sub"),"",IF(ISNUMBER($G294),1,IF(N($W294)&gt;0,MIN(1,SUMIFS($Y$5:$Y$1000,$U$5:$U$1000,ROW(),$V$5:$V$1000,"Sub")),$Y294)))</f>
        <v/>
      </c>
      <c r="N294" s="56">
        <f>IF(OR($M294="",$V294="Sub"),"",IF($M294&gt;=1,"Completado",IF($M294&gt;0,"En curso","Pendiente")))</f>
        <v/>
      </c>
      <c r="O294" s="56">
        <f>IF(OR(NOT((COUNTA($B294:$D294)+COUNTA($G294:$H294)+COUNTA($Q294))&gt;0),$V294="Sub"),"",IF(ISNUMBER($G294),IF(AND(ISNUMBER($AS294),$G294&gt;$AS294),"Cumplida con "&amp;($G294-$AS294)&amp;IF($G294-$AS294=1," día"," días")&amp;" de retraso","Cumplida"),IF(N($M294)&gt;=1,"Cumplida",IF(NOT(ISNUMBER($AS294)),"Sin fecha límite",IF($AS294&lt;FechaRef,"Vencida hace "&amp;(FechaRef-$AS294)&amp;IF(FechaRef-$AS294=1," día"," días"),IF($AS294=FechaRef,"Vence hoy",IF($AS294-FechaRef&lt;=DiasAlerta,"Vence en "&amp;($AS294-FechaRef)&amp;IF($AS294-FechaRef=1," día"," días"),"En plazo")))))))</f>
        <v/>
      </c>
      <c r="P294" s="62" t="n"/>
      <c r="Q294" s="58" t="n"/>
      <c r="R294" s="63">
        <f>IF(NOT((COUNTA($B294:$D294)+COUNTA($G294:$H294)+COUNTA($Q294))&gt;0),"",IF((IF($C294="","Falta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 OK","⚠ "&amp;LEFT(IF($C294="","Falta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",""),LEN(IF($C294="","Falta el nombre de la actividad"&amp;" · ","")&amp;IF(AND($V294="Sub",N($U294)=0),"Subactividad sin macroactividad arriba"&amp;" · ","")&amp;IF(AND($V294="Macro",$AR294=""),"Sin fecha de inicio"&amp;" · ","")&amp;IF(AND($V294="Macro",$AS294=""),"Sin fecha límite"&amp;" · ","")&amp;IF(AND(LEFT($C294,11)="[Jefatura] ",N($AQ294)=0),"No se encuentra en la hoja de la jefatura (elíjala de nuevo en la lista)"&amp;" · ","")&amp;IF(OR(AND($E294&lt;&gt;"",NOT(ISNUMBER($E294))),AND($F294&lt;&gt;"",NOT(ISNUMBER($F294))),AND($G294&lt;&gt;"",NOT(ISNUMBER($G294)))),"Fecha no válida"&amp;" · ","")&amp;IF(AND(ISNUMBER($AR294),ISNUMBER($AS294),$AR294&gt;$AS294),"Inicio posterior a fecha límite"&amp;" · ","")&amp;IF(AND($V294="Macro",$H294&lt;&gt;"",OR(NOT(ISNUMBER($H294)),$H294&lt;0,$H294&gt;1)),"Peso fuera de rango"&amp;" · ","")&amp;IF(AND($V294="Sub",$H294&lt;&gt;"",OR(NOT(ISNUMBER($H294)),$H294&lt;0,$H294&gt;1)),"% de la subactividad fuera de rango 0-100%"&amp;" · ","")&amp;IF(AND(N($W294)&gt;0,SUMIFS($H$5:$H$1000,$U$5:$U$1000,ROW(),$V$5:$V$1000,"Sub")&gt;1.0001),"Las subactividades suman más de 100%"&amp;" · ","")&amp;IF(AND(N($W294)&gt;0,OR(IF(ISNUMBER($I294),ROUND($I294,6)&lt;&gt;ROUND(MIN(1,SUMIFS($AD$5:$AD$1000,$U$5:$U$1000,ROW(),$V$5:$V$1000,"Sub")),6),FALSE),IF(ISNUMBER($J294),ROUND($J294,6)&lt;&gt;ROUND(MIN(1,SUMIFS($AE$5:$AE$1000,$U$5:$U$1000,ROW(),$V$5:$V$1000,"Sub")),6),FALSE),IF(ISNUMBER($K294),ROUND($K294,6)&lt;&gt;ROUND(MIN(1,SUMIFS($AF$5:$AF$1000,$U$5:$U$1000,ROW(),$V$5:$V$1000,"Sub")),6),FALSE),IF(ISNUMBER($L294),ROUND($L294,6)&lt;&gt;ROUND(MIN(1,SUMIFS($AG$5:$AG$1000,$U$5:$U$1000,ROW(),$V$5:$V$1000,"Sub")),6),FALSE))),"Con subactividades: no escriba en las semanas (se llenan solas)"&amp;" · ","")&amp;IF((COUNTIF($I294:$L294,"&gt;1")+COUNTIF($I294:$L294,"&lt;0")+SUMPRODUCT((LEN($I294:$L294)&gt;0)*NOT(ISNUMBER($I294:$L294))))&gt;0,"Avance fuera de rango 0-100%"&amp;" · ","")&amp;IF(OR(AND(ISNUMBER($J294),$J294&lt;N($I294)),AND(ISNUMBER($K294),$K294&lt;MAX($I294:$J294)),AND(ISNUMBER($L294),$L294&lt;MAX($I294:$K294))),"Avance semanal decreciente"&amp;" · ","")&amp;IF(AND(ISNUMBER($AS294),$AS294&lt;FechaRef,IF($V294="Sub",1,N($M294))&lt;1),"Vencida"&amp;" · ","")&amp;IF(AND(ObsObligatoria="Sí",ISNUMBER($AS294),$AS294&lt;FechaRef,IF($V294="Sub",1,N($M294))&lt;1,$Q294=""),"Vencida sin observación"&amp;" · ",""))-3)))</f>
        <v/>
      </c>
      <c r="S294" s="64">
        <f>IF(NOT((COUNTA($B294:$D294)+COUNTA($G294:$H294)+COUNTA($Q294))&gt;0),"",IF(AND($V294="Sub",N($U294)&gt;0),IF(ISNUMBER(INDEX($AR$5:$AR$1000,$U294-4)),DATE(YEAR(INDEX($AR$5:$AR$1000,$U294-4)),MONTH(INDEX($AR$5:$AR$1000,$U294-4)),1),IF(ISNUMBER(INDEX($AS$5:$AS$1000,$U294-4)),DATE(YEAR(INDEX($AS$5:$AS$1000,$U294-4)),MONTH(INDEX($AS$5:$AS$1000,$U294-4)),1),MesCiclo)),IF(ISNUMBER($AR294),DATE(YEAR($AR294),MONTH($AR294),1),IF(ISNUMBER($AS294),DATE(YEAR($AS294),MONTH($AS294),1),MesCiclo))))</f>
        <v/>
      </c>
      <c r="T294" s="62">
        <f>IF(OR($S294="",$S294&lt;&gt;MesCiclo,$V294&lt;&gt;"Macro"),"",COUNTIFS($S$5:$S294,MesCiclo,$V$5:$V294,"Macro"))</f>
        <v/>
      </c>
      <c r="U294" s="62">
        <f>IF($V294="","",IF($V294="Macro",ROW(),IFERROR(LOOKUP(2,1/($V$5:$V294="Macro"),ROW($V$5:$V294)),0)))</f>
        <v/>
      </c>
      <c r="V294" s="62">
        <f>IF(NOT((COUNTA($B294:$D294)+COUNTA($G294:$H294)+COUNTA($Q294))&gt;0),"",IF($B294="Subactividad","Sub","Macro"))</f>
        <v/>
      </c>
      <c r="W294" s="62">
        <f>IF($V294="Macro",COUNTIFS($U$5:$U$1000,ROW(),$V$5:$V$1000,"Sub"),"")</f>
        <v/>
      </c>
      <c r="X294" s="62">
        <f>IF($V294&lt;&gt;"Sub","",IF(AND(ISNUMBER($H294),N($H294)&gt;0),$H294,IFERROR(MAX(0,1-SUMIFS($H$5:$H$1000,$U$5:$U$1000,$U294,$V$5:$V$1000,"Sub"))/(COUNTIFS($U$5:$U$1000,$U294,$V$5:$V$1000,"Sub")-COUNTIFS($U$5:$U$1000,$U294,$V$5:$V$1000,"Sub",$H$5:$H$1000,"&gt;0")),0)))</f>
        <v/>
      </c>
      <c r="Y294" s="62">
        <f>IF($V294="","",IF($V294="Sub",N($X294)*IF(ISNUMBER($G294),1,MIN(1,MAX(0,IFERROR(LOOKUP(2,1/ISNUMBER($I294:$L294),$I294:$L294),0)))),IF(ISNUMBER($G294),1,IFERROR(LOOKUP(2,1/($I294:$L294&lt;&gt;""),$I294:$L294),0))))</f>
        <v/>
      </c>
      <c r="Z294" s="62">
        <f>IF($V294="","",IF(AND(ISNUMBER($G294),$G294&lt;=IF($S294=MesCiclo,InicioCiclo,$S294+MOD(2-WEEKDAY($S294),7))+6),1,IF(ISNUMBER($I294),$I294,0)))</f>
        <v/>
      </c>
      <c r="AA294" s="62">
        <f>IF($V294="","",IF(AND(ISNUMBER($G294),$G294&lt;=IF($S294=MesCiclo,InicioCiclo,$S294+MOD(2-WEEKDAY($S294),7))+13),1,IF(ISNUMBER($J294),$J294,$Z294)))</f>
        <v/>
      </c>
      <c r="AB294" s="62">
        <f>IF($V294="","",IF(AND(ISNUMBER($G294),$G294&lt;=IF($S294=MesCiclo,InicioCiclo,$S294+MOD(2-WEEKDAY($S294),7))+20),1,IF(ISNUMBER($K294),$K294,$AA294)))</f>
        <v/>
      </c>
      <c r="AC294" s="62">
        <f>IF($V294="","",IF(AND(ISNUMBER($G294),$G294&lt;=IF($S294=MesCiclo,InicioCiclo,$S294+MOD(2-WEEKDAY($S294),7))+27),1,IF(ISNUMBER($L294),$L294,$AB294)))</f>
        <v/>
      </c>
      <c r="AD294" s="62">
        <f>IF($V294&lt;&gt;"Sub","",N($X294)*IF(AND(ISNUMBER($G294),$G294&lt;=IF($S294=MesCiclo,InicioCiclo,$S294+MOD(2-WEEKDAY($S294),7))+6),1,MIN(1,MAX(0,IF(ISNUMBER(OFFSET($A$1,ROW()-1,8)),OFFSET($A$1,ROW()-1,8),0)))))</f>
        <v/>
      </c>
      <c r="AE294" s="62">
        <f>IF($V294&lt;&gt;"Sub","",N($X294)*IF(AND(ISNUMBER($G294),$G294&lt;=IF($S294=MesCiclo,InicioCiclo,$S294+MOD(2-WEEKDAY($S294),7))+13),1,MIN(1,MAX(0,IF(ISNUMBER(OFFSET($A$1,ROW()-1,9)),OFFSET($A$1,ROW()-1,9),IF(ISNUMBER(OFFSET($A$1,ROW()-1,8)),OFFSET($A$1,ROW()-1,8),0))))))</f>
        <v/>
      </c>
      <c r="AF294" s="62">
        <f>IF($V294&lt;&gt;"Sub","",N($X294)*IF(AND(ISNUMBER($G294),$G294&lt;=IF($S294=MesCiclo,InicioCiclo,$S294+MOD(2-WEEKDAY($S294),7))+20),1,MIN(1,MAX(0,IF(ISNUMBER(OFFSET($A$1,ROW()-1,10)),OFFSET($A$1,ROW()-1,10),IF(ISNUMBER(OFFSET($A$1,ROW()-1,9)),OFFSET($A$1,ROW()-1,9),IF(ISNUMBER(OFFSET($A$1,ROW()-1,8)),OFFSET($A$1,ROW()-1,8),0)))))))</f>
        <v/>
      </c>
      <c r="AG294" s="62">
        <f>IF($V294&lt;&gt;"Sub","",N($X294)*IF(AND(ISNUMBER($G294),$G294&lt;=IF($S294=MesCiclo,InicioCiclo,$S294+MOD(2-WEEKDAY($S294),7))+27),1,MIN(1,MAX(0,IF(ISNUMBER(OFFSET($A$1,ROW()-1,11)),OFFSET($A$1,ROW()-1,11),IF(ISNUMBER(OFFSET($A$1,ROW()-1,10)),OFFSET($A$1,ROW()-1,10),IF(ISNUMBER(OFFSET($A$1,ROW()-1,9)),OFFSET($A$1,ROW()-1,9),IF(ISNUMBER(OFFSET($A$1,ROW()-1,8)),OFFSET($A$1,ROW()-1,8),0))))))))</f>
        <v/>
      </c>
      <c r="AH294" s="62">
        <f>IF($V294="","",IF(AND(ISNUMBER($G294),$G294&lt;=IF($S294=MesCiclo,InicioCiclo,$S294+MOD(2-WEEKDAY($S294),7))+6),1,IF(N($W294)&gt;0,MIN(1,SUMIFS($AD$5:$AD$1000,$U$5:$U$1000,ROW(),$V$5:$V$1000,"Sub")),$Z294)))</f>
        <v/>
      </c>
      <c r="AI294" s="62">
        <f>IF($V294="","",IF(AND(ISNUMBER($G294),$G294&lt;=IF($S294=MesCiclo,InicioCiclo,$S294+MOD(2-WEEKDAY($S294),7))+13),1,IF(N($W294)&gt;0,MIN(1,SUMIFS($AE$5:$AE$1000,$U$5:$U$1000,ROW(),$V$5:$V$1000,"Sub")),$AA294)))</f>
        <v/>
      </c>
      <c r="AJ294" s="62">
        <f>IF($V294="","",IF(AND(ISNUMBER($G294),$G294&lt;=IF($S294=MesCiclo,InicioCiclo,$S294+MOD(2-WEEKDAY($S294),7))+20),1,IF(N($W294)&gt;0,MIN(1,SUMIFS($AF$5:$AF$1000,$U$5:$U$1000,ROW(),$V$5:$V$1000,"Sub")),$AB294)))</f>
        <v/>
      </c>
      <c r="AK294" s="62">
        <f>IF($V294="","",IF(AND(ISNUMBER($G294),$G294&lt;=IF($S294=MesCiclo,InicioCiclo,$S294+MOD(2-WEEKDAY($S294),7))+27),1,IF(N($W294)&gt;0,MIN(1,SUMIFS($AG$5:$AG$1000,$U$5:$U$1000,ROW(),$V$5:$V$1000,"Sub")),$AC294)))</f>
        <v/>
      </c>
      <c r="AL294" s="62">
        <f>IF($V294&lt;&gt;"Macro","",IF(COUNTIFS($S$5:$S$1000,$S294,$V$5:$V$1000,"Macro",$H$5:$H$1000,"&gt;0")=0,1/COUNTIFS($S$5:$S$1000,$S294,$V$5:$V$1000,"Macro"),IF(AND(ISNUMBER($H294),N($H294)&gt;0),$H294,SUMIFS($H$5:$H$1000,$S$5:$S$1000,$S294,$V$5:$V$1000,"Macro")/COUNTIFS($S$5:$S$1000,$S294,$V$5:$V$1000,"Macro",$H$5:$H$1000,"&gt;0"))/(COUNTIFS($S$5:$S$1000,$S294,$V$5:$V$1000,"Macro")*SUMIFS($H$5:$H$1000,$S$5:$S$1000,$S294,$V$5:$V$1000,"Macro")/COUNTIFS($S$5:$S$1000,$S294,$V$5:$V$1000,"Macro",$H$5:$H$1000,"&gt;0"))))</f>
        <v/>
      </c>
      <c r="AM294" s="62" t="n"/>
      <c r="AN294" s="62" t="n"/>
      <c r="AO294" s="62" t="n"/>
      <c r="AP294" s="62" t="n"/>
      <c r="AQ294" s="62">
        <f>IF(LEFT($C294,11)="[Jefatura] ",IFERROR(MATCH("Asistente Técnico de Riesgo|"&amp;MID($C294,12,500),rDname_ADM,0),0),"")</f>
        <v/>
      </c>
      <c r="AR294" s="62">
        <f>IF(N($AQ294)&gt;0,INDEX(rIni_ADM,$AQ294),IF(ISNUMBER($E294),$E294,""))</f>
        <v/>
      </c>
      <c r="AS294" s="62">
        <f>IF(N($AQ294)&gt;0,INDEX(rLim_ADM,$AQ294),IF(ISNUMBER($F294),$F294,""))</f>
        <v/>
      </c>
    </row>
    <row r="295">
      <c r="A295" s="56">
        <f>IF(NOT((COUNTA($B295:$D295)+COUNTA($G295:$H295)+COUNTA($Q295))&gt;0),"",IF($V295="Macro",COUNTIFS($V$5:$V295,"Macro",$S$5:$S295,$S295),IF(N($U295)=0,"?",COUNTIFS(INDEX($V$5:$V$1000,1):INDEX($V$5:$V$1000,$U295-4),"Macro",INDEX($S$5:$S$1000,1):INDEX($S$5:$S$1000,$U295-4),INDEX($S$5:$S$1000,$U295-4))&amp;"."&amp;COUNTIFS($U$5:$U295,$U295,$V$5:$V295,"Sub"))))</f>
        <v/>
      </c>
      <c r="B295" s="57" t="n"/>
      <c r="C295" s="58" t="n"/>
      <c r="D295" s="58" t="n"/>
      <c r="E295" s="59">
        <f>IF(N($AQ295)&gt;0,INDEX(rIni_ADM,$AQ295),"")</f>
        <v/>
      </c>
      <c r="F295" s="59">
        <f>IF(N($AQ295)&gt;0,INDEX(rLim_ADM,$AQ295),"")</f>
        <v/>
      </c>
      <c r="G295" s="59" t="n"/>
      <c r="H295" s="60" t="n"/>
      <c r="I295" s="60">
        <f>IF(N($W295)=0,"",IF(AND($S295=MesCiclo,1&gt;SemanaActual),"",MIN(1,SUMIFS(OFFSET($A$1,ROW(),29,1000-ROW(),1),OFFSET($A$1,ROW(),20,1000-ROW(),1),ROW(),OFFSET($A$1,ROW(),21,1000-ROW(),1),"Sub"))))</f>
        <v/>
      </c>
      <c r="J295" s="60">
        <f>IF(N($W295)=0,"",IF(AND($S295=MesCiclo,2&gt;SemanaActual),"",MIN(1,SUMIFS(OFFSET($A$1,ROW(),30,1000-ROW(),1),OFFSET($A$1,ROW(),20,1000-ROW(),1),ROW(),OFFSET($A$1,ROW(),21,1000-ROW(),1),"Sub"))))</f>
        <v/>
      </c>
      <c r="K295" s="60">
        <f>IF(N($W295)=0,"",IF(AND($S295=MesCiclo,3&gt;SemanaActual),"",MIN(1,SUMIFS(OFFSET($A$1,ROW(),31,1000-ROW(),1),OFFSET($A$1,ROW(),20,1000-ROW(),1),ROW(),OFFSET($A$1,ROW(),21,1000-ROW(),1),"Sub"))))</f>
        <v/>
      </c>
      <c r="L295" s="60">
        <f>IF(N($W295)=0,"",IF(AND($S295=MesCiclo,4&gt;SemanaActual),"",MIN(1,SUMIFS(OFFSET($A$1,ROW(),32,1000-ROW(),1),OFFSET($A$1,ROW(),20,1000-ROW(),1),ROW(),OFFSET($A$1,ROW(),21,1000-ROW(),1),"Sub"))))</f>
        <v/>
      </c>
      <c r="M295" s="61">
        <f>IF(OR(NOT((COUNTA($B295:$D295)+COUNTA($G295:$H295)+COUNTA($Q295))&gt;0),$V295="Sub"),"",IF(ISNUMBER($G295),1,IF(N($W295)&gt;0,MIN(1,SUMIFS($Y$5:$Y$1000,$U$5:$U$1000,ROW(),$V$5:$V$1000,"Sub")),$Y295)))</f>
        <v/>
      </c>
      <c r="N295" s="56">
        <f>IF(OR($M295="",$V295="Sub"),"",IF($M295&gt;=1,"Completado",IF($M295&gt;0,"En curso","Pendiente")))</f>
        <v/>
      </c>
      <c r="O295" s="56">
        <f>IF(OR(NOT((COUNTA($B295:$D295)+COUNTA($G295:$H295)+COUNTA($Q295))&gt;0),$V295="Sub"),"",IF(ISNUMBER($G295),IF(AND(ISNUMBER($AS295),$G295&gt;$AS295),"Cumplida con "&amp;($G295-$AS295)&amp;IF($G295-$AS295=1," día"," días")&amp;" de retraso","Cumplida"),IF(N($M295)&gt;=1,"Cumplida",IF(NOT(ISNUMBER($AS295)),"Sin fecha límite",IF($AS295&lt;FechaRef,"Vencida hace "&amp;(FechaRef-$AS295)&amp;IF(FechaRef-$AS295=1," día"," días"),IF($AS295=FechaRef,"Vence hoy",IF($AS295-FechaRef&lt;=DiasAlerta,"Vence en "&amp;($AS295-FechaRef)&amp;IF($AS295-FechaRef=1," día"," días"),"En plazo")))))))</f>
        <v/>
      </c>
      <c r="P295" s="62" t="n"/>
      <c r="Q295" s="58" t="n"/>
      <c r="R295" s="63">
        <f>IF(NOT((COUNTA($B295:$D295)+COUNTA($G295:$H295)+COUNTA($Q295))&gt;0),"",IF((IF($C295="","Falta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 OK","⚠ "&amp;LEFT(IF($C295="","Falta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",""),LEN(IF($C295="","Falta el nombre de la actividad"&amp;" · ","")&amp;IF(AND($V295="Sub",N($U295)=0),"Subactividad sin macroactividad arriba"&amp;" · ","")&amp;IF(AND($V295="Macro",$AR295=""),"Sin fecha de inicio"&amp;" · ","")&amp;IF(AND($V295="Macro",$AS295=""),"Sin fecha límite"&amp;" · ","")&amp;IF(AND(LEFT($C295,11)="[Jefatura] ",N($AQ295)=0),"No se encuentra en la hoja de la jefatura (elíjala de nuevo en la lista)"&amp;" · ","")&amp;IF(OR(AND($E295&lt;&gt;"",NOT(ISNUMBER($E295))),AND($F295&lt;&gt;"",NOT(ISNUMBER($F295))),AND($G295&lt;&gt;"",NOT(ISNUMBER($G295)))),"Fecha no válida"&amp;" · ","")&amp;IF(AND(ISNUMBER($AR295),ISNUMBER($AS295),$AR295&gt;$AS295),"Inicio posterior a fecha límite"&amp;" · ","")&amp;IF(AND($V295="Macro",$H295&lt;&gt;"",OR(NOT(ISNUMBER($H295)),$H295&lt;0,$H295&gt;1)),"Peso fuera de rango"&amp;" · ","")&amp;IF(AND($V295="Sub",$H295&lt;&gt;"",OR(NOT(ISNUMBER($H295)),$H295&lt;0,$H295&gt;1)),"% de la subactividad fuera de rango 0-100%"&amp;" · ","")&amp;IF(AND(N($W295)&gt;0,SUMIFS($H$5:$H$1000,$U$5:$U$1000,ROW(),$V$5:$V$1000,"Sub")&gt;1.0001),"Las subactividades suman más de 100%"&amp;" · ","")&amp;IF(AND(N($W295)&gt;0,OR(IF(ISNUMBER($I295),ROUND($I295,6)&lt;&gt;ROUND(MIN(1,SUMIFS($AD$5:$AD$1000,$U$5:$U$1000,ROW(),$V$5:$V$1000,"Sub")),6),FALSE),IF(ISNUMBER($J295),ROUND($J295,6)&lt;&gt;ROUND(MIN(1,SUMIFS($AE$5:$AE$1000,$U$5:$U$1000,ROW(),$V$5:$V$1000,"Sub")),6),FALSE),IF(ISNUMBER($K295),ROUND($K295,6)&lt;&gt;ROUND(MIN(1,SUMIFS($AF$5:$AF$1000,$U$5:$U$1000,ROW(),$V$5:$V$1000,"Sub")),6),FALSE),IF(ISNUMBER($L295),ROUND($L295,6)&lt;&gt;ROUND(MIN(1,SUMIFS($AG$5:$AG$1000,$U$5:$U$1000,ROW(),$V$5:$V$1000,"Sub")),6),FALSE))),"Con subactividades: no escriba en las semanas (se llenan solas)"&amp;" · ","")&amp;IF((COUNTIF($I295:$L295,"&gt;1")+COUNTIF($I295:$L295,"&lt;0")+SUMPRODUCT((LEN($I295:$L295)&gt;0)*NOT(ISNUMBER($I295:$L295))))&gt;0,"Avance fuera de rango 0-100%"&amp;" · ","")&amp;IF(OR(AND(ISNUMBER($J295),$J295&lt;N($I295)),AND(ISNUMBER($K295),$K295&lt;MAX($I295:$J295)),AND(ISNUMBER($L295),$L295&lt;MAX($I295:$K295))),"Avance semanal decreciente"&amp;" · ","")&amp;IF(AND(ISNUMBER($AS295),$AS295&lt;FechaRef,IF($V295="Sub",1,N($M295))&lt;1),"Vencida"&amp;" · ","")&amp;IF(AND(ObsObligatoria="Sí",ISNUMBER($AS295),$AS295&lt;FechaRef,IF($V295="Sub",1,N($M295))&lt;1,$Q295=""),"Vencida sin observación"&amp;" · ",""))-3)))</f>
        <v/>
      </c>
      <c r="S295" s="64">
        <f>IF(NOT((COUNTA($B295:$D295)+COUNTA($G295:$H295)+COUNTA($Q295))&gt;0),"",IF(AND($V295="Sub",N($U295)&gt;0),IF(ISNUMBER(INDEX($AR$5:$AR$1000,$U295-4)),DATE(YEAR(INDEX($AR$5:$AR$1000,$U295-4)),MONTH(INDEX($AR$5:$AR$1000,$U295-4)),1),IF(ISNUMBER(INDEX($AS$5:$AS$1000,$U295-4)),DATE(YEAR(INDEX($AS$5:$AS$1000,$U295-4)),MONTH(INDEX($AS$5:$AS$1000,$U295-4)),1),MesCiclo)),IF(ISNUMBER($AR295),DATE(YEAR($AR295),MONTH($AR295),1),IF(ISNUMBER($AS295),DATE(YEAR($AS295),MONTH($AS295),1),MesCiclo))))</f>
        <v/>
      </c>
      <c r="T295" s="62">
        <f>IF(OR($S295="",$S295&lt;&gt;MesCiclo,$V295&lt;&gt;"Macro"),"",COUNTIFS($S$5:$S295,MesCiclo,$V$5:$V295,"Macro"))</f>
        <v/>
      </c>
      <c r="U295" s="62">
        <f>IF($V295="","",IF($V295="Macro",ROW(),IFERROR(LOOKUP(2,1/($V$5:$V295="Macro"),ROW($V$5:$V295)),0)))</f>
        <v/>
      </c>
      <c r="V295" s="62">
        <f>IF(NOT((COUNTA($B295:$D295)+COUNTA($G295:$H295)+COUNTA($Q295))&gt;0),"",IF($B295="Subactividad","Sub","Macro"))</f>
        <v/>
      </c>
      <c r="W295" s="62">
        <f>IF($V295="Macro",COUNTIFS($U$5:$U$1000,ROW(),$V$5:$V$1000,"Sub"),"")</f>
        <v/>
      </c>
      <c r="X295" s="62">
        <f>IF($V295&lt;&gt;"Sub","",IF(AND(ISNUMBER($H295),N($H295)&gt;0),$H295,IFERROR(MAX(0,1-SUMIFS($H$5:$H$1000,$U$5:$U$1000,$U295,$V$5:$V$1000,"Sub"))/(COUNTIFS($U$5:$U$1000,$U295,$V$5:$V$1000,"Sub")-COUNTIFS($U$5:$U$1000,$U295,$V$5:$V$1000,"Sub",$H$5:$H$1000,"&gt;0")),0)))</f>
        <v/>
      </c>
      <c r="Y295" s="62">
        <f>IF($V295="","",IF($V295="Sub",N($X295)*IF(ISNUMBER($G295),1,MIN(1,MAX(0,IFERROR(LOOKUP(2,1/ISNUMBER($I295:$L295),$I295:$L295),0)))),IF(ISNUMBER($G295),1,IFERROR(LOOKUP(2,1/($I295:$L295&lt;&gt;""),$I295:$L295),0))))</f>
        <v/>
      </c>
      <c r="Z295" s="62">
        <f>IF($V295="","",IF(AND(ISNUMBER($G295),$G295&lt;=IF($S295=MesCiclo,InicioCiclo,$S295+MOD(2-WEEKDAY($S295),7))+6),1,IF(ISNUMBER($I295),$I295,0)))</f>
        <v/>
      </c>
      <c r="AA295" s="62">
        <f>IF($V295="","",IF(AND(ISNUMBER($G295),$G295&lt;=IF($S295=MesCiclo,InicioCiclo,$S295+MOD(2-WEEKDAY($S295),7))+13),1,IF(ISNUMBER($J295),$J295,$Z295)))</f>
        <v/>
      </c>
      <c r="AB295" s="62">
        <f>IF($V295="","",IF(AND(ISNUMBER($G295),$G295&lt;=IF($S295=MesCiclo,InicioCiclo,$S295+MOD(2-WEEKDAY($S295),7))+20),1,IF(ISNUMBER($K295),$K295,$AA295)))</f>
        <v/>
      </c>
      <c r="AC295" s="62">
        <f>IF($V295="","",IF(AND(ISNUMBER($G295),$G295&lt;=IF($S295=MesCiclo,InicioCiclo,$S295+MOD(2-WEEKDAY($S295),7))+27),1,IF(ISNUMBER($L295),$L295,$AB295)))</f>
        <v/>
      </c>
      <c r="AD295" s="62">
        <f>IF($V295&lt;&gt;"Sub","",N($X295)*IF(AND(ISNUMBER($G295),$G295&lt;=IF($S295=MesCiclo,InicioCiclo,$S295+MOD(2-WEEKDAY($S295),7))+6),1,MIN(1,MAX(0,IF(ISNUMBER(OFFSET($A$1,ROW()-1,8)),OFFSET($A$1,ROW()-1,8),0)))))</f>
        <v/>
      </c>
      <c r="AE295" s="62">
        <f>IF($V295&lt;&gt;"Sub","",N($X295)*IF(AND(ISNUMBER($G295),$G295&lt;=IF($S295=MesCiclo,InicioCiclo,$S295+MOD(2-WEEKDAY($S295),7))+13),1,MIN(1,MAX(0,IF(ISNUMBER(OFFSET($A$1,ROW()-1,9)),OFFSET($A$1,ROW()-1,9),IF(ISNUMBER(OFFSET($A$1,ROW()-1,8)),OFFSET($A$1,ROW()-1,8),0))))))</f>
        <v/>
      </c>
      <c r="AF295" s="62">
        <f>IF($V295&lt;&gt;"Sub","",N($X295)*IF(AND(ISNUMBER($G295),$G295&lt;=IF($S295=MesCiclo,InicioCiclo,$S295+MOD(2-WEEKDAY($S295),7))+20),1,MIN(1,MAX(0,IF(ISNUMBER(OFFSET($A$1,ROW()-1,10)),OFFSET($A$1,ROW()-1,10),IF(ISNUMBER(OFFSET($A$1,ROW()-1,9)),OFFSET($A$1,ROW()-1,9),IF(ISNUMBER(OFFSET($A$1,ROW()-1,8)),OFFSET($A$1,ROW()-1,8),0)))))))</f>
        <v/>
      </c>
      <c r="AG295" s="62">
        <f>IF($V295&lt;&gt;"Sub","",N($X295)*IF(AND(ISNUMBER($G295),$G295&lt;=IF($S295=MesCiclo,InicioCiclo,$S295+MOD(2-WEEKDAY($S295),7))+27),1,MIN(1,MAX(0,IF(ISNUMBER(OFFSET($A$1,ROW()-1,11)),OFFSET($A$1,ROW()-1,11),IF(ISNUMBER(OFFSET($A$1,ROW()-1,10)),OFFSET($A$1,ROW()-1,10),IF(ISNUMBER(OFFSET($A$1,ROW()-1,9)),OFFSET($A$1,ROW()-1,9),IF(ISNUMBER(OFFSET($A$1,ROW()-1,8)),OFFSET($A$1,ROW()-1,8),0))))))))</f>
        <v/>
      </c>
      <c r="AH295" s="62">
        <f>IF($V295="","",IF(AND(ISNUMBER($G295),$G295&lt;=IF($S295=MesCiclo,InicioCiclo,$S295+MOD(2-WEEKDAY($S295),7))+6),1,IF(N($W295)&gt;0,MIN(1,SUMIFS($AD$5:$AD$1000,$U$5:$U$1000,ROW(),$V$5:$V$1000,"Sub")),$Z295)))</f>
        <v/>
      </c>
      <c r="AI295" s="62">
        <f>IF($V295="","",IF(AND(ISNUMBER($G295),$G295&lt;=IF($S295=MesCiclo,InicioCiclo,$S295+MOD(2-WEEKDAY($S295),7))+13),1,IF(N($W295)&gt;0,MIN(1,SUMIFS($AE$5:$AE$1000,$U$5:$U$1000,ROW(),$V$5:$V$1000,"Sub")),$AA295)))</f>
        <v/>
      </c>
      <c r="AJ295" s="62">
        <f>IF($V295="","",IF(AND(ISNUMBER($G295),$G295&lt;=IF($S295=MesCiclo,InicioCiclo,$S295+MOD(2-WEEKDAY($S295),7))+20),1,IF(N($W295)&gt;0,MIN(1,SUMIFS($AF$5:$AF$1000,$U$5:$U$1000,ROW(),$V$5:$V$1000,"Sub")),$AB295)))</f>
        <v/>
      </c>
      <c r="AK295" s="62">
        <f>IF($V295="","",IF(AND(ISNUMBER($G295),$G295&lt;=IF($S295=MesCiclo,InicioCiclo,$S295+MOD(2-WEEKDAY($S295),7))+27),1,IF(N($W295)&gt;0,MIN(1,SUMIFS($AG$5:$AG$1000,$U$5:$U$1000,ROW(),$V$5:$V$1000,"Sub")),$AC295)))</f>
        <v/>
      </c>
      <c r="AL295" s="62">
        <f>IF($V295&lt;&gt;"Macro","",IF(COUNTIFS($S$5:$S$1000,$S295,$V$5:$V$1000,"Macro",$H$5:$H$1000,"&gt;0")=0,1/COUNTIFS($S$5:$S$1000,$S295,$V$5:$V$1000,"Macro"),IF(AND(ISNUMBER($H295),N($H295)&gt;0),$H295,SUMIFS($H$5:$H$1000,$S$5:$S$1000,$S295,$V$5:$V$1000,"Macro")/COUNTIFS($S$5:$S$1000,$S295,$V$5:$V$1000,"Macro",$H$5:$H$1000,"&gt;0"))/(COUNTIFS($S$5:$S$1000,$S295,$V$5:$V$1000,"Macro")*SUMIFS($H$5:$H$1000,$S$5:$S$1000,$S295,$V$5:$V$1000,"Macro")/COUNTIFS($S$5:$S$1000,$S295,$V$5:$V$1000,"Macro",$H$5:$H$1000,"&gt;0"))))</f>
        <v/>
      </c>
      <c r="AM295" s="62" t="n"/>
      <c r="AN295" s="62" t="n"/>
      <c r="AO295" s="62" t="n"/>
      <c r="AP295" s="62" t="n"/>
      <c r="AQ295" s="62">
        <f>IF(LEFT($C295,11)="[Jefatura] ",IFERROR(MATCH("Asistente Técnico de Riesgo|"&amp;MID($C295,12,500),rDname_ADM,0),0),"")</f>
        <v/>
      </c>
      <c r="AR295" s="62">
        <f>IF(N($AQ295)&gt;0,INDEX(rIni_ADM,$AQ295),IF(ISNUMBER($E295),$E295,""))</f>
        <v/>
      </c>
      <c r="AS295" s="62">
        <f>IF(N($AQ295)&gt;0,INDEX(rLim_ADM,$AQ295),IF(ISNUMBER($F295),$F295,""))</f>
        <v/>
      </c>
    </row>
    <row r="296">
      <c r="A296" s="56">
        <f>IF(NOT((COUNTA($B296:$D296)+COUNTA($G296:$H296)+COUNTA($Q296))&gt;0),"",IF($V296="Macro",COUNTIFS($V$5:$V296,"Macro",$S$5:$S296,$S296),IF(N($U296)=0,"?",COUNTIFS(INDEX($V$5:$V$1000,1):INDEX($V$5:$V$1000,$U296-4),"Macro",INDEX($S$5:$S$1000,1):INDEX($S$5:$S$1000,$U296-4),INDEX($S$5:$S$1000,$U296-4))&amp;"."&amp;COUNTIFS($U$5:$U296,$U296,$V$5:$V296,"Sub"))))</f>
        <v/>
      </c>
      <c r="B296" s="57" t="n"/>
      <c r="C296" s="58" t="n"/>
      <c r="D296" s="58" t="n"/>
      <c r="E296" s="59">
        <f>IF(N($AQ296)&gt;0,INDEX(rIni_ADM,$AQ296),"")</f>
        <v/>
      </c>
      <c r="F296" s="59">
        <f>IF(N($AQ296)&gt;0,INDEX(rLim_ADM,$AQ296),"")</f>
        <v/>
      </c>
      <c r="G296" s="59" t="n"/>
      <c r="H296" s="60" t="n"/>
      <c r="I296" s="60">
        <f>IF(N($W296)=0,"",IF(AND($S296=MesCiclo,1&gt;SemanaActual),"",MIN(1,SUMIFS(OFFSET($A$1,ROW(),29,1000-ROW(),1),OFFSET($A$1,ROW(),20,1000-ROW(),1),ROW(),OFFSET($A$1,ROW(),21,1000-ROW(),1),"Sub"))))</f>
        <v/>
      </c>
      <c r="J296" s="60">
        <f>IF(N($W296)=0,"",IF(AND($S296=MesCiclo,2&gt;SemanaActual),"",MIN(1,SUMIFS(OFFSET($A$1,ROW(),30,1000-ROW(),1),OFFSET($A$1,ROW(),20,1000-ROW(),1),ROW(),OFFSET($A$1,ROW(),21,1000-ROW(),1),"Sub"))))</f>
        <v/>
      </c>
      <c r="K296" s="60">
        <f>IF(N($W296)=0,"",IF(AND($S296=MesCiclo,3&gt;SemanaActual),"",MIN(1,SUMIFS(OFFSET($A$1,ROW(),31,1000-ROW(),1),OFFSET($A$1,ROW(),20,1000-ROW(),1),ROW(),OFFSET($A$1,ROW(),21,1000-ROW(),1),"Sub"))))</f>
        <v/>
      </c>
      <c r="L296" s="60">
        <f>IF(N($W296)=0,"",IF(AND($S296=MesCiclo,4&gt;SemanaActual),"",MIN(1,SUMIFS(OFFSET($A$1,ROW(),32,1000-ROW(),1),OFFSET($A$1,ROW(),20,1000-ROW(),1),ROW(),OFFSET($A$1,ROW(),21,1000-ROW(),1),"Sub"))))</f>
        <v/>
      </c>
      <c r="M296" s="61">
        <f>IF(OR(NOT((COUNTA($B296:$D296)+COUNTA($G296:$H296)+COUNTA($Q296))&gt;0),$V296="Sub"),"",IF(ISNUMBER($G296),1,IF(N($W296)&gt;0,MIN(1,SUMIFS($Y$5:$Y$1000,$U$5:$U$1000,ROW(),$V$5:$V$1000,"Sub")),$Y296)))</f>
        <v/>
      </c>
      <c r="N296" s="56">
        <f>IF(OR($M296="",$V296="Sub"),"",IF($M296&gt;=1,"Completado",IF($M296&gt;0,"En curso","Pendiente")))</f>
        <v/>
      </c>
      <c r="O296" s="56">
        <f>IF(OR(NOT((COUNTA($B296:$D296)+COUNTA($G296:$H296)+COUNTA($Q296))&gt;0),$V296="Sub"),"",IF(ISNUMBER($G296),IF(AND(ISNUMBER($AS296),$G296&gt;$AS296),"Cumplida con "&amp;($G296-$AS296)&amp;IF($G296-$AS296=1," día"," días")&amp;" de retraso","Cumplida"),IF(N($M296)&gt;=1,"Cumplida",IF(NOT(ISNUMBER($AS296)),"Sin fecha límite",IF($AS296&lt;FechaRef,"Vencida hace "&amp;(FechaRef-$AS296)&amp;IF(FechaRef-$AS296=1," día"," días"),IF($AS296=FechaRef,"Vence hoy",IF($AS296-FechaRef&lt;=DiasAlerta,"Vence en "&amp;($AS296-FechaRef)&amp;IF($AS296-FechaRef=1," día"," días"),"En plazo")))))))</f>
        <v/>
      </c>
      <c r="P296" s="62" t="n"/>
      <c r="Q296" s="58" t="n"/>
      <c r="R296" s="63">
        <f>IF(NOT((COUNTA($B296:$D296)+COUNTA($G296:$H296)+COUNTA($Q296))&gt;0),"",IF((IF($C296="","Falta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 OK","⚠ "&amp;LEFT(IF($C296="","Falta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",""),LEN(IF($C296="","Falta el nombre de la actividad"&amp;" · ","")&amp;IF(AND($V296="Sub",N($U296)=0),"Subactividad sin macroactividad arriba"&amp;" · ","")&amp;IF(AND($V296="Macro",$AR296=""),"Sin fecha de inicio"&amp;" · ","")&amp;IF(AND($V296="Macro",$AS296=""),"Sin fecha límite"&amp;" · ","")&amp;IF(AND(LEFT($C296,11)="[Jefatura] ",N($AQ296)=0),"No se encuentra en la hoja de la jefatura (elíjala de nuevo en la lista)"&amp;" · ","")&amp;IF(OR(AND($E296&lt;&gt;"",NOT(ISNUMBER($E296))),AND($F296&lt;&gt;"",NOT(ISNUMBER($F296))),AND($G296&lt;&gt;"",NOT(ISNUMBER($G296)))),"Fecha no válida"&amp;" · ","")&amp;IF(AND(ISNUMBER($AR296),ISNUMBER($AS296),$AR296&gt;$AS296),"Inicio posterior a fecha límite"&amp;" · ","")&amp;IF(AND($V296="Macro",$H296&lt;&gt;"",OR(NOT(ISNUMBER($H296)),$H296&lt;0,$H296&gt;1)),"Peso fuera de rango"&amp;" · ","")&amp;IF(AND($V296="Sub",$H296&lt;&gt;"",OR(NOT(ISNUMBER($H296)),$H296&lt;0,$H296&gt;1)),"% de la subactividad fuera de rango 0-100%"&amp;" · ","")&amp;IF(AND(N($W296)&gt;0,SUMIFS($H$5:$H$1000,$U$5:$U$1000,ROW(),$V$5:$V$1000,"Sub")&gt;1.0001),"Las subactividades suman más de 100%"&amp;" · ","")&amp;IF(AND(N($W296)&gt;0,OR(IF(ISNUMBER($I296),ROUND($I296,6)&lt;&gt;ROUND(MIN(1,SUMIFS($AD$5:$AD$1000,$U$5:$U$1000,ROW(),$V$5:$V$1000,"Sub")),6),FALSE),IF(ISNUMBER($J296),ROUND($J296,6)&lt;&gt;ROUND(MIN(1,SUMIFS($AE$5:$AE$1000,$U$5:$U$1000,ROW(),$V$5:$V$1000,"Sub")),6),FALSE),IF(ISNUMBER($K296),ROUND($K296,6)&lt;&gt;ROUND(MIN(1,SUMIFS($AF$5:$AF$1000,$U$5:$U$1000,ROW(),$V$5:$V$1000,"Sub")),6),FALSE),IF(ISNUMBER($L296),ROUND($L296,6)&lt;&gt;ROUND(MIN(1,SUMIFS($AG$5:$AG$1000,$U$5:$U$1000,ROW(),$V$5:$V$1000,"Sub")),6),FALSE))),"Con subactividades: no escriba en las semanas (se llenan solas)"&amp;" · ","")&amp;IF((COUNTIF($I296:$L296,"&gt;1")+COUNTIF($I296:$L296,"&lt;0")+SUMPRODUCT((LEN($I296:$L296)&gt;0)*NOT(ISNUMBER($I296:$L296))))&gt;0,"Avance fuera de rango 0-100%"&amp;" · ","")&amp;IF(OR(AND(ISNUMBER($J296),$J296&lt;N($I296)),AND(ISNUMBER($K296),$K296&lt;MAX($I296:$J296)),AND(ISNUMBER($L296),$L296&lt;MAX($I296:$K296))),"Avance semanal decreciente"&amp;" · ","")&amp;IF(AND(ISNUMBER($AS296),$AS296&lt;FechaRef,IF($V296="Sub",1,N($M296))&lt;1),"Vencida"&amp;" · ","")&amp;IF(AND(ObsObligatoria="Sí",ISNUMBER($AS296),$AS296&lt;FechaRef,IF($V296="Sub",1,N($M296))&lt;1,$Q296=""),"Vencida sin observación"&amp;" · ",""))-3)))</f>
        <v/>
      </c>
      <c r="S296" s="64">
        <f>IF(NOT((COUNTA($B296:$D296)+COUNTA($G296:$H296)+COUNTA($Q296))&gt;0),"",IF(AND($V296="Sub",N($U296)&gt;0),IF(ISNUMBER(INDEX($AR$5:$AR$1000,$U296-4)),DATE(YEAR(INDEX($AR$5:$AR$1000,$U296-4)),MONTH(INDEX($AR$5:$AR$1000,$U296-4)),1),IF(ISNUMBER(INDEX($AS$5:$AS$1000,$U296-4)),DATE(YEAR(INDEX($AS$5:$AS$1000,$U296-4)),MONTH(INDEX($AS$5:$AS$1000,$U296-4)),1),MesCiclo)),IF(ISNUMBER($AR296),DATE(YEAR($AR296),MONTH($AR296),1),IF(ISNUMBER($AS296),DATE(YEAR($AS296),MONTH($AS296),1),MesCiclo))))</f>
        <v/>
      </c>
      <c r="T296" s="62">
        <f>IF(OR($S296="",$S296&lt;&gt;MesCiclo,$V296&lt;&gt;"Macro"),"",COUNTIFS($S$5:$S296,MesCiclo,$V$5:$V296,"Macro"))</f>
        <v/>
      </c>
      <c r="U296" s="62">
        <f>IF($V296="","",IF($V296="Macro",ROW(),IFERROR(LOOKUP(2,1/($V$5:$V296="Macro"),ROW($V$5:$V296)),0)))</f>
        <v/>
      </c>
      <c r="V296" s="62">
        <f>IF(NOT((COUNTA($B296:$D296)+COUNTA($G296:$H296)+COUNTA($Q296))&gt;0),"",IF($B296="Subactividad","Sub","Macro"))</f>
        <v/>
      </c>
      <c r="W296" s="62">
        <f>IF($V296="Macro",COUNTIFS($U$5:$U$1000,ROW(),$V$5:$V$1000,"Sub"),"")</f>
        <v/>
      </c>
      <c r="X296" s="62">
        <f>IF($V296&lt;&gt;"Sub","",IF(AND(ISNUMBER($H296),N($H296)&gt;0),$H296,IFERROR(MAX(0,1-SUMIFS($H$5:$H$1000,$U$5:$U$1000,$U296,$V$5:$V$1000,"Sub"))/(COUNTIFS($U$5:$U$1000,$U296,$V$5:$V$1000,"Sub")-COUNTIFS($U$5:$U$1000,$U296,$V$5:$V$1000,"Sub",$H$5:$H$1000,"&gt;0")),0)))</f>
        <v/>
      </c>
      <c r="Y296" s="62">
        <f>IF($V296="","",IF($V296="Sub",N($X296)*IF(ISNUMBER($G296),1,MIN(1,MAX(0,IFERROR(LOOKUP(2,1/ISNUMBER($I296:$L296),$I296:$L296),0)))),IF(ISNUMBER($G296),1,IFERROR(LOOKUP(2,1/($I296:$L296&lt;&gt;""),$I296:$L296),0))))</f>
        <v/>
      </c>
      <c r="Z296" s="62">
        <f>IF($V296="","",IF(AND(ISNUMBER($G296),$G296&lt;=IF($S296=MesCiclo,InicioCiclo,$S296+MOD(2-WEEKDAY($S296),7))+6),1,IF(ISNUMBER($I296),$I296,0)))</f>
        <v/>
      </c>
      <c r="AA296" s="62">
        <f>IF($V296="","",IF(AND(ISNUMBER($G296),$G296&lt;=IF($S296=MesCiclo,InicioCiclo,$S296+MOD(2-WEEKDAY($S296),7))+13),1,IF(ISNUMBER($J296),$J296,$Z296)))</f>
        <v/>
      </c>
      <c r="AB296" s="62">
        <f>IF($V296="","",IF(AND(ISNUMBER($G296),$G296&lt;=IF($S296=MesCiclo,InicioCiclo,$S296+MOD(2-WEEKDAY($S296),7))+20),1,IF(ISNUMBER($K296),$K296,$AA296)))</f>
        <v/>
      </c>
      <c r="AC296" s="62">
        <f>IF($V296="","",IF(AND(ISNUMBER($G296),$G296&lt;=IF($S296=MesCiclo,InicioCiclo,$S296+MOD(2-WEEKDAY($S296),7))+27),1,IF(ISNUMBER($L296),$L296,$AB296)))</f>
        <v/>
      </c>
      <c r="AD296" s="62">
        <f>IF($V296&lt;&gt;"Sub","",N($X296)*IF(AND(ISNUMBER($G296),$G296&lt;=IF($S296=MesCiclo,InicioCiclo,$S296+MOD(2-WEEKDAY($S296),7))+6),1,MIN(1,MAX(0,IF(ISNUMBER(OFFSET($A$1,ROW()-1,8)),OFFSET($A$1,ROW()-1,8),0)))))</f>
        <v/>
      </c>
      <c r="AE296" s="62">
        <f>IF($V296&lt;&gt;"Sub","",N($X296)*IF(AND(ISNUMBER($G296),$G296&lt;=IF($S296=MesCiclo,InicioCiclo,$S296+MOD(2-WEEKDAY($S296),7))+13),1,MIN(1,MAX(0,IF(ISNUMBER(OFFSET($A$1,ROW()-1,9)),OFFSET($A$1,ROW()-1,9),IF(ISNUMBER(OFFSET($A$1,ROW()-1,8)),OFFSET($A$1,ROW()-1,8),0))))))</f>
        <v/>
      </c>
      <c r="AF296" s="62">
        <f>IF($V296&lt;&gt;"Sub","",N($X296)*IF(AND(ISNUMBER($G296),$G296&lt;=IF($S296=MesCiclo,InicioCiclo,$S296+MOD(2-WEEKDAY($S296),7))+20),1,MIN(1,MAX(0,IF(ISNUMBER(OFFSET($A$1,ROW()-1,10)),OFFSET($A$1,ROW()-1,10),IF(ISNUMBER(OFFSET($A$1,ROW()-1,9)),OFFSET($A$1,ROW()-1,9),IF(ISNUMBER(OFFSET($A$1,ROW()-1,8)),OFFSET($A$1,ROW()-1,8),0)))))))</f>
        <v/>
      </c>
      <c r="AG296" s="62">
        <f>IF($V296&lt;&gt;"Sub","",N($X296)*IF(AND(ISNUMBER($G296),$G296&lt;=IF($S296=MesCiclo,InicioCiclo,$S296+MOD(2-WEEKDAY($S296),7))+27),1,MIN(1,MAX(0,IF(ISNUMBER(OFFSET($A$1,ROW()-1,11)),OFFSET($A$1,ROW()-1,11),IF(ISNUMBER(OFFSET($A$1,ROW()-1,10)),OFFSET($A$1,ROW()-1,10),IF(ISNUMBER(OFFSET($A$1,ROW()-1,9)),OFFSET($A$1,ROW()-1,9),IF(ISNUMBER(OFFSET($A$1,ROW()-1,8)),OFFSET($A$1,ROW()-1,8),0))))))))</f>
        <v/>
      </c>
      <c r="AH296" s="62">
        <f>IF($V296="","",IF(AND(ISNUMBER($G296),$G296&lt;=IF($S296=MesCiclo,InicioCiclo,$S296+MOD(2-WEEKDAY($S296),7))+6),1,IF(N($W296)&gt;0,MIN(1,SUMIFS($AD$5:$AD$1000,$U$5:$U$1000,ROW(),$V$5:$V$1000,"Sub")),$Z296)))</f>
        <v/>
      </c>
      <c r="AI296" s="62">
        <f>IF($V296="","",IF(AND(ISNUMBER($G296),$G296&lt;=IF($S296=MesCiclo,InicioCiclo,$S296+MOD(2-WEEKDAY($S296),7))+13),1,IF(N($W296)&gt;0,MIN(1,SUMIFS($AE$5:$AE$1000,$U$5:$U$1000,ROW(),$V$5:$V$1000,"Sub")),$AA296)))</f>
        <v/>
      </c>
      <c r="AJ296" s="62">
        <f>IF($V296="","",IF(AND(ISNUMBER($G296),$G296&lt;=IF($S296=MesCiclo,InicioCiclo,$S296+MOD(2-WEEKDAY($S296),7))+20),1,IF(N($W296)&gt;0,MIN(1,SUMIFS($AF$5:$AF$1000,$U$5:$U$1000,ROW(),$V$5:$V$1000,"Sub")),$AB296)))</f>
        <v/>
      </c>
      <c r="AK296" s="62">
        <f>IF($V296="","",IF(AND(ISNUMBER($G296),$G296&lt;=IF($S296=MesCiclo,InicioCiclo,$S296+MOD(2-WEEKDAY($S296),7))+27),1,IF(N($W296)&gt;0,MIN(1,SUMIFS($AG$5:$AG$1000,$U$5:$U$1000,ROW(),$V$5:$V$1000,"Sub")),$AC296)))</f>
        <v/>
      </c>
      <c r="AL296" s="62">
        <f>IF($V296&lt;&gt;"Macro","",IF(COUNTIFS($S$5:$S$1000,$S296,$V$5:$V$1000,"Macro",$H$5:$H$1000,"&gt;0")=0,1/COUNTIFS($S$5:$S$1000,$S296,$V$5:$V$1000,"Macro"),IF(AND(ISNUMBER($H296),N($H296)&gt;0),$H296,SUMIFS($H$5:$H$1000,$S$5:$S$1000,$S296,$V$5:$V$1000,"Macro")/COUNTIFS($S$5:$S$1000,$S296,$V$5:$V$1000,"Macro",$H$5:$H$1000,"&gt;0"))/(COUNTIFS($S$5:$S$1000,$S296,$V$5:$V$1000,"Macro")*SUMIFS($H$5:$H$1000,$S$5:$S$1000,$S296,$V$5:$V$1000,"Macro")/COUNTIFS($S$5:$S$1000,$S296,$V$5:$V$1000,"Macro",$H$5:$H$1000,"&gt;0"))))</f>
        <v/>
      </c>
      <c r="AM296" s="62" t="n"/>
      <c r="AN296" s="62" t="n"/>
      <c r="AO296" s="62" t="n"/>
      <c r="AP296" s="62" t="n"/>
      <c r="AQ296" s="62">
        <f>IF(LEFT($C296,11)="[Jefatura] ",IFERROR(MATCH("Asistente Técnico de Riesgo|"&amp;MID($C296,12,500),rDname_ADM,0),0),"")</f>
        <v/>
      </c>
      <c r="AR296" s="62">
        <f>IF(N($AQ296)&gt;0,INDEX(rIni_ADM,$AQ296),IF(ISNUMBER($E296),$E296,""))</f>
        <v/>
      </c>
      <c r="AS296" s="62">
        <f>IF(N($AQ296)&gt;0,INDEX(rLim_ADM,$AQ296),IF(ISNUMBER($F296),$F296,""))</f>
        <v/>
      </c>
    </row>
    <row r="297">
      <c r="A297" s="56">
        <f>IF(NOT((COUNTA($B297:$D297)+COUNTA($G297:$H297)+COUNTA($Q297))&gt;0),"",IF($V297="Macro",COUNTIFS($V$5:$V297,"Macro",$S$5:$S297,$S297),IF(N($U297)=0,"?",COUNTIFS(INDEX($V$5:$V$1000,1):INDEX($V$5:$V$1000,$U297-4),"Macro",INDEX($S$5:$S$1000,1):INDEX($S$5:$S$1000,$U297-4),INDEX($S$5:$S$1000,$U297-4))&amp;"."&amp;COUNTIFS($U$5:$U297,$U297,$V$5:$V297,"Sub"))))</f>
        <v/>
      </c>
      <c r="B297" s="57" t="n"/>
      <c r="C297" s="58" t="n"/>
      <c r="D297" s="58" t="n"/>
      <c r="E297" s="59">
        <f>IF(N($AQ297)&gt;0,INDEX(rIni_ADM,$AQ297),"")</f>
        <v/>
      </c>
      <c r="F297" s="59">
        <f>IF(N($AQ297)&gt;0,INDEX(rLim_ADM,$AQ297),"")</f>
        <v/>
      </c>
      <c r="G297" s="59" t="n"/>
      <c r="H297" s="60" t="n"/>
      <c r="I297" s="60">
        <f>IF(N($W297)=0,"",IF(AND($S297=MesCiclo,1&gt;SemanaActual),"",MIN(1,SUMIFS(OFFSET($A$1,ROW(),29,1000-ROW(),1),OFFSET($A$1,ROW(),20,1000-ROW(),1),ROW(),OFFSET($A$1,ROW(),21,1000-ROW(),1),"Sub"))))</f>
        <v/>
      </c>
      <c r="J297" s="60">
        <f>IF(N($W297)=0,"",IF(AND($S297=MesCiclo,2&gt;SemanaActual),"",MIN(1,SUMIFS(OFFSET($A$1,ROW(),30,1000-ROW(),1),OFFSET($A$1,ROW(),20,1000-ROW(),1),ROW(),OFFSET($A$1,ROW(),21,1000-ROW(),1),"Sub"))))</f>
        <v/>
      </c>
      <c r="K297" s="60">
        <f>IF(N($W297)=0,"",IF(AND($S297=MesCiclo,3&gt;SemanaActual),"",MIN(1,SUMIFS(OFFSET($A$1,ROW(),31,1000-ROW(),1),OFFSET($A$1,ROW(),20,1000-ROW(),1),ROW(),OFFSET($A$1,ROW(),21,1000-ROW(),1),"Sub"))))</f>
        <v/>
      </c>
      <c r="L297" s="60">
        <f>IF(N($W297)=0,"",IF(AND($S297=MesCiclo,4&gt;SemanaActual),"",MIN(1,SUMIFS(OFFSET($A$1,ROW(),32,1000-ROW(),1),OFFSET($A$1,ROW(),20,1000-ROW(),1),ROW(),OFFSET($A$1,ROW(),21,1000-ROW(),1),"Sub"))))</f>
        <v/>
      </c>
      <c r="M297" s="61">
        <f>IF(OR(NOT((COUNTA($B297:$D297)+COUNTA($G297:$H297)+COUNTA($Q297))&gt;0),$V297="Sub"),"",IF(ISNUMBER($G297),1,IF(N($W297)&gt;0,MIN(1,SUMIFS($Y$5:$Y$1000,$U$5:$U$1000,ROW(),$V$5:$V$1000,"Sub")),$Y297)))</f>
        <v/>
      </c>
      <c r="N297" s="56">
        <f>IF(OR($M297="",$V297="Sub"),"",IF($M297&gt;=1,"Completado",IF($M297&gt;0,"En curso","Pendiente")))</f>
        <v/>
      </c>
      <c r="O297" s="56">
        <f>IF(OR(NOT((COUNTA($B297:$D297)+COUNTA($G297:$H297)+COUNTA($Q297))&gt;0),$V297="Sub"),"",IF(ISNUMBER($G297),IF(AND(ISNUMBER($AS297),$G297&gt;$AS297),"Cumplida con "&amp;($G297-$AS297)&amp;IF($G297-$AS297=1," día"," días")&amp;" de retraso","Cumplida"),IF(N($M297)&gt;=1,"Cumplida",IF(NOT(ISNUMBER($AS297)),"Sin fecha límite",IF($AS297&lt;FechaRef,"Vencida hace "&amp;(FechaRef-$AS297)&amp;IF(FechaRef-$AS297=1," día"," días"),IF($AS297=FechaRef,"Vence hoy",IF($AS297-FechaRef&lt;=DiasAlerta,"Vence en "&amp;($AS297-FechaRef)&amp;IF($AS297-FechaRef=1," día"," días"),"En plazo")))))))</f>
        <v/>
      </c>
      <c r="P297" s="62" t="n"/>
      <c r="Q297" s="58" t="n"/>
      <c r="R297" s="63">
        <f>IF(NOT((COUNTA($B297:$D297)+COUNTA($G297:$H297)+COUNTA($Q297))&gt;0),"",IF((IF($C297="","Falta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 OK","⚠ "&amp;LEFT(IF($C297="","Falta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",""),LEN(IF($C297="","Falta el nombre de la actividad"&amp;" · ","")&amp;IF(AND($V297="Sub",N($U297)=0),"Subactividad sin macroactividad arriba"&amp;" · ","")&amp;IF(AND($V297="Macro",$AR297=""),"Sin fecha de inicio"&amp;" · ","")&amp;IF(AND($V297="Macro",$AS297=""),"Sin fecha límite"&amp;" · ","")&amp;IF(AND(LEFT($C297,11)="[Jefatura] ",N($AQ297)=0),"No se encuentra en la hoja de la jefatura (elíjala de nuevo en la lista)"&amp;" · ","")&amp;IF(OR(AND($E297&lt;&gt;"",NOT(ISNUMBER($E297))),AND($F297&lt;&gt;"",NOT(ISNUMBER($F297))),AND($G297&lt;&gt;"",NOT(ISNUMBER($G297)))),"Fecha no válida"&amp;" · ","")&amp;IF(AND(ISNUMBER($AR297),ISNUMBER($AS297),$AR297&gt;$AS297),"Inicio posterior a fecha límite"&amp;" · ","")&amp;IF(AND($V297="Macro",$H297&lt;&gt;"",OR(NOT(ISNUMBER($H297)),$H297&lt;0,$H297&gt;1)),"Peso fuera de rango"&amp;" · ","")&amp;IF(AND($V297="Sub",$H297&lt;&gt;"",OR(NOT(ISNUMBER($H297)),$H297&lt;0,$H297&gt;1)),"% de la subactividad fuera de rango 0-100%"&amp;" · ","")&amp;IF(AND(N($W297)&gt;0,SUMIFS($H$5:$H$1000,$U$5:$U$1000,ROW(),$V$5:$V$1000,"Sub")&gt;1.0001),"Las subactividades suman más de 100%"&amp;" · ","")&amp;IF(AND(N($W297)&gt;0,OR(IF(ISNUMBER($I297),ROUND($I297,6)&lt;&gt;ROUND(MIN(1,SUMIFS($AD$5:$AD$1000,$U$5:$U$1000,ROW(),$V$5:$V$1000,"Sub")),6),FALSE),IF(ISNUMBER($J297),ROUND($J297,6)&lt;&gt;ROUND(MIN(1,SUMIFS($AE$5:$AE$1000,$U$5:$U$1000,ROW(),$V$5:$V$1000,"Sub")),6),FALSE),IF(ISNUMBER($K297),ROUND($K297,6)&lt;&gt;ROUND(MIN(1,SUMIFS($AF$5:$AF$1000,$U$5:$U$1000,ROW(),$V$5:$V$1000,"Sub")),6),FALSE),IF(ISNUMBER($L297),ROUND($L297,6)&lt;&gt;ROUND(MIN(1,SUMIFS($AG$5:$AG$1000,$U$5:$U$1000,ROW(),$V$5:$V$1000,"Sub")),6),FALSE))),"Con subactividades: no escriba en las semanas (se llenan solas)"&amp;" · ","")&amp;IF((COUNTIF($I297:$L297,"&gt;1")+COUNTIF($I297:$L297,"&lt;0")+SUMPRODUCT((LEN($I297:$L297)&gt;0)*NOT(ISNUMBER($I297:$L297))))&gt;0,"Avance fuera de rango 0-100%"&amp;" · ","")&amp;IF(OR(AND(ISNUMBER($J297),$J297&lt;N($I297)),AND(ISNUMBER($K297),$K297&lt;MAX($I297:$J297)),AND(ISNUMBER($L297),$L297&lt;MAX($I297:$K297))),"Avance semanal decreciente"&amp;" · ","")&amp;IF(AND(ISNUMBER($AS297),$AS297&lt;FechaRef,IF($V297="Sub",1,N($M297))&lt;1),"Vencida"&amp;" · ","")&amp;IF(AND(ObsObligatoria="Sí",ISNUMBER($AS297),$AS297&lt;FechaRef,IF($V297="Sub",1,N($M297))&lt;1,$Q297=""),"Vencida sin observación"&amp;" · ",""))-3)))</f>
        <v/>
      </c>
      <c r="S297" s="64">
        <f>IF(NOT((COUNTA($B297:$D297)+COUNTA($G297:$H297)+COUNTA($Q297))&gt;0),"",IF(AND($V297="Sub",N($U297)&gt;0),IF(ISNUMBER(INDEX($AR$5:$AR$1000,$U297-4)),DATE(YEAR(INDEX($AR$5:$AR$1000,$U297-4)),MONTH(INDEX($AR$5:$AR$1000,$U297-4)),1),IF(ISNUMBER(INDEX($AS$5:$AS$1000,$U297-4)),DATE(YEAR(INDEX($AS$5:$AS$1000,$U297-4)),MONTH(INDEX($AS$5:$AS$1000,$U297-4)),1),MesCiclo)),IF(ISNUMBER($AR297),DATE(YEAR($AR297),MONTH($AR297),1),IF(ISNUMBER($AS297),DATE(YEAR($AS297),MONTH($AS297),1),MesCiclo))))</f>
        <v/>
      </c>
      <c r="T297" s="62">
        <f>IF(OR($S297="",$S297&lt;&gt;MesCiclo,$V297&lt;&gt;"Macro"),"",COUNTIFS($S$5:$S297,MesCiclo,$V$5:$V297,"Macro"))</f>
        <v/>
      </c>
      <c r="U297" s="62">
        <f>IF($V297="","",IF($V297="Macro",ROW(),IFERROR(LOOKUP(2,1/($V$5:$V297="Macro"),ROW($V$5:$V297)),0)))</f>
        <v/>
      </c>
      <c r="V297" s="62">
        <f>IF(NOT((COUNTA($B297:$D297)+COUNTA($G297:$H297)+COUNTA($Q297))&gt;0),"",IF($B297="Subactividad","Sub","Macro"))</f>
        <v/>
      </c>
      <c r="W297" s="62">
        <f>IF($V297="Macro",COUNTIFS($U$5:$U$1000,ROW(),$V$5:$V$1000,"Sub"),"")</f>
        <v/>
      </c>
      <c r="X297" s="62">
        <f>IF($V297&lt;&gt;"Sub","",IF(AND(ISNUMBER($H297),N($H297)&gt;0),$H297,IFERROR(MAX(0,1-SUMIFS($H$5:$H$1000,$U$5:$U$1000,$U297,$V$5:$V$1000,"Sub"))/(COUNTIFS($U$5:$U$1000,$U297,$V$5:$V$1000,"Sub")-COUNTIFS($U$5:$U$1000,$U297,$V$5:$V$1000,"Sub",$H$5:$H$1000,"&gt;0")),0)))</f>
        <v/>
      </c>
      <c r="Y297" s="62">
        <f>IF($V297="","",IF($V297="Sub",N($X297)*IF(ISNUMBER($G297),1,MIN(1,MAX(0,IFERROR(LOOKUP(2,1/ISNUMBER($I297:$L297),$I297:$L297),0)))),IF(ISNUMBER($G297),1,IFERROR(LOOKUP(2,1/($I297:$L297&lt;&gt;""),$I297:$L297),0))))</f>
        <v/>
      </c>
      <c r="Z297" s="62">
        <f>IF($V297="","",IF(AND(ISNUMBER($G297),$G297&lt;=IF($S297=MesCiclo,InicioCiclo,$S297+MOD(2-WEEKDAY($S297),7))+6),1,IF(ISNUMBER($I297),$I297,0)))</f>
        <v/>
      </c>
      <c r="AA297" s="62">
        <f>IF($V297="","",IF(AND(ISNUMBER($G297),$G297&lt;=IF($S297=MesCiclo,InicioCiclo,$S297+MOD(2-WEEKDAY($S297),7))+13),1,IF(ISNUMBER($J297),$J297,$Z297)))</f>
        <v/>
      </c>
      <c r="AB297" s="62">
        <f>IF($V297="","",IF(AND(ISNUMBER($G297),$G297&lt;=IF($S297=MesCiclo,InicioCiclo,$S297+MOD(2-WEEKDAY($S297),7))+20),1,IF(ISNUMBER($K297),$K297,$AA297)))</f>
        <v/>
      </c>
      <c r="AC297" s="62">
        <f>IF($V297="","",IF(AND(ISNUMBER($G297),$G297&lt;=IF($S297=MesCiclo,InicioCiclo,$S297+MOD(2-WEEKDAY($S297),7))+27),1,IF(ISNUMBER($L297),$L297,$AB297)))</f>
        <v/>
      </c>
      <c r="AD297" s="62">
        <f>IF($V297&lt;&gt;"Sub","",N($X297)*IF(AND(ISNUMBER($G297),$G297&lt;=IF($S297=MesCiclo,InicioCiclo,$S297+MOD(2-WEEKDAY($S297),7))+6),1,MIN(1,MAX(0,IF(ISNUMBER(OFFSET($A$1,ROW()-1,8)),OFFSET($A$1,ROW()-1,8),0)))))</f>
        <v/>
      </c>
      <c r="AE297" s="62">
        <f>IF($V297&lt;&gt;"Sub","",N($X297)*IF(AND(ISNUMBER($G297),$G297&lt;=IF($S297=MesCiclo,InicioCiclo,$S297+MOD(2-WEEKDAY($S297),7))+13),1,MIN(1,MAX(0,IF(ISNUMBER(OFFSET($A$1,ROW()-1,9)),OFFSET($A$1,ROW()-1,9),IF(ISNUMBER(OFFSET($A$1,ROW()-1,8)),OFFSET($A$1,ROW()-1,8),0))))))</f>
        <v/>
      </c>
      <c r="AF297" s="62">
        <f>IF($V297&lt;&gt;"Sub","",N($X297)*IF(AND(ISNUMBER($G297),$G297&lt;=IF($S297=MesCiclo,InicioCiclo,$S297+MOD(2-WEEKDAY($S297),7))+20),1,MIN(1,MAX(0,IF(ISNUMBER(OFFSET($A$1,ROW()-1,10)),OFFSET($A$1,ROW()-1,10),IF(ISNUMBER(OFFSET($A$1,ROW()-1,9)),OFFSET($A$1,ROW()-1,9),IF(ISNUMBER(OFFSET($A$1,ROW()-1,8)),OFFSET($A$1,ROW()-1,8),0)))))))</f>
        <v/>
      </c>
      <c r="AG297" s="62">
        <f>IF($V297&lt;&gt;"Sub","",N($X297)*IF(AND(ISNUMBER($G297),$G297&lt;=IF($S297=MesCiclo,InicioCiclo,$S297+MOD(2-WEEKDAY($S297),7))+27),1,MIN(1,MAX(0,IF(ISNUMBER(OFFSET($A$1,ROW()-1,11)),OFFSET($A$1,ROW()-1,11),IF(ISNUMBER(OFFSET($A$1,ROW()-1,10)),OFFSET($A$1,ROW()-1,10),IF(ISNUMBER(OFFSET($A$1,ROW()-1,9)),OFFSET($A$1,ROW()-1,9),IF(ISNUMBER(OFFSET($A$1,ROW()-1,8)),OFFSET($A$1,ROW()-1,8),0))))))))</f>
        <v/>
      </c>
      <c r="AH297" s="62">
        <f>IF($V297="","",IF(AND(ISNUMBER($G297),$G297&lt;=IF($S297=MesCiclo,InicioCiclo,$S297+MOD(2-WEEKDAY($S297),7))+6),1,IF(N($W297)&gt;0,MIN(1,SUMIFS($AD$5:$AD$1000,$U$5:$U$1000,ROW(),$V$5:$V$1000,"Sub")),$Z297)))</f>
        <v/>
      </c>
      <c r="AI297" s="62">
        <f>IF($V297="","",IF(AND(ISNUMBER($G297),$G297&lt;=IF($S297=MesCiclo,InicioCiclo,$S297+MOD(2-WEEKDAY($S297),7))+13),1,IF(N($W297)&gt;0,MIN(1,SUMIFS($AE$5:$AE$1000,$U$5:$U$1000,ROW(),$V$5:$V$1000,"Sub")),$AA297)))</f>
        <v/>
      </c>
      <c r="AJ297" s="62">
        <f>IF($V297="","",IF(AND(ISNUMBER($G297),$G297&lt;=IF($S297=MesCiclo,InicioCiclo,$S297+MOD(2-WEEKDAY($S297),7))+20),1,IF(N($W297)&gt;0,MIN(1,SUMIFS($AF$5:$AF$1000,$U$5:$U$1000,ROW(),$V$5:$V$1000,"Sub")),$AB297)))</f>
        <v/>
      </c>
      <c r="AK297" s="62">
        <f>IF($V297="","",IF(AND(ISNUMBER($G297),$G297&lt;=IF($S297=MesCiclo,InicioCiclo,$S297+MOD(2-WEEKDAY($S297),7))+27),1,IF(N($W297)&gt;0,MIN(1,SUMIFS($AG$5:$AG$1000,$U$5:$U$1000,ROW(),$V$5:$V$1000,"Sub")),$AC297)))</f>
        <v/>
      </c>
      <c r="AL297" s="62">
        <f>IF($V297&lt;&gt;"Macro","",IF(COUNTIFS($S$5:$S$1000,$S297,$V$5:$V$1000,"Macro",$H$5:$H$1000,"&gt;0")=0,1/COUNTIFS($S$5:$S$1000,$S297,$V$5:$V$1000,"Macro"),IF(AND(ISNUMBER($H297),N($H297)&gt;0),$H297,SUMIFS($H$5:$H$1000,$S$5:$S$1000,$S297,$V$5:$V$1000,"Macro")/COUNTIFS($S$5:$S$1000,$S297,$V$5:$V$1000,"Macro",$H$5:$H$1000,"&gt;0"))/(COUNTIFS($S$5:$S$1000,$S297,$V$5:$V$1000,"Macro")*SUMIFS($H$5:$H$1000,$S$5:$S$1000,$S297,$V$5:$V$1000,"Macro")/COUNTIFS($S$5:$S$1000,$S297,$V$5:$V$1000,"Macro",$H$5:$H$1000,"&gt;0"))))</f>
        <v/>
      </c>
      <c r="AM297" s="62" t="n"/>
      <c r="AN297" s="62" t="n"/>
      <c r="AO297" s="62" t="n"/>
      <c r="AP297" s="62" t="n"/>
      <c r="AQ297" s="62">
        <f>IF(LEFT($C297,11)="[Jefatura] ",IFERROR(MATCH("Asistente Técnico de Riesgo|"&amp;MID($C297,12,500),rDname_ADM,0),0),"")</f>
        <v/>
      </c>
      <c r="AR297" s="62">
        <f>IF(N($AQ297)&gt;0,INDEX(rIni_ADM,$AQ297),IF(ISNUMBER($E297),$E297,""))</f>
        <v/>
      </c>
      <c r="AS297" s="62">
        <f>IF(N($AQ297)&gt;0,INDEX(rLim_ADM,$AQ297),IF(ISNUMBER($F297),$F297,""))</f>
        <v/>
      </c>
    </row>
    <row r="298">
      <c r="A298" s="56">
        <f>IF(NOT((COUNTA($B298:$D298)+COUNTA($G298:$H298)+COUNTA($Q298))&gt;0),"",IF($V298="Macro",COUNTIFS($V$5:$V298,"Macro",$S$5:$S298,$S298),IF(N($U298)=0,"?",COUNTIFS(INDEX($V$5:$V$1000,1):INDEX($V$5:$V$1000,$U298-4),"Macro",INDEX($S$5:$S$1000,1):INDEX($S$5:$S$1000,$U298-4),INDEX($S$5:$S$1000,$U298-4))&amp;"."&amp;COUNTIFS($U$5:$U298,$U298,$V$5:$V298,"Sub"))))</f>
        <v/>
      </c>
      <c r="B298" s="57" t="n"/>
      <c r="C298" s="58" t="n"/>
      <c r="D298" s="58" t="n"/>
      <c r="E298" s="59">
        <f>IF(N($AQ298)&gt;0,INDEX(rIni_ADM,$AQ298),"")</f>
        <v/>
      </c>
      <c r="F298" s="59">
        <f>IF(N($AQ298)&gt;0,INDEX(rLim_ADM,$AQ298),"")</f>
        <v/>
      </c>
      <c r="G298" s="59" t="n"/>
      <c r="H298" s="60" t="n"/>
      <c r="I298" s="60">
        <f>IF(N($W298)=0,"",IF(AND($S298=MesCiclo,1&gt;SemanaActual),"",MIN(1,SUMIFS(OFFSET($A$1,ROW(),29,1000-ROW(),1),OFFSET($A$1,ROW(),20,1000-ROW(),1),ROW(),OFFSET($A$1,ROW(),21,1000-ROW(),1),"Sub"))))</f>
        <v/>
      </c>
      <c r="J298" s="60">
        <f>IF(N($W298)=0,"",IF(AND($S298=MesCiclo,2&gt;SemanaActual),"",MIN(1,SUMIFS(OFFSET($A$1,ROW(),30,1000-ROW(),1),OFFSET($A$1,ROW(),20,1000-ROW(),1),ROW(),OFFSET($A$1,ROW(),21,1000-ROW(),1),"Sub"))))</f>
        <v/>
      </c>
      <c r="K298" s="60">
        <f>IF(N($W298)=0,"",IF(AND($S298=MesCiclo,3&gt;SemanaActual),"",MIN(1,SUMIFS(OFFSET($A$1,ROW(),31,1000-ROW(),1),OFFSET($A$1,ROW(),20,1000-ROW(),1),ROW(),OFFSET($A$1,ROW(),21,1000-ROW(),1),"Sub"))))</f>
        <v/>
      </c>
      <c r="L298" s="60">
        <f>IF(N($W298)=0,"",IF(AND($S298=MesCiclo,4&gt;SemanaActual),"",MIN(1,SUMIFS(OFFSET($A$1,ROW(),32,1000-ROW(),1),OFFSET($A$1,ROW(),20,1000-ROW(),1),ROW(),OFFSET($A$1,ROW(),21,1000-ROW(),1),"Sub"))))</f>
        <v/>
      </c>
      <c r="M298" s="61">
        <f>IF(OR(NOT((COUNTA($B298:$D298)+COUNTA($G298:$H298)+COUNTA($Q298))&gt;0),$V298="Sub"),"",IF(ISNUMBER($G298),1,IF(N($W298)&gt;0,MIN(1,SUMIFS($Y$5:$Y$1000,$U$5:$U$1000,ROW(),$V$5:$V$1000,"Sub")),$Y298)))</f>
        <v/>
      </c>
      <c r="N298" s="56">
        <f>IF(OR($M298="",$V298="Sub"),"",IF($M298&gt;=1,"Completado",IF($M298&gt;0,"En curso","Pendiente")))</f>
        <v/>
      </c>
      <c r="O298" s="56">
        <f>IF(OR(NOT((COUNTA($B298:$D298)+COUNTA($G298:$H298)+COUNTA($Q298))&gt;0),$V298="Sub"),"",IF(ISNUMBER($G298),IF(AND(ISNUMBER($AS298),$G298&gt;$AS298),"Cumplida con "&amp;($G298-$AS298)&amp;IF($G298-$AS298=1," día"," días")&amp;" de retraso","Cumplida"),IF(N($M298)&gt;=1,"Cumplida",IF(NOT(ISNUMBER($AS298)),"Sin fecha límite",IF($AS298&lt;FechaRef,"Vencida hace "&amp;(FechaRef-$AS298)&amp;IF(FechaRef-$AS298=1," día"," días"),IF($AS298=FechaRef,"Vence hoy",IF($AS298-FechaRef&lt;=DiasAlerta,"Vence en "&amp;($AS298-FechaRef)&amp;IF($AS298-FechaRef=1," día"," días"),"En plazo")))))))</f>
        <v/>
      </c>
      <c r="P298" s="62" t="n"/>
      <c r="Q298" s="58" t="n"/>
      <c r="R298" s="63">
        <f>IF(NOT((COUNTA($B298:$D298)+COUNTA($G298:$H298)+COUNTA($Q298))&gt;0),"",IF((IF($C298="","Falta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 OK","⚠ "&amp;LEFT(IF($C298="","Falta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",""),LEN(IF($C298="","Falta el nombre de la actividad"&amp;" · ","")&amp;IF(AND($V298="Sub",N($U298)=0),"Subactividad sin macroactividad arriba"&amp;" · ","")&amp;IF(AND($V298="Macro",$AR298=""),"Sin fecha de inicio"&amp;" · ","")&amp;IF(AND($V298="Macro",$AS298=""),"Sin fecha límite"&amp;" · ","")&amp;IF(AND(LEFT($C298,11)="[Jefatura] ",N($AQ298)=0),"No se encuentra en la hoja de la jefatura (elíjala de nuevo en la lista)"&amp;" · ","")&amp;IF(OR(AND($E298&lt;&gt;"",NOT(ISNUMBER($E298))),AND($F298&lt;&gt;"",NOT(ISNUMBER($F298))),AND($G298&lt;&gt;"",NOT(ISNUMBER($G298)))),"Fecha no válida"&amp;" · ","")&amp;IF(AND(ISNUMBER($AR298),ISNUMBER($AS298),$AR298&gt;$AS298),"Inicio posterior a fecha límite"&amp;" · ","")&amp;IF(AND($V298="Macro",$H298&lt;&gt;"",OR(NOT(ISNUMBER($H298)),$H298&lt;0,$H298&gt;1)),"Peso fuera de rango"&amp;" · ","")&amp;IF(AND($V298="Sub",$H298&lt;&gt;"",OR(NOT(ISNUMBER($H298)),$H298&lt;0,$H298&gt;1)),"% de la subactividad fuera de rango 0-100%"&amp;" · ","")&amp;IF(AND(N($W298)&gt;0,SUMIFS($H$5:$H$1000,$U$5:$U$1000,ROW(),$V$5:$V$1000,"Sub")&gt;1.0001),"Las subactividades suman más de 100%"&amp;" · ","")&amp;IF(AND(N($W298)&gt;0,OR(IF(ISNUMBER($I298),ROUND($I298,6)&lt;&gt;ROUND(MIN(1,SUMIFS($AD$5:$AD$1000,$U$5:$U$1000,ROW(),$V$5:$V$1000,"Sub")),6),FALSE),IF(ISNUMBER($J298),ROUND($J298,6)&lt;&gt;ROUND(MIN(1,SUMIFS($AE$5:$AE$1000,$U$5:$U$1000,ROW(),$V$5:$V$1000,"Sub")),6),FALSE),IF(ISNUMBER($K298),ROUND($K298,6)&lt;&gt;ROUND(MIN(1,SUMIFS($AF$5:$AF$1000,$U$5:$U$1000,ROW(),$V$5:$V$1000,"Sub")),6),FALSE),IF(ISNUMBER($L298),ROUND($L298,6)&lt;&gt;ROUND(MIN(1,SUMIFS($AG$5:$AG$1000,$U$5:$U$1000,ROW(),$V$5:$V$1000,"Sub")),6),FALSE))),"Con subactividades: no escriba en las semanas (se llenan solas)"&amp;" · ","")&amp;IF((COUNTIF($I298:$L298,"&gt;1")+COUNTIF($I298:$L298,"&lt;0")+SUMPRODUCT((LEN($I298:$L298)&gt;0)*NOT(ISNUMBER($I298:$L298))))&gt;0,"Avance fuera de rango 0-100%"&amp;" · ","")&amp;IF(OR(AND(ISNUMBER($J298),$J298&lt;N($I298)),AND(ISNUMBER($K298),$K298&lt;MAX($I298:$J298)),AND(ISNUMBER($L298),$L298&lt;MAX($I298:$K298))),"Avance semanal decreciente"&amp;" · ","")&amp;IF(AND(ISNUMBER($AS298),$AS298&lt;FechaRef,IF($V298="Sub",1,N($M298))&lt;1),"Vencida"&amp;" · ","")&amp;IF(AND(ObsObligatoria="Sí",ISNUMBER($AS298),$AS298&lt;FechaRef,IF($V298="Sub",1,N($M298))&lt;1,$Q298=""),"Vencida sin observación"&amp;" · ",""))-3)))</f>
        <v/>
      </c>
      <c r="S298" s="64">
        <f>IF(NOT((COUNTA($B298:$D298)+COUNTA($G298:$H298)+COUNTA($Q298))&gt;0),"",IF(AND($V298="Sub",N($U298)&gt;0),IF(ISNUMBER(INDEX($AR$5:$AR$1000,$U298-4)),DATE(YEAR(INDEX($AR$5:$AR$1000,$U298-4)),MONTH(INDEX($AR$5:$AR$1000,$U298-4)),1),IF(ISNUMBER(INDEX($AS$5:$AS$1000,$U298-4)),DATE(YEAR(INDEX($AS$5:$AS$1000,$U298-4)),MONTH(INDEX($AS$5:$AS$1000,$U298-4)),1),MesCiclo)),IF(ISNUMBER($AR298),DATE(YEAR($AR298),MONTH($AR298),1),IF(ISNUMBER($AS298),DATE(YEAR($AS298),MONTH($AS298),1),MesCiclo))))</f>
        <v/>
      </c>
      <c r="T298" s="62">
        <f>IF(OR($S298="",$S298&lt;&gt;MesCiclo,$V298&lt;&gt;"Macro"),"",COUNTIFS($S$5:$S298,MesCiclo,$V$5:$V298,"Macro"))</f>
        <v/>
      </c>
      <c r="U298" s="62">
        <f>IF($V298="","",IF($V298="Macro",ROW(),IFERROR(LOOKUP(2,1/($V$5:$V298="Macro"),ROW($V$5:$V298)),0)))</f>
        <v/>
      </c>
      <c r="V298" s="62">
        <f>IF(NOT((COUNTA($B298:$D298)+COUNTA($G298:$H298)+COUNTA($Q298))&gt;0),"",IF($B298="Subactividad","Sub","Macro"))</f>
        <v/>
      </c>
      <c r="W298" s="62">
        <f>IF($V298="Macro",COUNTIFS($U$5:$U$1000,ROW(),$V$5:$V$1000,"Sub"),"")</f>
        <v/>
      </c>
      <c r="X298" s="62">
        <f>IF($V298&lt;&gt;"Sub","",IF(AND(ISNUMBER($H298),N($H298)&gt;0),$H298,IFERROR(MAX(0,1-SUMIFS($H$5:$H$1000,$U$5:$U$1000,$U298,$V$5:$V$1000,"Sub"))/(COUNTIFS($U$5:$U$1000,$U298,$V$5:$V$1000,"Sub")-COUNTIFS($U$5:$U$1000,$U298,$V$5:$V$1000,"Sub",$H$5:$H$1000,"&gt;0")),0)))</f>
        <v/>
      </c>
      <c r="Y298" s="62">
        <f>IF($V298="","",IF($V298="Sub",N($X298)*IF(ISNUMBER($G298),1,MIN(1,MAX(0,IFERROR(LOOKUP(2,1/ISNUMBER($I298:$L298),$I298:$L298),0)))),IF(ISNUMBER($G298),1,IFERROR(LOOKUP(2,1/($I298:$L298&lt;&gt;""),$I298:$L298),0))))</f>
        <v/>
      </c>
      <c r="Z298" s="62">
        <f>IF($V298="","",IF(AND(ISNUMBER($G298),$G298&lt;=IF($S298=MesCiclo,InicioCiclo,$S298+MOD(2-WEEKDAY($S298),7))+6),1,IF(ISNUMBER($I298),$I298,0)))</f>
        <v/>
      </c>
      <c r="AA298" s="62">
        <f>IF($V298="","",IF(AND(ISNUMBER($G298),$G298&lt;=IF($S298=MesCiclo,InicioCiclo,$S298+MOD(2-WEEKDAY($S298),7))+13),1,IF(ISNUMBER($J298),$J298,$Z298)))</f>
        <v/>
      </c>
      <c r="AB298" s="62">
        <f>IF($V298="","",IF(AND(ISNUMBER($G298),$G298&lt;=IF($S298=MesCiclo,InicioCiclo,$S298+MOD(2-WEEKDAY($S298),7))+20),1,IF(ISNUMBER($K298),$K298,$AA298)))</f>
        <v/>
      </c>
      <c r="AC298" s="62">
        <f>IF($V298="","",IF(AND(ISNUMBER($G298),$G298&lt;=IF($S298=MesCiclo,InicioCiclo,$S298+MOD(2-WEEKDAY($S298),7))+27),1,IF(ISNUMBER($L298),$L298,$AB298)))</f>
        <v/>
      </c>
      <c r="AD298" s="62">
        <f>IF($V298&lt;&gt;"Sub","",N($X298)*IF(AND(ISNUMBER($G298),$G298&lt;=IF($S298=MesCiclo,InicioCiclo,$S298+MOD(2-WEEKDAY($S298),7))+6),1,MIN(1,MAX(0,IF(ISNUMBER(OFFSET($A$1,ROW()-1,8)),OFFSET($A$1,ROW()-1,8),0)))))</f>
        <v/>
      </c>
      <c r="AE298" s="62">
        <f>IF($V298&lt;&gt;"Sub","",N($X298)*IF(AND(ISNUMBER($G298),$G298&lt;=IF($S298=MesCiclo,InicioCiclo,$S298+MOD(2-WEEKDAY($S298),7))+13),1,MIN(1,MAX(0,IF(ISNUMBER(OFFSET($A$1,ROW()-1,9)),OFFSET($A$1,ROW()-1,9),IF(ISNUMBER(OFFSET($A$1,ROW()-1,8)),OFFSET($A$1,ROW()-1,8),0))))))</f>
        <v/>
      </c>
      <c r="AF298" s="62">
        <f>IF($V298&lt;&gt;"Sub","",N($X298)*IF(AND(ISNUMBER($G298),$G298&lt;=IF($S298=MesCiclo,InicioCiclo,$S298+MOD(2-WEEKDAY($S298),7))+20),1,MIN(1,MAX(0,IF(ISNUMBER(OFFSET($A$1,ROW()-1,10)),OFFSET($A$1,ROW()-1,10),IF(ISNUMBER(OFFSET($A$1,ROW()-1,9)),OFFSET($A$1,ROW()-1,9),IF(ISNUMBER(OFFSET($A$1,ROW()-1,8)),OFFSET($A$1,ROW()-1,8),0)))))))</f>
        <v/>
      </c>
      <c r="AG298" s="62">
        <f>IF($V298&lt;&gt;"Sub","",N($X298)*IF(AND(ISNUMBER($G298),$G298&lt;=IF($S298=MesCiclo,InicioCiclo,$S298+MOD(2-WEEKDAY($S298),7))+27),1,MIN(1,MAX(0,IF(ISNUMBER(OFFSET($A$1,ROW()-1,11)),OFFSET($A$1,ROW()-1,11),IF(ISNUMBER(OFFSET($A$1,ROW()-1,10)),OFFSET($A$1,ROW()-1,10),IF(ISNUMBER(OFFSET($A$1,ROW()-1,9)),OFFSET($A$1,ROW()-1,9),IF(ISNUMBER(OFFSET($A$1,ROW()-1,8)),OFFSET($A$1,ROW()-1,8),0))))))))</f>
        <v/>
      </c>
      <c r="AH298" s="62">
        <f>IF($V298="","",IF(AND(ISNUMBER($G298),$G298&lt;=IF($S298=MesCiclo,InicioCiclo,$S298+MOD(2-WEEKDAY($S298),7))+6),1,IF(N($W298)&gt;0,MIN(1,SUMIFS($AD$5:$AD$1000,$U$5:$U$1000,ROW(),$V$5:$V$1000,"Sub")),$Z298)))</f>
        <v/>
      </c>
      <c r="AI298" s="62">
        <f>IF($V298="","",IF(AND(ISNUMBER($G298),$G298&lt;=IF($S298=MesCiclo,InicioCiclo,$S298+MOD(2-WEEKDAY($S298),7))+13),1,IF(N($W298)&gt;0,MIN(1,SUMIFS($AE$5:$AE$1000,$U$5:$U$1000,ROW(),$V$5:$V$1000,"Sub")),$AA298)))</f>
        <v/>
      </c>
      <c r="AJ298" s="62">
        <f>IF($V298="","",IF(AND(ISNUMBER($G298),$G298&lt;=IF($S298=MesCiclo,InicioCiclo,$S298+MOD(2-WEEKDAY($S298),7))+20),1,IF(N($W298)&gt;0,MIN(1,SUMIFS($AF$5:$AF$1000,$U$5:$U$1000,ROW(),$V$5:$V$1000,"Sub")),$AB298)))</f>
        <v/>
      </c>
      <c r="AK298" s="62">
        <f>IF($V298="","",IF(AND(ISNUMBER($G298),$G298&lt;=IF($S298=MesCiclo,InicioCiclo,$S298+MOD(2-WEEKDAY($S298),7))+27),1,IF(N($W298)&gt;0,MIN(1,SUMIFS($AG$5:$AG$1000,$U$5:$U$1000,ROW(),$V$5:$V$1000,"Sub")),$AC298)))</f>
        <v/>
      </c>
      <c r="AL298" s="62">
        <f>IF($V298&lt;&gt;"Macro","",IF(COUNTIFS($S$5:$S$1000,$S298,$V$5:$V$1000,"Macro",$H$5:$H$1000,"&gt;0")=0,1/COUNTIFS($S$5:$S$1000,$S298,$V$5:$V$1000,"Macro"),IF(AND(ISNUMBER($H298),N($H298)&gt;0),$H298,SUMIFS($H$5:$H$1000,$S$5:$S$1000,$S298,$V$5:$V$1000,"Macro")/COUNTIFS($S$5:$S$1000,$S298,$V$5:$V$1000,"Macro",$H$5:$H$1000,"&gt;0"))/(COUNTIFS($S$5:$S$1000,$S298,$V$5:$V$1000,"Macro")*SUMIFS($H$5:$H$1000,$S$5:$S$1000,$S298,$V$5:$V$1000,"Macro")/COUNTIFS($S$5:$S$1000,$S298,$V$5:$V$1000,"Macro",$H$5:$H$1000,"&gt;0"))))</f>
        <v/>
      </c>
      <c r="AM298" s="62" t="n"/>
      <c r="AN298" s="62" t="n"/>
      <c r="AO298" s="62" t="n"/>
      <c r="AP298" s="62" t="n"/>
      <c r="AQ298" s="62">
        <f>IF(LEFT($C298,11)="[Jefatura] ",IFERROR(MATCH("Asistente Técnico de Riesgo|"&amp;MID($C298,12,500),rDname_ADM,0),0),"")</f>
        <v/>
      </c>
      <c r="AR298" s="62">
        <f>IF(N($AQ298)&gt;0,INDEX(rIni_ADM,$AQ298),IF(ISNUMBER($E298),$E298,""))</f>
        <v/>
      </c>
      <c r="AS298" s="62">
        <f>IF(N($AQ298)&gt;0,INDEX(rLim_ADM,$AQ298),IF(ISNUMBER($F298),$F298,""))</f>
        <v/>
      </c>
    </row>
    <row r="299">
      <c r="A299" s="56">
        <f>IF(NOT((COUNTA($B299:$D299)+COUNTA($G299:$H299)+COUNTA($Q299))&gt;0),"",IF($V299="Macro",COUNTIFS($V$5:$V299,"Macro",$S$5:$S299,$S299),IF(N($U299)=0,"?",COUNTIFS(INDEX($V$5:$V$1000,1):INDEX($V$5:$V$1000,$U299-4),"Macro",INDEX($S$5:$S$1000,1):INDEX($S$5:$S$1000,$U299-4),INDEX($S$5:$S$1000,$U299-4))&amp;"."&amp;COUNTIFS($U$5:$U299,$U299,$V$5:$V299,"Sub"))))</f>
        <v/>
      </c>
      <c r="B299" s="57" t="n"/>
      <c r="C299" s="58" t="n"/>
      <c r="D299" s="58" t="n"/>
      <c r="E299" s="59">
        <f>IF(N($AQ299)&gt;0,INDEX(rIni_ADM,$AQ299),"")</f>
        <v/>
      </c>
      <c r="F299" s="59">
        <f>IF(N($AQ299)&gt;0,INDEX(rLim_ADM,$AQ299),"")</f>
        <v/>
      </c>
      <c r="G299" s="59" t="n"/>
      <c r="H299" s="60" t="n"/>
      <c r="I299" s="60">
        <f>IF(N($W299)=0,"",IF(AND($S299=MesCiclo,1&gt;SemanaActual),"",MIN(1,SUMIFS(OFFSET($A$1,ROW(),29,1000-ROW(),1),OFFSET($A$1,ROW(),20,1000-ROW(),1),ROW(),OFFSET($A$1,ROW(),21,1000-ROW(),1),"Sub"))))</f>
        <v/>
      </c>
      <c r="J299" s="60">
        <f>IF(N($W299)=0,"",IF(AND($S299=MesCiclo,2&gt;SemanaActual),"",MIN(1,SUMIFS(OFFSET($A$1,ROW(),30,1000-ROW(),1),OFFSET($A$1,ROW(),20,1000-ROW(),1),ROW(),OFFSET($A$1,ROW(),21,1000-ROW(),1),"Sub"))))</f>
        <v/>
      </c>
      <c r="K299" s="60">
        <f>IF(N($W299)=0,"",IF(AND($S299=MesCiclo,3&gt;SemanaActual),"",MIN(1,SUMIFS(OFFSET($A$1,ROW(),31,1000-ROW(),1),OFFSET($A$1,ROW(),20,1000-ROW(),1),ROW(),OFFSET($A$1,ROW(),21,1000-ROW(),1),"Sub"))))</f>
        <v/>
      </c>
      <c r="L299" s="60">
        <f>IF(N($W299)=0,"",IF(AND($S299=MesCiclo,4&gt;SemanaActual),"",MIN(1,SUMIFS(OFFSET($A$1,ROW(),32,1000-ROW(),1),OFFSET($A$1,ROW(),20,1000-ROW(),1),ROW(),OFFSET($A$1,ROW(),21,1000-ROW(),1),"Sub"))))</f>
        <v/>
      </c>
      <c r="M299" s="61">
        <f>IF(OR(NOT((COUNTA($B299:$D299)+COUNTA($G299:$H299)+COUNTA($Q299))&gt;0),$V299="Sub"),"",IF(ISNUMBER($G299),1,IF(N($W299)&gt;0,MIN(1,SUMIFS($Y$5:$Y$1000,$U$5:$U$1000,ROW(),$V$5:$V$1000,"Sub")),$Y299)))</f>
        <v/>
      </c>
      <c r="N299" s="56">
        <f>IF(OR($M299="",$V299="Sub"),"",IF($M299&gt;=1,"Completado",IF($M299&gt;0,"En curso","Pendiente")))</f>
        <v/>
      </c>
      <c r="O299" s="56">
        <f>IF(OR(NOT((COUNTA($B299:$D299)+COUNTA($G299:$H299)+COUNTA($Q299))&gt;0),$V299="Sub"),"",IF(ISNUMBER($G299),IF(AND(ISNUMBER($AS299),$G299&gt;$AS299),"Cumplida con "&amp;($G299-$AS299)&amp;IF($G299-$AS299=1," día"," días")&amp;" de retraso","Cumplida"),IF(N($M299)&gt;=1,"Cumplida",IF(NOT(ISNUMBER($AS299)),"Sin fecha límite",IF($AS299&lt;FechaRef,"Vencida hace "&amp;(FechaRef-$AS299)&amp;IF(FechaRef-$AS299=1," día"," días"),IF($AS299=FechaRef,"Vence hoy",IF($AS299-FechaRef&lt;=DiasAlerta,"Vence en "&amp;($AS299-FechaRef)&amp;IF($AS299-FechaRef=1," día"," días"),"En plazo")))))))</f>
        <v/>
      </c>
      <c r="P299" s="62" t="n"/>
      <c r="Q299" s="58" t="n"/>
      <c r="R299" s="63">
        <f>IF(NOT((COUNTA($B299:$D299)+COUNTA($G299:$H299)+COUNTA($Q299))&gt;0),"",IF((IF($C299="","Falta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 OK","⚠ "&amp;LEFT(IF($C299="","Falta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",""),LEN(IF($C299="","Falta el nombre de la actividad"&amp;" · ","")&amp;IF(AND($V299="Sub",N($U299)=0),"Subactividad sin macroactividad arriba"&amp;" · ","")&amp;IF(AND($V299="Macro",$AR299=""),"Sin fecha de inicio"&amp;" · ","")&amp;IF(AND($V299="Macro",$AS299=""),"Sin fecha límite"&amp;" · ","")&amp;IF(AND(LEFT($C299,11)="[Jefatura] ",N($AQ299)=0),"No se encuentra en la hoja de la jefatura (elíjala de nuevo en la lista)"&amp;" · ","")&amp;IF(OR(AND($E299&lt;&gt;"",NOT(ISNUMBER($E299))),AND($F299&lt;&gt;"",NOT(ISNUMBER($F299))),AND($G299&lt;&gt;"",NOT(ISNUMBER($G299)))),"Fecha no válida"&amp;" · ","")&amp;IF(AND(ISNUMBER($AR299),ISNUMBER($AS299),$AR299&gt;$AS299),"Inicio posterior a fecha límite"&amp;" · ","")&amp;IF(AND($V299="Macro",$H299&lt;&gt;"",OR(NOT(ISNUMBER($H299)),$H299&lt;0,$H299&gt;1)),"Peso fuera de rango"&amp;" · ","")&amp;IF(AND($V299="Sub",$H299&lt;&gt;"",OR(NOT(ISNUMBER($H299)),$H299&lt;0,$H299&gt;1)),"% de la subactividad fuera de rango 0-100%"&amp;" · ","")&amp;IF(AND(N($W299)&gt;0,SUMIFS($H$5:$H$1000,$U$5:$U$1000,ROW(),$V$5:$V$1000,"Sub")&gt;1.0001),"Las subactividades suman más de 100%"&amp;" · ","")&amp;IF(AND(N($W299)&gt;0,OR(IF(ISNUMBER($I299),ROUND($I299,6)&lt;&gt;ROUND(MIN(1,SUMIFS($AD$5:$AD$1000,$U$5:$U$1000,ROW(),$V$5:$V$1000,"Sub")),6),FALSE),IF(ISNUMBER($J299),ROUND($J299,6)&lt;&gt;ROUND(MIN(1,SUMIFS($AE$5:$AE$1000,$U$5:$U$1000,ROW(),$V$5:$V$1000,"Sub")),6),FALSE),IF(ISNUMBER($K299),ROUND($K299,6)&lt;&gt;ROUND(MIN(1,SUMIFS($AF$5:$AF$1000,$U$5:$U$1000,ROW(),$V$5:$V$1000,"Sub")),6),FALSE),IF(ISNUMBER($L299),ROUND($L299,6)&lt;&gt;ROUND(MIN(1,SUMIFS($AG$5:$AG$1000,$U$5:$U$1000,ROW(),$V$5:$V$1000,"Sub")),6),FALSE))),"Con subactividades: no escriba en las semanas (se llenan solas)"&amp;" · ","")&amp;IF((COUNTIF($I299:$L299,"&gt;1")+COUNTIF($I299:$L299,"&lt;0")+SUMPRODUCT((LEN($I299:$L299)&gt;0)*NOT(ISNUMBER($I299:$L299))))&gt;0,"Avance fuera de rango 0-100%"&amp;" · ","")&amp;IF(OR(AND(ISNUMBER($J299),$J299&lt;N($I299)),AND(ISNUMBER($K299),$K299&lt;MAX($I299:$J299)),AND(ISNUMBER($L299),$L299&lt;MAX($I299:$K299))),"Avance semanal decreciente"&amp;" · ","")&amp;IF(AND(ISNUMBER($AS299),$AS299&lt;FechaRef,IF($V299="Sub",1,N($M299))&lt;1),"Vencida"&amp;" · ","")&amp;IF(AND(ObsObligatoria="Sí",ISNUMBER($AS299),$AS299&lt;FechaRef,IF($V299="Sub",1,N($M299))&lt;1,$Q299=""),"Vencida sin observación"&amp;" · ",""))-3)))</f>
        <v/>
      </c>
      <c r="S299" s="64">
        <f>IF(NOT((COUNTA($B299:$D299)+COUNTA($G299:$H299)+COUNTA($Q299))&gt;0),"",IF(AND($V299="Sub",N($U299)&gt;0),IF(ISNUMBER(INDEX($AR$5:$AR$1000,$U299-4)),DATE(YEAR(INDEX($AR$5:$AR$1000,$U299-4)),MONTH(INDEX($AR$5:$AR$1000,$U299-4)),1),IF(ISNUMBER(INDEX($AS$5:$AS$1000,$U299-4)),DATE(YEAR(INDEX($AS$5:$AS$1000,$U299-4)),MONTH(INDEX($AS$5:$AS$1000,$U299-4)),1),MesCiclo)),IF(ISNUMBER($AR299),DATE(YEAR($AR299),MONTH($AR299),1),IF(ISNUMBER($AS299),DATE(YEAR($AS299),MONTH($AS299),1),MesCiclo))))</f>
        <v/>
      </c>
      <c r="T299" s="62">
        <f>IF(OR($S299="",$S299&lt;&gt;MesCiclo,$V299&lt;&gt;"Macro"),"",COUNTIFS($S$5:$S299,MesCiclo,$V$5:$V299,"Macro"))</f>
        <v/>
      </c>
      <c r="U299" s="62">
        <f>IF($V299="","",IF($V299="Macro",ROW(),IFERROR(LOOKUP(2,1/($V$5:$V299="Macro"),ROW($V$5:$V299)),0)))</f>
        <v/>
      </c>
      <c r="V299" s="62">
        <f>IF(NOT((COUNTA($B299:$D299)+COUNTA($G299:$H299)+COUNTA($Q299))&gt;0),"",IF($B299="Subactividad","Sub","Macro"))</f>
        <v/>
      </c>
      <c r="W299" s="62">
        <f>IF($V299="Macro",COUNTIFS($U$5:$U$1000,ROW(),$V$5:$V$1000,"Sub"),"")</f>
        <v/>
      </c>
      <c r="X299" s="62">
        <f>IF($V299&lt;&gt;"Sub","",IF(AND(ISNUMBER($H299),N($H299)&gt;0),$H299,IFERROR(MAX(0,1-SUMIFS($H$5:$H$1000,$U$5:$U$1000,$U299,$V$5:$V$1000,"Sub"))/(COUNTIFS($U$5:$U$1000,$U299,$V$5:$V$1000,"Sub")-COUNTIFS($U$5:$U$1000,$U299,$V$5:$V$1000,"Sub",$H$5:$H$1000,"&gt;0")),0)))</f>
        <v/>
      </c>
      <c r="Y299" s="62">
        <f>IF($V299="","",IF($V299="Sub",N($X299)*IF(ISNUMBER($G299),1,MIN(1,MAX(0,IFERROR(LOOKUP(2,1/ISNUMBER($I299:$L299),$I299:$L299),0)))),IF(ISNUMBER($G299),1,IFERROR(LOOKUP(2,1/($I299:$L299&lt;&gt;""),$I299:$L299),0))))</f>
        <v/>
      </c>
      <c r="Z299" s="62">
        <f>IF($V299="","",IF(AND(ISNUMBER($G299),$G299&lt;=IF($S299=MesCiclo,InicioCiclo,$S299+MOD(2-WEEKDAY($S299),7))+6),1,IF(ISNUMBER($I299),$I299,0)))</f>
        <v/>
      </c>
      <c r="AA299" s="62">
        <f>IF($V299="","",IF(AND(ISNUMBER($G299),$G299&lt;=IF($S299=MesCiclo,InicioCiclo,$S299+MOD(2-WEEKDAY($S299),7))+13),1,IF(ISNUMBER($J299),$J299,$Z299)))</f>
        <v/>
      </c>
      <c r="AB299" s="62">
        <f>IF($V299="","",IF(AND(ISNUMBER($G299),$G299&lt;=IF($S299=MesCiclo,InicioCiclo,$S299+MOD(2-WEEKDAY($S299),7))+20),1,IF(ISNUMBER($K299),$K299,$AA299)))</f>
        <v/>
      </c>
      <c r="AC299" s="62">
        <f>IF($V299="","",IF(AND(ISNUMBER($G299),$G299&lt;=IF($S299=MesCiclo,InicioCiclo,$S299+MOD(2-WEEKDAY($S299),7))+27),1,IF(ISNUMBER($L299),$L299,$AB299)))</f>
        <v/>
      </c>
      <c r="AD299" s="62">
        <f>IF($V299&lt;&gt;"Sub","",N($X299)*IF(AND(ISNUMBER($G299),$G299&lt;=IF($S299=MesCiclo,InicioCiclo,$S299+MOD(2-WEEKDAY($S299),7))+6),1,MIN(1,MAX(0,IF(ISNUMBER(OFFSET($A$1,ROW()-1,8)),OFFSET($A$1,ROW()-1,8),0)))))</f>
        <v/>
      </c>
      <c r="AE299" s="62">
        <f>IF($V299&lt;&gt;"Sub","",N($X299)*IF(AND(ISNUMBER($G299),$G299&lt;=IF($S299=MesCiclo,InicioCiclo,$S299+MOD(2-WEEKDAY($S299),7))+13),1,MIN(1,MAX(0,IF(ISNUMBER(OFFSET($A$1,ROW()-1,9)),OFFSET($A$1,ROW()-1,9),IF(ISNUMBER(OFFSET($A$1,ROW()-1,8)),OFFSET($A$1,ROW()-1,8),0))))))</f>
        <v/>
      </c>
      <c r="AF299" s="62">
        <f>IF($V299&lt;&gt;"Sub","",N($X299)*IF(AND(ISNUMBER($G299),$G299&lt;=IF($S299=MesCiclo,InicioCiclo,$S299+MOD(2-WEEKDAY($S299),7))+20),1,MIN(1,MAX(0,IF(ISNUMBER(OFFSET($A$1,ROW()-1,10)),OFFSET($A$1,ROW()-1,10),IF(ISNUMBER(OFFSET($A$1,ROW()-1,9)),OFFSET($A$1,ROW()-1,9),IF(ISNUMBER(OFFSET($A$1,ROW()-1,8)),OFFSET($A$1,ROW()-1,8),0)))))))</f>
        <v/>
      </c>
      <c r="AG299" s="62">
        <f>IF($V299&lt;&gt;"Sub","",N($X299)*IF(AND(ISNUMBER($G299),$G299&lt;=IF($S299=MesCiclo,InicioCiclo,$S299+MOD(2-WEEKDAY($S299),7))+27),1,MIN(1,MAX(0,IF(ISNUMBER(OFFSET($A$1,ROW()-1,11)),OFFSET($A$1,ROW()-1,11),IF(ISNUMBER(OFFSET($A$1,ROW()-1,10)),OFFSET($A$1,ROW()-1,10),IF(ISNUMBER(OFFSET($A$1,ROW()-1,9)),OFFSET($A$1,ROW()-1,9),IF(ISNUMBER(OFFSET($A$1,ROW()-1,8)),OFFSET($A$1,ROW()-1,8),0))))))))</f>
        <v/>
      </c>
      <c r="AH299" s="62">
        <f>IF($V299="","",IF(AND(ISNUMBER($G299),$G299&lt;=IF($S299=MesCiclo,InicioCiclo,$S299+MOD(2-WEEKDAY($S299),7))+6),1,IF(N($W299)&gt;0,MIN(1,SUMIFS($AD$5:$AD$1000,$U$5:$U$1000,ROW(),$V$5:$V$1000,"Sub")),$Z299)))</f>
        <v/>
      </c>
      <c r="AI299" s="62">
        <f>IF($V299="","",IF(AND(ISNUMBER($G299),$G299&lt;=IF($S299=MesCiclo,InicioCiclo,$S299+MOD(2-WEEKDAY($S299),7))+13),1,IF(N($W299)&gt;0,MIN(1,SUMIFS($AE$5:$AE$1000,$U$5:$U$1000,ROW(),$V$5:$V$1000,"Sub")),$AA299)))</f>
        <v/>
      </c>
      <c r="AJ299" s="62">
        <f>IF($V299="","",IF(AND(ISNUMBER($G299),$G299&lt;=IF($S299=MesCiclo,InicioCiclo,$S299+MOD(2-WEEKDAY($S299),7))+20),1,IF(N($W299)&gt;0,MIN(1,SUMIFS($AF$5:$AF$1000,$U$5:$U$1000,ROW(),$V$5:$V$1000,"Sub")),$AB299)))</f>
        <v/>
      </c>
      <c r="AK299" s="62">
        <f>IF($V299="","",IF(AND(ISNUMBER($G299),$G299&lt;=IF($S299=MesCiclo,InicioCiclo,$S299+MOD(2-WEEKDAY($S299),7))+27),1,IF(N($W299)&gt;0,MIN(1,SUMIFS($AG$5:$AG$1000,$U$5:$U$1000,ROW(),$V$5:$V$1000,"Sub")),$AC299)))</f>
        <v/>
      </c>
      <c r="AL299" s="62">
        <f>IF($V299&lt;&gt;"Macro","",IF(COUNTIFS($S$5:$S$1000,$S299,$V$5:$V$1000,"Macro",$H$5:$H$1000,"&gt;0")=0,1/COUNTIFS($S$5:$S$1000,$S299,$V$5:$V$1000,"Macro"),IF(AND(ISNUMBER($H299),N($H299)&gt;0),$H299,SUMIFS($H$5:$H$1000,$S$5:$S$1000,$S299,$V$5:$V$1000,"Macro")/COUNTIFS($S$5:$S$1000,$S299,$V$5:$V$1000,"Macro",$H$5:$H$1000,"&gt;0"))/(COUNTIFS($S$5:$S$1000,$S299,$V$5:$V$1000,"Macro")*SUMIFS($H$5:$H$1000,$S$5:$S$1000,$S299,$V$5:$V$1000,"Macro")/COUNTIFS($S$5:$S$1000,$S299,$V$5:$V$1000,"Macro",$H$5:$H$1000,"&gt;0"))))</f>
        <v/>
      </c>
      <c r="AM299" s="62" t="n"/>
      <c r="AN299" s="62" t="n"/>
      <c r="AO299" s="62" t="n"/>
      <c r="AP299" s="62" t="n"/>
      <c r="AQ299" s="62">
        <f>IF(LEFT($C299,11)="[Jefatura] ",IFERROR(MATCH("Asistente Técnico de Riesgo|"&amp;MID($C299,12,500),rDname_ADM,0),0),"")</f>
        <v/>
      </c>
      <c r="AR299" s="62">
        <f>IF(N($AQ299)&gt;0,INDEX(rIni_ADM,$AQ299),IF(ISNUMBER($E299),$E299,""))</f>
        <v/>
      </c>
      <c r="AS299" s="62">
        <f>IF(N($AQ299)&gt;0,INDEX(rLim_ADM,$AQ299),IF(ISNUMBER($F299),$F299,""))</f>
        <v/>
      </c>
    </row>
    <row r="300">
      <c r="A300" s="56">
        <f>IF(NOT((COUNTA($B300:$D300)+COUNTA($G300:$H300)+COUNTA($Q300))&gt;0),"",IF($V300="Macro",COUNTIFS($V$5:$V300,"Macro",$S$5:$S300,$S300),IF(N($U300)=0,"?",COUNTIFS(INDEX($V$5:$V$1000,1):INDEX($V$5:$V$1000,$U300-4),"Macro",INDEX($S$5:$S$1000,1):INDEX($S$5:$S$1000,$U300-4),INDEX($S$5:$S$1000,$U300-4))&amp;"."&amp;COUNTIFS($U$5:$U300,$U300,$V$5:$V300,"Sub"))))</f>
        <v/>
      </c>
      <c r="B300" s="57" t="n"/>
      <c r="C300" s="58" t="n"/>
      <c r="D300" s="58" t="n"/>
      <c r="E300" s="59">
        <f>IF(N($AQ300)&gt;0,INDEX(rIni_ADM,$AQ300),"")</f>
        <v/>
      </c>
      <c r="F300" s="59">
        <f>IF(N($AQ300)&gt;0,INDEX(rLim_ADM,$AQ300),"")</f>
        <v/>
      </c>
      <c r="G300" s="59" t="n"/>
      <c r="H300" s="60" t="n"/>
      <c r="I300" s="60">
        <f>IF(N($W300)=0,"",IF(AND($S300=MesCiclo,1&gt;SemanaActual),"",MIN(1,SUMIFS(OFFSET($A$1,ROW(),29,1000-ROW(),1),OFFSET($A$1,ROW(),20,1000-ROW(),1),ROW(),OFFSET($A$1,ROW(),21,1000-ROW(),1),"Sub"))))</f>
        <v/>
      </c>
      <c r="J300" s="60">
        <f>IF(N($W300)=0,"",IF(AND($S300=MesCiclo,2&gt;SemanaActual),"",MIN(1,SUMIFS(OFFSET($A$1,ROW(),30,1000-ROW(),1),OFFSET($A$1,ROW(),20,1000-ROW(),1),ROW(),OFFSET($A$1,ROW(),21,1000-ROW(),1),"Sub"))))</f>
        <v/>
      </c>
      <c r="K300" s="60">
        <f>IF(N($W300)=0,"",IF(AND($S300=MesCiclo,3&gt;SemanaActual),"",MIN(1,SUMIFS(OFFSET($A$1,ROW(),31,1000-ROW(),1),OFFSET($A$1,ROW(),20,1000-ROW(),1),ROW(),OFFSET($A$1,ROW(),21,1000-ROW(),1),"Sub"))))</f>
        <v/>
      </c>
      <c r="L300" s="60">
        <f>IF(N($W300)=0,"",IF(AND($S300=MesCiclo,4&gt;SemanaActual),"",MIN(1,SUMIFS(OFFSET($A$1,ROW(),32,1000-ROW(),1),OFFSET($A$1,ROW(),20,1000-ROW(),1),ROW(),OFFSET($A$1,ROW(),21,1000-ROW(),1),"Sub"))))</f>
        <v/>
      </c>
      <c r="M300" s="61">
        <f>IF(OR(NOT((COUNTA($B300:$D300)+COUNTA($G300:$H300)+COUNTA($Q300))&gt;0),$V300="Sub"),"",IF(ISNUMBER($G300),1,IF(N($W300)&gt;0,MIN(1,SUMIFS($Y$5:$Y$1000,$U$5:$U$1000,ROW(),$V$5:$V$1000,"Sub")),$Y300)))</f>
        <v/>
      </c>
      <c r="N300" s="56">
        <f>IF(OR($M300="",$V300="Sub"),"",IF($M300&gt;=1,"Completado",IF($M300&gt;0,"En curso","Pendiente")))</f>
        <v/>
      </c>
      <c r="O300" s="56">
        <f>IF(OR(NOT((COUNTA($B300:$D300)+COUNTA($G300:$H300)+COUNTA($Q300))&gt;0),$V300="Sub"),"",IF(ISNUMBER($G300),IF(AND(ISNUMBER($AS300),$G300&gt;$AS300),"Cumplida con "&amp;($G300-$AS300)&amp;IF($G300-$AS300=1," día"," días")&amp;" de retraso","Cumplida"),IF(N($M300)&gt;=1,"Cumplida",IF(NOT(ISNUMBER($AS300)),"Sin fecha límite",IF($AS300&lt;FechaRef,"Vencida hace "&amp;(FechaRef-$AS300)&amp;IF(FechaRef-$AS300=1," día"," días"),IF($AS300=FechaRef,"Vence hoy",IF($AS300-FechaRef&lt;=DiasAlerta,"Vence en "&amp;($AS300-FechaRef)&amp;IF($AS300-FechaRef=1," día"," días"),"En plazo")))))))</f>
        <v/>
      </c>
      <c r="P300" s="62" t="n"/>
      <c r="Q300" s="58" t="n"/>
      <c r="R300" s="63">
        <f>IF(NOT((COUNTA($B300:$D300)+COUNTA($G300:$H300)+COUNTA($Q300))&gt;0),"",IF((IF($C300="","Falta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 OK","⚠ "&amp;LEFT(IF($C300="","Falta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",""),LEN(IF($C300="","Falta el nombre de la actividad"&amp;" · ","")&amp;IF(AND($V300="Sub",N($U300)=0),"Subactividad sin macroactividad arriba"&amp;" · ","")&amp;IF(AND($V300="Macro",$AR300=""),"Sin fecha de inicio"&amp;" · ","")&amp;IF(AND($V300="Macro",$AS300=""),"Sin fecha límite"&amp;" · ","")&amp;IF(AND(LEFT($C300,11)="[Jefatura] ",N($AQ300)=0),"No se encuentra en la hoja de la jefatura (elíjala de nuevo en la lista)"&amp;" · ","")&amp;IF(OR(AND($E300&lt;&gt;"",NOT(ISNUMBER($E300))),AND($F300&lt;&gt;"",NOT(ISNUMBER($F300))),AND($G300&lt;&gt;"",NOT(ISNUMBER($G300)))),"Fecha no válida"&amp;" · ","")&amp;IF(AND(ISNUMBER($AR300),ISNUMBER($AS300),$AR300&gt;$AS300),"Inicio posterior a fecha límite"&amp;" · ","")&amp;IF(AND($V300="Macro",$H300&lt;&gt;"",OR(NOT(ISNUMBER($H300)),$H300&lt;0,$H300&gt;1)),"Peso fuera de rango"&amp;" · ","")&amp;IF(AND($V300="Sub",$H300&lt;&gt;"",OR(NOT(ISNUMBER($H300)),$H300&lt;0,$H300&gt;1)),"% de la subactividad fuera de rango 0-100%"&amp;" · ","")&amp;IF(AND(N($W300)&gt;0,SUMIFS($H$5:$H$1000,$U$5:$U$1000,ROW(),$V$5:$V$1000,"Sub")&gt;1.0001),"Las subactividades suman más de 100%"&amp;" · ","")&amp;IF(AND(N($W300)&gt;0,OR(IF(ISNUMBER($I300),ROUND($I300,6)&lt;&gt;ROUND(MIN(1,SUMIFS($AD$5:$AD$1000,$U$5:$U$1000,ROW(),$V$5:$V$1000,"Sub")),6),FALSE),IF(ISNUMBER($J300),ROUND($J300,6)&lt;&gt;ROUND(MIN(1,SUMIFS($AE$5:$AE$1000,$U$5:$U$1000,ROW(),$V$5:$V$1000,"Sub")),6),FALSE),IF(ISNUMBER($K300),ROUND($K300,6)&lt;&gt;ROUND(MIN(1,SUMIFS($AF$5:$AF$1000,$U$5:$U$1000,ROW(),$V$5:$V$1000,"Sub")),6),FALSE),IF(ISNUMBER($L300),ROUND($L300,6)&lt;&gt;ROUND(MIN(1,SUMIFS($AG$5:$AG$1000,$U$5:$U$1000,ROW(),$V$5:$V$1000,"Sub")),6),FALSE))),"Con subactividades: no escriba en las semanas (se llenan solas)"&amp;" · ","")&amp;IF((COUNTIF($I300:$L300,"&gt;1")+COUNTIF($I300:$L300,"&lt;0")+SUMPRODUCT((LEN($I300:$L300)&gt;0)*NOT(ISNUMBER($I300:$L300))))&gt;0,"Avance fuera de rango 0-100%"&amp;" · ","")&amp;IF(OR(AND(ISNUMBER($J300),$J300&lt;N($I300)),AND(ISNUMBER($K300),$K300&lt;MAX($I300:$J300)),AND(ISNUMBER($L300),$L300&lt;MAX($I300:$K300))),"Avance semanal decreciente"&amp;" · ","")&amp;IF(AND(ISNUMBER($AS300),$AS300&lt;FechaRef,IF($V300="Sub",1,N($M300))&lt;1),"Vencida"&amp;" · ","")&amp;IF(AND(ObsObligatoria="Sí",ISNUMBER($AS300),$AS300&lt;FechaRef,IF($V300="Sub",1,N($M300))&lt;1,$Q300=""),"Vencida sin observación"&amp;" · ",""))-3)))</f>
        <v/>
      </c>
      <c r="S300" s="64">
        <f>IF(NOT((COUNTA($B300:$D300)+COUNTA($G300:$H300)+COUNTA($Q300))&gt;0),"",IF(AND($V300="Sub",N($U300)&gt;0),IF(ISNUMBER(INDEX($AR$5:$AR$1000,$U300-4)),DATE(YEAR(INDEX($AR$5:$AR$1000,$U300-4)),MONTH(INDEX($AR$5:$AR$1000,$U300-4)),1),IF(ISNUMBER(INDEX($AS$5:$AS$1000,$U300-4)),DATE(YEAR(INDEX($AS$5:$AS$1000,$U300-4)),MONTH(INDEX($AS$5:$AS$1000,$U300-4)),1),MesCiclo)),IF(ISNUMBER($AR300),DATE(YEAR($AR300),MONTH($AR300),1),IF(ISNUMBER($AS300),DATE(YEAR($AS300),MONTH($AS300),1),MesCiclo))))</f>
        <v/>
      </c>
      <c r="T300" s="62">
        <f>IF(OR($S300="",$S300&lt;&gt;MesCiclo,$V300&lt;&gt;"Macro"),"",COUNTIFS($S$5:$S300,MesCiclo,$V$5:$V300,"Macro"))</f>
        <v/>
      </c>
      <c r="U300" s="62">
        <f>IF($V300="","",IF($V300="Macro",ROW(),IFERROR(LOOKUP(2,1/($V$5:$V300="Macro"),ROW($V$5:$V300)),0)))</f>
        <v/>
      </c>
      <c r="V300" s="62">
        <f>IF(NOT((COUNTA($B300:$D300)+COUNTA($G300:$H300)+COUNTA($Q300))&gt;0),"",IF($B300="Subactividad","Sub","Macro"))</f>
        <v/>
      </c>
      <c r="W300" s="62">
        <f>IF($V300="Macro",COUNTIFS($U$5:$U$1000,ROW(),$V$5:$V$1000,"Sub"),"")</f>
        <v/>
      </c>
      <c r="X300" s="62">
        <f>IF($V300&lt;&gt;"Sub","",IF(AND(ISNUMBER($H300),N($H300)&gt;0),$H300,IFERROR(MAX(0,1-SUMIFS($H$5:$H$1000,$U$5:$U$1000,$U300,$V$5:$V$1000,"Sub"))/(COUNTIFS($U$5:$U$1000,$U300,$V$5:$V$1000,"Sub")-COUNTIFS($U$5:$U$1000,$U300,$V$5:$V$1000,"Sub",$H$5:$H$1000,"&gt;0")),0)))</f>
        <v/>
      </c>
      <c r="Y300" s="62">
        <f>IF($V300="","",IF($V300="Sub",N($X300)*IF(ISNUMBER($G300),1,MIN(1,MAX(0,IFERROR(LOOKUP(2,1/ISNUMBER($I300:$L300),$I300:$L300),0)))),IF(ISNUMBER($G300),1,IFERROR(LOOKUP(2,1/($I300:$L300&lt;&gt;""),$I300:$L300),0))))</f>
        <v/>
      </c>
      <c r="Z300" s="62">
        <f>IF($V300="","",IF(AND(ISNUMBER($G300),$G300&lt;=IF($S300=MesCiclo,InicioCiclo,$S300+MOD(2-WEEKDAY($S300),7))+6),1,IF(ISNUMBER($I300),$I300,0)))</f>
        <v/>
      </c>
      <c r="AA300" s="62">
        <f>IF($V300="","",IF(AND(ISNUMBER($G300),$G300&lt;=IF($S300=MesCiclo,InicioCiclo,$S300+MOD(2-WEEKDAY($S300),7))+13),1,IF(ISNUMBER($J300),$J300,$Z300)))</f>
        <v/>
      </c>
      <c r="AB300" s="62">
        <f>IF($V300="","",IF(AND(ISNUMBER($G300),$G300&lt;=IF($S300=MesCiclo,InicioCiclo,$S300+MOD(2-WEEKDAY($S300),7))+20),1,IF(ISNUMBER($K300),$K300,$AA300)))</f>
        <v/>
      </c>
      <c r="AC300" s="62">
        <f>IF($V300="","",IF(AND(ISNUMBER($G300),$G300&lt;=IF($S300=MesCiclo,InicioCiclo,$S300+MOD(2-WEEKDAY($S300),7))+27),1,IF(ISNUMBER($L300),$L300,$AB300)))</f>
        <v/>
      </c>
      <c r="AD300" s="62">
        <f>IF($V300&lt;&gt;"Sub","",N($X300)*IF(AND(ISNUMBER($G300),$G300&lt;=IF($S300=MesCiclo,InicioCiclo,$S300+MOD(2-WEEKDAY($S300),7))+6),1,MIN(1,MAX(0,IF(ISNUMBER(OFFSET($A$1,ROW()-1,8)),OFFSET($A$1,ROW()-1,8),0)))))</f>
        <v/>
      </c>
      <c r="AE300" s="62">
        <f>IF($V300&lt;&gt;"Sub","",N($X300)*IF(AND(ISNUMBER($G300),$G300&lt;=IF($S300=MesCiclo,InicioCiclo,$S300+MOD(2-WEEKDAY($S300),7))+13),1,MIN(1,MAX(0,IF(ISNUMBER(OFFSET($A$1,ROW()-1,9)),OFFSET($A$1,ROW()-1,9),IF(ISNUMBER(OFFSET($A$1,ROW()-1,8)),OFFSET($A$1,ROW()-1,8),0))))))</f>
        <v/>
      </c>
      <c r="AF300" s="62">
        <f>IF($V300&lt;&gt;"Sub","",N($X300)*IF(AND(ISNUMBER($G300),$G300&lt;=IF($S300=MesCiclo,InicioCiclo,$S300+MOD(2-WEEKDAY($S300),7))+20),1,MIN(1,MAX(0,IF(ISNUMBER(OFFSET($A$1,ROW()-1,10)),OFFSET($A$1,ROW()-1,10),IF(ISNUMBER(OFFSET($A$1,ROW()-1,9)),OFFSET($A$1,ROW()-1,9),IF(ISNUMBER(OFFSET($A$1,ROW()-1,8)),OFFSET($A$1,ROW()-1,8),0)))))))</f>
        <v/>
      </c>
      <c r="AG300" s="62">
        <f>IF($V300&lt;&gt;"Sub","",N($X300)*IF(AND(ISNUMBER($G300),$G300&lt;=IF($S300=MesCiclo,InicioCiclo,$S300+MOD(2-WEEKDAY($S300),7))+27),1,MIN(1,MAX(0,IF(ISNUMBER(OFFSET($A$1,ROW()-1,11)),OFFSET($A$1,ROW()-1,11),IF(ISNUMBER(OFFSET($A$1,ROW()-1,10)),OFFSET($A$1,ROW()-1,10),IF(ISNUMBER(OFFSET($A$1,ROW()-1,9)),OFFSET($A$1,ROW()-1,9),IF(ISNUMBER(OFFSET($A$1,ROW()-1,8)),OFFSET($A$1,ROW()-1,8),0))))))))</f>
        <v/>
      </c>
      <c r="AH300" s="62">
        <f>IF($V300="","",IF(AND(ISNUMBER($G300),$G300&lt;=IF($S300=MesCiclo,InicioCiclo,$S300+MOD(2-WEEKDAY($S300),7))+6),1,IF(N($W300)&gt;0,MIN(1,SUMIFS($AD$5:$AD$1000,$U$5:$U$1000,ROW(),$V$5:$V$1000,"Sub")),$Z300)))</f>
        <v/>
      </c>
      <c r="AI300" s="62">
        <f>IF($V300="","",IF(AND(ISNUMBER($G300),$G300&lt;=IF($S300=MesCiclo,InicioCiclo,$S300+MOD(2-WEEKDAY($S300),7))+13),1,IF(N($W300)&gt;0,MIN(1,SUMIFS($AE$5:$AE$1000,$U$5:$U$1000,ROW(),$V$5:$V$1000,"Sub")),$AA300)))</f>
        <v/>
      </c>
      <c r="AJ300" s="62">
        <f>IF($V300="","",IF(AND(ISNUMBER($G300),$G300&lt;=IF($S300=MesCiclo,InicioCiclo,$S300+MOD(2-WEEKDAY($S300),7))+20),1,IF(N($W300)&gt;0,MIN(1,SUMIFS($AF$5:$AF$1000,$U$5:$U$1000,ROW(),$V$5:$V$1000,"Sub")),$AB300)))</f>
        <v/>
      </c>
      <c r="AK300" s="62">
        <f>IF($V300="","",IF(AND(ISNUMBER($G300),$G300&lt;=IF($S300=MesCiclo,InicioCiclo,$S300+MOD(2-WEEKDAY($S300),7))+27),1,IF(N($W300)&gt;0,MIN(1,SUMIFS($AG$5:$AG$1000,$U$5:$U$1000,ROW(),$V$5:$V$1000,"Sub")),$AC300)))</f>
        <v/>
      </c>
      <c r="AL300" s="62">
        <f>IF($V300&lt;&gt;"Macro","",IF(COUNTIFS($S$5:$S$1000,$S300,$V$5:$V$1000,"Macro",$H$5:$H$1000,"&gt;0")=0,1/COUNTIFS($S$5:$S$1000,$S300,$V$5:$V$1000,"Macro"),IF(AND(ISNUMBER($H300),N($H300)&gt;0),$H300,SUMIFS($H$5:$H$1000,$S$5:$S$1000,$S300,$V$5:$V$1000,"Macro")/COUNTIFS($S$5:$S$1000,$S300,$V$5:$V$1000,"Macro",$H$5:$H$1000,"&gt;0"))/(COUNTIFS($S$5:$S$1000,$S300,$V$5:$V$1000,"Macro")*SUMIFS($H$5:$H$1000,$S$5:$S$1000,$S300,$V$5:$V$1000,"Macro")/COUNTIFS($S$5:$S$1000,$S300,$V$5:$V$1000,"Macro",$H$5:$H$1000,"&gt;0"))))</f>
        <v/>
      </c>
      <c r="AM300" s="62" t="n"/>
      <c r="AN300" s="62" t="n"/>
      <c r="AO300" s="62" t="n"/>
      <c r="AP300" s="62" t="n"/>
      <c r="AQ300" s="62">
        <f>IF(LEFT($C300,11)="[Jefatura] ",IFERROR(MATCH("Asistente Técnico de Riesgo|"&amp;MID($C300,12,500),rDname_ADM,0),0),"")</f>
        <v/>
      </c>
      <c r="AR300" s="62">
        <f>IF(N($AQ300)&gt;0,INDEX(rIni_ADM,$AQ300),IF(ISNUMBER($E300),$E300,""))</f>
        <v/>
      </c>
      <c r="AS300" s="62">
        <f>IF(N($AQ300)&gt;0,INDEX(rLim_ADM,$AQ300),IF(ISNUMBER($F300),$F300,""))</f>
        <v/>
      </c>
    </row>
    <row r="301">
      <c r="A301" s="56">
        <f>IF(NOT((COUNTA($B301:$D301)+COUNTA($G301:$H301)+COUNTA($Q301))&gt;0),"",IF($V301="Macro",COUNTIFS($V$5:$V301,"Macro",$S$5:$S301,$S301),IF(N($U301)=0,"?",COUNTIFS(INDEX($V$5:$V$1000,1):INDEX($V$5:$V$1000,$U301-4),"Macro",INDEX($S$5:$S$1000,1):INDEX($S$5:$S$1000,$U301-4),INDEX($S$5:$S$1000,$U301-4))&amp;"."&amp;COUNTIFS($U$5:$U301,$U301,$V$5:$V301,"Sub"))))</f>
        <v/>
      </c>
      <c r="B301" s="57" t="n"/>
      <c r="C301" s="58" t="n"/>
      <c r="D301" s="58" t="n"/>
      <c r="E301" s="59">
        <f>IF(N($AQ301)&gt;0,INDEX(rIni_ADM,$AQ301),"")</f>
        <v/>
      </c>
      <c r="F301" s="59">
        <f>IF(N($AQ301)&gt;0,INDEX(rLim_ADM,$AQ301),"")</f>
        <v/>
      </c>
      <c r="G301" s="59" t="n"/>
      <c r="H301" s="60" t="n"/>
      <c r="I301" s="60">
        <f>IF(N($W301)=0,"",IF(AND($S301=MesCiclo,1&gt;SemanaActual),"",MIN(1,SUMIFS(OFFSET($A$1,ROW(),29,1000-ROW(),1),OFFSET($A$1,ROW(),20,1000-ROW(),1),ROW(),OFFSET($A$1,ROW(),21,1000-ROW(),1),"Sub"))))</f>
        <v/>
      </c>
      <c r="J301" s="60">
        <f>IF(N($W301)=0,"",IF(AND($S301=MesCiclo,2&gt;SemanaActual),"",MIN(1,SUMIFS(OFFSET($A$1,ROW(),30,1000-ROW(),1),OFFSET($A$1,ROW(),20,1000-ROW(),1),ROW(),OFFSET($A$1,ROW(),21,1000-ROW(),1),"Sub"))))</f>
        <v/>
      </c>
      <c r="K301" s="60">
        <f>IF(N($W301)=0,"",IF(AND($S301=MesCiclo,3&gt;SemanaActual),"",MIN(1,SUMIFS(OFFSET($A$1,ROW(),31,1000-ROW(),1),OFFSET($A$1,ROW(),20,1000-ROW(),1),ROW(),OFFSET($A$1,ROW(),21,1000-ROW(),1),"Sub"))))</f>
        <v/>
      </c>
      <c r="L301" s="60">
        <f>IF(N($W301)=0,"",IF(AND($S301=MesCiclo,4&gt;SemanaActual),"",MIN(1,SUMIFS(OFFSET($A$1,ROW(),32,1000-ROW(),1),OFFSET($A$1,ROW(),20,1000-ROW(),1),ROW(),OFFSET($A$1,ROW(),21,1000-ROW(),1),"Sub"))))</f>
        <v/>
      </c>
      <c r="M301" s="61">
        <f>IF(OR(NOT((COUNTA($B301:$D301)+COUNTA($G301:$H301)+COUNTA($Q301))&gt;0),$V301="Sub"),"",IF(ISNUMBER($G301),1,IF(N($W301)&gt;0,MIN(1,SUMIFS($Y$5:$Y$1000,$U$5:$U$1000,ROW(),$V$5:$V$1000,"Sub")),$Y301)))</f>
        <v/>
      </c>
      <c r="N301" s="56">
        <f>IF(OR($M301="",$V301="Sub"),"",IF($M301&gt;=1,"Completado",IF($M301&gt;0,"En curso","Pendiente")))</f>
        <v/>
      </c>
      <c r="O301" s="56">
        <f>IF(OR(NOT((COUNTA($B301:$D301)+COUNTA($G301:$H301)+COUNTA($Q301))&gt;0),$V301="Sub"),"",IF(ISNUMBER($G301),IF(AND(ISNUMBER($AS301),$G301&gt;$AS301),"Cumplida con "&amp;($G301-$AS301)&amp;IF($G301-$AS301=1," día"," días")&amp;" de retraso","Cumplida"),IF(N($M301)&gt;=1,"Cumplida",IF(NOT(ISNUMBER($AS301)),"Sin fecha límite",IF($AS301&lt;FechaRef,"Vencida hace "&amp;(FechaRef-$AS301)&amp;IF(FechaRef-$AS301=1," día"," días"),IF($AS301=FechaRef,"Vence hoy",IF($AS301-FechaRef&lt;=DiasAlerta,"Vence en "&amp;($AS301-FechaRef)&amp;IF($AS301-FechaRef=1," día"," días"),"En plazo")))))))</f>
        <v/>
      </c>
      <c r="P301" s="62" t="n"/>
      <c r="Q301" s="58" t="n"/>
      <c r="R301" s="63">
        <f>IF(NOT((COUNTA($B301:$D301)+COUNTA($G301:$H301)+COUNTA($Q301))&gt;0),"",IF((IF($C301="","Falta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 OK","⚠ "&amp;LEFT(IF($C301="","Falta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",""),LEN(IF($C301="","Falta el nombre de la actividad"&amp;" · ","")&amp;IF(AND($V301="Sub",N($U301)=0),"Subactividad sin macroactividad arriba"&amp;" · ","")&amp;IF(AND($V301="Macro",$AR301=""),"Sin fecha de inicio"&amp;" · ","")&amp;IF(AND($V301="Macro",$AS301=""),"Sin fecha límite"&amp;" · ","")&amp;IF(AND(LEFT($C301,11)="[Jefatura] ",N($AQ301)=0),"No se encuentra en la hoja de la jefatura (elíjala de nuevo en la lista)"&amp;" · ","")&amp;IF(OR(AND($E301&lt;&gt;"",NOT(ISNUMBER($E301))),AND($F301&lt;&gt;"",NOT(ISNUMBER($F301))),AND($G301&lt;&gt;"",NOT(ISNUMBER($G301)))),"Fecha no válida"&amp;" · ","")&amp;IF(AND(ISNUMBER($AR301),ISNUMBER($AS301),$AR301&gt;$AS301),"Inicio posterior a fecha límite"&amp;" · ","")&amp;IF(AND($V301="Macro",$H301&lt;&gt;"",OR(NOT(ISNUMBER($H301)),$H301&lt;0,$H301&gt;1)),"Peso fuera de rango"&amp;" · ","")&amp;IF(AND($V301="Sub",$H301&lt;&gt;"",OR(NOT(ISNUMBER($H301)),$H301&lt;0,$H301&gt;1)),"% de la subactividad fuera de rango 0-100%"&amp;" · ","")&amp;IF(AND(N($W301)&gt;0,SUMIFS($H$5:$H$1000,$U$5:$U$1000,ROW(),$V$5:$V$1000,"Sub")&gt;1.0001),"Las subactividades suman más de 100%"&amp;" · ","")&amp;IF(AND(N($W301)&gt;0,OR(IF(ISNUMBER($I301),ROUND($I301,6)&lt;&gt;ROUND(MIN(1,SUMIFS($AD$5:$AD$1000,$U$5:$U$1000,ROW(),$V$5:$V$1000,"Sub")),6),FALSE),IF(ISNUMBER($J301),ROUND($J301,6)&lt;&gt;ROUND(MIN(1,SUMIFS($AE$5:$AE$1000,$U$5:$U$1000,ROW(),$V$5:$V$1000,"Sub")),6),FALSE),IF(ISNUMBER($K301),ROUND($K301,6)&lt;&gt;ROUND(MIN(1,SUMIFS($AF$5:$AF$1000,$U$5:$U$1000,ROW(),$V$5:$V$1000,"Sub")),6),FALSE),IF(ISNUMBER($L301),ROUND($L301,6)&lt;&gt;ROUND(MIN(1,SUMIFS($AG$5:$AG$1000,$U$5:$U$1000,ROW(),$V$5:$V$1000,"Sub")),6),FALSE))),"Con subactividades: no escriba en las semanas (se llenan solas)"&amp;" · ","")&amp;IF((COUNTIF($I301:$L301,"&gt;1")+COUNTIF($I301:$L301,"&lt;0")+SUMPRODUCT((LEN($I301:$L301)&gt;0)*NOT(ISNUMBER($I301:$L301))))&gt;0,"Avance fuera de rango 0-100%"&amp;" · ","")&amp;IF(OR(AND(ISNUMBER($J301),$J301&lt;N($I301)),AND(ISNUMBER($K301),$K301&lt;MAX($I301:$J301)),AND(ISNUMBER($L301),$L301&lt;MAX($I301:$K301))),"Avance semanal decreciente"&amp;" · ","")&amp;IF(AND(ISNUMBER($AS301),$AS301&lt;FechaRef,IF($V301="Sub",1,N($M301))&lt;1),"Vencida"&amp;" · ","")&amp;IF(AND(ObsObligatoria="Sí",ISNUMBER($AS301),$AS301&lt;FechaRef,IF($V301="Sub",1,N($M301))&lt;1,$Q301=""),"Vencida sin observación"&amp;" · ",""))-3)))</f>
        <v/>
      </c>
      <c r="S301" s="64">
        <f>IF(NOT((COUNTA($B301:$D301)+COUNTA($G301:$H301)+COUNTA($Q301))&gt;0),"",IF(AND($V301="Sub",N($U301)&gt;0),IF(ISNUMBER(INDEX($AR$5:$AR$1000,$U301-4)),DATE(YEAR(INDEX($AR$5:$AR$1000,$U301-4)),MONTH(INDEX($AR$5:$AR$1000,$U301-4)),1),IF(ISNUMBER(INDEX($AS$5:$AS$1000,$U301-4)),DATE(YEAR(INDEX($AS$5:$AS$1000,$U301-4)),MONTH(INDEX($AS$5:$AS$1000,$U301-4)),1),MesCiclo)),IF(ISNUMBER($AR301),DATE(YEAR($AR301),MONTH($AR301),1),IF(ISNUMBER($AS301),DATE(YEAR($AS301),MONTH($AS301),1),MesCiclo))))</f>
        <v/>
      </c>
      <c r="T301" s="62">
        <f>IF(OR($S301="",$S301&lt;&gt;MesCiclo,$V301&lt;&gt;"Macro"),"",COUNTIFS($S$5:$S301,MesCiclo,$V$5:$V301,"Macro"))</f>
        <v/>
      </c>
      <c r="U301" s="62">
        <f>IF($V301="","",IF($V301="Macro",ROW(),IFERROR(LOOKUP(2,1/($V$5:$V301="Macro"),ROW($V$5:$V301)),0)))</f>
        <v/>
      </c>
      <c r="V301" s="62">
        <f>IF(NOT((COUNTA($B301:$D301)+COUNTA($G301:$H301)+COUNTA($Q301))&gt;0),"",IF($B301="Subactividad","Sub","Macro"))</f>
        <v/>
      </c>
      <c r="W301" s="62">
        <f>IF($V301="Macro",COUNTIFS($U$5:$U$1000,ROW(),$V$5:$V$1000,"Sub"),"")</f>
        <v/>
      </c>
      <c r="X301" s="62">
        <f>IF($V301&lt;&gt;"Sub","",IF(AND(ISNUMBER($H301),N($H301)&gt;0),$H301,IFERROR(MAX(0,1-SUMIFS($H$5:$H$1000,$U$5:$U$1000,$U301,$V$5:$V$1000,"Sub"))/(COUNTIFS($U$5:$U$1000,$U301,$V$5:$V$1000,"Sub")-COUNTIFS($U$5:$U$1000,$U301,$V$5:$V$1000,"Sub",$H$5:$H$1000,"&gt;0")),0)))</f>
        <v/>
      </c>
      <c r="Y301" s="62">
        <f>IF($V301="","",IF($V301="Sub",N($X301)*IF(ISNUMBER($G301),1,MIN(1,MAX(0,IFERROR(LOOKUP(2,1/ISNUMBER($I301:$L301),$I301:$L301),0)))),IF(ISNUMBER($G301),1,IFERROR(LOOKUP(2,1/($I301:$L301&lt;&gt;""),$I301:$L301),0))))</f>
        <v/>
      </c>
      <c r="Z301" s="62">
        <f>IF($V301="","",IF(AND(ISNUMBER($G301),$G301&lt;=IF($S301=MesCiclo,InicioCiclo,$S301+MOD(2-WEEKDAY($S301),7))+6),1,IF(ISNUMBER($I301),$I301,0)))</f>
        <v/>
      </c>
      <c r="AA301" s="62">
        <f>IF($V301="","",IF(AND(ISNUMBER($G301),$G301&lt;=IF($S301=MesCiclo,InicioCiclo,$S301+MOD(2-WEEKDAY($S301),7))+13),1,IF(ISNUMBER($J301),$J301,$Z301)))</f>
        <v/>
      </c>
      <c r="AB301" s="62">
        <f>IF($V301="","",IF(AND(ISNUMBER($G301),$G301&lt;=IF($S301=MesCiclo,InicioCiclo,$S301+MOD(2-WEEKDAY($S301),7))+20),1,IF(ISNUMBER($K301),$K301,$AA301)))</f>
        <v/>
      </c>
      <c r="AC301" s="62">
        <f>IF($V301="","",IF(AND(ISNUMBER($G301),$G301&lt;=IF($S301=MesCiclo,InicioCiclo,$S301+MOD(2-WEEKDAY($S301),7))+27),1,IF(ISNUMBER($L301),$L301,$AB301)))</f>
        <v/>
      </c>
      <c r="AD301" s="62">
        <f>IF($V301&lt;&gt;"Sub","",N($X301)*IF(AND(ISNUMBER($G301),$G301&lt;=IF($S301=MesCiclo,InicioCiclo,$S301+MOD(2-WEEKDAY($S301),7))+6),1,MIN(1,MAX(0,IF(ISNUMBER(OFFSET($A$1,ROW()-1,8)),OFFSET($A$1,ROW()-1,8),0)))))</f>
        <v/>
      </c>
      <c r="AE301" s="62">
        <f>IF($V301&lt;&gt;"Sub","",N($X301)*IF(AND(ISNUMBER($G301),$G301&lt;=IF($S301=MesCiclo,InicioCiclo,$S301+MOD(2-WEEKDAY($S301),7))+13),1,MIN(1,MAX(0,IF(ISNUMBER(OFFSET($A$1,ROW()-1,9)),OFFSET($A$1,ROW()-1,9),IF(ISNUMBER(OFFSET($A$1,ROW()-1,8)),OFFSET($A$1,ROW()-1,8),0))))))</f>
        <v/>
      </c>
      <c r="AF301" s="62">
        <f>IF($V301&lt;&gt;"Sub","",N($X301)*IF(AND(ISNUMBER($G301),$G301&lt;=IF($S301=MesCiclo,InicioCiclo,$S301+MOD(2-WEEKDAY($S301),7))+20),1,MIN(1,MAX(0,IF(ISNUMBER(OFFSET($A$1,ROW()-1,10)),OFFSET($A$1,ROW()-1,10),IF(ISNUMBER(OFFSET($A$1,ROW()-1,9)),OFFSET($A$1,ROW()-1,9),IF(ISNUMBER(OFFSET($A$1,ROW()-1,8)),OFFSET($A$1,ROW()-1,8),0)))))))</f>
        <v/>
      </c>
      <c r="AG301" s="62">
        <f>IF($V301&lt;&gt;"Sub","",N($X301)*IF(AND(ISNUMBER($G301),$G301&lt;=IF($S301=MesCiclo,InicioCiclo,$S301+MOD(2-WEEKDAY($S301),7))+27),1,MIN(1,MAX(0,IF(ISNUMBER(OFFSET($A$1,ROW()-1,11)),OFFSET($A$1,ROW()-1,11),IF(ISNUMBER(OFFSET($A$1,ROW()-1,10)),OFFSET($A$1,ROW()-1,10),IF(ISNUMBER(OFFSET($A$1,ROW()-1,9)),OFFSET($A$1,ROW()-1,9),IF(ISNUMBER(OFFSET($A$1,ROW()-1,8)),OFFSET($A$1,ROW()-1,8),0))))))))</f>
        <v/>
      </c>
      <c r="AH301" s="62">
        <f>IF($V301="","",IF(AND(ISNUMBER($G301),$G301&lt;=IF($S301=MesCiclo,InicioCiclo,$S301+MOD(2-WEEKDAY($S301),7))+6),1,IF(N($W301)&gt;0,MIN(1,SUMIFS($AD$5:$AD$1000,$U$5:$U$1000,ROW(),$V$5:$V$1000,"Sub")),$Z301)))</f>
        <v/>
      </c>
      <c r="AI301" s="62">
        <f>IF($V301="","",IF(AND(ISNUMBER($G301),$G301&lt;=IF($S301=MesCiclo,InicioCiclo,$S301+MOD(2-WEEKDAY($S301),7))+13),1,IF(N($W301)&gt;0,MIN(1,SUMIFS($AE$5:$AE$1000,$U$5:$U$1000,ROW(),$V$5:$V$1000,"Sub")),$AA301)))</f>
        <v/>
      </c>
      <c r="AJ301" s="62">
        <f>IF($V301="","",IF(AND(ISNUMBER($G301),$G301&lt;=IF($S301=MesCiclo,InicioCiclo,$S301+MOD(2-WEEKDAY($S301),7))+20),1,IF(N($W301)&gt;0,MIN(1,SUMIFS($AF$5:$AF$1000,$U$5:$U$1000,ROW(),$V$5:$V$1000,"Sub")),$AB301)))</f>
        <v/>
      </c>
      <c r="AK301" s="62">
        <f>IF($V301="","",IF(AND(ISNUMBER($G301),$G301&lt;=IF($S301=MesCiclo,InicioCiclo,$S301+MOD(2-WEEKDAY($S301),7))+27),1,IF(N($W301)&gt;0,MIN(1,SUMIFS($AG$5:$AG$1000,$U$5:$U$1000,ROW(),$V$5:$V$1000,"Sub")),$AC301)))</f>
        <v/>
      </c>
      <c r="AL301" s="62">
        <f>IF($V301&lt;&gt;"Macro","",IF(COUNTIFS($S$5:$S$1000,$S301,$V$5:$V$1000,"Macro",$H$5:$H$1000,"&gt;0")=0,1/COUNTIFS($S$5:$S$1000,$S301,$V$5:$V$1000,"Macro"),IF(AND(ISNUMBER($H301),N($H301)&gt;0),$H301,SUMIFS($H$5:$H$1000,$S$5:$S$1000,$S301,$V$5:$V$1000,"Macro")/COUNTIFS($S$5:$S$1000,$S301,$V$5:$V$1000,"Macro",$H$5:$H$1000,"&gt;0"))/(COUNTIFS($S$5:$S$1000,$S301,$V$5:$V$1000,"Macro")*SUMIFS($H$5:$H$1000,$S$5:$S$1000,$S301,$V$5:$V$1000,"Macro")/COUNTIFS($S$5:$S$1000,$S301,$V$5:$V$1000,"Macro",$H$5:$H$1000,"&gt;0"))))</f>
        <v/>
      </c>
      <c r="AM301" s="62" t="n"/>
      <c r="AN301" s="62" t="n"/>
      <c r="AO301" s="62" t="n"/>
      <c r="AP301" s="62" t="n"/>
      <c r="AQ301" s="62">
        <f>IF(LEFT($C301,11)="[Jefatura] ",IFERROR(MATCH("Asistente Técnico de Riesgo|"&amp;MID($C301,12,500),rDname_ADM,0),0),"")</f>
        <v/>
      </c>
      <c r="AR301" s="62">
        <f>IF(N($AQ301)&gt;0,INDEX(rIni_ADM,$AQ301),IF(ISNUMBER($E301),$E301,""))</f>
        <v/>
      </c>
      <c r="AS301" s="62">
        <f>IF(N($AQ301)&gt;0,INDEX(rLim_ADM,$AQ301),IF(ISNUMBER($F301),$F301,""))</f>
        <v/>
      </c>
    </row>
    <row r="302">
      <c r="A302" s="56">
        <f>IF(NOT((COUNTA($B302:$D302)+COUNTA($G302:$H302)+COUNTA($Q302))&gt;0),"",IF($V302="Macro",COUNTIFS($V$5:$V302,"Macro",$S$5:$S302,$S302),IF(N($U302)=0,"?",COUNTIFS(INDEX($V$5:$V$1000,1):INDEX($V$5:$V$1000,$U302-4),"Macro",INDEX($S$5:$S$1000,1):INDEX($S$5:$S$1000,$U302-4),INDEX($S$5:$S$1000,$U302-4))&amp;"."&amp;COUNTIFS($U$5:$U302,$U302,$V$5:$V302,"Sub"))))</f>
        <v/>
      </c>
      <c r="B302" s="57" t="n"/>
      <c r="C302" s="58" t="n"/>
      <c r="D302" s="58" t="n"/>
      <c r="E302" s="59">
        <f>IF(N($AQ302)&gt;0,INDEX(rIni_ADM,$AQ302),"")</f>
        <v/>
      </c>
      <c r="F302" s="59">
        <f>IF(N($AQ302)&gt;0,INDEX(rLim_ADM,$AQ302),"")</f>
        <v/>
      </c>
      <c r="G302" s="59" t="n"/>
      <c r="H302" s="60" t="n"/>
      <c r="I302" s="60">
        <f>IF(N($W302)=0,"",IF(AND($S302=MesCiclo,1&gt;SemanaActual),"",MIN(1,SUMIFS(OFFSET($A$1,ROW(),29,1000-ROW(),1),OFFSET($A$1,ROW(),20,1000-ROW(),1),ROW(),OFFSET($A$1,ROW(),21,1000-ROW(),1),"Sub"))))</f>
        <v/>
      </c>
      <c r="J302" s="60">
        <f>IF(N($W302)=0,"",IF(AND($S302=MesCiclo,2&gt;SemanaActual),"",MIN(1,SUMIFS(OFFSET($A$1,ROW(),30,1000-ROW(),1),OFFSET($A$1,ROW(),20,1000-ROW(),1),ROW(),OFFSET($A$1,ROW(),21,1000-ROW(),1),"Sub"))))</f>
        <v/>
      </c>
      <c r="K302" s="60">
        <f>IF(N($W302)=0,"",IF(AND($S302=MesCiclo,3&gt;SemanaActual),"",MIN(1,SUMIFS(OFFSET($A$1,ROW(),31,1000-ROW(),1),OFFSET($A$1,ROW(),20,1000-ROW(),1),ROW(),OFFSET($A$1,ROW(),21,1000-ROW(),1),"Sub"))))</f>
        <v/>
      </c>
      <c r="L302" s="60">
        <f>IF(N($W302)=0,"",IF(AND($S302=MesCiclo,4&gt;SemanaActual),"",MIN(1,SUMIFS(OFFSET($A$1,ROW(),32,1000-ROW(),1),OFFSET($A$1,ROW(),20,1000-ROW(),1),ROW(),OFFSET($A$1,ROW(),21,1000-ROW(),1),"Sub"))))</f>
        <v/>
      </c>
      <c r="M302" s="61">
        <f>IF(OR(NOT((COUNTA($B302:$D302)+COUNTA($G302:$H302)+COUNTA($Q302))&gt;0),$V302="Sub"),"",IF(ISNUMBER($G302),1,IF(N($W302)&gt;0,MIN(1,SUMIFS($Y$5:$Y$1000,$U$5:$U$1000,ROW(),$V$5:$V$1000,"Sub")),$Y302)))</f>
        <v/>
      </c>
      <c r="N302" s="56">
        <f>IF(OR($M302="",$V302="Sub"),"",IF($M302&gt;=1,"Completado",IF($M302&gt;0,"En curso","Pendiente")))</f>
        <v/>
      </c>
      <c r="O302" s="56">
        <f>IF(OR(NOT((COUNTA($B302:$D302)+COUNTA($G302:$H302)+COUNTA($Q302))&gt;0),$V302="Sub"),"",IF(ISNUMBER($G302),IF(AND(ISNUMBER($AS302),$G302&gt;$AS302),"Cumplida con "&amp;($G302-$AS302)&amp;IF($G302-$AS302=1," día"," días")&amp;" de retraso","Cumplida"),IF(N($M302)&gt;=1,"Cumplida",IF(NOT(ISNUMBER($AS302)),"Sin fecha límite",IF($AS302&lt;FechaRef,"Vencida hace "&amp;(FechaRef-$AS302)&amp;IF(FechaRef-$AS302=1," día"," días"),IF($AS302=FechaRef,"Vence hoy",IF($AS302-FechaRef&lt;=DiasAlerta,"Vence en "&amp;($AS302-FechaRef)&amp;IF($AS302-FechaRef=1," día"," días"),"En plazo")))))))</f>
        <v/>
      </c>
      <c r="P302" s="62" t="n"/>
      <c r="Q302" s="58" t="n"/>
      <c r="R302" s="63">
        <f>IF(NOT((COUNTA($B302:$D302)+COUNTA($G302:$H302)+COUNTA($Q302))&gt;0),"",IF((IF($C302="","Falta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 OK","⚠ "&amp;LEFT(IF($C302="","Falta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",""),LEN(IF($C302="","Falta el nombre de la actividad"&amp;" · ","")&amp;IF(AND($V302="Sub",N($U302)=0),"Subactividad sin macroactividad arriba"&amp;" · ","")&amp;IF(AND($V302="Macro",$AR302=""),"Sin fecha de inicio"&amp;" · ","")&amp;IF(AND($V302="Macro",$AS302=""),"Sin fecha límite"&amp;" · ","")&amp;IF(AND(LEFT($C302,11)="[Jefatura] ",N($AQ302)=0),"No se encuentra en la hoja de la jefatura (elíjala de nuevo en la lista)"&amp;" · ","")&amp;IF(OR(AND($E302&lt;&gt;"",NOT(ISNUMBER($E302))),AND($F302&lt;&gt;"",NOT(ISNUMBER($F302))),AND($G302&lt;&gt;"",NOT(ISNUMBER($G302)))),"Fecha no válida"&amp;" · ","")&amp;IF(AND(ISNUMBER($AR302),ISNUMBER($AS302),$AR302&gt;$AS302),"Inicio posterior a fecha límite"&amp;" · ","")&amp;IF(AND($V302="Macro",$H302&lt;&gt;"",OR(NOT(ISNUMBER($H302)),$H302&lt;0,$H302&gt;1)),"Peso fuera de rango"&amp;" · ","")&amp;IF(AND($V302="Sub",$H302&lt;&gt;"",OR(NOT(ISNUMBER($H302)),$H302&lt;0,$H302&gt;1)),"% de la subactividad fuera de rango 0-100%"&amp;" · ","")&amp;IF(AND(N($W302)&gt;0,SUMIFS($H$5:$H$1000,$U$5:$U$1000,ROW(),$V$5:$V$1000,"Sub")&gt;1.0001),"Las subactividades suman más de 100%"&amp;" · ","")&amp;IF(AND(N($W302)&gt;0,OR(IF(ISNUMBER($I302),ROUND($I302,6)&lt;&gt;ROUND(MIN(1,SUMIFS($AD$5:$AD$1000,$U$5:$U$1000,ROW(),$V$5:$V$1000,"Sub")),6),FALSE),IF(ISNUMBER($J302),ROUND($J302,6)&lt;&gt;ROUND(MIN(1,SUMIFS($AE$5:$AE$1000,$U$5:$U$1000,ROW(),$V$5:$V$1000,"Sub")),6),FALSE),IF(ISNUMBER($K302),ROUND($K302,6)&lt;&gt;ROUND(MIN(1,SUMIFS($AF$5:$AF$1000,$U$5:$U$1000,ROW(),$V$5:$V$1000,"Sub")),6),FALSE),IF(ISNUMBER($L302),ROUND($L302,6)&lt;&gt;ROUND(MIN(1,SUMIFS($AG$5:$AG$1000,$U$5:$U$1000,ROW(),$V$5:$V$1000,"Sub")),6),FALSE))),"Con subactividades: no escriba en las semanas (se llenan solas)"&amp;" · ","")&amp;IF((COUNTIF($I302:$L302,"&gt;1")+COUNTIF($I302:$L302,"&lt;0")+SUMPRODUCT((LEN($I302:$L302)&gt;0)*NOT(ISNUMBER($I302:$L302))))&gt;0,"Avance fuera de rango 0-100%"&amp;" · ","")&amp;IF(OR(AND(ISNUMBER($J302),$J302&lt;N($I302)),AND(ISNUMBER($K302),$K302&lt;MAX($I302:$J302)),AND(ISNUMBER($L302),$L302&lt;MAX($I302:$K302))),"Avance semanal decreciente"&amp;" · ","")&amp;IF(AND(ISNUMBER($AS302),$AS302&lt;FechaRef,IF($V302="Sub",1,N($M302))&lt;1),"Vencida"&amp;" · ","")&amp;IF(AND(ObsObligatoria="Sí",ISNUMBER($AS302),$AS302&lt;FechaRef,IF($V302="Sub",1,N($M302))&lt;1,$Q302=""),"Vencida sin observación"&amp;" · ",""))-3)))</f>
        <v/>
      </c>
      <c r="S302" s="64">
        <f>IF(NOT((COUNTA($B302:$D302)+COUNTA($G302:$H302)+COUNTA($Q302))&gt;0),"",IF(AND($V302="Sub",N($U302)&gt;0),IF(ISNUMBER(INDEX($AR$5:$AR$1000,$U302-4)),DATE(YEAR(INDEX($AR$5:$AR$1000,$U302-4)),MONTH(INDEX($AR$5:$AR$1000,$U302-4)),1),IF(ISNUMBER(INDEX($AS$5:$AS$1000,$U302-4)),DATE(YEAR(INDEX($AS$5:$AS$1000,$U302-4)),MONTH(INDEX($AS$5:$AS$1000,$U302-4)),1),MesCiclo)),IF(ISNUMBER($AR302),DATE(YEAR($AR302),MONTH($AR302),1),IF(ISNUMBER($AS302),DATE(YEAR($AS302),MONTH($AS302),1),MesCiclo))))</f>
        <v/>
      </c>
      <c r="T302" s="62">
        <f>IF(OR($S302="",$S302&lt;&gt;MesCiclo,$V302&lt;&gt;"Macro"),"",COUNTIFS($S$5:$S302,MesCiclo,$V$5:$V302,"Macro"))</f>
        <v/>
      </c>
      <c r="U302" s="62">
        <f>IF($V302="","",IF($V302="Macro",ROW(),IFERROR(LOOKUP(2,1/($V$5:$V302="Macro"),ROW($V$5:$V302)),0)))</f>
        <v/>
      </c>
      <c r="V302" s="62">
        <f>IF(NOT((COUNTA($B302:$D302)+COUNTA($G302:$H302)+COUNTA($Q302))&gt;0),"",IF($B302="Subactividad","Sub","Macro"))</f>
        <v/>
      </c>
      <c r="W302" s="62">
        <f>IF($V302="Macro",COUNTIFS($U$5:$U$1000,ROW(),$V$5:$V$1000,"Sub"),"")</f>
        <v/>
      </c>
      <c r="X302" s="62">
        <f>IF($V302&lt;&gt;"Sub","",IF(AND(ISNUMBER($H302),N($H302)&gt;0),$H302,IFERROR(MAX(0,1-SUMIFS($H$5:$H$1000,$U$5:$U$1000,$U302,$V$5:$V$1000,"Sub"))/(COUNTIFS($U$5:$U$1000,$U302,$V$5:$V$1000,"Sub")-COUNTIFS($U$5:$U$1000,$U302,$V$5:$V$1000,"Sub",$H$5:$H$1000,"&gt;0")),0)))</f>
        <v/>
      </c>
      <c r="Y302" s="62">
        <f>IF($V302="","",IF($V302="Sub",N($X302)*IF(ISNUMBER($G302),1,MIN(1,MAX(0,IFERROR(LOOKUP(2,1/ISNUMBER($I302:$L302),$I302:$L302),0)))),IF(ISNUMBER($G302),1,IFERROR(LOOKUP(2,1/($I302:$L302&lt;&gt;""),$I302:$L302),0))))</f>
        <v/>
      </c>
      <c r="Z302" s="62">
        <f>IF($V302="","",IF(AND(ISNUMBER($G302),$G302&lt;=IF($S302=MesCiclo,InicioCiclo,$S302+MOD(2-WEEKDAY($S302),7))+6),1,IF(ISNUMBER($I302),$I302,0)))</f>
        <v/>
      </c>
      <c r="AA302" s="62">
        <f>IF($V302="","",IF(AND(ISNUMBER($G302),$G302&lt;=IF($S302=MesCiclo,InicioCiclo,$S302+MOD(2-WEEKDAY($S302),7))+13),1,IF(ISNUMBER($J302),$J302,$Z302)))</f>
        <v/>
      </c>
      <c r="AB302" s="62">
        <f>IF($V302="","",IF(AND(ISNUMBER($G302),$G302&lt;=IF($S302=MesCiclo,InicioCiclo,$S302+MOD(2-WEEKDAY($S302),7))+20),1,IF(ISNUMBER($K302),$K302,$AA302)))</f>
        <v/>
      </c>
      <c r="AC302" s="62">
        <f>IF($V302="","",IF(AND(ISNUMBER($G302),$G302&lt;=IF($S302=MesCiclo,InicioCiclo,$S302+MOD(2-WEEKDAY($S302),7))+27),1,IF(ISNUMBER($L302),$L302,$AB302)))</f>
        <v/>
      </c>
      <c r="AD302" s="62">
        <f>IF($V302&lt;&gt;"Sub","",N($X302)*IF(AND(ISNUMBER($G302),$G302&lt;=IF($S302=MesCiclo,InicioCiclo,$S302+MOD(2-WEEKDAY($S302),7))+6),1,MIN(1,MAX(0,IF(ISNUMBER(OFFSET($A$1,ROW()-1,8)),OFFSET($A$1,ROW()-1,8),0)))))</f>
        <v/>
      </c>
      <c r="AE302" s="62">
        <f>IF($V302&lt;&gt;"Sub","",N($X302)*IF(AND(ISNUMBER($G302),$G302&lt;=IF($S302=MesCiclo,InicioCiclo,$S302+MOD(2-WEEKDAY($S302),7))+13),1,MIN(1,MAX(0,IF(ISNUMBER(OFFSET($A$1,ROW()-1,9)),OFFSET($A$1,ROW()-1,9),IF(ISNUMBER(OFFSET($A$1,ROW()-1,8)),OFFSET($A$1,ROW()-1,8),0))))))</f>
        <v/>
      </c>
      <c r="AF302" s="62">
        <f>IF($V302&lt;&gt;"Sub","",N($X302)*IF(AND(ISNUMBER($G302),$G302&lt;=IF($S302=MesCiclo,InicioCiclo,$S302+MOD(2-WEEKDAY($S302),7))+20),1,MIN(1,MAX(0,IF(ISNUMBER(OFFSET($A$1,ROW()-1,10)),OFFSET($A$1,ROW()-1,10),IF(ISNUMBER(OFFSET($A$1,ROW()-1,9)),OFFSET($A$1,ROW()-1,9),IF(ISNUMBER(OFFSET($A$1,ROW()-1,8)),OFFSET($A$1,ROW()-1,8),0)))))))</f>
        <v/>
      </c>
      <c r="AG302" s="62">
        <f>IF($V302&lt;&gt;"Sub","",N($X302)*IF(AND(ISNUMBER($G302),$G302&lt;=IF($S302=MesCiclo,InicioCiclo,$S302+MOD(2-WEEKDAY($S302),7))+27),1,MIN(1,MAX(0,IF(ISNUMBER(OFFSET($A$1,ROW()-1,11)),OFFSET($A$1,ROW()-1,11),IF(ISNUMBER(OFFSET($A$1,ROW()-1,10)),OFFSET($A$1,ROW()-1,10),IF(ISNUMBER(OFFSET($A$1,ROW()-1,9)),OFFSET($A$1,ROW()-1,9),IF(ISNUMBER(OFFSET($A$1,ROW()-1,8)),OFFSET($A$1,ROW()-1,8),0))))))))</f>
        <v/>
      </c>
      <c r="AH302" s="62">
        <f>IF($V302="","",IF(AND(ISNUMBER($G302),$G302&lt;=IF($S302=MesCiclo,InicioCiclo,$S302+MOD(2-WEEKDAY($S302),7))+6),1,IF(N($W302)&gt;0,MIN(1,SUMIFS($AD$5:$AD$1000,$U$5:$U$1000,ROW(),$V$5:$V$1000,"Sub")),$Z302)))</f>
        <v/>
      </c>
      <c r="AI302" s="62">
        <f>IF($V302="","",IF(AND(ISNUMBER($G302),$G302&lt;=IF($S302=MesCiclo,InicioCiclo,$S302+MOD(2-WEEKDAY($S302),7))+13),1,IF(N($W302)&gt;0,MIN(1,SUMIFS($AE$5:$AE$1000,$U$5:$U$1000,ROW(),$V$5:$V$1000,"Sub")),$AA302)))</f>
        <v/>
      </c>
      <c r="AJ302" s="62">
        <f>IF($V302="","",IF(AND(ISNUMBER($G302),$G302&lt;=IF($S302=MesCiclo,InicioCiclo,$S302+MOD(2-WEEKDAY($S302),7))+20),1,IF(N($W302)&gt;0,MIN(1,SUMIFS($AF$5:$AF$1000,$U$5:$U$1000,ROW(),$V$5:$V$1000,"Sub")),$AB302)))</f>
        <v/>
      </c>
      <c r="AK302" s="62">
        <f>IF($V302="","",IF(AND(ISNUMBER($G302),$G302&lt;=IF($S302=MesCiclo,InicioCiclo,$S302+MOD(2-WEEKDAY($S302),7))+27),1,IF(N($W302)&gt;0,MIN(1,SUMIFS($AG$5:$AG$1000,$U$5:$U$1000,ROW(),$V$5:$V$1000,"Sub")),$AC302)))</f>
        <v/>
      </c>
      <c r="AL302" s="62">
        <f>IF($V302&lt;&gt;"Macro","",IF(COUNTIFS($S$5:$S$1000,$S302,$V$5:$V$1000,"Macro",$H$5:$H$1000,"&gt;0")=0,1/COUNTIFS($S$5:$S$1000,$S302,$V$5:$V$1000,"Macro"),IF(AND(ISNUMBER($H302),N($H302)&gt;0),$H302,SUMIFS($H$5:$H$1000,$S$5:$S$1000,$S302,$V$5:$V$1000,"Macro")/COUNTIFS($S$5:$S$1000,$S302,$V$5:$V$1000,"Macro",$H$5:$H$1000,"&gt;0"))/(COUNTIFS($S$5:$S$1000,$S302,$V$5:$V$1000,"Macro")*SUMIFS($H$5:$H$1000,$S$5:$S$1000,$S302,$V$5:$V$1000,"Macro")/COUNTIFS($S$5:$S$1000,$S302,$V$5:$V$1000,"Macro",$H$5:$H$1000,"&gt;0"))))</f>
        <v/>
      </c>
      <c r="AM302" s="62" t="n"/>
      <c r="AN302" s="62" t="n"/>
      <c r="AO302" s="62" t="n"/>
      <c r="AP302" s="62" t="n"/>
      <c r="AQ302" s="62">
        <f>IF(LEFT($C302,11)="[Jefatura] ",IFERROR(MATCH("Asistente Técnico de Riesgo|"&amp;MID($C302,12,500),rDname_ADM,0),0),"")</f>
        <v/>
      </c>
      <c r="AR302" s="62">
        <f>IF(N($AQ302)&gt;0,INDEX(rIni_ADM,$AQ302),IF(ISNUMBER($E302),$E302,""))</f>
        <v/>
      </c>
      <c r="AS302" s="62">
        <f>IF(N($AQ302)&gt;0,INDEX(rLim_ADM,$AQ302),IF(ISNUMBER($F302),$F302,""))</f>
        <v/>
      </c>
    </row>
    <row r="303">
      <c r="A303" s="56">
        <f>IF(NOT((COUNTA($B303:$D303)+COUNTA($G303:$H303)+COUNTA($Q303))&gt;0),"",IF($V303="Macro",COUNTIFS($V$5:$V303,"Macro",$S$5:$S303,$S303),IF(N($U303)=0,"?",COUNTIFS(INDEX($V$5:$V$1000,1):INDEX($V$5:$V$1000,$U303-4),"Macro",INDEX($S$5:$S$1000,1):INDEX($S$5:$S$1000,$U303-4),INDEX($S$5:$S$1000,$U303-4))&amp;"."&amp;COUNTIFS($U$5:$U303,$U303,$V$5:$V303,"Sub"))))</f>
        <v/>
      </c>
      <c r="B303" s="57" t="n"/>
      <c r="C303" s="58" t="n"/>
      <c r="D303" s="58" t="n"/>
      <c r="E303" s="59">
        <f>IF(N($AQ303)&gt;0,INDEX(rIni_ADM,$AQ303),"")</f>
        <v/>
      </c>
      <c r="F303" s="59">
        <f>IF(N($AQ303)&gt;0,INDEX(rLim_ADM,$AQ303),"")</f>
        <v/>
      </c>
      <c r="G303" s="59" t="n"/>
      <c r="H303" s="60" t="n"/>
      <c r="I303" s="60">
        <f>IF(N($W303)=0,"",IF(AND($S303=MesCiclo,1&gt;SemanaActual),"",MIN(1,SUMIFS(OFFSET($A$1,ROW(),29,1000-ROW(),1),OFFSET($A$1,ROW(),20,1000-ROW(),1),ROW(),OFFSET($A$1,ROW(),21,1000-ROW(),1),"Sub"))))</f>
        <v/>
      </c>
      <c r="J303" s="60">
        <f>IF(N($W303)=0,"",IF(AND($S303=MesCiclo,2&gt;SemanaActual),"",MIN(1,SUMIFS(OFFSET($A$1,ROW(),30,1000-ROW(),1),OFFSET($A$1,ROW(),20,1000-ROW(),1),ROW(),OFFSET($A$1,ROW(),21,1000-ROW(),1),"Sub"))))</f>
        <v/>
      </c>
      <c r="K303" s="60">
        <f>IF(N($W303)=0,"",IF(AND($S303=MesCiclo,3&gt;SemanaActual),"",MIN(1,SUMIFS(OFFSET($A$1,ROW(),31,1000-ROW(),1),OFFSET($A$1,ROW(),20,1000-ROW(),1),ROW(),OFFSET($A$1,ROW(),21,1000-ROW(),1),"Sub"))))</f>
        <v/>
      </c>
      <c r="L303" s="60">
        <f>IF(N($W303)=0,"",IF(AND($S303=MesCiclo,4&gt;SemanaActual),"",MIN(1,SUMIFS(OFFSET($A$1,ROW(),32,1000-ROW(),1),OFFSET($A$1,ROW(),20,1000-ROW(),1),ROW(),OFFSET($A$1,ROW(),21,1000-ROW(),1),"Sub"))))</f>
        <v/>
      </c>
      <c r="M303" s="61">
        <f>IF(OR(NOT((COUNTA($B303:$D303)+COUNTA($G303:$H303)+COUNTA($Q303))&gt;0),$V303="Sub"),"",IF(ISNUMBER($G303),1,IF(N($W303)&gt;0,MIN(1,SUMIFS($Y$5:$Y$1000,$U$5:$U$1000,ROW(),$V$5:$V$1000,"Sub")),$Y303)))</f>
        <v/>
      </c>
      <c r="N303" s="56">
        <f>IF(OR($M303="",$V303="Sub"),"",IF($M303&gt;=1,"Completado",IF($M303&gt;0,"En curso","Pendiente")))</f>
        <v/>
      </c>
      <c r="O303" s="56">
        <f>IF(OR(NOT((COUNTA($B303:$D303)+COUNTA($G303:$H303)+COUNTA($Q303))&gt;0),$V303="Sub"),"",IF(ISNUMBER($G303),IF(AND(ISNUMBER($AS303),$G303&gt;$AS303),"Cumplida con "&amp;($G303-$AS303)&amp;IF($G303-$AS303=1," día"," días")&amp;" de retraso","Cumplida"),IF(N($M303)&gt;=1,"Cumplida",IF(NOT(ISNUMBER($AS303)),"Sin fecha límite",IF($AS303&lt;FechaRef,"Vencida hace "&amp;(FechaRef-$AS303)&amp;IF(FechaRef-$AS303=1," día"," días"),IF($AS303=FechaRef,"Vence hoy",IF($AS303-FechaRef&lt;=DiasAlerta,"Vence en "&amp;($AS303-FechaRef)&amp;IF($AS303-FechaRef=1," día"," días"),"En plazo")))))))</f>
        <v/>
      </c>
      <c r="P303" s="62" t="n"/>
      <c r="Q303" s="58" t="n"/>
      <c r="R303" s="63">
        <f>IF(NOT((COUNTA($B303:$D303)+COUNTA($G303:$H303)+COUNTA($Q303))&gt;0),"",IF((IF($C303="","Falta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 OK","⚠ "&amp;LEFT(IF($C303="","Falta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",""),LEN(IF($C303="","Falta el nombre de la actividad"&amp;" · ","")&amp;IF(AND($V303="Sub",N($U303)=0),"Subactividad sin macroactividad arriba"&amp;" · ","")&amp;IF(AND($V303="Macro",$AR303=""),"Sin fecha de inicio"&amp;" · ","")&amp;IF(AND($V303="Macro",$AS303=""),"Sin fecha límite"&amp;" · ","")&amp;IF(AND(LEFT($C303,11)="[Jefatura] ",N($AQ303)=0),"No se encuentra en la hoja de la jefatura (elíjala de nuevo en la lista)"&amp;" · ","")&amp;IF(OR(AND($E303&lt;&gt;"",NOT(ISNUMBER($E303))),AND($F303&lt;&gt;"",NOT(ISNUMBER($F303))),AND($G303&lt;&gt;"",NOT(ISNUMBER($G303)))),"Fecha no válida"&amp;" · ","")&amp;IF(AND(ISNUMBER($AR303),ISNUMBER($AS303),$AR303&gt;$AS303),"Inicio posterior a fecha límite"&amp;" · ","")&amp;IF(AND($V303="Macro",$H303&lt;&gt;"",OR(NOT(ISNUMBER($H303)),$H303&lt;0,$H303&gt;1)),"Peso fuera de rango"&amp;" · ","")&amp;IF(AND($V303="Sub",$H303&lt;&gt;"",OR(NOT(ISNUMBER($H303)),$H303&lt;0,$H303&gt;1)),"% de la subactividad fuera de rango 0-100%"&amp;" · ","")&amp;IF(AND(N($W303)&gt;0,SUMIFS($H$5:$H$1000,$U$5:$U$1000,ROW(),$V$5:$V$1000,"Sub")&gt;1.0001),"Las subactividades suman más de 100%"&amp;" · ","")&amp;IF(AND(N($W303)&gt;0,OR(IF(ISNUMBER($I303),ROUND($I303,6)&lt;&gt;ROUND(MIN(1,SUMIFS($AD$5:$AD$1000,$U$5:$U$1000,ROW(),$V$5:$V$1000,"Sub")),6),FALSE),IF(ISNUMBER($J303),ROUND($J303,6)&lt;&gt;ROUND(MIN(1,SUMIFS($AE$5:$AE$1000,$U$5:$U$1000,ROW(),$V$5:$V$1000,"Sub")),6),FALSE),IF(ISNUMBER($K303),ROUND($K303,6)&lt;&gt;ROUND(MIN(1,SUMIFS($AF$5:$AF$1000,$U$5:$U$1000,ROW(),$V$5:$V$1000,"Sub")),6),FALSE),IF(ISNUMBER($L303),ROUND($L303,6)&lt;&gt;ROUND(MIN(1,SUMIFS($AG$5:$AG$1000,$U$5:$U$1000,ROW(),$V$5:$V$1000,"Sub")),6),FALSE))),"Con subactividades: no escriba en las semanas (se llenan solas)"&amp;" · ","")&amp;IF((COUNTIF($I303:$L303,"&gt;1")+COUNTIF($I303:$L303,"&lt;0")+SUMPRODUCT((LEN($I303:$L303)&gt;0)*NOT(ISNUMBER($I303:$L303))))&gt;0,"Avance fuera de rango 0-100%"&amp;" · ","")&amp;IF(OR(AND(ISNUMBER($J303),$J303&lt;N($I303)),AND(ISNUMBER($K303),$K303&lt;MAX($I303:$J303)),AND(ISNUMBER($L303),$L303&lt;MAX($I303:$K303))),"Avance semanal decreciente"&amp;" · ","")&amp;IF(AND(ISNUMBER($AS303),$AS303&lt;FechaRef,IF($V303="Sub",1,N($M303))&lt;1),"Vencida"&amp;" · ","")&amp;IF(AND(ObsObligatoria="Sí",ISNUMBER($AS303),$AS303&lt;FechaRef,IF($V303="Sub",1,N($M303))&lt;1,$Q303=""),"Vencida sin observación"&amp;" · ",""))-3)))</f>
        <v/>
      </c>
      <c r="S303" s="64">
        <f>IF(NOT((COUNTA($B303:$D303)+COUNTA($G303:$H303)+COUNTA($Q303))&gt;0),"",IF(AND($V303="Sub",N($U303)&gt;0),IF(ISNUMBER(INDEX($AR$5:$AR$1000,$U303-4)),DATE(YEAR(INDEX($AR$5:$AR$1000,$U303-4)),MONTH(INDEX($AR$5:$AR$1000,$U303-4)),1),IF(ISNUMBER(INDEX($AS$5:$AS$1000,$U303-4)),DATE(YEAR(INDEX($AS$5:$AS$1000,$U303-4)),MONTH(INDEX($AS$5:$AS$1000,$U303-4)),1),MesCiclo)),IF(ISNUMBER($AR303),DATE(YEAR($AR303),MONTH($AR303),1),IF(ISNUMBER($AS303),DATE(YEAR($AS303),MONTH($AS303),1),MesCiclo))))</f>
        <v/>
      </c>
      <c r="T303" s="62">
        <f>IF(OR($S303="",$S303&lt;&gt;MesCiclo,$V303&lt;&gt;"Macro"),"",COUNTIFS($S$5:$S303,MesCiclo,$V$5:$V303,"Macro"))</f>
        <v/>
      </c>
      <c r="U303" s="62">
        <f>IF($V303="","",IF($V303="Macro",ROW(),IFERROR(LOOKUP(2,1/($V$5:$V303="Macro"),ROW($V$5:$V303)),0)))</f>
        <v/>
      </c>
      <c r="V303" s="62">
        <f>IF(NOT((COUNTA($B303:$D303)+COUNTA($G303:$H303)+COUNTA($Q303))&gt;0),"",IF($B303="Subactividad","Sub","Macro"))</f>
        <v/>
      </c>
      <c r="W303" s="62">
        <f>IF($V303="Macro",COUNTIFS($U$5:$U$1000,ROW(),$V$5:$V$1000,"Sub"),"")</f>
        <v/>
      </c>
      <c r="X303" s="62">
        <f>IF($V303&lt;&gt;"Sub","",IF(AND(ISNUMBER($H303),N($H303)&gt;0),$H303,IFERROR(MAX(0,1-SUMIFS($H$5:$H$1000,$U$5:$U$1000,$U303,$V$5:$V$1000,"Sub"))/(COUNTIFS($U$5:$U$1000,$U303,$V$5:$V$1000,"Sub")-COUNTIFS($U$5:$U$1000,$U303,$V$5:$V$1000,"Sub",$H$5:$H$1000,"&gt;0")),0)))</f>
        <v/>
      </c>
      <c r="Y303" s="62">
        <f>IF($V303="","",IF($V303="Sub",N($X303)*IF(ISNUMBER($G303),1,MIN(1,MAX(0,IFERROR(LOOKUP(2,1/ISNUMBER($I303:$L303),$I303:$L303),0)))),IF(ISNUMBER($G303),1,IFERROR(LOOKUP(2,1/($I303:$L303&lt;&gt;""),$I303:$L303),0))))</f>
        <v/>
      </c>
      <c r="Z303" s="62">
        <f>IF($V303="","",IF(AND(ISNUMBER($G303),$G303&lt;=IF($S303=MesCiclo,InicioCiclo,$S303+MOD(2-WEEKDAY($S303),7))+6),1,IF(ISNUMBER($I303),$I303,0)))</f>
        <v/>
      </c>
      <c r="AA303" s="62">
        <f>IF($V303="","",IF(AND(ISNUMBER($G303),$G303&lt;=IF($S303=MesCiclo,InicioCiclo,$S303+MOD(2-WEEKDAY($S303),7))+13),1,IF(ISNUMBER($J303),$J303,$Z303)))</f>
        <v/>
      </c>
      <c r="AB303" s="62">
        <f>IF($V303="","",IF(AND(ISNUMBER($G303),$G303&lt;=IF($S303=MesCiclo,InicioCiclo,$S303+MOD(2-WEEKDAY($S303),7))+20),1,IF(ISNUMBER($K303),$K303,$AA303)))</f>
        <v/>
      </c>
      <c r="AC303" s="62">
        <f>IF($V303="","",IF(AND(ISNUMBER($G303),$G303&lt;=IF($S303=MesCiclo,InicioCiclo,$S303+MOD(2-WEEKDAY($S303),7))+27),1,IF(ISNUMBER($L303),$L303,$AB303)))</f>
        <v/>
      </c>
      <c r="AD303" s="62">
        <f>IF($V303&lt;&gt;"Sub","",N($X303)*IF(AND(ISNUMBER($G303),$G303&lt;=IF($S303=MesCiclo,InicioCiclo,$S303+MOD(2-WEEKDAY($S303),7))+6),1,MIN(1,MAX(0,IF(ISNUMBER(OFFSET($A$1,ROW()-1,8)),OFFSET($A$1,ROW()-1,8),0)))))</f>
        <v/>
      </c>
      <c r="AE303" s="62">
        <f>IF($V303&lt;&gt;"Sub","",N($X303)*IF(AND(ISNUMBER($G303),$G303&lt;=IF($S303=MesCiclo,InicioCiclo,$S303+MOD(2-WEEKDAY($S303),7))+13),1,MIN(1,MAX(0,IF(ISNUMBER(OFFSET($A$1,ROW()-1,9)),OFFSET($A$1,ROW()-1,9),IF(ISNUMBER(OFFSET($A$1,ROW()-1,8)),OFFSET($A$1,ROW()-1,8),0))))))</f>
        <v/>
      </c>
      <c r="AF303" s="62">
        <f>IF($V303&lt;&gt;"Sub","",N($X303)*IF(AND(ISNUMBER($G303),$G303&lt;=IF($S303=MesCiclo,InicioCiclo,$S303+MOD(2-WEEKDAY($S303),7))+20),1,MIN(1,MAX(0,IF(ISNUMBER(OFFSET($A$1,ROW()-1,10)),OFFSET($A$1,ROW()-1,10),IF(ISNUMBER(OFFSET($A$1,ROW()-1,9)),OFFSET($A$1,ROW()-1,9),IF(ISNUMBER(OFFSET($A$1,ROW()-1,8)),OFFSET($A$1,ROW()-1,8),0)))))))</f>
        <v/>
      </c>
      <c r="AG303" s="62">
        <f>IF($V303&lt;&gt;"Sub","",N($X303)*IF(AND(ISNUMBER($G303),$G303&lt;=IF($S303=MesCiclo,InicioCiclo,$S303+MOD(2-WEEKDAY($S303),7))+27),1,MIN(1,MAX(0,IF(ISNUMBER(OFFSET($A$1,ROW()-1,11)),OFFSET($A$1,ROW()-1,11),IF(ISNUMBER(OFFSET($A$1,ROW()-1,10)),OFFSET($A$1,ROW()-1,10),IF(ISNUMBER(OFFSET($A$1,ROW()-1,9)),OFFSET($A$1,ROW()-1,9),IF(ISNUMBER(OFFSET($A$1,ROW()-1,8)),OFFSET($A$1,ROW()-1,8),0))))))))</f>
        <v/>
      </c>
      <c r="AH303" s="62">
        <f>IF($V303="","",IF(AND(ISNUMBER($G303),$G303&lt;=IF($S303=MesCiclo,InicioCiclo,$S303+MOD(2-WEEKDAY($S303),7))+6),1,IF(N($W303)&gt;0,MIN(1,SUMIFS($AD$5:$AD$1000,$U$5:$U$1000,ROW(),$V$5:$V$1000,"Sub")),$Z303)))</f>
        <v/>
      </c>
      <c r="AI303" s="62">
        <f>IF($V303="","",IF(AND(ISNUMBER($G303),$G303&lt;=IF($S303=MesCiclo,InicioCiclo,$S303+MOD(2-WEEKDAY($S303),7))+13),1,IF(N($W303)&gt;0,MIN(1,SUMIFS($AE$5:$AE$1000,$U$5:$U$1000,ROW(),$V$5:$V$1000,"Sub")),$AA303)))</f>
        <v/>
      </c>
      <c r="AJ303" s="62">
        <f>IF($V303="","",IF(AND(ISNUMBER($G303),$G303&lt;=IF($S303=MesCiclo,InicioCiclo,$S303+MOD(2-WEEKDAY($S303),7))+20),1,IF(N($W303)&gt;0,MIN(1,SUMIFS($AF$5:$AF$1000,$U$5:$U$1000,ROW(),$V$5:$V$1000,"Sub")),$AB303)))</f>
        <v/>
      </c>
      <c r="AK303" s="62">
        <f>IF($V303="","",IF(AND(ISNUMBER($G303),$G303&lt;=IF($S303=MesCiclo,InicioCiclo,$S303+MOD(2-WEEKDAY($S303),7))+27),1,IF(N($W303)&gt;0,MIN(1,SUMIFS($AG$5:$AG$1000,$U$5:$U$1000,ROW(),$V$5:$V$1000,"Sub")),$AC303)))</f>
        <v/>
      </c>
      <c r="AL303" s="62">
        <f>IF($V303&lt;&gt;"Macro","",IF(COUNTIFS($S$5:$S$1000,$S303,$V$5:$V$1000,"Macro",$H$5:$H$1000,"&gt;0")=0,1/COUNTIFS($S$5:$S$1000,$S303,$V$5:$V$1000,"Macro"),IF(AND(ISNUMBER($H303),N($H303)&gt;0),$H303,SUMIFS($H$5:$H$1000,$S$5:$S$1000,$S303,$V$5:$V$1000,"Macro")/COUNTIFS($S$5:$S$1000,$S303,$V$5:$V$1000,"Macro",$H$5:$H$1000,"&gt;0"))/(COUNTIFS($S$5:$S$1000,$S303,$V$5:$V$1000,"Macro")*SUMIFS($H$5:$H$1000,$S$5:$S$1000,$S303,$V$5:$V$1000,"Macro")/COUNTIFS($S$5:$S$1000,$S303,$V$5:$V$1000,"Macro",$H$5:$H$1000,"&gt;0"))))</f>
        <v/>
      </c>
      <c r="AM303" s="62" t="n"/>
      <c r="AN303" s="62" t="n"/>
      <c r="AO303" s="62" t="n"/>
      <c r="AP303" s="62" t="n"/>
      <c r="AQ303" s="62">
        <f>IF(LEFT($C303,11)="[Jefatura] ",IFERROR(MATCH("Asistente Técnico de Riesgo|"&amp;MID($C303,12,500),rDname_ADM,0),0),"")</f>
        <v/>
      </c>
      <c r="AR303" s="62">
        <f>IF(N($AQ303)&gt;0,INDEX(rIni_ADM,$AQ303),IF(ISNUMBER($E303),$E303,""))</f>
        <v/>
      </c>
      <c r="AS303" s="62">
        <f>IF(N($AQ303)&gt;0,INDEX(rLim_ADM,$AQ303),IF(ISNUMBER($F303),$F303,""))</f>
        <v/>
      </c>
    </row>
    <row r="304">
      <c r="A304" s="56">
        <f>IF(NOT((COUNTA($B304:$D304)+COUNTA($G304:$H304)+COUNTA($Q304))&gt;0),"",IF($V304="Macro",COUNTIFS($V$5:$V304,"Macro",$S$5:$S304,$S304),IF(N($U304)=0,"?",COUNTIFS(INDEX($V$5:$V$1000,1):INDEX($V$5:$V$1000,$U304-4),"Macro",INDEX($S$5:$S$1000,1):INDEX($S$5:$S$1000,$U304-4),INDEX($S$5:$S$1000,$U304-4))&amp;"."&amp;COUNTIFS($U$5:$U304,$U304,$V$5:$V304,"Sub"))))</f>
        <v/>
      </c>
      <c r="B304" s="57" t="n"/>
      <c r="C304" s="58" t="n"/>
      <c r="D304" s="58" t="n"/>
      <c r="E304" s="59">
        <f>IF(N($AQ304)&gt;0,INDEX(rIni_ADM,$AQ304),"")</f>
        <v/>
      </c>
      <c r="F304" s="59">
        <f>IF(N($AQ304)&gt;0,INDEX(rLim_ADM,$AQ304),"")</f>
        <v/>
      </c>
      <c r="G304" s="59" t="n"/>
      <c r="H304" s="60" t="n"/>
      <c r="I304" s="60">
        <f>IF(N($W304)=0,"",IF(AND($S304=MesCiclo,1&gt;SemanaActual),"",MIN(1,SUMIFS(OFFSET($A$1,ROW(),29,1000-ROW(),1),OFFSET($A$1,ROW(),20,1000-ROW(),1),ROW(),OFFSET($A$1,ROW(),21,1000-ROW(),1),"Sub"))))</f>
        <v/>
      </c>
      <c r="J304" s="60">
        <f>IF(N($W304)=0,"",IF(AND($S304=MesCiclo,2&gt;SemanaActual),"",MIN(1,SUMIFS(OFFSET($A$1,ROW(),30,1000-ROW(),1),OFFSET($A$1,ROW(),20,1000-ROW(),1),ROW(),OFFSET($A$1,ROW(),21,1000-ROW(),1),"Sub"))))</f>
        <v/>
      </c>
      <c r="K304" s="60">
        <f>IF(N($W304)=0,"",IF(AND($S304=MesCiclo,3&gt;SemanaActual),"",MIN(1,SUMIFS(OFFSET($A$1,ROW(),31,1000-ROW(),1),OFFSET($A$1,ROW(),20,1000-ROW(),1),ROW(),OFFSET($A$1,ROW(),21,1000-ROW(),1),"Sub"))))</f>
        <v/>
      </c>
      <c r="L304" s="60">
        <f>IF(N($W304)=0,"",IF(AND($S304=MesCiclo,4&gt;SemanaActual),"",MIN(1,SUMIFS(OFFSET($A$1,ROW(),32,1000-ROW(),1),OFFSET($A$1,ROW(),20,1000-ROW(),1),ROW(),OFFSET($A$1,ROW(),21,1000-ROW(),1),"Sub"))))</f>
        <v/>
      </c>
      <c r="M304" s="61">
        <f>IF(OR(NOT((COUNTA($B304:$D304)+COUNTA($G304:$H304)+COUNTA($Q304))&gt;0),$V304="Sub"),"",IF(ISNUMBER($G304),1,IF(N($W304)&gt;0,MIN(1,SUMIFS($Y$5:$Y$1000,$U$5:$U$1000,ROW(),$V$5:$V$1000,"Sub")),$Y304)))</f>
        <v/>
      </c>
      <c r="N304" s="56">
        <f>IF(OR($M304="",$V304="Sub"),"",IF($M304&gt;=1,"Completado",IF($M304&gt;0,"En curso","Pendiente")))</f>
        <v/>
      </c>
      <c r="O304" s="56">
        <f>IF(OR(NOT((COUNTA($B304:$D304)+COUNTA($G304:$H304)+COUNTA($Q304))&gt;0),$V304="Sub"),"",IF(ISNUMBER($G304),IF(AND(ISNUMBER($AS304),$G304&gt;$AS304),"Cumplida con "&amp;($G304-$AS304)&amp;IF($G304-$AS304=1," día"," días")&amp;" de retraso","Cumplida"),IF(N($M304)&gt;=1,"Cumplida",IF(NOT(ISNUMBER($AS304)),"Sin fecha límite",IF($AS304&lt;FechaRef,"Vencida hace "&amp;(FechaRef-$AS304)&amp;IF(FechaRef-$AS304=1," día"," días"),IF($AS304=FechaRef,"Vence hoy",IF($AS304-FechaRef&lt;=DiasAlerta,"Vence en "&amp;($AS304-FechaRef)&amp;IF($AS304-FechaRef=1," día"," días"),"En plazo")))))))</f>
        <v/>
      </c>
      <c r="P304" s="62" t="n"/>
      <c r="Q304" s="58" t="n"/>
      <c r="R304" s="63">
        <f>IF(NOT((COUNTA($B304:$D304)+COUNTA($G304:$H304)+COUNTA($Q304))&gt;0),"",IF((IF($C304="","Falta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 OK","⚠ "&amp;LEFT(IF($C304="","Falta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",""),LEN(IF($C304="","Falta el nombre de la actividad"&amp;" · ","")&amp;IF(AND($V304="Sub",N($U304)=0),"Subactividad sin macroactividad arriba"&amp;" · ","")&amp;IF(AND($V304="Macro",$AR304=""),"Sin fecha de inicio"&amp;" · ","")&amp;IF(AND($V304="Macro",$AS304=""),"Sin fecha límite"&amp;" · ","")&amp;IF(AND(LEFT($C304,11)="[Jefatura] ",N($AQ304)=0),"No se encuentra en la hoja de la jefatura (elíjala de nuevo en la lista)"&amp;" · ","")&amp;IF(OR(AND($E304&lt;&gt;"",NOT(ISNUMBER($E304))),AND($F304&lt;&gt;"",NOT(ISNUMBER($F304))),AND($G304&lt;&gt;"",NOT(ISNUMBER($G304)))),"Fecha no válida"&amp;" · ","")&amp;IF(AND(ISNUMBER($AR304),ISNUMBER($AS304),$AR304&gt;$AS304),"Inicio posterior a fecha límite"&amp;" · ","")&amp;IF(AND($V304="Macro",$H304&lt;&gt;"",OR(NOT(ISNUMBER($H304)),$H304&lt;0,$H304&gt;1)),"Peso fuera de rango"&amp;" · ","")&amp;IF(AND($V304="Sub",$H304&lt;&gt;"",OR(NOT(ISNUMBER($H304)),$H304&lt;0,$H304&gt;1)),"% de la subactividad fuera de rango 0-100%"&amp;" · ","")&amp;IF(AND(N($W304)&gt;0,SUMIFS($H$5:$H$1000,$U$5:$U$1000,ROW(),$V$5:$V$1000,"Sub")&gt;1.0001),"Las subactividades suman más de 100%"&amp;" · ","")&amp;IF(AND(N($W304)&gt;0,OR(IF(ISNUMBER($I304),ROUND($I304,6)&lt;&gt;ROUND(MIN(1,SUMIFS($AD$5:$AD$1000,$U$5:$U$1000,ROW(),$V$5:$V$1000,"Sub")),6),FALSE),IF(ISNUMBER($J304),ROUND($J304,6)&lt;&gt;ROUND(MIN(1,SUMIFS($AE$5:$AE$1000,$U$5:$U$1000,ROW(),$V$5:$V$1000,"Sub")),6),FALSE),IF(ISNUMBER($K304),ROUND($K304,6)&lt;&gt;ROUND(MIN(1,SUMIFS($AF$5:$AF$1000,$U$5:$U$1000,ROW(),$V$5:$V$1000,"Sub")),6),FALSE),IF(ISNUMBER($L304),ROUND($L304,6)&lt;&gt;ROUND(MIN(1,SUMIFS($AG$5:$AG$1000,$U$5:$U$1000,ROW(),$V$5:$V$1000,"Sub")),6),FALSE))),"Con subactividades: no escriba en las semanas (se llenan solas)"&amp;" · ","")&amp;IF((COUNTIF($I304:$L304,"&gt;1")+COUNTIF($I304:$L304,"&lt;0")+SUMPRODUCT((LEN($I304:$L304)&gt;0)*NOT(ISNUMBER($I304:$L304))))&gt;0,"Avance fuera de rango 0-100%"&amp;" · ","")&amp;IF(OR(AND(ISNUMBER($J304),$J304&lt;N($I304)),AND(ISNUMBER($K304),$K304&lt;MAX($I304:$J304)),AND(ISNUMBER($L304),$L304&lt;MAX($I304:$K304))),"Avance semanal decreciente"&amp;" · ","")&amp;IF(AND(ISNUMBER($AS304),$AS304&lt;FechaRef,IF($V304="Sub",1,N($M304))&lt;1),"Vencida"&amp;" · ","")&amp;IF(AND(ObsObligatoria="Sí",ISNUMBER($AS304),$AS304&lt;FechaRef,IF($V304="Sub",1,N($M304))&lt;1,$Q304=""),"Vencida sin observación"&amp;" · ",""))-3)))</f>
        <v/>
      </c>
      <c r="S304" s="64">
        <f>IF(NOT((COUNTA($B304:$D304)+COUNTA($G304:$H304)+COUNTA($Q304))&gt;0),"",IF(AND($V304="Sub",N($U304)&gt;0),IF(ISNUMBER(INDEX($AR$5:$AR$1000,$U304-4)),DATE(YEAR(INDEX($AR$5:$AR$1000,$U304-4)),MONTH(INDEX($AR$5:$AR$1000,$U304-4)),1),IF(ISNUMBER(INDEX($AS$5:$AS$1000,$U304-4)),DATE(YEAR(INDEX($AS$5:$AS$1000,$U304-4)),MONTH(INDEX($AS$5:$AS$1000,$U304-4)),1),MesCiclo)),IF(ISNUMBER($AR304),DATE(YEAR($AR304),MONTH($AR304),1),IF(ISNUMBER($AS304),DATE(YEAR($AS304),MONTH($AS304),1),MesCiclo))))</f>
        <v/>
      </c>
      <c r="T304" s="62">
        <f>IF(OR($S304="",$S304&lt;&gt;MesCiclo,$V304&lt;&gt;"Macro"),"",COUNTIFS($S$5:$S304,MesCiclo,$V$5:$V304,"Macro"))</f>
        <v/>
      </c>
      <c r="U304" s="62">
        <f>IF($V304="","",IF($V304="Macro",ROW(),IFERROR(LOOKUP(2,1/($V$5:$V304="Macro"),ROW($V$5:$V304)),0)))</f>
        <v/>
      </c>
      <c r="V304" s="62">
        <f>IF(NOT((COUNTA($B304:$D304)+COUNTA($G304:$H304)+COUNTA($Q304))&gt;0),"",IF($B304="Subactividad","Sub","Macro"))</f>
        <v/>
      </c>
      <c r="W304" s="62">
        <f>IF($V304="Macro",COUNTIFS($U$5:$U$1000,ROW(),$V$5:$V$1000,"Sub"),"")</f>
        <v/>
      </c>
      <c r="X304" s="62">
        <f>IF($V304&lt;&gt;"Sub","",IF(AND(ISNUMBER($H304),N($H304)&gt;0),$H304,IFERROR(MAX(0,1-SUMIFS($H$5:$H$1000,$U$5:$U$1000,$U304,$V$5:$V$1000,"Sub"))/(COUNTIFS($U$5:$U$1000,$U304,$V$5:$V$1000,"Sub")-COUNTIFS($U$5:$U$1000,$U304,$V$5:$V$1000,"Sub",$H$5:$H$1000,"&gt;0")),0)))</f>
        <v/>
      </c>
      <c r="Y304" s="62">
        <f>IF($V304="","",IF($V304="Sub",N($X304)*IF(ISNUMBER($G304),1,MIN(1,MAX(0,IFERROR(LOOKUP(2,1/ISNUMBER($I304:$L304),$I304:$L304),0)))),IF(ISNUMBER($G304),1,IFERROR(LOOKUP(2,1/($I304:$L304&lt;&gt;""),$I304:$L304),0))))</f>
        <v/>
      </c>
      <c r="Z304" s="62">
        <f>IF($V304="","",IF(AND(ISNUMBER($G304),$G304&lt;=IF($S304=MesCiclo,InicioCiclo,$S304+MOD(2-WEEKDAY($S304),7))+6),1,IF(ISNUMBER($I304),$I304,0)))</f>
        <v/>
      </c>
      <c r="AA304" s="62">
        <f>IF($V304="","",IF(AND(ISNUMBER($G304),$G304&lt;=IF($S304=MesCiclo,InicioCiclo,$S304+MOD(2-WEEKDAY($S304),7))+13),1,IF(ISNUMBER($J304),$J304,$Z304)))</f>
        <v/>
      </c>
      <c r="AB304" s="62">
        <f>IF($V304="","",IF(AND(ISNUMBER($G304),$G304&lt;=IF($S304=MesCiclo,InicioCiclo,$S304+MOD(2-WEEKDAY($S304),7))+20),1,IF(ISNUMBER($K304),$K304,$AA304)))</f>
        <v/>
      </c>
      <c r="AC304" s="62">
        <f>IF($V304="","",IF(AND(ISNUMBER($G304),$G304&lt;=IF($S304=MesCiclo,InicioCiclo,$S304+MOD(2-WEEKDAY($S304),7))+27),1,IF(ISNUMBER($L304),$L304,$AB304)))</f>
        <v/>
      </c>
      <c r="AD304" s="62">
        <f>IF($V304&lt;&gt;"Sub","",N($X304)*IF(AND(ISNUMBER($G304),$G304&lt;=IF($S304=MesCiclo,InicioCiclo,$S304+MOD(2-WEEKDAY($S304),7))+6),1,MIN(1,MAX(0,IF(ISNUMBER(OFFSET($A$1,ROW()-1,8)),OFFSET($A$1,ROW()-1,8),0)))))</f>
        <v/>
      </c>
      <c r="AE304" s="62">
        <f>IF($V304&lt;&gt;"Sub","",N($X304)*IF(AND(ISNUMBER($G304),$G304&lt;=IF($S304=MesCiclo,InicioCiclo,$S304+MOD(2-WEEKDAY($S304),7))+13),1,MIN(1,MAX(0,IF(ISNUMBER(OFFSET($A$1,ROW()-1,9)),OFFSET($A$1,ROW()-1,9),IF(ISNUMBER(OFFSET($A$1,ROW()-1,8)),OFFSET($A$1,ROW()-1,8),0))))))</f>
        <v/>
      </c>
      <c r="AF304" s="62">
        <f>IF($V304&lt;&gt;"Sub","",N($X304)*IF(AND(ISNUMBER($G304),$G304&lt;=IF($S304=MesCiclo,InicioCiclo,$S304+MOD(2-WEEKDAY($S304),7))+20),1,MIN(1,MAX(0,IF(ISNUMBER(OFFSET($A$1,ROW()-1,10)),OFFSET($A$1,ROW()-1,10),IF(ISNUMBER(OFFSET($A$1,ROW()-1,9)),OFFSET($A$1,ROW()-1,9),IF(ISNUMBER(OFFSET($A$1,ROW()-1,8)),OFFSET($A$1,ROW()-1,8),0)))))))</f>
        <v/>
      </c>
      <c r="AG304" s="62">
        <f>IF($V304&lt;&gt;"Sub","",N($X304)*IF(AND(ISNUMBER($G304),$G304&lt;=IF($S304=MesCiclo,InicioCiclo,$S304+MOD(2-WEEKDAY($S304),7))+27),1,MIN(1,MAX(0,IF(ISNUMBER(OFFSET($A$1,ROW()-1,11)),OFFSET($A$1,ROW()-1,11),IF(ISNUMBER(OFFSET($A$1,ROW()-1,10)),OFFSET($A$1,ROW()-1,10),IF(ISNUMBER(OFFSET($A$1,ROW()-1,9)),OFFSET($A$1,ROW()-1,9),IF(ISNUMBER(OFFSET($A$1,ROW()-1,8)),OFFSET($A$1,ROW()-1,8),0))))))))</f>
        <v/>
      </c>
      <c r="AH304" s="62">
        <f>IF($V304="","",IF(AND(ISNUMBER($G304),$G304&lt;=IF($S304=MesCiclo,InicioCiclo,$S304+MOD(2-WEEKDAY($S304),7))+6),1,IF(N($W304)&gt;0,MIN(1,SUMIFS($AD$5:$AD$1000,$U$5:$U$1000,ROW(),$V$5:$V$1000,"Sub")),$Z304)))</f>
        <v/>
      </c>
      <c r="AI304" s="62">
        <f>IF($V304="","",IF(AND(ISNUMBER($G304),$G304&lt;=IF($S304=MesCiclo,InicioCiclo,$S304+MOD(2-WEEKDAY($S304),7))+13),1,IF(N($W304)&gt;0,MIN(1,SUMIFS($AE$5:$AE$1000,$U$5:$U$1000,ROW(),$V$5:$V$1000,"Sub")),$AA304)))</f>
        <v/>
      </c>
      <c r="AJ304" s="62">
        <f>IF($V304="","",IF(AND(ISNUMBER($G304),$G304&lt;=IF($S304=MesCiclo,InicioCiclo,$S304+MOD(2-WEEKDAY($S304),7))+20),1,IF(N($W304)&gt;0,MIN(1,SUMIFS($AF$5:$AF$1000,$U$5:$U$1000,ROW(),$V$5:$V$1000,"Sub")),$AB304)))</f>
        <v/>
      </c>
      <c r="AK304" s="62">
        <f>IF($V304="","",IF(AND(ISNUMBER($G304),$G304&lt;=IF($S304=MesCiclo,InicioCiclo,$S304+MOD(2-WEEKDAY($S304),7))+27),1,IF(N($W304)&gt;0,MIN(1,SUMIFS($AG$5:$AG$1000,$U$5:$U$1000,ROW(),$V$5:$V$1000,"Sub")),$AC304)))</f>
        <v/>
      </c>
      <c r="AL304" s="62">
        <f>IF($V304&lt;&gt;"Macro","",IF(COUNTIFS($S$5:$S$1000,$S304,$V$5:$V$1000,"Macro",$H$5:$H$1000,"&gt;0")=0,1/COUNTIFS($S$5:$S$1000,$S304,$V$5:$V$1000,"Macro"),IF(AND(ISNUMBER($H304),N($H304)&gt;0),$H304,SUMIFS($H$5:$H$1000,$S$5:$S$1000,$S304,$V$5:$V$1000,"Macro")/COUNTIFS($S$5:$S$1000,$S304,$V$5:$V$1000,"Macro",$H$5:$H$1000,"&gt;0"))/(COUNTIFS($S$5:$S$1000,$S304,$V$5:$V$1000,"Macro")*SUMIFS($H$5:$H$1000,$S$5:$S$1000,$S304,$V$5:$V$1000,"Macro")/COUNTIFS($S$5:$S$1000,$S304,$V$5:$V$1000,"Macro",$H$5:$H$1000,"&gt;0"))))</f>
        <v/>
      </c>
      <c r="AM304" s="62" t="n"/>
      <c r="AN304" s="62" t="n"/>
      <c r="AO304" s="62" t="n"/>
      <c r="AP304" s="62" t="n"/>
      <c r="AQ304" s="62">
        <f>IF(LEFT($C304,11)="[Jefatura] ",IFERROR(MATCH("Asistente Técnico de Riesgo|"&amp;MID($C304,12,500),rDname_ADM,0),0),"")</f>
        <v/>
      </c>
      <c r="AR304" s="62">
        <f>IF(N($AQ304)&gt;0,INDEX(rIni_ADM,$AQ304),IF(ISNUMBER($E304),$E304,""))</f>
        <v/>
      </c>
      <c r="AS304" s="62">
        <f>IF(N($AQ304)&gt;0,INDEX(rLim_ADM,$AQ304),IF(ISNUMBER($F304),$F304,""))</f>
        <v/>
      </c>
    </row>
  </sheetData>
  <sheetProtection selectLockedCells="0" selectUnlockedCells="0" sheet="1" objects="0" insertRows="1" insertHyperlinks="1" autoFilter="0" scenarios="0" formatColumns="0" deleteColumns="1" insertColumns="1" pivotTables="1" deleteRows="1" formatCells="1" formatRows="0" sort="0"/>
  <mergeCells count="5">
    <mergeCell ref="E3:H3"/>
    <mergeCell ref="A1:S1"/>
    <mergeCell ref="M3:O3"/>
    <mergeCell ref="A2:S2"/>
    <mergeCell ref="Q3:S3"/>
  </mergeCells>
  <conditionalFormatting sqref="M3:O3">
    <cfRule type="expression" priority="1" dxfId="8" stopIfTrue="1">
      <formula>COUNTIFS($S$5:$S$1000,MesCiclo,$O$5:$O$1000,"Vencida*")&gt;0</formula>
    </cfRule>
    <cfRule type="expression" priority="2" dxfId="9" stopIfTrue="1">
      <formula>COUNTIFS($S$5:$S$1000,MesCiclo,$O$5:$O$1000,"Vence*")&gt;0</formula>
    </cfRule>
    <cfRule type="expression" priority="3" dxfId="0">
      <formula>TRUE</formula>
    </cfRule>
  </conditionalFormatting>
  <conditionalFormatting sqref="Q3:S3">
    <cfRule type="expression" priority="4" dxfId="9" stopIfTrue="1">
      <formula>(COUNTIFS('Administración'!$D$5:$D$1000,"Asistente Técnico de Riesgo",'Administración'!$S$5:$S$1000,MesCiclo,'Administración'!$V$5:$V$1000,"Macro")-COUNTIFS('Administración'!$D$5:$D$1000,"Asistente Técnico de Riesgo",'Administración'!$S$5:$S$1000,MesCiclo,'Administración'!$V$5:$V$1000,"Macro",'Administración'!$AM$5:$AM$1000,"&gt;0"))&gt;0</formula>
    </cfRule>
    <cfRule type="expression" priority="5" dxfId="0">
      <formula>COUNTIFS('Administración'!$D$5:$D$1000,"Asistente Técnico de Riesgo",'Administración'!$S$5:$S$1000,MesCiclo,'Administración'!$V$5:$V$1000,"Macro")&gt;0</formula>
    </cfRule>
  </conditionalFormatting>
  <conditionalFormatting sqref="I3:L3">
    <cfRule type="expression" priority="6" dxfId="1">
      <formula>COLUMN(I3)-8=SemanaActual</formula>
    </cfRule>
  </conditionalFormatting>
  <conditionalFormatting sqref="C5:C1000">
    <cfRule type="expression" priority="7" dxfId="10" stopIfTrue="1">
      <formula>LEFT($C5,11)="[Jefatura] "</formula>
    </cfRule>
    <cfRule type="expression" priority="10" dxfId="11" stopIfTrue="1">
      <formula>AND($V5="Sub",LEN($C5)&lt;=255)</formula>
    </cfRule>
    <cfRule type="expression" priority="11" dxfId="12">
      <formula>$V5="Sub"</formula>
    </cfRule>
  </conditionalFormatting>
  <conditionalFormatting sqref="A5:C1000">
    <cfRule type="expression" priority="8" dxfId="5" stopIfTrue="1">
      <formula>AND($V5="Macro",$C5="")</formula>
    </cfRule>
    <cfRule type="expression" priority="9" dxfId="26">
      <formula>$V5="Macro"</formula>
    </cfRule>
  </conditionalFormatting>
  <conditionalFormatting sqref="N5:N1000">
    <cfRule type="expression" priority="12" dxfId="0">
      <formula>$N5="Completado"</formula>
    </cfRule>
    <cfRule type="expression" priority="13" dxfId="4">
      <formula>$N5="En curso"</formula>
    </cfRule>
    <cfRule type="expression" priority="14" dxfId="5">
      <formula>$N5="Pendiente"</formula>
    </cfRule>
  </conditionalFormatting>
  <conditionalFormatting sqref="O5:O1000">
    <cfRule type="expression" priority="15" dxfId="8" stopIfTrue="1">
      <formula>LEFT($O5,7)="Vencida"</formula>
    </cfRule>
    <cfRule type="expression" priority="16" dxfId="9" stopIfTrue="1">
      <formula>LEFT($O5,5)="Vence"</formula>
    </cfRule>
    <cfRule type="expression" priority="17" dxfId="0" stopIfTrue="1">
      <formula>LEFT($O5,8)="Cumplida"</formula>
    </cfRule>
    <cfRule type="expression" priority="18" dxfId="14" stopIfTrue="1">
      <formula>$O5="En plazo"</formula>
    </cfRule>
    <cfRule type="expression" priority="19" dxfId="5">
      <formula>$O5="Sin fecha límite"</formula>
    </cfRule>
  </conditionalFormatting>
  <conditionalFormatting sqref="I5:L1000">
    <cfRule type="expression" priority="20" dxfId="15" stopIfTrue="1">
      <formula>AND($V5="Sub",ISNUMBER($G5),MIN(4,MAX(1,INT(($G5-InicioCiclo)/7)+1))=COLUMN(I5)-8)</formula>
    </cfRule>
    <cfRule type="expression" priority="29" dxfId="5" stopIfTrue="1">
      <formula>AND(N($W5)&gt;0,I5&lt;&gt;"")</formula>
    </cfRule>
    <cfRule type="expression" priority="30" dxfId="16" stopIfTrue="1">
      <formula>OR(N($W5)&gt;0,ISNUMBER($G5))</formula>
    </cfRule>
    <cfRule type="expression" priority="31" dxfId="5" stopIfTrue="1">
      <formula>AND(I5&lt;&gt;"",OR(NOT(ISNUMBER(I5)),I5&gt;1,I5&lt;0))</formula>
    </cfRule>
  </conditionalFormatting>
  <conditionalFormatting sqref="M5:M1000">
    <cfRule type="expression" priority="21" dxfId="0">
      <formula>AND(ISNUMBER($M5),$M5&gt;=1)</formula>
    </cfRule>
    <cfRule type="dataBar" priority="22">
      <dataBar showValue="1">
        <cfvo type="num" val="0"/>
        <cfvo type="num" val="1"/>
        <color rgb="005B9BD5"/>
      </dataBar>
    </cfRule>
  </conditionalFormatting>
  <conditionalFormatting sqref="G5:G1000">
    <cfRule type="expression" priority="23" dxfId="0">
      <formula>ISNUMBER($G5)</formula>
    </cfRule>
  </conditionalFormatting>
  <conditionalFormatting sqref="F5:F1000">
    <cfRule type="expression" priority="24" dxfId="6" stopIfTrue="1">
      <formula>AND(ISNUMBER($AS5),$AS5&lt;FechaRef,IF($V5="Sub",1,N($M5))&lt;1)</formula>
    </cfRule>
    <cfRule type="expression" priority="25" dxfId="7">
      <formula>AND(ISNUMBER($AS5),$AS5&gt;=FechaRef,$AS5-FechaRef&lt;=DiasAlerta,IF($V5="Sub",1,N($M5))&lt;1)</formula>
    </cfRule>
  </conditionalFormatting>
  <conditionalFormatting sqref="E5:F1000">
    <cfRule type="expression" priority="26" dxfId="10" stopIfTrue="1">
      <formula>AND(N($AQ5)&gt;0)</formula>
    </cfRule>
    <cfRule type="expression" priority="27" dxfId="5" stopIfTrue="1">
      <formula>AND((COUNTA($B5:$D5)+COUNTA($G5:$H5)+COUNTA($Q5))&gt;0,$AR5="")</formula>
    </cfRule>
    <cfRule type="expression" priority="28" dxfId="6">
      <formula>AND(ISNUMBER($E5),ISNUMBER($F5),$E5&gt;$F5)</formula>
    </cfRule>
  </conditionalFormatting>
  <conditionalFormatting sqref="J5:L1000">
    <cfRule type="expression" priority="32" dxfId="6">
      <formula>AND(J5&lt;&gt;"",J5&lt;MAX($I5:I5))</formula>
    </cfRule>
  </conditionalFormatting>
  <conditionalFormatting sqref="Q5:Q1000">
    <cfRule type="expression" priority="33" dxfId="5">
      <formula>AND(ObsObligatoria="Sí",ISNUMBER($F5),$F5&lt;FechaRef,IF($V5="Sub",1,N($M5))&lt;1,$Q5="")</formula>
    </cfRule>
  </conditionalFormatting>
  <conditionalFormatting sqref="R5:R1000">
    <cfRule type="expression" priority="34" dxfId="5">
      <formula>LEFT($R5,1)="⚠"</formula>
    </cfRule>
    <cfRule type="expression" priority="35" dxfId="17">
      <formula>LEFT($R5,1)="✔"</formula>
    </cfRule>
  </conditionalFormatting>
  <conditionalFormatting sqref="S5:S1000">
    <cfRule type="expression" priority="36" dxfId="1">
      <formula>AND($S5&lt;&gt;"",$S5=MesCiclo)</formula>
    </cfRule>
  </conditionalFormatting>
  <dataValidations count="6">
    <dataValidation sqref="E5:F1000" showDropDown="0" showInputMessage="1" showErrorMessage="1" allowBlank="1" errorTitle="Fecha no permitida" error="Si la actividad es de la jefatura ([Jefatura]), las fechas las pone la jefatura y no se pueden cambiar. En sus actividades propias escriba una fecha válida (dd/mm/aaaa)." promptTitle="Fechas" prompt="En actividades [Jefatura] las fechas aparecen solas (las pone la jefatura). En las propias, escriba la fecha." type="custom">
      <formula1>AND(LEFT($C5,11)&lt;&gt;"[Jefatura] ",ISNUMBER(E5),E5&gt;36526)</formula1>
    </dataValidation>
    <dataValidation sqref="B5:B1000" showDropDown="0" showInputMessage="1" showErrorMessage="1" allowBlank="1" errorTitle="Tipo no válido" error="Elija Macroactividad o Subactividad." promptTitle="Tipo" prompt="Macroactividad (lleva peso) o Subactividad (va debajo de su macroactividad). Vacío = Macroactividad." type="list">
      <formula1>"Macroactividad,Subactividad"</formula1>
    </dataValidation>
    <dataValidation sqref="G5:G1000" showDropDown="0" showInputMessage="1" showErrorMessage="1" allowBlank="1" errorTitle="Fecha no válida" error="Ingrese una fecha válida (dd/mm/aaaa)." promptTitle="Fecha de cumplimiento" prompt="Escriba la fecha en que se cumplió. La actividad queda al 100% y ya no aparece vencida." type="date" operator="greaterThan">
      <formula1>36526</formula1>
    </dataValidation>
    <dataValidation sqref="H5:H1000" showDropDown="0" showInputMessage="1" showErrorMessage="1" allowBlank="1" errorTitle="Porcentaje no válido" error="Ingrese un porcentaje entre 0% y 100% (por ejemplo 40%)." promptTitle="Peso / % de la subactividad" prompt="Macroactividad: cuánto vale en el mes (opcional; vacío = todas valen igual). Subactividad: cuánto vale dentro de su macroactividad (entre todas 100%; vacío = iguales). Su avance (semanas o fecha de cumplimiento) suma a la macroactividad." type="decimal" operator="between">
      <formula1>0</formula1>
      <formula2>1</formula2>
    </dataValidation>
    <dataValidation sqref="I5:L1000" showDropDown="0" showInputMessage="1" showErrorMessage="1" allowBlank="1" errorTitle="Avance no válido" error="Ingrese un porcentaje entre 0% y 100%." promptTitle="Avance de la semana (opcional)" prompt="% TOTAL logrado hasta esta semana. Cuando termine, escriba la Fecha de cumplimiento. En la macroactividad con subactividades no escriba: se llena sola con sus subactividades." type="decimal" operator="between">
      <formula1>0</formula1>
      <formula2>1</formula2>
    </dataValidation>
    <dataValidation sqref="C5:C1000" showDropDown="0" showInputMessage="1" showErrorMessage="0" allowBlank="1" promptTitle="Actividad" prompt="Escriba el nombre, o elija en la lista una actividad delegada por la jefatura." type="list">
      <formula1>ListaDeleg_ATR</formula1>
    </dataValidation>
  </dataValidations>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tabColor rgb="002E75B6"/>
    <outlinePr summaryBelow="1" summaryRight="1"/>
    <pageSetUpPr fitToPage="1"/>
  </sheetPr>
  <dimension ref="A1:Q1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2" customWidth="1" min="3" max="3"/>
    <col width="12" customWidth="1" min="4" max="4"/>
    <col width="16" customWidth="1" min="5" max="5"/>
    <col width="11" customWidth="1" min="6" max="6"/>
    <col width="11" customWidth="1" min="7" max="7"/>
    <col width="11" customWidth="1" min="8" max="8"/>
    <col width="11" customWidth="1" min="9" max="9"/>
    <col width="12" customWidth="1" min="10" max="10"/>
    <col width="13" customWidth="1" min="11" max="11"/>
    <col width="20" customWidth="1" min="12" max="12"/>
    <col width="46" customWidth="1" min="13" max="13"/>
    <col hidden="1" width="13" customWidth="1" min="14" max="14"/>
    <col hidden="1" width="13" customWidth="1" min="15" max="15"/>
    <col hidden="1" width="13" customWidth="1" min="16" max="16"/>
    <col hidden="1" width="13" customWidth="1" min="17" max="17"/>
  </cols>
  <sheetData>
    <row r="1" ht="28" customHeight="1">
      <c r="A1" s="84" t="inlineStr">
        <is>
          <t>Actividades del mes por semana – Asistente Técnico de Riesgo</t>
        </is>
      </c>
      <c r="B1" s="84" t="n"/>
      <c r="C1" s="84" t="n"/>
      <c r="D1" s="84" t="n"/>
      <c r="E1" s="84" t="n"/>
      <c r="F1" s="84" t="n"/>
      <c r="G1" s="84" t="n"/>
      <c r="H1" s="84" t="n"/>
      <c r="I1" s="84" t="n"/>
      <c r="J1" s="84" t="n"/>
      <c r="K1" s="84" t="n"/>
      <c r="L1" s="84" t="n"/>
      <c r="M1" s="84" t="n"/>
    </row>
    <row r="2" ht="34" customHeight="1">
      <c r="A2" s="74" t="inlineStr">
        <is>
          <t>HOJA AUTOMÁTICA Y BLOQUEADA: muestra solo las actividades del mes indicado abajo, tomadas de «Cronograma Asistente Técnico». No hay que escribir nada aquí. Muestra SOLO las macroactividades (sus subactividades se ven en el Cronograma; su avance ya está incluido). La barra de color marca las semanas en que cada actividad está programada y dentro aparece el avance de esa semana. La columna «Alerta de plazo» indica lo vencido y lo que está por vencer.</t>
        </is>
      </c>
      <c r="B2" s="74" t="n"/>
      <c r="C2" s="74" t="n"/>
      <c r="D2" s="74" t="n"/>
      <c r="E2" s="74" t="n"/>
      <c r="F2" s="74" t="n"/>
      <c r="G2" s="74" t="n"/>
      <c r="H2" s="74" t="n"/>
      <c r="I2" s="74" t="n"/>
      <c r="J2" s="74" t="n"/>
      <c r="K2" s="74" t="n"/>
      <c r="L2" s="74" t="n"/>
      <c r="M2" s="74" t="n"/>
    </row>
    <row r="3">
      <c r="A3" s="75" t="inlineStr">
        <is>
          <t>Mes:</t>
        </is>
      </c>
      <c r="B3" s="76">
        <f>MesCiclo</f>
        <v/>
      </c>
      <c r="E3" s="77" t="inlineStr">
        <is>
          <t>Semana del:</t>
        </is>
      </c>
      <c r="F3" s="78">
        <f>(InicioCiclo+0)</f>
        <v/>
      </c>
      <c r="G3" s="78">
        <f>(InicioCiclo+7)</f>
        <v/>
      </c>
      <c r="H3" s="78">
        <f>(InicioCiclo+14)</f>
        <v/>
      </c>
      <c r="I3" s="78">
        <f>(InicioCiclo+21)</f>
        <v/>
      </c>
    </row>
    <row r="4" ht="34" customHeight="1">
      <c r="A4" s="54" t="inlineStr">
        <is>
          <t>N°</t>
        </is>
      </c>
      <c r="B4" s="54" t="inlineStr">
        <is>
          <t>Actividad</t>
        </is>
      </c>
      <c r="C4" s="54" t="inlineStr">
        <is>
          <t>Fecha de inicio</t>
        </is>
      </c>
      <c r="D4" s="54" t="inlineStr">
        <is>
          <t>Fecha límite</t>
        </is>
      </c>
      <c r="E4" s="54" t="inlineStr">
        <is>
          <t>Semana de entrega</t>
        </is>
      </c>
      <c r="F4" s="7" t="inlineStr">
        <is>
          <t>Semana 1</t>
        </is>
      </c>
      <c r="G4" s="7" t="inlineStr">
        <is>
          <t>Semana 2</t>
        </is>
      </c>
      <c r="H4" s="7" t="inlineStr">
        <is>
          <t>Semana 3</t>
        </is>
      </c>
      <c r="I4" s="7" t="inlineStr">
        <is>
          <t>Semana 4</t>
        </is>
      </c>
      <c r="J4" s="54" t="inlineStr">
        <is>
          <t>% Avance actual</t>
        </is>
      </c>
      <c r="K4" s="54" t="inlineStr">
        <is>
          <t>Estado</t>
        </is>
      </c>
      <c r="L4" s="54" t="inlineStr">
        <is>
          <t>Alerta de plazo</t>
        </is>
      </c>
      <c r="M4" s="54" t="inlineStr">
        <is>
          <t>Observaciones</t>
        </is>
      </c>
      <c r="N4" t="inlineStr">
        <is>
          <t>Fila origen (aux)</t>
        </is>
      </c>
      <c r="O4" t="inlineStr">
        <is>
          <t>Tipo (aux)</t>
        </is>
      </c>
      <c r="P4" t="inlineStr">
        <is>
          <t>N subactividades (aux)</t>
        </is>
      </c>
      <c r="Q4" t="inlineStr">
        <is>
          <t>N° alerta de plazo (aux)</t>
        </is>
      </c>
    </row>
    <row r="5">
      <c r="A5" s="56">
        <f>IF($N5="","",INDEX('Cronograma Asistente Técnico'!$A$5:$A$1000,$N5))</f>
        <v/>
      </c>
      <c r="B5" s="62">
        <f>IF($N5="","",IF($O5="Sub","      ↳  "&amp;INDEX('Cronograma Asistente Técnico'!$C$5:$C$1000,$N5),INDEX('Cronograma Asistente Técnico'!$C$5:$C$1000,$N5)&amp;""))</f>
        <v/>
      </c>
      <c r="C5" s="79">
        <f>IF($N5="","",IF(INDEX('Cronograma Asistente Técnico'!$AR$5:$AR$1000,$N5)="","",INDEX('Cronograma Asistente Técnico'!$AR$5:$AR$1000,$N5)))</f>
        <v/>
      </c>
      <c r="D5" s="79">
        <f>IF($N5="","",IF(INDEX('Cronograma Asistente Técnico'!$AS$5:$AS$1000,$N5)="","",INDEX('Cronograma Asistente Técnico'!$AS$5:$AS$1000,$N5)))</f>
        <v/>
      </c>
      <c r="E5" s="56">
        <f>IF($N5="","",IF(NOT(ISNUMBER($D5)),"",IF($D5&lt;InicioCiclo,"Antes del ciclo",IF($D5&gt;=InicioCiclo+28,"Después del ciclo","Semana "&amp;(INT(($D5-InicioCiclo)/7)+1)))))</f>
        <v/>
      </c>
      <c r="F5" s="61">
        <f>IF($N5="","",IF($P5&gt;0,IF(1&lt;=SemanaActual,INDEX('Cronograma Asistente Técnico'!$AH$5:$AH$1000,$N5),""),IF(INDEX('Cronograma Asistente Técnico'!$I$5:$I$1000,$N5)="","",INDEX('Cronograma Asistente Técnico'!$I$5:$I$1000,$N5))))</f>
        <v/>
      </c>
      <c r="G5" s="61">
        <f>IF($N5="","",IF($P5&gt;0,IF(2&lt;=SemanaActual,INDEX('Cronograma Asistente Técnico'!$AI$5:$AI$1000,$N5),""),IF(INDEX('Cronograma Asistente Técnico'!$J$5:$J$1000,$N5)="","",INDEX('Cronograma Asistente Técnico'!$J$5:$J$1000,$N5))))</f>
        <v/>
      </c>
      <c r="H5" s="61">
        <f>IF($N5="","",IF($P5&gt;0,IF(3&lt;=SemanaActual,INDEX('Cronograma Asistente Técnico'!$AJ$5:$AJ$1000,$N5),""),IF(INDEX('Cronograma Asistente Técnico'!$K$5:$K$1000,$N5)="","",INDEX('Cronograma Asistente Técnico'!$K$5:$K$1000,$N5))))</f>
        <v/>
      </c>
      <c r="I5" s="61">
        <f>IF($N5="","",IF($P5&gt;0,IF(4&lt;=SemanaActual,INDEX('Cronograma Asistente Técnico'!$AK$5:$AK$1000,$N5),""),IF(INDEX('Cronograma Asistente Técnico'!$L$5:$L$1000,$N5)="","",INDEX('Cronograma Asistente Técnico'!$L$5:$L$1000,$N5))))</f>
        <v/>
      </c>
      <c r="J5" s="61">
        <f>IF($N5="","",INDEX('Cronograma Asistente Técnico'!$M$5:$M$1000,$N5))</f>
        <v/>
      </c>
      <c r="K5" s="56">
        <f>IF($N5="","",IF(N($J5)&gt;=1,"Completado",IF(AND(ISNUMBER($D5),$D5&lt;FechaRef),"Vencida",IF(N($J5)&gt;0,"En curso","Pendiente"))))</f>
        <v/>
      </c>
      <c r="L5" s="56">
        <f>IF($N5="","",INDEX('Cronograma Asistente Técnico'!$O$5:$O$1000,$N5)&amp;"")</f>
        <v/>
      </c>
      <c r="M5" s="62">
        <f>IF($N5="","",INDEX('Cronograma Asistente Técnico'!$Q$5:$Q$1000,$N5)&amp;"")</f>
        <v/>
      </c>
      <c r="N5">
        <f>IFERROR(MATCH(ROW()-4,rOrden_ATR,0),"")</f>
        <v/>
      </c>
      <c r="O5">
        <f>IF($N5="","",INDEX('Cronograma Asistente Técnico'!$V$5:$V$1000,$N5))</f>
        <v/>
      </c>
      <c r="P5">
        <f>IF($N5="","",N(INDEX('Cronograma Asistente Técnico'!$W$5:$W$1000,$N5)))</f>
        <v/>
      </c>
      <c r="Q5">
        <f>IF(OR(LEFT($L5,7)="Vencida",LEFT($L5,5)="Vence"),SUMPRODUCT(--(LEFT($L$5:$L5,7)="Vencida"))+SUMPRODUCT(--(LEFT($L$5:$L5,5)="Vence")),"")</f>
        <v/>
      </c>
    </row>
    <row r="6">
      <c r="A6" s="56">
        <f>IF($N6="","",INDEX('Cronograma Asistente Técnico'!$A$5:$A$1000,$N6))</f>
        <v/>
      </c>
      <c r="B6" s="62">
        <f>IF($N6="","",IF($O6="Sub","      ↳  "&amp;INDEX('Cronograma Asistente Técnico'!$C$5:$C$1000,$N6),INDEX('Cronograma Asistente Técnico'!$C$5:$C$1000,$N6)&amp;""))</f>
        <v/>
      </c>
      <c r="C6" s="79">
        <f>IF($N6="","",IF(INDEX('Cronograma Asistente Técnico'!$AR$5:$AR$1000,$N6)="","",INDEX('Cronograma Asistente Técnico'!$AR$5:$AR$1000,$N6)))</f>
        <v/>
      </c>
      <c r="D6" s="79">
        <f>IF($N6="","",IF(INDEX('Cronograma Asistente Técnico'!$AS$5:$AS$1000,$N6)="","",INDEX('Cronograma Asistente Técnico'!$AS$5:$AS$1000,$N6)))</f>
        <v/>
      </c>
      <c r="E6" s="56">
        <f>IF($N6="","",IF(NOT(ISNUMBER($D6)),"",IF($D6&lt;InicioCiclo,"Antes del ciclo",IF($D6&gt;=InicioCiclo+28,"Después del ciclo","Semana "&amp;(INT(($D6-InicioCiclo)/7)+1)))))</f>
        <v/>
      </c>
      <c r="F6" s="61">
        <f>IF($N6="","",IF($P6&gt;0,IF(1&lt;=SemanaActual,INDEX('Cronograma Asistente Técnico'!$AH$5:$AH$1000,$N6),""),IF(INDEX('Cronograma Asistente Técnico'!$I$5:$I$1000,$N6)="","",INDEX('Cronograma Asistente Técnico'!$I$5:$I$1000,$N6))))</f>
        <v/>
      </c>
      <c r="G6" s="61">
        <f>IF($N6="","",IF($P6&gt;0,IF(2&lt;=SemanaActual,INDEX('Cronograma Asistente Técnico'!$AI$5:$AI$1000,$N6),""),IF(INDEX('Cronograma Asistente Técnico'!$J$5:$J$1000,$N6)="","",INDEX('Cronograma Asistente Técnico'!$J$5:$J$1000,$N6))))</f>
        <v/>
      </c>
      <c r="H6" s="61">
        <f>IF($N6="","",IF($P6&gt;0,IF(3&lt;=SemanaActual,INDEX('Cronograma Asistente Técnico'!$AJ$5:$AJ$1000,$N6),""),IF(INDEX('Cronograma Asistente Técnico'!$K$5:$K$1000,$N6)="","",INDEX('Cronograma Asistente Técnico'!$K$5:$K$1000,$N6))))</f>
        <v/>
      </c>
      <c r="I6" s="61">
        <f>IF($N6="","",IF($P6&gt;0,IF(4&lt;=SemanaActual,INDEX('Cronograma Asistente Técnico'!$AK$5:$AK$1000,$N6),""),IF(INDEX('Cronograma Asistente Técnico'!$L$5:$L$1000,$N6)="","",INDEX('Cronograma Asistente Técnico'!$L$5:$L$1000,$N6))))</f>
        <v/>
      </c>
      <c r="J6" s="61">
        <f>IF($N6="","",INDEX('Cronograma Asistente Técnico'!$M$5:$M$1000,$N6))</f>
        <v/>
      </c>
      <c r="K6" s="56">
        <f>IF($N6="","",IF(N($J6)&gt;=1,"Completado",IF(AND(ISNUMBER($D6),$D6&lt;FechaRef),"Vencida",IF(N($J6)&gt;0,"En curso","Pendiente"))))</f>
        <v/>
      </c>
      <c r="L6" s="56">
        <f>IF($N6="","",INDEX('Cronograma Asistente Técnico'!$O$5:$O$1000,$N6)&amp;"")</f>
        <v/>
      </c>
      <c r="M6" s="62">
        <f>IF($N6="","",INDEX('Cronograma Asistente Técnico'!$Q$5:$Q$1000,$N6)&amp;"")</f>
        <v/>
      </c>
      <c r="N6">
        <f>IFERROR(MATCH(ROW()-4,rOrden_ATR,0),"")</f>
        <v/>
      </c>
      <c r="O6">
        <f>IF($N6="","",INDEX('Cronograma Asistente Técnico'!$V$5:$V$1000,$N6))</f>
        <v/>
      </c>
      <c r="P6">
        <f>IF($N6="","",N(INDEX('Cronograma Asistente Técnico'!$W$5:$W$1000,$N6)))</f>
        <v/>
      </c>
      <c r="Q6">
        <f>IF(OR(LEFT($L6,7)="Vencida",LEFT($L6,5)="Vence"),SUMPRODUCT(--(LEFT($L$5:$L6,7)="Vencida"))+SUMPRODUCT(--(LEFT($L$5:$L6,5)="Vence")),"")</f>
        <v/>
      </c>
    </row>
    <row r="7">
      <c r="A7" s="56">
        <f>IF($N7="","",INDEX('Cronograma Asistente Técnico'!$A$5:$A$1000,$N7))</f>
        <v/>
      </c>
      <c r="B7" s="62">
        <f>IF($N7="","",IF($O7="Sub","      ↳  "&amp;INDEX('Cronograma Asistente Técnico'!$C$5:$C$1000,$N7),INDEX('Cronograma Asistente Técnico'!$C$5:$C$1000,$N7)&amp;""))</f>
        <v/>
      </c>
      <c r="C7" s="79">
        <f>IF($N7="","",IF(INDEX('Cronograma Asistente Técnico'!$AR$5:$AR$1000,$N7)="","",INDEX('Cronograma Asistente Técnico'!$AR$5:$AR$1000,$N7)))</f>
        <v/>
      </c>
      <c r="D7" s="79">
        <f>IF($N7="","",IF(INDEX('Cronograma Asistente Técnico'!$AS$5:$AS$1000,$N7)="","",INDEX('Cronograma Asistente Técnico'!$AS$5:$AS$1000,$N7)))</f>
        <v/>
      </c>
      <c r="E7" s="56">
        <f>IF($N7="","",IF(NOT(ISNUMBER($D7)),"",IF($D7&lt;InicioCiclo,"Antes del ciclo",IF($D7&gt;=InicioCiclo+28,"Después del ciclo","Semana "&amp;(INT(($D7-InicioCiclo)/7)+1)))))</f>
        <v/>
      </c>
      <c r="F7" s="61">
        <f>IF($N7="","",IF($P7&gt;0,IF(1&lt;=SemanaActual,INDEX('Cronograma Asistente Técnico'!$AH$5:$AH$1000,$N7),""),IF(INDEX('Cronograma Asistente Técnico'!$I$5:$I$1000,$N7)="","",INDEX('Cronograma Asistente Técnico'!$I$5:$I$1000,$N7))))</f>
        <v/>
      </c>
      <c r="G7" s="61">
        <f>IF($N7="","",IF($P7&gt;0,IF(2&lt;=SemanaActual,INDEX('Cronograma Asistente Técnico'!$AI$5:$AI$1000,$N7),""),IF(INDEX('Cronograma Asistente Técnico'!$J$5:$J$1000,$N7)="","",INDEX('Cronograma Asistente Técnico'!$J$5:$J$1000,$N7))))</f>
        <v/>
      </c>
      <c r="H7" s="61">
        <f>IF($N7="","",IF($P7&gt;0,IF(3&lt;=SemanaActual,INDEX('Cronograma Asistente Técnico'!$AJ$5:$AJ$1000,$N7),""),IF(INDEX('Cronograma Asistente Técnico'!$K$5:$K$1000,$N7)="","",INDEX('Cronograma Asistente Técnico'!$K$5:$K$1000,$N7))))</f>
        <v/>
      </c>
      <c r="I7" s="61">
        <f>IF($N7="","",IF($P7&gt;0,IF(4&lt;=SemanaActual,INDEX('Cronograma Asistente Técnico'!$AK$5:$AK$1000,$N7),""),IF(INDEX('Cronograma Asistente Técnico'!$L$5:$L$1000,$N7)="","",INDEX('Cronograma Asistente Técnico'!$L$5:$L$1000,$N7))))</f>
        <v/>
      </c>
      <c r="J7" s="61">
        <f>IF($N7="","",INDEX('Cronograma Asistente Técnico'!$M$5:$M$1000,$N7))</f>
        <v/>
      </c>
      <c r="K7" s="56">
        <f>IF($N7="","",IF(N($J7)&gt;=1,"Completado",IF(AND(ISNUMBER($D7),$D7&lt;FechaRef),"Vencida",IF(N($J7)&gt;0,"En curso","Pendiente"))))</f>
        <v/>
      </c>
      <c r="L7" s="56">
        <f>IF($N7="","",INDEX('Cronograma Asistente Técnico'!$O$5:$O$1000,$N7)&amp;"")</f>
        <v/>
      </c>
      <c r="M7" s="62">
        <f>IF($N7="","",INDEX('Cronograma Asistente Técnico'!$Q$5:$Q$1000,$N7)&amp;"")</f>
        <v/>
      </c>
      <c r="N7">
        <f>IFERROR(MATCH(ROW()-4,rOrden_ATR,0),"")</f>
        <v/>
      </c>
      <c r="O7">
        <f>IF($N7="","",INDEX('Cronograma Asistente Técnico'!$V$5:$V$1000,$N7))</f>
        <v/>
      </c>
      <c r="P7">
        <f>IF($N7="","",N(INDEX('Cronograma Asistente Técnico'!$W$5:$W$1000,$N7)))</f>
        <v/>
      </c>
      <c r="Q7">
        <f>IF(OR(LEFT($L7,7)="Vencida",LEFT($L7,5)="Vence"),SUMPRODUCT(--(LEFT($L$5:$L7,7)="Vencida"))+SUMPRODUCT(--(LEFT($L$5:$L7,5)="Vence")),"")</f>
        <v/>
      </c>
    </row>
    <row r="8">
      <c r="A8" s="56">
        <f>IF($N8="","",INDEX('Cronograma Asistente Técnico'!$A$5:$A$1000,$N8))</f>
        <v/>
      </c>
      <c r="B8" s="62">
        <f>IF($N8="","",IF($O8="Sub","      ↳  "&amp;INDEX('Cronograma Asistente Técnico'!$C$5:$C$1000,$N8),INDEX('Cronograma Asistente Técnico'!$C$5:$C$1000,$N8)&amp;""))</f>
        <v/>
      </c>
      <c r="C8" s="79">
        <f>IF($N8="","",IF(INDEX('Cronograma Asistente Técnico'!$AR$5:$AR$1000,$N8)="","",INDEX('Cronograma Asistente Técnico'!$AR$5:$AR$1000,$N8)))</f>
        <v/>
      </c>
      <c r="D8" s="79">
        <f>IF($N8="","",IF(INDEX('Cronograma Asistente Técnico'!$AS$5:$AS$1000,$N8)="","",INDEX('Cronograma Asistente Técnico'!$AS$5:$AS$1000,$N8)))</f>
        <v/>
      </c>
      <c r="E8" s="56">
        <f>IF($N8="","",IF(NOT(ISNUMBER($D8)),"",IF($D8&lt;InicioCiclo,"Antes del ciclo",IF($D8&gt;=InicioCiclo+28,"Después del ciclo","Semana "&amp;(INT(($D8-InicioCiclo)/7)+1)))))</f>
        <v/>
      </c>
      <c r="F8" s="61">
        <f>IF($N8="","",IF($P8&gt;0,IF(1&lt;=SemanaActual,INDEX('Cronograma Asistente Técnico'!$AH$5:$AH$1000,$N8),""),IF(INDEX('Cronograma Asistente Técnico'!$I$5:$I$1000,$N8)="","",INDEX('Cronograma Asistente Técnico'!$I$5:$I$1000,$N8))))</f>
        <v/>
      </c>
      <c r="G8" s="61">
        <f>IF($N8="","",IF($P8&gt;0,IF(2&lt;=SemanaActual,INDEX('Cronograma Asistente Técnico'!$AI$5:$AI$1000,$N8),""),IF(INDEX('Cronograma Asistente Técnico'!$J$5:$J$1000,$N8)="","",INDEX('Cronograma Asistente Técnico'!$J$5:$J$1000,$N8))))</f>
        <v/>
      </c>
      <c r="H8" s="61">
        <f>IF($N8="","",IF($P8&gt;0,IF(3&lt;=SemanaActual,INDEX('Cronograma Asistente Técnico'!$AJ$5:$AJ$1000,$N8),""),IF(INDEX('Cronograma Asistente Técnico'!$K$5:$K$1000,$N8)="","",INDEX('Cronograma Asistente Técnico'!$K$5:$K$1000,$N8))))</f>
        <v/>
      </c>
      <c r="I8" s="61">
        <f>IF($N8="","",IF($P8&gt;0,IF(4&lt;=SemanaActual,INDEX('Cronograma Asistente Técnico'!$AK$5:$AK$1000,$N8),""),IF(INDEX('Cronograma Asistente Técnico'!$L$5:$L$1000,$N8)="","",INDEX('Cronograma Asistente Técnico'!$L$5:$L$1000,$N8))))</f>
        <v/>
      </c>
      <c r="J8" s="61">
        <f>IF($N8="","",INDEX('Cronograma Asistente Técnico'!$M$5:$M$1000,$N8))</f>
        <v/>
      </c>
      <c r="K8" s="56">
        <f>IF($N8="","",IF(N($J8)&gt;=1,"Completado",IF(AND(ISNUMBER($D8),$D8&lt;FechaRef),"Vencida",IF(N($J8)&gt;0,"En curso","Pendiente"))))</f>
        <v/>
      </c>
      <c r="L8" s="56">
        <f>IF($N8="","",INDEX('Cronograma Asistente Técnico'!$O$5:$O$1000,$N8)&amp;"")</f>
        <v/>
      </c>
      <c r="M8" s="62">
        <f>IF($N8="","",INDEX('Cronograma Asistente Técnico'!$Q$5:$Q$1000,$N8)&amp;"")</f>
        <v/>
      </c>
      <c r="N8">
        <f>IFERROR(MATCH(ROW()-4,rOrden_ATR,0),"")</f>
        <v/>
      </c>
      <c r="O8">
        <f>IF($N8="","",INDEX('Cronograma Asistente Técnico'!$V$5:$V$1000,$N8))</f>
        <v/>
      </c>
      <c r="P8">
        <f>IF($N8="","",N(INDEX('Cronograma Asistente Técnico'!$W$5:$W$1000,$N8)))</f>
        <v/>
      </c>
      <c r="Q8">
        <f>IF(OR(LEFT($L8,7)="Vencida",LEFT($L8,5)="Vence"),SUMPRODUCT(--(LEFT($L$5:$L8,7)="Vencida"))+SUMPRODUCT(--(LEFT($L$5:$L8,5)="Vence")),"")</f>
        <v/>
      </c>
    </row>
    <row r="9">
      <c r="A9" s="56">
        <f>IF($N9="","",INDEX('Cronograma Asistente Técnico'!$A$5:$A$1000,$N9))</f>
        <v/>
      </c>
      <c r="B9" s="62">
        <f>IF($N9="","",IF($O9="Sub","      ↳  "&amp;INDEX('Cronograma Asistente Técnico'!$C$5:$C$1000,$N9),INDEX('Cronograma Asistente Técnico'!$C$5:$C$1000,$N9)&amp;""))</f>
        <v/>
      </c>
      <c r="C9" s="79">
        <f>IF($N9="","",IF(INDEX('Cronograma Asistente Técnico'!$AR$5:$AR$1000,$N9)="","",INDEX('Cronograma Asistente Técnico'!$AR$5:$AR$1000,$N9)))</f>
        <v/>
      </c>
      <c r="D9" s="79">
        <f>IF($N9="","",IF(INDEX('Cronograma Asistente Técnico'!$AS$5:$AS$1000,$N9)="","",INDEX('Cronograma Asistente Técnico'!$AS$5:$AS$1000,$N9)))</f>
        <v/>
      </c>
      <c r="E9" s="56">
        <f>IF($N9="","",IF(NOT(ISNUMBER($D9)),"",IF($D9&lt;InicioCiclo,"Antes del ciclo",IF($D9&gt;=InicioCiclo+28,"Después del ciclo","Semana "&amp;(INT(($D9-InicioCiclo)/7)+1)))))</f>
        <v/>
      </c>
      <c r="F9" s="61">
        <f>IF($N9="","",IF($P9&gt;0,IF(1&lt;=SemanaActual,INDEX('Cronograma Asistente Técnico'!$AH$5:$AH$1000,$N9),""),IF(INDEX('Cronograma Asistente Técnico'!$I$5:$I$1000,$N9)="","",INDEX('Cronograma Asistente Técnico'!$I$5:$I$1000,$N9))))</f>
        <v/>
      </c>
      <c r="G9" s="61">
        <f>IF($N9="","",IF($P9&gt;0,IF(2&lt;=SemanaActual,INDEX('Cronograma Asistente Técnico'!$AI$5:$AI$1000,$N9),""),IF(INDEX('Cronograma Asistente Técnico'!$J$5:$J$1000,$N9)="","",INDEX('Cronograma Asistente Técnico'!$J$5:$J$1000,$N9))))</f>
        <v/>
      </c>
      <c r="H9" s="61">
        <f>IF($N9="","",IF($P9&gt;0,IF(3&lt;=SemanaActual,INDEX('Cronograma Asistente Técnico'!$AJ$5:$AJ$1000,$N9),""),IF(INDEX('Cronograma Asistente Técnico'!$K$5:$K$1000,$N9)="","",INDEX('Cronograma Asistente Técnico'!$K$5:$K$1000,$N9))))</f>
        <v/>
      </c>
      <c r="I9" s="61">
        <f>IF($N9="","",IF($P9&gt;0,IF(4&lt;=SemanaActual,INDEX('Cronograma Asistente Técnico'!$AK$5:$AK$1000,$N9),""),IF(INDEX('Cronograma Asistente Técnico'!$L$5:$L$1000,$N9)="","",INDEX('Cronograma Asistente Técnico'!$L$5:$L$1000,$N9))))</f>
        <v/>
      </c>
      <c r="J9" s="61">
        <f>IF($N9="","",INDEX('Cronograma Asistente Técnico'!$M$5:$M$1000,$N9))</f>
        <v/>
      </c>
      <c r="K9" s="56">
        <f>IF($N9="","",IF(N($J9)&gt;=1,"Completado",IF(AND(ISNUMBER($D9),$D9&lt;FechaRef),"Vencida",IF(N($J9)&gt;0,"En curso","Pendiente"))))</f>
        <v/>
      </c>
      <c r="L9" s="56">
        <f>IF($N9="","",INDEX('Cronograma Asistente Técnico'!$O$5:$O$1000,$N9)&amp;"")</f>
        <v/>
      </c>
      <c r="M9" s="62">
        <f>IF($N9="","",INDEX('Cronograma Asistente Técnico'!$Q$5:$Q$1000,$N9)&amp;"")</f>
        <v/>
      </c>
      <c r="N9">
        <f>IFERROR(MATCH(ROW()-4,rOrden_ATR,0),"")</f>
        <v/>
      </c>
      <c r="O9">
        <f>IF($N9="","",INDEX('Cronograma Asistente Técnico'!$V$5:$V$1000,$N9))</f>
        <v/>
      </c>
      <c r="P9">
        <f>IF($N9="","",N(INDEX('Cronograma Asistente Técnico'!$W$5:$W$1000,$N9)))</f>
        <v/>
      </c>
      <c r="Q9">
        <f>IF(OR(LEFT($L9,7)="Vencida",LEFT($L9,5)="Vence"),SUMPRODUCT(--(LEFT($L$5:$L9,7)="Vencida"))+SUMPRODUCT(--(LEFT($L$5:$L9,5)="Vence")),"")</f>
        <v/>
      </c>
    </row>
    <row r="10">
      <c r="A10" s="56">
        <f>IF($N10="","",INDEX('Cronograma Asistente Técnico'!$A$5:$A$1000,$N10))</f>
        <v/>
      </c>
      <c r="B10" s="62">
        <f>IF($N10="","",IF($O10="Sub","      ↳  "&amp;INDEX('Cronograma Asistente Técnico'!$C$5:$C$1000,$N10),INDEX('Cronograma Asistente Técnico'!$C$5:$C$1000,$N10)&amp;""))</f>
        <v/>
      </c>
      <c r="C10" s="79">
        <f>IF($N10="","",IF(INDEX('Cronograma Asistente Técnico'!$AR$5:$AR$1000,$N10)="","",INDEX('Cronograma Asistente Técnico'!$AR$5:$AR$1000,$N10)))</f>
        <v/>
      </c>
      <c r="D10" s="79">
        <f>IF($N10="","",IF(INDEX('Cronograma Asistente Técnico'!$AS$5:$AS$1000,$N10)="","",INDEX('Cronograma Asistente Técnico'!$AS$5:$AS$1000,$N10)))</f>
        <v/>
      </c>
      <c r="E10" s="56">
        <f>IF($N10="","",IF(NOT(ISNUMBER($D10)),"",IF($D10&lt;InicioCiclo,"Antes del ciclo",IF($D10&gt;=InicioCiclo+28,"Después del ciclo","Semana "&amp;(INT(($D10-InicioCiclo)/7)+1)))))</f>
        <v/>
      </c>
      <c r="F10" s="61">
        <f>IF($N10="","",IF($P10&gt;0,IF(1&lt;=SemanaActual,INDEX('Cronograma Asistente Técnico'!$AH$5:$AH$1000,$N10),""),IF(INDEX('Cronograma Asistente Técnico'!$I$5:$I$1000,$N10)="","",INDEX('Cronograma Asistente Técnico'!$I$5:$I$1000,$N10))))</f>
        <v/>
      </c>
      <c r="G10" s="61">
        <f>IF($N10="","",IF($P10&gt;0,IF(2&lt;=SemanaActual,INDEX('Cronograma Asistente Técnico'!$AI$5:$AI$1000,$N10),""),IF(INDEX('Cronograma Asistente Técnico'!$J$5:$J$1000,$N10)="","",INDEX('Cronograma Asistente Técnico'!$J$5:$J$1000,$N10))))</f>
        <v/>
      </c>
      <c r="H10" s="61">
        <f>IF($N10="","",IF($P10&gt;0,IF(3&lt;=SemanaActual,INDEX('Cronograma Asistente Técnico'!$AJ$5:$AJ$1000,$N10),""),IF(INDEX('Cronograma Asistente Técnico'!$K$5:$K$1000,$N10)="","",INDEX('Cronograma Asistente Técnico'!$K$5:$K$1000,$N10))))</f>
        <v/>
      </c>
      <c r="I10" s="61">
        <f>IF($N10="","",IF($P10&gt;0,IF(4&lt;=SemanaActual,INDEX('Cronograma Asistente Técnico'!$AK$5:$AK$1000,$N10),""),IF(INDEX('Cronograma Asistente Técnico'!$L$5:$L$1000,$N10)="","",INDEX('Cronograma Asistente Técnico'!$L$5:$L$1000,$N10))))</f>
        <v/>
      </c>
      <c r="J10" s="61">
        <f>IF($N10="","",INDEX('Cronograma Asistente Técnico'!$M$5:$M$1000,$N10))</f>
        <v/>
      </c>
      <c r="K10" s="56">
        <f>IF($N10="","",IF(N($J10)&gt;=1,"Completado",IF(AND(ISNUMBER($D10),$D10&lt;FechaRef),"Vencida",IF(N($J10)&gt;0,"En curso","Pendiente"))))</f>
        <v/>
      </c>
      <c r="L10" s="56">
        <f>IF($N10="","",INDEX('Cronograma Asistente Técnico'!$O$5:$O$1000,$N10)&amp;"")</f>
        <v/>
      </c>
      <c r="M10" s="62">
        <f>IF($N10="","",INDEX('Cronograma Asistente Técnico'!$Q$5:$Q$1000,$N10)&amp;"")</f>
        <v/>
      </c>
      <c r="N10">
        <f>IFERROR(MATCH(ROW()-4,rOrden_ATR,0),"")</f>
        <v/>
      </c>
      <c r="O10">
        <f>IF($N10="","",INDEX('Cronograma Asistente Técnico'!$V$5:$V$1000,$N10))</f>
        <v/>
      </c>
      <c r="P10">
        <f>IF($N10="","",N(INDEX('Cronograma Asistente Técnico'!$W$5:$W$1000,$N10)))</f>
        <v/>
      </c>
      <c r="Q10">
        <f>IF(OR(LEFT($L10,7)="Vencida",LEFT($L10,5)="Vence"),SUMPRODUCT(--(LEFT($L$5:$L10,7)="Vencida"))+SUMPRODUCT(--(LEFT($L$5:$L10,5)="Vence")),"")</f>
        <v/>
      </c>
    </row>
    <row r="11">
      <c r="A11" s="56">
        <f>IF($N11="","",INDEX('Cronograma Asistente Técnico'!$A$5:$A$1000,$N11))</f>
        <v/>
      </c>
      <c r="B11" s="62">
        <f>IF($N11="","",IF($O11="Sub","      ↳  "&amp;INDEX('Cronograma Asistente Técnico'!$C$5:$C$1000,$N11),INDEX('Cronograma Asistente Técnico'!$C$5:$C$1000,$N11)&amp;""))</f>
        <v/>
      </c>
      <c r="C11" s="79">
        <f>IF($N11="","",IF(INDEX('Cronograma Asistente Técnico'!$AR$5:$AR$1000,$N11)="","",INDEX('Cronograma Asistente Técnico'!$AR$5:$AR$1000,$N11)))</f>
        <v/>
      </c>
      <c r="D11" s="79">
        <f>IF($N11="","",IF(INDEX('Cronograma Asistente Técnico'!$AS$5:$AS$1000,$N11)="","",INDEX('Cronograma Asistente Técnico'!$AS$5:$AS$1000,$N11)))</f>
        <v/>
      </c>
      <c r="E11" s="56">
        <f>IF($N11="","",IF(NOT(ISNUMBER($D11)),"",IF($D11&lt;InicioCiclo,"Antes del ciclo",IF($D11&gt;=InicioCiclo+28,"Después del ciclo","Semana "&amp;(INT(($D11-InicioCiclo)/7)+1)))))</f>
        <v/>
      </c>
      <c r="F11" s="61">
        <f>IF($N11="","",IF($P11&gt;0,IF(1&lt;=SemanaActual,INDEX('Cronograma Asistente Técnico'!$AH$5:$AH$1000,$N11),""),IF(INDEX('Cronograma Asistente Técnico'!$I$5:$I$1000,$N11)="","",INDEX('Cronograma Asistente Técnico'!$I$5:$I$1000,$N11))))</f>
        <v/>
      </c>
      <c r="G11" s="61">
        <f>IF($N11="","",IF($P11&gt;0,IF(2&lt;=SemanaActual,INDEX('Cronograma Asistente Técnico'!$AI$5:$AI$1000,$N11),""),IF(INDEX('Cronograma Asistente Técnico'!$J$5:$J$1000,$N11)="","",INDEX('Cronograma Asistente Técnico'!$J$5:$J$1000,$N11))))</f>
        <v/>
      </c>
      <c r="H11" s="61">
        <f>IF($N11="","",IF($P11&gt;0,IF(3&lt;=SemanaActual,INDEX('Cronograma Asistente Técnico'!$AJ$5:$AJ$1000,$N11),""),IF(INDEX('Cronograma Asistente Técnico'!$K$5:$K$1000,$N11)="","",INDEX('Cronograma Asistente Técnico'!$K$5:$K$1000,$N11))))</f>
        <v/>
      </c>
      <c r="I11" s="61">
        <f>IF($N11="","",IF($P11&gt;0,IF(4&lt;=SemanaActual,INDEX('Cronograma Asistente Técnico'!$AK$5:$AK$1000,$N11),""),IF(INDEX('Cronograma Asistente Técnico'!$L$5:$L$1000,$N11)="","",INDEX('Cronograma Asistente Técnico'!$L$5:$L$1000,$N11))))</f>
        <v/>
      </c>
      <c r="J11" s="61">
        <f>IF($N11="","",INDEX('Cronograma Asistente Técnico'!$M$5:$M$1000,$N11))</f>
        <v/>
      </c>
      <c r="K11" s="56">
        <f>IF($N11="","",IF(N($J11)&gt;=1,"Completado",IF(AND(ISNUMBER($D11),$D11&lt;FechaRef),"Vencida",IF(N($J11)&gt;0,"En curso","Pendiente"))))</f>
        <v/>
      </c>
      <c r="L11" s="56">
        <f>IF($N11="","",INDEX('Cronograma Asistente Técnico'!$O$5:$O$1000,$N11)&amp;"")</f>
        <v/>
      </c>
      <c r="M11" s="62">
        <f>IF($N11="","",INDEX('Cronograma Asistente Técnico'!$Q$5:$Q$1000,$N11)&amp;"")</f>
        <v/>
      </c>
      <c r="N11">
        <f>IFERROR(MATCH(ROW()-4,rOrden_ATR,0),"")</f>
        <v/>
      </c>
      <c r="O11">
        <f>IF($N11="","",INDEX('Cronograma Asistente Técnico'!$V$5:$V$1000,$N11))</f>
        <v/>
      </c>
      <c r="P11">
        <f>IF($N11="","",N(INDEX('Cronograma Asistente Técnico'!$W$5:$W$1000,$N11)))</f>
        <v/>
      </c>
      <c r="Q11">
        <f>IF(OR(LEFT($L11,7)="Vencida",LEFT($L11,5)="Vence"),SUMPRODUCT(--(LEFT($L$5:$L11,7)="Vencida"))+SUMPRODUCT(--(LEFT($L$5:$L11,5)="Vence")),"")</f>
        <v/>
      </c>
    </row>
    <row r="12">
      <c r="A12" s="56">
        <f>IF($N12="","",INDEX('Cronograma Asistente Técnico'!$A$5:$A$1000,$N12))</f>
        <v/>
      </c>
      <c r="B12" s="62">
        <f>IF($N12="","",IF($O12="Sub","      ↳  "&amp;INDEX('Cronograma Asistente Técnico'!$C$5:$C$1000,$N12),INDEX('Cronograma Asistente Técnico'!$C$5:$C$1000,$N12)&amp;""))</f>
        <v/>
      </c>
      <c r="C12" s="79">
        <f>IF($N12="","",IF(INDEX('Cronograma Asistente Técnico'!$AR$5:$AR$1000,$N12)="","",INDEX('Cronograma Asistente Técnico'!$AR$5:$AR$1000,$N12)))</f>
        <v/>
      </c>
      <c r="D12" s="79">
        <f>IF($N12="","",IF(INDEX('Cronograma Asistente Técnico'!$AS$5:$AS$1000,$N12)="","",INDEX('Cronograma Asistente Técnico'!$AS$5:$AS$1000,$N12)))</f>
        <v/>
      </c>
      <c r="E12" s="56">
        <f>IF($N12="","",IF(NOT(ISNUMBER($D12)),"",IF($D12&lt;InicioCiclo,"Antes del ciclo",IF($D12&gt;=InicioCiclo+28,"Después del ciclo","Semana "&amp;(INT(($D12-InicioCiclo)/7)+1)))))</f>
        <v/>
      </c>
      <c r="F12" s="61">
        <f>IF($N12="","",IF($P12&gt;0,IF(1&lt;=SemanaActual,INDEX('Cronograma Asistente Técnico'!$AH$5:$AH$1000,$N12),""),IF(INDEX('Cronograma Asistente Técnico'!$I$5:$I$1000,$N12)="","",INDEX('Cronograma Asistente Técnico'!$I$5:$I$1000,$N12))))</f>
        <v/>
      </c>
      <c r="G12" s="61">
        <f>IF($N12="","",IF($P12&gt;0,IF(2&lt;=SemanaActual,INDEX('Cronograma Asistente Técnico'!$AI$5:$AI$1000,$N12),""),IF(INDEX('Cronograma Asistente Técnico'!$J$5:$J$1000,$N12)="","",INDEX('Cronograma Asistente Técnico'!$J$5:$J$1000,$N12))))</f>
        <v/>
      </c>
      <c r="H12" s="61">
        <f>IF($N12="","",IF($P12&gt;0,IF(3&lt;=SemanaActual,INDEX('Cronograma Asistente Técnico'!$AJ$5:$AJ$1000,$N12),""),IF(INDEX('Cronograma Asistente Técnico'!$K$5:$K$1000,$N12)="","",INDEX('Cronograma Asistente Técnico'!$K$5:$K$1000,$N12))))</f>
        <v/>
      </c>
      <c r="I12" s="61">
        <f>IF($N12="","",IF($P12&gt;0,IF(4&lt;=SemanaActual,INDEX('Cronograma Asistente Técnico'!$AK$5:$AK$1000,$N12),""),IF(INDEX('Cronograma Asistente Técnico'!$L$5:$L$1000,$N12)="","",INDEX('Cronograma Asistente Técnico'!$L$5:$L$1000,$N12))))</f>
        <v/>
      </c>
      <c r="J12" s="61">
        <f>IF($N12="","",INDEX('Cronograma Asistente Técnico'!$M$5:$M$1000,$N12))</f>
        <v/>
      </c>
      <c r="K12" s="56">
        <f>IF($N12="","",IF(N($J12)&gt;=1,"Completado",IF(AND(ISNUMBER($D12),$D12&lt;FechaRef),"Vencida",IF(N($J12)&gt;0,"En curso","Pendiente"))))</f>
        <v/>
      </c>
      <c r="L12" s="56">
        <f>IF($N12="","",INDEX('Cronograma Asistente Técnico'!$O$5:$O$1000,$N12)&amp;"")</f>
        <v/>
      </c>
      <c r="M12" s="62">
        <f>IF($N12="","",INDEX('Cronograma Asistente Técnico'!$Q$5:$Q$1000,$N12)&amp;"")</f>
        <v/>
      </c>
      <c r="N12">
        <f>IFERROR(MATCH(ROW()-4,rOrden_ATR,0),"")</f>
        <v/>
      </c>
      <c r="O12">
        <f>IF($N12="","",INDEX('Cronograma Asistente Técnico'!$V$5:$V$1000,$N12))</f>
        <v/>
      </c>
      <c r="P12">
        <f>IF($N12="","",N(INDEX('Cronograma Asistente Técnico'!$W$5:$W$1000,$N12)))</f>
        <v/>
      </c>
      <c r="Q12">
        <f>IF(OR(LEFT($L12,7)="Vencida",LEFT($L12,5)="Vence"),SUMPRODUCT(--(LEFT($L$5:$L12,7)="Vencida"))+SUMPRODUCT(--(LEFT($L$5:$L12,5)="Vence")),"")</f>
        <v/>
      </c>
    </row>
    <row r="13">
      <c r="A13" s="56">
        <f>IF($N13="","",INDEX('Cronograma Asistente Técnico'!$A$5:$A$1000,$N13))</f>
        <v/>
      </c>
      <c r="B13" s="62">
        <f>IF($N13="","",IF($O13="Sub","      ↳  "&amp;INDEX('Cronograma Asistente Técnico'!$C$5:$C$1000,$N13),INDEX('Cronograma Asistente Técnico'!$C$5:$C$1000,$N13)&amp;""))</f>
        <v/>
      </c>
      <c r="C13" s="79">
        <f>IF($N13="","",IF(INDEX('Cronograma Asistente Técnico'!$AR$5:$AR$1000,$N13)="","",INDEX('Cronograma Asistente Técnico'!$AR$5:$AR$1000,$N13)))</f>
        <v/>
      </c>
      <c r="D13" s="79">
        <f>IF($N13="","",IF(INDEX('Cronograma Asistente Técnico'!$AS$5:$AS$1000,$N13)="","",INDEX('Cronograma Asistente Técnico'!$AS$5:$AS$1000,$N13)))</f>
        <v/>
      </c>
      <c r="E13" s="56">
        <f>IF($N13="","",IF(NOT(ISNUMBER($D13)),"",IF($D13&lt;InicioCiclo,"Antes del ciclo",IF($D13&gt;=InicioCiclo+28,"Después del ciclo","Semana "&amp;(INT(($D13-InicioCiclo)/7)+1)))))</f>
        <v/>
      </c>
      <c r="F13" s="61">
        <f>IF($N13="","",IF($P13&gt;0,IF(1&lt;=SemanaActual,INDEX('Cronograma Asistente Técnico'!$AH$5:$AH$1000,$N13),""),IF(INDEX('Cronograma Asistente Técnico'!$I$5:$I$1000,$N13)="","",INDEX('Cronograma Asistente Técnico'!$I$5:$I$1000,$N13))))</f>
        <v/>
      </c>
      <c r="G13" s="61">
        <f>IF($N13="","",IF($P13&gt;0,IF(2&lt;=SemanaActual,INDEX('Cronograma Asistente Técnico'!$AI$5:$AI$1000,$N13),""),IF(INDEX('Cronograma Asistente Técnico'!$J$5:$J$1000,$N13)="","",INDEX('Cronograma Asistente Técnico'!$J$5:$J$1000,$N13))))</f>
        <v/>
      </c>
      <c r="H13" s="61">
        <f>IF($N13="","",IF($P13&gt;0,IF(3&lt;=SemanaActual,INDEX('Cronograma Asistente Técnico'!$AJ$5:$AJ$1000,$N13),""),IF(INDEX('Cronograma Asistente Técnico'!$K$5:$K$1000,$N13)="","",INDEX('Cronograma Asistente Técnico'!$K$5:$K$1000,$N13))))</f>
        <v/>
      </c>
      <c r="I13" s="61">
        <f>IF($N13="","",IF($P13&gt;0,IF(4&lt;=SemanaActual,INDEX('Cronograma Asistente Técnico'!$AK$5:$AK$1000,$N13),""),IF(INDEX('Cronograma Asistente Técnico'!$L$5:$L$1000,$N13)="","",INDEX('Cronograma Asistente Técnico'!$L$5:$L$1000,$N13))))</f>
        <v/>
      </c>
      <c r="J13" s="61">
        <f>IF($N13="","",INDEX('Cronograma Asistente Técnico'!$M$5:$M$1000,$N13))</f>
        <v/>
      </c>
      <c r="K13" s="56">
        <f>IF($N13="","",IF(N($J13)&gt;=1,"Completado",IF(AND(ISNUMBER($D13),$D13&lt;FechaRef),"Vencida",IF(N($J13)&gt;0,"En curso","Pendiente"))))</f>
        <v/>
      </c>
      <c r="L13" s="56">
        <f>IF($N13="","",INDEX('Cronograma Asistente Técnico'!$O$5:$O$1000,$N13)&amp;"")</f>
        <v/>
      </c>
      <c r="M13" s="62">
        <f>IF($N13="","",INDEX('Cronograma Asistente Técnico'!$Q$5:$Q$1000,$N13)&amp;"")</f>
        <v/>
      </c>
      <c r="N13">
        <f>IFERROR(MATCH(ROW()-4,rOrden_ATR,0),"")</f>
        <v/>
      </c>
      <c r="O13">
        <f>IF($N13="","",INDEX('Cronograma Asistente Técnico'!$V$5:$V$1000,$N13))</f>
        <v/>
      </c>
      <c r="P13">
        <f>IF($N13="","",N(INDEX('Cronograma Asistente Técnico'!$W$5:$W$1000,$N13)))</f>
        <v/>
      </c>
      <c r="Q13">
        <f>IF(OR(LEFT($L13,7)="Vencida",LEFT($L13,5)="Vence"),SUMPRODUCT(--(LEFT($L$5:$L13,7)="Vencida"))+SUMPRODUCT(--(LEFT($L$5:$L13,5)="Vence")),"")</f>
        <v/>
      </c>
    </row>
    <row r="14">
      <c r="A14" s="56">
        <f>IF($N14="","",INDEX('Cronograma Asistente Técnico'!$A$5:$A$1000,$N14))</f>
        <v/>
      </c>
      <c r="B14" s="62">
        <f>IF($N14="","",IF($O14="Sub","      ↳  "&amp;INDEX('Cronograma Asistente Técnico'!$C$5:$C$1000,$N14),INDEX('Cronograma Asistente Técnico'!$C$5:$C$1000,$N14)&amp;""))</f>
        <v/>
      </c>
      <c r="C14" s="79">
        <f>IF($N14="","",IF(INDEX('Cronograma Asistente Técnico'!$AR$5:$AR$1000,$N14)="","",INDEX('Cronograma Asistente Técnico'!$AR$5:$AR$1000,$N14)))</f>
        <v/>
      </c>
      <c r="D14" s="79">
        <f>IF($N14="","",IF(INDEX('Cronograma Asistente Técnico'!$AS$5:$AS$1000,$N14)="","",INDEX('Cronograma Asistente Técnico'!$AS$5:$AS$1000,$N14)))</f>
        <v/>
      </c>
      <c r="E14" s="56">
        <f>IF($N14="","",IF(NOT(ISNUMBER($D14)),"",IF($D14&lt;InicioCiclo,"Antes del ciclo",IF($D14&gt;=InicioCiclo+28,"Después del ciclo","Semana "&amp;(INT(($D14-InicioCiclo)/7)+1)))))</f>
        <v/>
      </c>
      <c r="F14" s="61">
        <f>IF($N14="","",IF($P14&gt;0,IF(1&lt;=SemanaActual,INDEX('Cronograma Asistente Técnico'!$AH$5:$AH$1000,$N14),""),IF(INDEX('Cronograma Asistente Técnico'!$I$5:$I$1000,$N14)="","",INDEX('Cronograma Asistente Técnico'!$I$5:$I$1000,$N14))))</f>
        <v/>
      </c>
      <c r="G14" s="61">
        <f>IF($N14="","",IF($P14&gt;0,IF(2&lt;=SemanaActual,INDEX('Cronograma Asistente Técnico'!$AI$5:$AI$1000,$N14),""),IF(INDEX('Cronograma Asistente Técnico'!$J$5:$J$1000,$N14)="","",INDEX('Cronograma Asistente Técnico'!$J$5:$J$1000,$N14))))</f>
        <v/>
      </c>
      <c r="H14" s="61">
        <f>IF($N14="","",IF($P14&gt;0,IF(3&lt;=SemanaActual,INDEX('Cronograma Asistente Técnico'!$AJ$5:$AJ$1000,$N14),""),IF(INDEX('Cronograma Asistente Técnico'!$K$5:$K$1000,$N14)="","",INDEX('Cronograma Asistente Técnico'!$K$5:$K$1000,$N14))))</f>
        <v/>
      </c>
      <c r="I14" s="61">
        <f>IF($N14="","",IF($P14&gt;0,IF(4&lt;=SemanaActual,INDEX('Cronograma Asistente Técnico'!$AK$5:$AK$1000,$N14),""),IF(INDEX('Cronograma Asistente Técnico'!$L$5:$L$1000,$N14)="","",INDEX('Cronograma Asistente Técnico'!$L$5:$L$1000,$N14))))</f>
        <v/>
      </c>
      <c r="J14" s="61">
        <f>IF($N14="","",INDEX('Cronograma Asistente Técnico'!$M$5:$M$1000,$N14))</f>
        <v/>
      </c>
      <c r="K14" s="56">
        <f>IF($N14="","",IF(N($J14)&gt;=1,"Completado",IF(AND(ISNUMBER($D14),$D14&lt;FechaRef),"Vencida",IF(N($J14)&gt;0,"En curso","Pendiente"))))</f>
        <v/>
      </c>
      <c r="L14" s="56">
        <f>IF($N14="","",INDEX('Cronograma Asistente Técnico'!$O$5:$O$1000,$N14)&amp;"")</f>
        <v/>
      </c>
      <c r="M14" s="62">
        <f>IF($N14="","",INDEX('Cronograma Asistente Técnico'!$Q$5:$Q$1000,$N14)&amp;"")</f>
        <v/>
      </c>
      <c r="N14">
        <f>IFERROR(MATCH(ROW()-4,rOrden_ATR,0),"")</f>
        <v/>
      </c>
      <c r="O14">
        <f>IF($N14="","",INDEX('Cronograma Asistente Técnico'!$V$5:$V$1000,$N14))</f>
        <v/>
      </c>
      <c r="P14">
        <f>IF($N14="","",N(INDEX('Cronograma Asistente Técnico'!$W$5:$W$1000,$N14)))</f>
        <v/>
      </c>
      <c r="Q14">
        <f>IF(OR(LEFT($L14,7)="Vencida",LEFT($L14,5)="Vence"),SUMPRODUCT(--(LEFT($L$5:$L14,7)="Vencida"))+SUMPRODUCT(--(LEFT($L$5:$L14,5)="Vence")),"")</f>
        <v/>
      </c>
    </row>
    <row r="15">
      <c r="A15" s="56">
        <f>IF($N15="","",INDEX('Cronograma Asistente Técnico'!$A$5:$A$1000,$N15))</f>
        <v/>
      </c>
      <c r="B15" s="62">
        <f>IF($N15="","",IF($O15="Sub","      ↳  "&amp;INDEX('Cronograma Asistente Técnico'!$C$5:$C$1000,$N15),INDEX('Cronograma Asistente Técnico'!$C$5:$C$1000,$N15)&amp;""))</f>
        <v/>
      </c>
      <c r="C15" s="79">
        <f>IF($N15="","",IF(INDEX('Cronograma Asistente Técnico'!$AR$5:$AR$1000,$N15)="","",INDEX('Cronograma Asistente Técnico'!$AR$5:$AR$1000,$N15)))</f>
        <v/>
      </c>
      <c r="D15" s="79">
        <f>IF($N15="","",IF(INDEX('Cronograma Asistente Técnico'!$AS$5:$AS$1000,$N15)="","",INDEX('Cronograma Asistente Técnico'!$AS$5:$AS$1000,$N15)))</f>
        <v/>
      </c>
      <c r="E15" s="56">
        <f>IF($N15="","",IF(NOT(ISNUMBER($D15)),"",IF($D15&lt;InicioCiclo,"Antes del ciclo",IF($D15&gt;=InicioCiclo+28,"Después del ciclo","Semana "&amp;(INT(($D15-InicioCiclo)/7)+1)))))</f>
        <v/>
      </c>
      <c r="F15" s="61">
        <f>IF($N15="","",IF($P15&gt;0,IF(1&lt;=SemanaActual,INDEX('Cronograma Asistente Técnico'!$AH$5:$AH$1000,$N15),""),IF(INDEX('Cronograma Asistente Técnico'!$I$5:$I$1000,$N15)="","",INDEX('Cronograma Asistente Técnico'!$I$5:$I$1000,$N15))))</f>
        <v/>
      </c>
      <c r="G15" s="61">
        <f>IF($N15="","",IF($P15&gt;0,IF(2&lt;=SemanaActual,INDEX('Cronograma Asistente Técnico'!$AI$5:$AI$1000,$N15),""),IF(INDEX('Cronograma Asistente Técnico'!$J$5:$J$1000,$N15)="","",INDEX('Cronograma Asistente Técnico'!$J$5:$J$1000,$N15))))</f>
        <v/>
      </c>
      <c r="H15" s="61">
        <f>IF($N15="","",IF($P15&gt;0,IF(3&lt;=SemanaActual,INDEX('Cronograma Asistente Técnico'!$AJ$5:$AJ$1000,$N15),""),IF(INDEX('Cronograma Asistente Técnico'!$K$5:$K$1000,$N15)="","",INDEX('Cronograma Asistente Técnico'!$K$5:$K$1000,$N15))))</f>
        <v/>
      </c>
      <c r="I15" s="61">
        <f>IF($N15="","",IF($P15&gt;0,IF(4&lt;=SemanaActual,INDEX('Cronograma Asistente Técnico'!$AK$5:$AK$1000,$N15),""),IF(INDEX('Cronograma Asistente Técnico'!$L$5:$L$1000,$N15)="","",INDEX('Cronograma Asistente Técnico'!$L$5:$L$1000,$N15))))</f>
        <v/>
      </c>
      <c r="J15" s="61">
        <f>IF($N15="","",INDEX('Cronograma Asistente Técnico'!$M$5:$M$1000,$N15))</f>
        <v/>
      </c>
      <c r="K15" s="56">
        <f>IF($N15="","",IF(N($J15)&gt;=1,"Completado",IF(AND(ISNUMBER($D15),$D15&lt;FechaRef),"Vencida",IF(N($J15)&gt;0,"En curso","Pendiente"))))</f>
        <v/>
      </c>
      <c r="L15" s="56">
        <f>IF($N15="","",INDEX('Cronograma Asistente Técnico'!$O$5:$O$1000,$N15)&amp;"")</f>
        <v/>
      </c>
      <c r="M15" s="62">
        <f>IF($N15="","",INDEX('Cronograma Asistente Técnico'!$Q$5:$Q$1000,$N15)&amp;"")</f>
        <v/>
      </c>
      <c r="N15">
        <f>IFERROR(MATCH(ROW()-4,rOrden_ATR,0),"")</f>
        <v/>
      </c>
      <c r="O15">
        <f>IF($N15="","",INDEX('Cronograma Asistente Técnico'!$V$5:$V$1000,$N15))</f>
        <v/>
      </c>
      <c r="P15">
        <f>IF($N15="","",N(INDEX('Cronograma Asistente Técnico'!$W$5:$W$1000,$N15)))</f>
        <v/>
      </c>
      <c r="Q15">
        <f>IF(OR(LEFT($L15,7)="Vencida",LEFT($L15,5)="Vence"),SUMPRODUCT(--(LEFT($L$5:$L15,7)="Vencida"))+SUMPRODUCT(--(LEFT($L$5:$L15,5)="Vence")),"")</f>
        <v/>
      </c>
    </row>
    <row r="16">
      <c r="A16" s="56">
        <f>IF($N16="","",INDEX('Cronograma Asistente Técnico'!$A$5:$A$1000,$N16))</f>
        <v/>
      </c>
      <c r="B16" s="62">
        <f>IF($N16="","",IF($O16="Sub","      ↳  "&amp;INDEX('Cronograma Asistente Técnico'!$C$5:$C$1000,$N16),INDEX('Cronograma Asistente Técnico'!$C$5:$C$1000,$N16)&amp;""))</f>
        <v/>
      </c>
      <c r="C16" s="79">
        <f>IF($N16="","",IF(INDEX('Cronograma Asistente Técnico'!$AR$5:$AR$1000,$N16)="","",INDEX('Cronograma Asistente Técnico'!$AR$5:$AR$1000,$N16)))</f>
        <v/>
      </c>
      <c r="D16" s="79">
        <f>IF($N16="","",IF(INDEX('Cronograma Asistente Técnico'!$AS$5:$AS$1000,$N16)="","",INDEX('Cronograma Asistente Técnico'!$AS$5:$AS$1000,$N16)))</f>
        <v/>
      </c>
      <c r="E16" s="56">
        <f>IF($N16="","",IF(NOT(ISNUMBER($D16)),"",IF($D16&lt;InicioCiclo,"Antes del ciclo",IF($D16&gt;=InicioCiclo+28,"Después del ciclo","Semana "&amp;(INT(($D16-InicioCiclo)/7)+1)))))</f>
        <v/>
      </c>
      <c r="F16" s="61">
        <f>IF($N16="","",IF($P16&gt;0,IF(1&lt;=SemanaActual,INDEX('Cronograma Asistente Técnico'!$AH$5:$AH$1000,$N16),""),IF(INDEX('Cronograma Asistente Técnico'!$I$5:$I$1000,$N16)="","",INDEX('Cronograma Asistente Técnico'!$I$5:$I$1000,$N16))))</f>
        <v/>
      </c>
      <c r="G16" s="61">
        <f>IF($N16="","",IF($P16&gt;0,IF(2&lt;=SemanaActual,INDEX('Cronograma Asistente Técnico'!$AI$5:$AI$1000,$N16),""),IF(INDEX('Cronograma Asistente Técnico'!$J$5:$J$1000,$N16)="","",INDEX('Cronograma Asistente Técnico'!$J$5:$J$1000,$N16))))</f>
        <v/>
      </c>
      <c r="H16" s="61">
        <f>IF($N16="","",IF($P16&gt;0,IF(3&lt;=SemanaActual,INDEX('Cronograma Asistente Técnico'!$AJ$5:$AJ$1000,$N16),""),IF(INDEX('Cronograma Asistente Técnico'!$K$5:$K$1000,$N16)="","",INDEX('Cronograma Asistente Técnico'!$K$5:$K$1000,$N16))))</f>
        <v/>
      </c>
      <c r="I16" s="61">
        <f>IF($N16="","",IF($P16&gt;0,IF(4&lt;=SemanaActual,INDEX('Cronograma Asistente Técnico'!$AK$5:$AK$1000,$N16),""),IF(INDEX('Cronograma Asistente Técnico'!$L$5:$L$1000,$N16)="","",INDEX('Cronograma Asistente Técnico'!$L$5:$L$1000,$N16))))</f>
        <v/>
      </c>
      <c r="J16" s="61">
        <f>IF($N16="","",INDEX('Cronograma Asistente Técnico'!$M$5:$M$1000,$N16))</f>
        <v/>
      </c>
      <c r="K16" s="56">
        <f>IF($N16="","",IF(N($J16)&gt;=1,"Completado",IF(AND(ISNUMBER($D16),$D16&lt;FechaRef),"Vencida",IF(N($J16)&gt;0,"En curso","Pendiente"))))</f>
        <v/>
      </c>
      <c r="L16" s="56">
        <f>IF($N16="","",INDEX('Cronograma Asistente Técnico'!$O$5:$O$1000,$N16)&amp;"")</f>
        <v/>
      </c>
      <c r="M16" s="62">
        <f>IF($N16="","",INDEX('Cronograma Asistente Técnico'!$Q$5:$Q$1000,$N16)&amp;"")</f>
        <v/>
      </c>
      <c r="N16">
        <f>IFERROR(MATCH(ROW()-4,rOrden_ATR,0),"")</f>
        <v/>
      </c>
      <c r="O16">
        <f>IF($N16="","",INDEX('Cronograma Asistente Técnico'!$V$5:$V$1000,$N16))</f>
        <v/>
      </c>
      <c r="P16">
        <f>IF($N16="","",N(INDEX('Cronograma Asistente Técnico'!$W$5:$W$1000,$N16)))</f>
        <v/>
      </c>
      <c r="Q16">
        <f>IF(OR(LEFT($L16,7)="Vencida",LEFT($L16,5)="Vence"),SUMPRODUCT(--(LEFT($L$5:$L16,7)="Vencida"))+SUMPRODUCT(--(LEFT($L$5:$L16,5)="Vence")),"")</f>
        <v/>
      </c>
    </row>
    <row r="17">
      <c r="A17" s="56">
        <f>IF($N17="","",INDEX('Cronograma Asistente Técnico'!$A$5:$A$1000,$N17))</f>
        <v/>
      </c>
      <c r="B17" s="62">
        <f>IF($N17="","",IF($O17="Sub","      ↳  "&amp;INDEX('Cronograma Asistente Técnico'!$C$5:$C$1000,$N17),INDEX('Cronograma Asistente Técnico'!$C$5:$C$1000,$N17)&amp;""))</f>
        <v/>
      </c>
      <c r="C17" s="79">
        <f>IF($N17="","",IF(INDEX('Cronograma Asistente Técnico'!$AR$5:$AR$1000,$N17)="","",INDEX('Cronograma Asistente Técnico'!$AR$5:$AR$1000,$N17)))</f>
        <v/>
      </c>
      <c r="D17" s="79">
        <f>IF($N17="","",IF(INDEX('Cronograma Asistente Técnico'!$AS$5:$AS$1000,$N17)="","",INDEX('Cronograma Asistente Técnico'!$AS$5:$AS$1000,$N17)))</f>
        <v/>
      </c>
      <c r="E17" s="56">
        <f>IF($N17="","",IF(NOT(ISNUMBER($D17)),"",IF($D17&lt;InicioCiclo,"Antes del ciclo",IF($D17&gt;=InicioCiclo+28,"Después del ciclo","Semana "&amp;(INT(($D17-InicioCiclo)/7)+1)))))</f>
        <v/>
      </c>
      <c r="F17" s="61">
        <f>IF($N17="","",IF($P17&gt;0,IF(1&lt;=SemanaActual,INDEX('Cronograma Asistente Técnico'!$AH$5:$AH$1000,$N17),""),IF(INDEX('Cronograma Asistente Técnico'!$I$5:$I$1000,$N17)="","",INDEX('Cronograma Asistente Técnico'!$I$5:$I$1000,$N17))))</f>
        <v/>
      </c>
      <c r="G17" s="61">
        <f>IF($N17="","",IF($P17&gt;0,IF(2&lt;=SemanaActual,INDEX('Cronograma Asistente Técnico'!$AI$5:$AI$1000,$N17),""),IF(INDEX('Cronograma Asistente Técnico'!$J$5:$J$1000,$N17)="","",INDEX('Cronograma Asistente Técnico'!$J$5:$J$1000,$N17))))</f>
        <v/>
      </c>
      <c r="H17" s="61">
        <f>IF($N17="","",IF($P17&gt;0,IF(3&lt;=SemanaActual,INDEX('Cronograma Asistente Técnico'!$AJ$5:$AJ$1000,$N17),""),IF(INDEX('Cronograma Asistente Técnico'!$K$5:$K$1000,$N17)="","",INDEX('Cronograma Asistente Técnico'!$K$5:$K$1000,$N17))))</f>
        <v/>
      </c>
      <c r="I17" s="61">
        <f>IF($N17="","",IF($P17&gt;0,IF(4&lt;=SemanaActual,INDEX('Cronograma Asistente Técnico'!$AK$5:$AK$1000,$N17),""),IF(INDEX('Cronograma Asistente Técnico'!$L$5:$L$1000,$N17)="","",INDEX('Cronograma Asistente Técnico'!$L$5:$L$1000,$N17))))</f>
        <v/>
      </c>
      <c r="J17" s="61">
        <f>IF($N17="","",INDEX('Cronograma Asistente Técnico'!$M$5:$M$1000,$N17))</f>
        <v/>
      </c>
      <c r="K17" s="56">
        <f>IF($N17="","",IF(N($J17)&gt;=1,"Completado",IF(AND(ISNUMBER($D17),$D17&lt;FechaRef),"Vencida",IF(N($J17)&gt;0,"En curso","Pendiente"))))</f>
        <v/>
      </c>
      <c r="L17" s="56">
        <f>IF($N17="","",INDEX('Cronograma Asistente Técnico'!$O$5:$O$1000,$N17)&amp;"")</f>
        <v/>
      </c>
      <c r="M17" s="62">
        <f>IF($N17="","",INDEX('Cronograma Asistente Técnico'!$Q$5:$Q$1000,$N17)&amp;"")</f>
        <v/>
      </c>
      <c r="N17">
        <f>IFERROR(MATCH(ROW()-4,rOrden_ATR,0),"")</f>
        <v/>
      </c>
      <c r="O17">
        <f>IF($N17="","",INDEX('Cronograma Asistente Técnico'!$V$5:$V$1000,$N17))</f>
        <v/>
      </c>
      <c r="P17">
        <f>IF($N17="","",N(INDEX('Cronograma Asistente Técnico'!$W$5:$W$1000,$N17)))</f>
        <v/>
      </c>
      <c r="Q17">
        <f>IF(OR(LEFT($L17,7)="Vencida",LEFT($L17,5)="Vence"),SUMPRODUCT(--(LEFT($L$5:$L17,7)="Vencida"))+SUMPRODUCT(--(LEFT($L$5:$L17,5)="Vence")),"")</f>
        <v/>
      </c>
    </row>
    <row r="18">
      <c r="A18" s="56">
        <f>IF($N18="","",INDEX('Cronograma Asistente Técnico'!$A$5:$A$1000,$N18))</f>
        <v/>
      </c>
      <c r="B18" s="62">
        <f>IF($N18="","",IF($O18="Sub","      ↳  "&amp;INDEX('Cronograma Asistente Técnico'!$C$5:$C$1000,$N18),INDEX('Cronograma Asistente Técnico'!$C$5:$C$1000,$N18)&amp;""))</f>
        <v/>
      </c>
      <c r="C18" s="79">
        <f>IF($N18="","",IF(INDEX('Cronograma Asistente Técnico'!$AR$5:$AR$1000,$N18)="","",INDEX('Cronograma Asistente Técnico'!$AR$5:$AR$1000,$N18)))</f>
        <v/>
      </c>
      <c r="D18" s="79">
        <f>IF($N18="","",IF(INDEX('Cronograma Asistente Técnico'!$AS$5:$AS$1000,$N18)="","",INDEX('Cronograma Asistente Técnico'!$AS$5:$AS$1000,$N18)))</f>
        <v/>
      </c>
      <c r="E18" s="56">
        <f>IF($N18="","",IF(NOT(ISNUMBER($D18)),"",IF($D18&lt;InicioCiclo,"Antes del ciclo",IF($D18&gt;=InicioCiclo+28,"Después del ciclo","Semana "&amp;(INT(($D18-InicioCiclo)/7)+1)))))</f>
        <v/>
      </c>
      <c r="F18" s="61">
        <f>IF($N18="","",IF($P18&gt;0,IF(1&lt;=SemanaActual,INDEX('Cronograma Asistente Técnico'!$AH$5:$AH$1000,$N18),""),IF(INDEX('Cronograma Asistente Técnico'!$I$5:$I$1000,$N18)="","",INDEX('Cronograma Asistente Técnico'!$I$5:$I$1000,$N18))))</f>
        <v/>
      </c>
      <c r="G18" s="61">
        <f>IF($N18="","",IF($P18&gt;0,IF(2&lt;=SemanaActual,INDEX('Cronograma Asistente Técnico'!$AI$5:$AI$1000,$N18),""),IF(INDEX('Cronograma Asistente Técnico'!$J$5:$J$1000,$N18)="","",INDEX('Cronograma Asistente Técnico'!$J$5:$J$1000,$N18))))</f>
        <v/>
      </c>
      <c r="H18" s="61">
        <f>IF($N18="","",IF($P18&gt;0,IF(3&lt;=SemanaActual,INDEX('Cronograma Asistente Técnico'!$AJ$5:$AJ$1000,$N18),""),IF(INDEX('Cronograma Asistente Técnico'!$K$5:$K$1000,$N18)="","",INDEX('Cronograma Asistente Técnico'!$K$5:$K$1000,$N18))))</f>
        <v/>
      </c>
      <c r="I18" s="61">
        <f>IF($N18="","",IF($P18&gt;0,IF(4&lt;=SemanaActual,INDEX('Cronograma Asistente Técnico'!$AK$5:$AK$1000,$N18),""),IF(INDEX('Cronograma Asistente Técnico'!$L$5:$L$1000,$N18)="","",INDEX('Cronograma Asistente Técnico'!$L$5:$L$1000,$N18))))</f>
        <v/>
      </c>
      <c r="J18" s="61">
        <f>IF($N18="","",INDEX('Cronograma Asistente Técnico'!$M$5:$M$1000,$N18))</f>
        <v/>
      </c>
      <c r="K18" s="56">
        <f>IF($N18="","",IF(N($J18)&gt;=1,"Completado",IF(AND(ISNUMBER($D18),$D18&lt;FechaRef),"Vencida",IF(N($J18)&gt;0,"En curso","Pendiente"))))</f>
        <v/>
      </c>
      <c r="L18" s="56">
        <f>IF($N18="","",INDEX('Cronograma Asistente Técnico'!$O$5:$O$1000,$N18)&amp;"")</f>
        <v/>
      </c>
      <c r="M18" s="62">
        <f>IF($N18="","",INDEX('Cronograma Asistente Técnico'!$Q$5:$Q$1000,$N18)&amp;"")</f>
        <v/>
      </c>
      <c r="N18">
        <f>IFERROR(MATCH(ROW()-4,rOrden_ATR,0),"")</f>
        <v/>
      </c>
      <c r="O18">
        <f>IF($N18="","",INDEX('Cronograma Asistente Técnico'!$V$5:$V$1000,$N18))</f>
        <v/>
      </c>
      <c r="P18">
        <f>IF($N18="","",N(INDEX('Cronograma Asistente Técnico'!$W$5:$W$1000,$N18)))</f>
        <v/>
      </c>
      <c r="Q18">
        <f>IF(OR(LEFT($L18,7)="Vencida",LEFT($L18,5)="Vence"),SUMPRODUCT(--(LEFT($L$5:$L18,7)="Vencida"))+SUMPRODUCT(--(LEFT($L$5:$L18,5)="Vence")),"")</f>
        <v/>
      </c>
    </row>
    <row r="19">
      <c r="A19" s="56">
        <f>IF($N19="","",INDEX('Cronograma Asistente Técnico'!$A$5:$A$1000,$N19))</f>
        <v/>
      </c>
      <c r="B19" s="62">
        <f>IF($N19="","",IF($O19="Sub","      ↳  "&amp;INDEX('Cronograma Asistente Técnico'!$C$5:$C$1000,$N19),INDEX('Cronograma Asistente Técnico'!$C$5:$C$1000,$N19)&amp;""))</f>
        <v/>
      </c>
      <c r="C19" s="79">
        <f>IF($N19="","",IF(INDEX('Cronograma Asistente Técnico'!$AR$5:$AR$1000,$N19)="","",INDEX('Cronograma Asistente Técnico'!$AR$5:$AR$1000,$N19)))</f>
        <v/>
      </c>
      <c r="D19" s="79">
        <f>IF($N19="","",IF(INDEX('Cronograma Asistente Técnico'!$AS$5:$AS$1000,$N19)="","",INDEX('Cronograma Asistente Técnico'!$AS$5:$AS$1000,$N19)))</f>
        <v/>
      </c>
      <c r="E19" s="56">
        <f>IF($N19="","",IF(NOT(ISNUMBER($D19)),"",IF($D19&lt;InicioCiclo,"Antes del ciclo",IF($D19&gt;=InicioCiclo+28,"Después del ciclo","Semana "&amp;(INT(($D19-InicioCiclo)/7)+1)))))</f>
        <v/>
      </c>
      <c r="F19" s="61">
        <f>IF($N19="","",IF($P19&gt;0,IF(1&lt;=SemanaActual,INDEX('Cronograma Asistente Técnico'!$AH$5:$AH$1000,$N19),""),IF(INDEX('Cronograma Asistente Técnico'!$I$5:$I$1000,$N19)="","",INDEX('Cronograma Asistente Técnico'!$I$5:$I$1000,$N19))))</f>
        <v/>
      </c>
      <c r="G19" s="61">
        <f>IF($N19="","",IF($P19&gt;0,IF(2&lt;=SemanaActual,INDEX('Cronograma Asistente Técnico'!$AI$5:$AI$1000,$N19),""),IF(INDEX('Cronograma Asistente Técnico'!$J$5:$J$1000,$N19)="","",INDEX('Cronograma Asistente Técnico'!$J$5:$J$1000,$N19))))</f>
        <v/>
      </c>
      <c r="H19" s="61">
        <f>IF($N19="","",IF($P19&gt;0,IF(3&lt;=SemanaActual,INDEX('Cronograma Asistente Técnico'!$AJ$5:$AJ$1000,$N19),""),IF(INDEX('Cronograma Asistente Técnico'!$K$5:$K$1000,$N19)="","",INDEX('Cronograma Asistente Técnico'!$K$5:$K$1000,$N19))))</f>
        <v/>
      </c>
      <c r="I19" s="61">
        <f>IF($N19="","",IF($P19&gt;0,IF(4&lt;=SemanaActual,INDEX('Cronograma Asistente Técnico'!$AK$5:$AK$1000,$N19),""),IF(INDEX('Cronograma Asistente Técnico'!$L$5:$L$1000,$N19)="","",INDEX('Cronograma Asistente Técnico'!$L$5:$L$1000,$N19))))</f>
        <v/>
      </c>
      <c r="J19" s="61">
        <f>IF($N19="","",INDEX('Cronograma Asistente Técnico'!$M$5:$M$1000,$N19))</f>
        <v/>
      </c>
      <c r="K19" s="56">
        <f>IF($N19="","",IF(N($J19)&gt;=1,"Completado",IF(AND(ISNUMBER($D19),$D19&lt;FechaRef),"Vencida",IF(N($J19)&gt;0,"En curso","Pendiente"))))</f>
        <v/>
      </c>
      <c r="L19" s="56">
        <f>IF($N19="","",INDEX('Cronograma Asistente Técnico'!$O$5:$O$1000,$N19)&amp;"")</f>
        <v/>
      </c>
      <c r="M19" s="62">
        <f>IF($N19="","",INDEX('Cronograma Asistente Técnico'!$Q$5:$Q$1000,$N19)&amp;"")</f>
        <v/>
      </c>
      <c r="N19">
        <f>IFERROR(MATCH(ROW()-4,rOrden_ATR,0),"")</f>
        <v/>
      </c>
      <c r="O19">
        <f>IF($N19="","",INDEX('Cronograma Asistente Técnico'!$V$5:$V$1000,$N19))</f>
        <v/>
      </c>
      <c r="P19">
        <f>IF($N19="","",N(INDEX('Cronograma Asistente Técnico'!$W$5:$W$1000,$N19)))</f>
        <v/>
      </c>
      <c r="Q19">
        <f>IF(OR(LEFT($L19,7)="Vencida",LEFT($L19,5)="Vence"),SUMPRODUCT(--(LEFT($L$5:$L19,7)="Vencida"))+SUMPRODUCT(--(LEFT($L$5:$L19,5)="Vence")),"")</f>
        <v/>
      </c>
    </row>
    <row r="20">
      <c r="A20" s="56">
        <f>IF($N20="","",INDEX('Cronograma Asistente Técnico'!$A$5:$A$1000,$N20))</f>
        <v/>
      </c>
      <c r="B20" s="62">
        <f>IF($N20="","",IF($O20="Sub","      ↳  "&amp;INDEX('Cronograma Asistente Técnico'!$C$5:$C$1000,$N20),INDEX('Cronograma Asistente Técnico'!$C$5:$C$1000,$N20)&amp;""))</f>
        <v/>
      </c>
      <c r="C20" s="79">
        <f>IF($N20="","",IF(INDEX('Cronograma Asistente Técnico'!$AR$5:$AR$1000,$N20)="","",INDEX('Cronograma Asistente Técnico'!$AR$5:$AR$1000,$N20)))</f>
        <v/>
      </c>
      <c r="D20" s="79">
        <f>IF($N20="","",IF(INDEX('Cronograma Asistente Técnico'!$AS$5:$AS$1000,$N20)="","",INDEX('Cronograma Asistente Técnico'!$AS$5:$AS$1000,$N20)))</f>
        <v/>
      </c>
      <c r="E20" s="56">
        <f>IF($N20="","",IF(NOT(ISNUMBER($D20)),"",IF($D20&lt;InicioCiclo,"Antes del ciclo",IF($D20&gt;=InicioCiclo+28,"Después del ciclo","Semana "&amp;(INT(($D20-InicioCiclo)/7)+1)))))</f>
        <v/>
      </c>
      <c r="F20" s="61">
        <f>IF($N20="","",IF($P20&gt;0,IF(1&lt;=SemanaActual,INDEX('Cronograma Asistente Técnico'!$AH$5:$AH$1000,$N20),""),IF(INDEX('Cronograma Asistente Técnico'!$I$5:$I$1000,$N20)="","",INDEX('Cronograma Asistente Técnico'!$I$5:$I$1000,$N20))))</f>
        <v/>
      </c>
      <c r="G20" s="61">
        <f>IF($N20="","",IF($P20&gt;0,IF(2&lt;=SemanaActual,INDEX('Cronograma Asistente Técnico'!$AI$5:$AI$1000,$N20),""),IF(INDEX('Cronograma Asistente Técnico'!$J$5:$J$1000,$N20)="","",INDEX('Cronograma Asistente Técnico'!$J$5:$J$1000,$N20))))</f>
        <v/>
      </c>
      <c r="H20" s="61">
        <f>IF($N20="","",IF($P20&gt;0,IF(3&lt;=SemanaActual,INDEX('Cronograma Asistente Técnico'!$AJ$5:$AJ$1000,$N20),""),IF(INDEX('Cronograma Asistente Técnico'!$K$5:$K$1000,$N20)="","",INDEX('Cronograma Asistente Técnico'!$K$5:$K$1000,$N20))))</f>
        <v/>
      </c>
      <c r="I20" s="61">
        <f>IF($N20="","",IF($P20&gt;0,IF(4&lt;=SemanaActual,INDEX('Cronograma Asistente Técnico'!$AK$5:$AK$1000,$N20),""),IF(INDEX('Cronograma Asistente Técnico'!$L$5:$L$1000,$N20)="","",INDEX('Cronograma Asistente Técnico'!$L$5:$L$1000,$N20))))</f>
        <v/>
      </c>
      <c r="J20" s="61">
        <f>IF($N20="","",INDEX('Cronograma Asistente Técnico'!$M$5:$M$1000,$N20))</f>
        <v/>
      </c>
      <c r="K20" s="56">
        <f>IF($N20="","",IF(N($J20)&gt;=1,"Completado",IF(AND(ISNUMBER($D20),$D20&lt;FechaRef),"Vencida",IF(N($J20)&gt;0,"En curso","Pendiente"))))</f>
        <v/>
      </c>
      <c r="L20" s="56">
        <f>IF($N20="","",INDEX('Cronograma Asistente Técnico'!$O$5:$O$1000,$N20)&amp;"")</f>
        <v/>
      </c>
      <c r="M20" s="62">
        <f>IF($N20="","",INDEX('Cronograma Asistente Técnico'!$Q$5:$Q$1000,$N20)&amp;"")</f>
        <v/>
      </c>
      <c r="N20">
        <f>IFERROR(MATCH(ROW()-4,rOrden_ATR,0),"")</f>
        <v/>
      </c>
      <c r="O20">
        <f>IF($N20="","",INDEX('Cronograma Asistente Técnico'!$V$5:$V$1000,$N20))</f>
        <v/>
      </c>
      <c r="P20">
        <f>IF($N20="","",N(INDEX('Cronograma Asistente Técnico'!$W$5:$W$1000,$N20)))</f>
        <v/>
      </c>
      <c r="Q20">
        <f>IF(OR(LEFT($L20,7)="Vencida",LEFT($L20,5)="Vence"),SUMPRODUCT(--(LEFT($L$5:$L20,7)="Vencida"))+SUMPRODUCT(--(LEFT($L$5:$L20,5)="Vence")),"")</f>
        <v/>
      </c>
    </row>
    <row r="21">
      <c r="A21" s="56">
        <f>IF($N21="","",INDEX('Cronograma Asistente Técnico'!$A$5:$A$1000,$N21))</f>
        <v/>
      </c>
      <c r="B21" s="62">
        <f>IF($N21="","",IF($O21="Sub","      ↳  "&amp;INDEX('Cronograma Asistente Técnico'!$C$5:$C$1000,$N21),INDEX('Cronograma Asistente Técnico'!$C$5:$C$1000,$N21)&amp;""))</f>
        <v/>
      </c>
      <c r="C21" s="79">
        <f>IF($N21="","",IF(INDEX('Cronograma Asistente Técnico'!$AR$5:$AR$1000,$N21)="","",INDEX('Cronograma Asistente Técnico'!$AR$5:$AR$1000,$N21)))</f>
        <v/>
      </c>
      <c r="D21" s="79">
        <f>IF($N21="","",IF(INDEX('Cronograma Asistente Técnico'!$AS$5:$AS$1000,$N21)="","",INDEX('Cronograma Asistente Técnico'!$AS$5:$AS$1000,$N21)))</f>
        <v/>
      </c>
      <c r="E21" s="56">
        <f>IF($N21="","",IF(NOT(ISNUMBER($D21)),"",IF($D21&lt;InicioCiclo,"Antes del ciclo",IF($D21&gt;=InicioCiclo+28,"Después del ciclo","Semana "&amp;(INT(($D21-InicioCiclo)/7)+1)))))</f>
        <v/>
      </c>
      <c r="F21" s="61">
        <f>IF($N21="","",IF($P21&gt;0,IF(1&lt;=SemanaActual,INDEX('Cronograma Asistente Técnico'!$AH$5:$AH$1000,$N21),""),IF(INDEX('Cronograma Asistente Técnico'!$I$5:$I$1000,$N21)="","",INDEX('Cronograma Asistente Técnico'!$I$5:$I$1000,$N21))))</f>
        <v/>
      </c>
      <c r="G21" s="61">
        <f>IF($N21="","",IF($P21&gt;0,IF(2&lt;=SemanaActual,INDEX('Cronograma Asistente Técnico'!$AI$5:$AI$1000,$N21),""),IF(INDEX('Cronograma Asistente Técnico'!$J$5:$J$1000,$N21)="","",INDEX('Cronograma Asistente Técnico'!$J$5:$J$1000,$N21))))</f>
        <v/>
      </c>
      <c r="H21" s="61">
        <f>IF($N21="","",IF($P21&gt;0,IF(3&lt;=SemanaActual,INDEX('Cronograma Asistente Técnico'!$AJ$5:$AJ$1000,$N21),""),IF(INDEX('Cronograma Asistente Técnico'!$K$5:$K$1000,$N21)="","",INDEX('Cronograma Asistente Técnico'!$K$5:$K$1000,$N21))))</f>
        <v/>
      </c>
      <c r="I21" s="61">
        <f>IF($N21="","",IF($P21&gt;0,IF(4&lt;=SemanaActual,INDEX('Cronograma Asistente Técnico'!$AK$5:$AK$1000,$N21),""),IF(INDEX('Cronograma Asistente Técnico'!$L$5:$L$1000,$N21)="","",INDEX('Cronograma Asistente Técnico'!$L$5:$L$1000,$N21))))</f>
        <v/>
      </c>
      <c r="J21" s="61">
        <f>IF($N21="","",INDEX('Cronograma Asistente Técnico'!$M$5:$M$1000,$N21))</f>
        <v/>
      </c>
      <c r="K21" s="56">
        <f>IF($N21="","",IF(N($J21)&gt;=1,"Completado",IF(AND(ISNUMBER($D21),$D21&lt;FechaRef),"Vencida",IF(N($J21)&gt;0,"En curso","Pendiente"))))</f>
        <v/>
      </c>
      <c r="L21" s="56">
        <f>IF($N21="","",INDEX('Cronograma Asistente Técnico'!$O$5:$O$1000,$N21)&amp;"")</f>
        <v/>
      </c>
      <c r="M21" s="62">
        <f>IF($N21="","",INDEX('Cronograma Asistente Técnico'!$Q$5:$Q$1000,$N21)&amp;"")</f>
        <v/>
      </c>
      <c r="N21">
        <f>IFERROR(MATCH(ROW()-4,rOrden_ATR,0),"")</f>
        <v/>
      </c>
      <c r="O21">
        <f>IF($N21="","",INDEX('Cronograma Asistente Técnico'!$V$5:$V$1000,$N21))</f>
        <v/>
      </c>
      <c r="P21">
        <f>IF($N21="","",N(INDEX('Cronograma Asistente Técnico'!$W$5:$W$1000,$N21)))</f>
        <v/>
      </c>
      <c r="Q21">
        <f>IF(OR(LEFT($L21,7)="Vencida",LEFT($L21,5)="Vence"),SUMPRODUCT(--(LEFT($L$5:$L21,7)="Vencida"))+SUMPRODUCT(--(LEFT($L$5:$L21,5)="Vence")),"")</f>
        <v/>
      </c>
    </row>
    <row r="22">
      <c r="A22" s="56">
        <f>IF($N22="","",INDEX('Cronograma Asistente Técnico'!$A$5:$A$1000,$N22))</f>
        <v/>
      </c>
      <c r="B22" s="62">
        <f>IF($N22="","",IF($O22="Sub","      ↳  "&amp;INDEX('Cronograma Asistente Técnico'!$C$5:$C$1000,$N22),INDEX('Cronograma Asistente Técnico'!$C$5:$C$1000,$N22)&amp;""))</f>
        <v/>
      </c>
      <c r="C22" s="79">
        <f>IF($N22="","",IF(INDEX('Cronograma Asistente Técnico'!$AR$5:$AR$1000,$N22)="","",INDEX('Cronograma Asistente Técnico'!$AR$5:$AR$1000,$N22)))</f>
        <v/>
      </c>
      <c r="D22" s="79">
        <f>IF($N22="","",IF(INDEX('Cronograma Asistente Técnico'!$AS$5:$AS$1000,$N22)="","",INDEX('Cronograma Asistente Técnico'!$AS$5:$AS$1000,$N22)))</f>
        <v/>
      </c>
      <c r="E22" s="56">
        <f>IF($N22="","",IF(NOT(ISNUMBER($D22)),"",IF($D22&lt;InicioCiclo,"Antes del ciclo",IF($D22&gt;=InicioCiclo+28,"Después del ciclo","Semana "&amp;(INT(($D22-InicioCiclo)/7)+1)))))</f>
        <v/>
      </c>
      <c r="F22" s="61">
        <f>IF($N22="","",IF($P22&gt;0,IF(1&lt;=SemanaActual,INDEX('Cronograma Asistente Técnico'!$AH$5:$AH$1000,$N22),""),IF(INDEX('Cronograma Asistente Técnico'!$I$5:$I$1000,$N22)="","",INDEX('Cronograma Asistente Técnico'!$I$5:$I$1000,$N22))))</f>
        <v/>
      </c>
      <c r="G22" s="61">
        <f>IF($N22="","",IF($P22&gt;0,IF(2&lt;=SemanaActual,INDEX('Cronograma Asistente Técnico'!$AI$5:$AI$1000,$N22),""),IF(INDEX('Cronograma Asistente Técnico'!$J$5:$J$1000,$N22)="","",INDEX('Cronograma Asistente Técnico'!$J$5:$J$1000,$N22))))</f>
        <v/>
      </c>
      <c r="H22" s="61">
        <f>IF($N22="","",IF($P22&gt;0,IF(3&lt;=SemanaActual,INDEX('Cronograma Asistente Técnico'!$AJ$5:$AJ$1000,$N22),""),IF(INDEX('Cronograma Asistente Técnico'!$K$5:$K$1000,$N22)="","",INDEX('Cronograma Asistente Técnico'!$K$5:$K$1000,$N22))))</f>
        <v/>
      </c>
      <c r="I22" s="61">
        <f>IF($N22="","",IF($P22&gt;0,IF(4&lt;=SemanaActual,INDEX('Cronograma Asistente Técnico'!$AK$5:$AK$1000,$N22),""),IF(INDEX('Cronograma Asistente Técnico'!$L$5:$L$1000,$N22)="","",INDEX('Cronograma Asistente Técnico'!$L$5:$L$1000,$N22))))</f>
        <v/>
      </c>
      <c r="J22" s="61">
        <f>IF($N22="","",INDEX('Cronograma Asistente Técnico'!$M$5:$M$1000,$N22))</f>
        <v/>
      </c>
      <c r="K22" s="56">
        <f>IF($N22="","",IF(N($J22)&gt;=1,"Completado",IF(AND(ISNUMBER($D22),$D22&lt;FechaRef),"Vencida",IF(N($J22)&gt;0,"En curso","Pendiente"))))</f>
        <v/>
      </c>
      <c r="L22" s="56">
        <f>IF($N22="","",INDEX('Cronograma Asistente Técnico'!$O$5:$O$1000,$N22)&amp;"")</f>
        <v/>
      </c>
      <c r="M22" s="62">
        <f>IF($N22="","",INDEX('Cronograma Asistente Técnico'!$Q$5:$Q$1000,$N22)&amp;"")</f>
        <v/>
      </c>
      <c r="N22">
        <f>IFERROR(MATCH(ROW()-4,rOrden_ATR,0),"")</f>
        <v/>
      </c>
      <c r="O22">
        <f>IF($N22="","",INDEX('Cronograma Asistente Técnico'!$V$5:$V$1000,$N22))</f>
        <v/>
      </c>
      <c r="P22">
        <f>IF($N22="","",N(INDEX('Cronograma Asistente Técnico'!$W$5:$W$1000,$N22)))</f>
        <v/>
      </c>
      <c r="Q22">
        <f>IF(OR(LEFT($L22,7)="Vencida",LEFT($L22,5)="Vence"),SUMPRODUCT(--(LEFT($L$5:$L22,7)="Vencida"))+SUMPRODUCT(--(LEFT($L$5:$L22,5)="Vence")),"")</f>
        <v/>
      </c>
    </row>
    <row r="23">
      <c r="A23" s="56">
        <f>IF($N23="","",INDEX('Cronograma Asistente Técnico'!$A$5:$A$1000,$N23))</f>
        <v/>
      </c>
      <c r="B23" s="62">
        <f>IF($N23="","",IF($O23="Sub","      ↳  "&amp;INDEX('Cronograma Asistente Técnico'!$C$5:$C$1000,$N23),INDEX('Cronograma Asistente Técnico'!$C$5:$C$1000,$N23)&amp;""))</f>
        <v/>
      </c>
      <c r="C23" s="79">
        <f>IF($N23="","",IF(INDEX('Cronograma Asistente Técnico'!$AR$5:$AR$1000,$N23)="","",INDEX('Cronograma Asistente Técnico'!$AR$5:$AR$1000,$N23)))</f>
        <v/>
      </c>
      <c r="D23" s="79">
        <f>IF($N23="","",IF(INDEX('Cronograma Asistente Técnico'!$AS$5:$AS$1000,$N23)="","",INDEX('Cronograma Asistente Técnico'!$AS$5:$AS$1000,$N23)))</f>
        <v/>
      </c>
      <c r="E23" s="56">
        <f>IF($N23="","",IF(NOT(ISNUMBER($D23)),"",IF($D23&lt;InicioCiclo,"Antes del ciclo",IF($D23&gt;=InicioCiclo+28,"Después del ciclo","Semana "&amp;(INT(($D23-InicioCiclo)/7)+1)))))</f>
        <v/>
      </c>
      <c r="F23" s="61">
        <f>IF($N23="","",IF($P23&gt;0,IF(1&lt;=SemanaActual,INDEX('Cronograma Asistente Técnico'!$AH$5:$AH$1000,$N23),""),IF(INDEX('Cronograma Asistente Técnico'!$I$5:$I$1000,$N23)="","",INDEX('Cronograma Asistente Técnico'!$I$5:$I$1000,$N23))))</f>
        <v/>
      </c>
      <c r="G23" s="61">
        <f>IF($N23="","",IF($P23&gt;0,IF(2&lt;=SemanaActual,INDEX('Cronograma Asistente Técnico'!$AI$5:$AI$1000,$N23),""),IF(INDEX('Cronograma Asistente Técnico'!$J$5:$J$1000,$N23)="","",INDEX('Cronograma Asistente Técnico'!$J$5:$J$1000,$N23))))</f>
        <v/>
      </c>
      <c r="H23" s="61">
        <f>IF($N23="","",IF($P23&gt;0,IF(3&lt;=SemanaActual,INDEX('Cronograma Asistente Técnico'!$AJ$5:$AJ$1000,$N23),""),IF(INDEX('Cronograma Asistente Técnico'!$K$5:$K$1000,$N23)="","",INDEX('Cronograma Asistente Técnico'!$K$5:$K$1000,$N23))))</f>
        <v/>
      </c>
      <c r="I23" s="61">
        <f>IF($N23="","",IF($P23&gt;0,IF(4&lt;=SemanaActual,INDEX('Cronograma Asistente Técnico'!$AK$5:$AK$1000,$N23),""),IF(INDEX('Cronograma Asistente Técnico'!$L$5:$L$1000,$N23)="","",INDEX('Cronograma Asistente Técnico'!$L$5:$L$1000,$N23))))</f>
        <v/>
      </c>
      <c r="J23" s="61">
        <f>IF($N23="","",INDEX('Cronograma Asistente Técnico'!$M$5:$M$1000,$N23))</f>
        <v/>
      </c>
      <c r="K23" s="56">
        <f>IF($N23="","",IF(N($J23)&gt;=1,"Completado",IF(AND(ISNUMBER($D23),$D23&lt;FechaRef),"Vencida",IF(N($J23)&gt;0,"En curso","Pendiente"))))</f>
        <v/>
      </c>
      <c r="L23" s="56">
        <f>IF($N23="","",INDEX('Cronograma Asistente Técnico'!$O$5:$O$1000,$N23)&amp;"")</f>
        <v/>
      </c>
      <c r="M23" s="62">
        <f>IF($N23="","",INDEX('Cronograma Asistente Técnico'!$Q$5:$Q$1000,$N23)&amp;"")</f>
        <v/>
      </c>
      <c r="N23">
        <f>IFERROR(MATCH(ROW()-4,rOrden_ATR,0),"")</f>
        <v/>
      </c>
      <c r="O23">
        <f>IF($N23="","",INDEX('Cronograma Asistente Técnico'!$V$5:$V$1000,$N23))</f>
        <v/>
      </c>
      <c r="P23">
        <f>IF($N23="","",N(INDEX('Cronograma Asistente Técnico'!$W$5:$W$1000,$N23)))</f>
        <v/>
      </c>
      <c r="Q23">
        <f>IF(OR(LEFT($L23,7)="Vencida",LEFT($L23,5)="Vence"),SUMPRODUCT(--(LEFT($L$5:$L23,7)="Vencida"))+SUMPRODUCT(--(LEFT($L$5:$L23,5)="Vence")),"")</f>
        <v/>
      </c>
    </row>
    <row r="24">
      <c r="A24" s="56">
        <f>IF($N24="","",INDEX('Cronograma Asistente Técnico'!$A$5:$A$1000,$N24))</f>
        <v/>
      </c>
      <c r="B24" s="62">
        <f>IF($N24="","",IF($O24="Sub","      ↳  "&amp;INDEX('Cronograma Asistente Técnico'!$C$5:$C$1000,$N24),INDEX('Cronograma Asistente Técnico'!$C$5:$C$1000,$N24)&amp;""))</f>
        <v/>
      </c>
      <c r="C24" s="79">
        <f>IF($N24="","",IF(INDEX('Cronograma Asistente Técnico'!$AR$5:$AR$1000,$N24)="","",INDEX('Cronograma Asistente Técnico'!$AR$5:$AR$1000,$N24)))</f>
        <v/>
      </c>
      <c r="D24" s="79">
        <f>IF($N24="","",IF(INDEX('Cronograma Asistente Técnico'!$AS$5:$AS$1000,$N24)="","",INDEX('Cronograma Asistente Técnico'!$AS$5:$AS$1000,$N24)))</f>
        <v/>
      </c>
      <c r="E24" s="56">
        <f>IF($N24="","",IF(NOT(ISNUMBER($D24)),"",IF($D24&lt;InicioCiclo,"Antes del ciclo",IF($D24&gt;=InicioCiclo+28,"Después del ciclo","Semana "&amp;(INT(($D24-InicioCiclo)/7)+1)))))</f>
        <v/>
      </c>
      <c r="F24" s="61">
        <f>IF($N24="","",IF($P24&gt;0,IF(1&lt;=SemanaActual,INDEX('Cronograma Asistente Técnico'!$AH$5:$AH$1000,$N24),""),IF(INDEX('Cronograma Asistente Técnico'!$I$5:$I$1000,$N24)="","",INDEX('Cronograma Asistente Técnico'!$I$5:$I$1000,$N24))))</f>
        <v/>
      </c>
      <c r="G24" s="61">
        <f>IF($N24="","",IF($P24&gt;0,IF(2&lt;=SemanaActual,INDEX('Cronograma Asistente Técnico'!$AI$5:$AI$1000,$N24),""),IF(INDEX('Cronograma Asistente Técnico'!$J$5:$J$1000,$N24)="","",INDEX('Cronograma Asistente Técnico'!$J$5:$J$1000,$N24))))</f>
        <v/>
      </c>
      <c r="H24" s="61">
        <f>IF($N24="","",IF($P24&gt;0,IF(3&lt;=SemanaActual,INDEX('Cronograma Asistente Técnico'!$AJ$5:$AJ$1000,$N24),""),IF(INDEX('Cronograma Asistente Técnico'!$K$5:$K$1000,$N24)="","",INDEX('Cronograma Asistente Técnico'!$K$5:$K$1000,$N24))))</f>
        <v/>
      </c>
      <c r="I24" s="61">
        <f>IF($N24="","",IF($P24&gt;0,IF(4&lt;=SemanaActual,INDEX('Cronograma Asistente Técnico'!$AK$5:$AK$1000,$N24),""),IF(INDEX('Cronograma Asistente Técnico'!$L$5:$L$1000,$N24)="","",INDEX('Cronograma Asistente Técnico'!$L$5:$L$1000,$N24))))</f>
        <v/>
      </c>
      <c r="J24" s="61">
        <f>IF($N24="","",INDEX('Cronograma Asistente Técnico'!$M$5:$M$1000,$N24))</f>
        <v/>
      </c>
      <c r="K24" s="56">
        <f>IF($N24="","",IF(N($J24)&gt;=1,"Completado",IF(AND(ISNUMBER($D24),$D24&lt;FechaRef),"Vencida",IF(N($J24)&gt;0,"En curso","Pendiente"))))</f>
        <v/>
      </c>
      <c r="L24" s="56">
        <f>IF($N24="","",INDEX('Cronograma Asistente Técnico'!$O$5:$O$1000,$N24)&amp;"")</f>
        <v/>
      </c>
      <c r="M24" s="62">
        <f>IF($N24="","",INDEX('Cronograma Asistente Técnico'!$Q$5:$Q$1000,$N24)&amp;"")</f>
        <v/>
      </c>
      <c r="N24">
        <f>IFERROR(MATCH(ROW()-4,rOrden_ATR,0),"")</f>
        <v/>
      </c>
      <c r="O24">
        <f>IF($N24="","",INDEX('Cronograma Asistente Técnico'!$V$5:$V$1000,$N24))</f>
        <v/>
      </c>
      <c r="P24">
        <f>IF($N24="","",N(INDEX('Cronograma Asistente Técnico'!$W$5:$W$1000,$N24)))</f>
        <v/>
      </c>
      <c r="Q24">
        <f>IF(OR(LEFT($L24,7)="Vencida",LEFT($L24,5)="Vence"),SUMPRODUCT(--(LEFT($L$5:$L24,7)="Vencida"))+SUMPRODUCT(--(LEFT($L$5:$L24,5)="Vence")),"")</f>
        <v/>
      </c>
    </row>
    <row r="25">
      <c r="A25" s="56">
        <f>IF($N25="","",INDEX('Cronograma Asistente Técnico'!$A$5:$A$1000,$N25))</f>
        <v/>
      </c>
      <c r="B25" s="62">
        <f>IF($N25="","",IF($O25="Sub","      ↳  "&amp;INDEX('Cronograma Asistente Técnico'!$C$5:$C$1000,$N25),INDEX('Cronograma Asistente Técnico'!$C$5:$C$1000,$N25)&amp;""))</f>
        <v/>
      </c>
      <c r="C25" s="79">
        <f>IF($N25="","",IF(INDEX('Cronograma Asistente Técnico'!$AR$5:$AR$1000,$N25)="","",INDEX('Cronograma Asistente Técnico'!$AR$5:$AR$1000,$N25)))</f>
        <v/>
      </c>
      <c r="D25" s="79">
        <f>IF($N25="","",IF(INDEX('Cronograma Asistente Técnico'!$AS$5:$AS$1000,$N25)="","",INDEX('Cronograma Asistente Técnico'!$AS$5:$AS$1000,$N25)))</f>
        <v/>
      </c>
      <c r="E25" s="56">
        <f>IF($N25="","",IF(NOT(ISNUMBER($D25)),"",IF($D25&lt;InicioCiclo,"Antes del ciclo",IF($D25&gt;=InicioCiclo+28,"Después del ciclo","Semana "&amp;(INT(($D25-InicioCiclo)/7)+1)))))</f>
        <v/>
      </c>
      <c r="F25" s="61">
        <f>IF($N25="","",IF($P25&gt;0,IF(1&lt;=SemanaActual,INDEX('Cronograma Asistente Técnico'!$AH$5:$AH$1000,$N25),""),IF(INDEX('Cronograma Asistente Técnico'!$I$5:$I$1000,$N25)="","",INDEX('Cronograma Asistente Técnico'!$I$5:$I$1000,$N25))))</f>
        <v/>
      </c>
      <c r="G25" s="61">
        <f>IF($N25="","",IF($P25&gt;0,IF(2&lt;=SemanaActual,INDEX('Cronograma Asistente Técnico'!$AI$5:$AI$1000,$N25),""),IF(INDEX('Cronograma Asistente Técnico'!$J$5:$J$1000,$N25)="","",INDEX('Cronograma Asistente Técnico'!$J$5:$J$1000,$N25))))</f>
        <v/>
      </c>
      <c r="H25" s="61">
        <f>IF($N25="","",IF($P25&gt;0,IF(3&lt;=SemanaActual,INDEX('Cronograma Asistente Técnico'!$AJ$5:$AJ$1000,$N25),""),IF(INDEX('Cronograma Asistente Técnico'!$K$5:$K$1000,$N25)="","",INDEX('Cronograma Asistente Técnico'!$K$5:$K$1000,$N25))))</f>
        <v/>
      </c>
      <c r="I25" s="61">
        <f>IF($N25="","",IF($P25&gt;0,IF(4&lt;=SemanaActual,INDEX('Cronograma Asistente Técnico'!$AK$5:$AK$1000,$N25),""),IF(INDEX('Cronograma Asistente Técnico'!$L$5:$L$1000,$N25)="","",INDEX('Cronograma Asistente Técnico'!$L$5:$L$1000,$N25))))</f>
        <v/>
      </c>
      <c r="J25" s="61">
        <f>IF($N25="","",INDEX('Cronograma Asistente Técnico'!$M$5:$M$1000,$N25))</f>
        <v/>
      </c>
      <c r="K25" s="56">
        <f>IF($N25="","",IF(N($J25)&gt;=1,"Completado",IF(AND(ISNUMBER($D25),$D25&lt;FechaRef),"Vencida",IF(N($J25)&gt;0,"En curso","Pendiente"))))</f>
        <v/>
      </c>
      <c r="L25" s="56">
        <f>IF($N25="","",INDEX('Cronograma Asistente Técnico'!$O$5:$O$1000,$N25)&amp;"")</f>
        <v/>
      </c>
      <c r="M25" s="62">
        <f>IF($N25="","",INDEX('Cronograma Asistente Técnico'!$Q$5:$Q$1000,$N25)&amp;"")</f>
        <v/>
      </c>
      <c r="N25">
        <f>IFERROR(MATCH(ROW()-4,rOrden_ATR,0),"")</f>
        <v/>
      </c>
      <c r="O25">
        <f>IF($N25="","",INDEX('Cronograma Asistente Técnico'!$V$5:$V$1000,$N25))</f>
        <v/>
      </c>
      <c r="P25">
        <f>IF($N25="","",N(INDEX('Cronograma Asistente Técnico'!$W$5:$W$1000,$N25)))</f>
        <v/>
      </c>
      <c r="Q25">
        <f>IF(OR(LEFT($L25,7)="Vencida",LEFT($L25,5)="Vence"),SUMPRODUCT(--(LEFT($L$5:$L25,7)="Vencida"))+SUMPRODUCT(--(LEFT($L$5:$L25,5)="Vence")),"")</f>
        <v/>
      </c>
    </row>
    <row r="26">
      <c r="A26" s="56">
        <f>IF($N26="","",INDEX('Cronograma Asistente Técnico'!$A$5:$A$1000,$N26))</f>
        <v/>
      </c>
      <c r="B26" s="62">
        <f>IF($N26="","",IF($O26="Sub","      ↳  "&amp;INDEX('Cronograma Asistente Técnico'!$C$5:$C$1000,$N26),INDEX('Cronograma Asistente Técnico'!$C$5:$C$1000,$N26)&amp;""))</f>
        <v/>
      </c>
      <c r="C26" s="79">
        <f>IF($N26="","",IF(INDEX('Cronograma Asistente Técnico'!$AR$5:$AR$1000,$N26)="","",INDEX('Cronograma Asistente Técnico'!$AR$5:$AR$1000,$N26)))</f>
        <v/>
      </c>
      <c r="D26" s="79">
        <f>IF($N26="","",IF(INDEX('Cronograma Asistente Técnico'!$AS$5:$AS$1000,$N26)="","",INDEX('Cronograma Asistente Técnico'!$AS$5:$AS$1000,$N26)))</f>
        <v/>
      </c>
      <c r="E26" s="56">
        <f>IF($N26="","",IF(NOT(ISNUMBER($D26)),"",IF($D26&lt;InicioCiclo,"Antes del ciclo",IF($D26&gt;=InicioCiclo+28,"Después del ciclo","Semana "&amp;(INT(($D26-InicioCiclo)/7)+1)))))</f>
        <v/>
      </c>
      <c r="F26" s="61">
        <f>IF($N26="","",IF($P26&gt;0,IF(1&lt;=SemanaActual,INDEX('Cronograma Asistente Técnico'!$AH$5:$AH$1000,$N26),""),IF(INDEX('Cronograma Asistente Técnico'!$I$5:$I$1000,$N26)="","",INDEX('Cronograma Asistente Técnico'!$I$5:$I$1000,$N26))))</f>
        <v/>
      </c>
      <c r="G26" s="61">
        <f>IF($N26="","",IF($P26&gt;0,IF(2&lt;=SemanaActual,INDEX('Cronograma Asistente Técnico'!$AI$5:$AI$1000,$N26),""),IF(INDEX('Cronograma Asistente Técnico'!$J$5:$J$1000,$N26)="","",INDEX('Cronograma Asistente Técnico'!$J$5:$J$1000,$N26))))</f>
        <v/>
      </c>
      <c r="H26" s="61">
        <f>IF($N26="","",IF($P26&gt;0,IF(3&lt;=SemanaActual,INDEX('Cronograma Asistente Técnico'!$AJ$5:$AJ$1000,$N26),""),IF(INDEX('Cronograma Asistente Técnico'!$K$5:$K$1000,$N26)="","",INDEX('Cronograma Asistente Técnico'!$K$5:$K$1000,$N26))))</f>
        <v/>
      </c>
      <c r="I26" s="61">
        <f>IF($N26="","",IF($P26&gt;0,IF(4&lt;=SemanaActual,INDEX('Cronograma Asistente Técnico'!$AK$5:$AK$1000,$N26),""),IF(INDEX('Cronograma Asistente Técnico'!$L$5:$L$1000,$N26)="","",INDEX('Cronograma Asistente Técnico'!$L$5:$L$1000,$N26))))</f>
        <v/>
      </c>
      <c r="J26" s="61">
        <f>IF($N26="","",INDEX('Cronograma Asistente Técnico'!$M$5:$M$1000,$N26))</f>
        <v/>
      </c>
      <c r="K26" s="56">
        <f>IF($N26="","",IF(N($J26)&gt;=1,"Completado",IF(AND(ISNUMBER($D26),$D26&lt;FechaRef),"Vencida",IF(N($J26)&gt;0,"En curso","Pendiente"))))</f>
        <v/>
      </c>
      <c r="L26" s="56">
        <f>IF($N26="","",INDEX('Cronograma Asistente Técnico'!$O$5:$O$1000,$N26)&amp;"")</f>
        <v/>
      </c>
      <c r="M26" s="62">
        <f>IF($N26="","",INDEX('Cronograma Asistente Técnico'!$Q$5:$Q$1000,$N26)&amp;"")</f>
        <v/>
      </c>
      <c r="N26">
        <f>IFERROR(MATCH(ROW()-4,rOrden_ATR,0),"")</f>
        <v/>
      </c>
      <c r="O26">
        <f>IF($N26="","",INDEX('Cronograma Asistente Técnico'!$V$5:$V$1000,$N26))</f>
        <v/>
      </c>
      <c r="P26">
        <f>IF($N26="","",N(INDEX('Cronograma Asistente Técnico'!$W$5:$W$1000,$N26)))</f>
        <v/>
      </c>
      <c r="Q26">
        <f>IF(OR(LEFT($L26,7)="Vencida",LEFT($L26,5)="Vence"),SUMPRODUCT(--(LEFT($L$5:$L26,7)="Vencida"))+SUMPRODUCT(--(LEFT($L$5:$L26,5)="Vence")),"")</f>
        <v/>
      </c>
    </row>
    <row r="27">
      <c r="A27" s="56">
        <f>IF($N27="","",INDEX('Cronograma Asistente Técnico'!$A$5:$A$1000,$N27))</f>
        <v/>
      </c>
      <c r="B27" s="62">
        <f>IF($N27="","",IF($O27="Sub","      ↳  "&amp;INDEX('Cronograma Asistente Técnico'!$C$5:$C$1000,$N27),INDEX('Cronograma Asistente Técnico'!$C$5:$C$1000,$N27)&amp;""))</f>
        <v/>
      </c>
      <c r="C27" s="79">
        <f>IF($N27="","",IF(INDEX('Cronograma Asistente Técnico'!$AR$5:$AR$1000,$N27)="","",INDEX('Cronograma Asistente Técnico'!$AR$5:$AR$1000,$N27)))</f>
        <v/>
      </c>
      <c r="D27" s="79">
        <f>IF($N27="","",IF(INDEX('Cronograma Asistente Técnico'!$AS$5:$AS$1000,$N27)="","",INDEX('Cronograma Asistente Técnico'!$AS$5:$AS$1000,$N27)))</f>
        <v/>
      </c>
      <c r="E27" s="56">
        <f>IF($N27="","",IF(NOT(ISNUMBER($D27)),"",IF($D27&lt;InicioCiclo,"Antes del ciclo",IF($D27&gt;=InicioCiclo+28,"Después del ciclo","Semana "&amp;(INT(($D27-InicioCiclo)/7)+1)))))</f>
        <v/>
      </c>
      <c r="F27" s="61">
        <f>IF($N27="","",IF($P27&gt;0,IF(1&lt;=SemanaActual,INDEX('Cronograma Asistente Técnico'!$AH$5:$AH$1000,$N27),""),IF(INDEX('Cronograma Asistente Técnico'!$I$5:$I$1000,$N27)="","",INDEX('Cronograma Asistente Técnico'!$I$5:$I$1000,$N27))))</f>
        <v/>
      </c>
      <c r="G27" s="61">
        <f>IF($N27="","",IF($P27&gt;0,IF(2&lt;=SemanaActual,INDEX('Cronograma Asistente Técnico'!$AI$5:$AI$1000,$N27),""),IF(INDEX('Cronograma Asistente Técnico'!$J$5:$J$1000,$N27)="","",INDEX('Cronograma Asistente Técnico'!$J$5:$J$1000,$N27))))</f>
        <v/>
      </c>
      <c r="H27" s="61">
        <f>IF($N27="","",IF($P27&gt;0,IF(3&lt;=SemanaActual,INDEX('Cronograma Asistente Técnico'!$AJ$5:$AJ$1000,$N27),""),IF(INDEX('Cronograma Asistente Técnico'!$K$5:$K$1000,$N27)="","",INDEX('Cronograma Asistente Técnico'!$K$5:$K$1000,$N27))))</f>
        <v/>
      </c>
      <c r="I27" s="61">
        <f>IF($N27="","",IF($P27&gt;0,IF(4&lt;=SemanaActual,INDEX('Cronograma Asistente Técnico'!$AK$5:$AK$1000,$N27),""),IF(INDEX('Cronograma Asistente Técnico'!$L$5:$L$1000,$N27)="","",INDEX('Cronograma Asistente Técnico'!$L$5:$L$1000,$N27))))</f>
        <v/>
      </c>
      <c r="J27" s="61">
        <f>IF($N27="","",INDEX('Cronograma Asistente Técnico'!$M$5:$M$1000,$N27))</f>
        <v/>
      </c>
      <c r="K27" s="56">
        <f>IF($N27="","",IF(N($J27)&gt;=1,"Completado",IF(AND(ISNUMBER($D27),$D27&lt;FechaRef),"Vencida",IF(N($J27)&gt;0,"En curso","Pendiente"))))</f>
        <v/>
      </c>
      <c r="L27" s="56">
        <f>IF($N27="","",INDEX('Cronograma Asistente Técnico'!$O$5:$O$1000,$N27)&amp;"")</f>
        <v/>
      </c>
      <c r="M27" s="62">
        <f>IF($N27="","",INDEX('Cronograma Asistente Técnico'!$Q$5:$Q$1000,$N27)&amp;"")</f>
        <v/>
      </c>
      <c r="N27">
        <f>IFERROR(MATCH(ROW()-4,rOrden_ATR,0),"")</f>
        <v/>
      </c>
      <c r="O27">
        <f>IF($N27="","",INDEX('Cronograma Asistente Técnico'!$V$5:$V$1000,$N27))</f>
        <v/>
      </c>
      <c r="P27">
        <f>IF($N27="","",N(INDEX('Cronograma Asistente Técnico'!$W$5:$W$1000,$N27)))</f>
        <v/>
      </c>
      <c r="Q27">
        <f>IF(OR(LEFT($L27,7)="Vencida",LEFT($L27,5)="Vence"),SUMPRODUCT(--(LEFT($L$5:$L27,7)="Vencida"))+SUMPRODUCT(--(LEFT($L$5:$L27,5)="Vence")),"")</f>
        <v/>
      </c>
    </row>
    <row r="28">
      <c r="A28" s="56">
        <f>IF($N28="","",INDEX('Cronograma Asistente Técnico'!$A$5:$A$1000,$N28))</f>
        <v/>
      </c>
      <c r="B28" s="62">
        <f>IF($N28="","",IF($O28="Sub","      ↳  "&amp;INDEX('Cronograma Asistente Técnico'!$C$5:$C$1000,$N28),INDEX('Cronograma Asistente Técnico'!$C$5:$C$1000,$N28)&amp;""))</f>
        <v/>
      </c>
      <c r="C28" s="79">
        <f>IF($N28="","",IF(INDEX('Cronograma Asistente Técnico'!$AR$5:$AR$1000,$N28)="","",INDEX('Cronograma Asistente Técnico'!$AR$5:$AR$1000,$N28)))</f>
        <v/>
      </c>
      <c r="D28" s="79">
        <f>IF($N28="","",IF(INDEX('Cronograma Asistente Técnico'!$AS$5:$AS$1000,$N28)="","",INDEX('Cronograma Asistente Técnico'!$AS$5:$AS$1000,$N28)))</f>
        <v/>
      </c>
      <c r="E28" s="56">
        <f>IF($N28="","",IF(NOT(ISNUMBER($D28)),"",IF($D28&lt;InicioCiclo,"Antes del ciclo",IF($D28&gt;=InicioCiclo+28,"Después del ciclo","Semana "&amp;(INT(($D28-InicioCiclo)/7)+1)))))</f>
        <v/>
      </c>
      <c r="F28" s="61">
        <f>IF($N28="","",IF($P28&gt;0,IF(1&lt;=SemanaActual,INDEX('Cronograma Asistente Técnico'!$AH$5:$AH$1000,$N28),""),IF(INDEX('Cronograma Asistente Técnico'!$I$5:$I$1000,$N28)="","",INDEX('Cronograma Asistente Técnico'!$I$5:$I$1000,$N28))))</f>
        <v/>
      </c>
      <c r="G28" s="61">
        <f>IF($N28="","",IF($P28&gt;0,IF(2&lt;=SemanaActual,INDEX('Cronograma Asistente Técnico'!$AI$5:$AI$1000,$N28),""),IF(INDEX('Cronograma Asistente Técnico'!$J$5:$J$1000,$N28)="","",INDEX('Cronograma Asistente Técnico'!$J$5:$J$1000,$N28))))</f>
        <v/>
      </c>
      <c r="H28" s="61">
        <f>IF($N28="","",IF($P28&gt;0,IF(3&lt;=SemanaActual,INDEX('Cronograma Asistente Técnico'!$AJ$5:$AJ$1000,$N28),""),IF(INDEX('Cronograma Asistente Técnico'!$K$5:$K$1000,$N28)="","",INDEX('Cronograma Asistente Técnico'!$K$5:$K$1000,$N28))))</f>
        <v/>
      </c>
      <c r="I28" s="61">
        <f>IF($N28="","",IF($P28&gt;0,IF(4&lt;=SemanaActual,INDEX('Cronograma Asistente Técnico'!$AK$5:$AK$1000,$N28),""),IF(INDEX('Cronograma Asistente Técnico'!$L$5:$L$1000,$N28)="","",INDEX('Cronograma Asistente Técnico'!$L$5:$L$1000,$N28))))</f>
        <v/>
      </c>
      <c r="J28" s="61">
        <f>IF($N28="","",INDEX('Cronograma Asistente Técnico'!$M$5:$M$1000,$N28))</f>
        <v/>
      </c>
      <c r="K28" s="56">
        <f>IF($N28="","",IF(N($J28)&gt;=1,"Completado",IF(AND(ISNUMBER($D28),$D28&lt;FechaRef),"Vencida",IF(N($J28)&gt;0,"En curso","Pendiente"))))</f>
        <v/>
      </c>
      <c r="L28" s="56">
        <f>IF($N28="","",INDEX('Cronograma Asistente Técnico'!$O$5:$O$1000,$N28)&amp;"")</f>
        <v/>
      </c>
      <c r="M28" s="62">
        <f>IF($N28="","",INDEX('Cronograma Asistente Técnico'!$Q$5:$Q$1000,$N28)&amp;"")</f>
        <v/>
      </c>
      <c r="N28">
        <f>IFERROR(MATCH(ROW()-4,rOrden_ATR,0),"")</f>
        <v/>
      </c>
      <c r="O28">
        <f>IF($N28="","",INDEX('Cronograma Asistente Técnico'!$V$5:$V$1000,$N28))</f>
        <v/>
      </c>
      <c r="P28">
        <f>IF($N28="","",N(INDEX('Cronograma Asistente Técnico'!$W$5:$W$1000,$N28)))</f>
        <v/>
      </c>
      <c r="Q28">
        <f>IF(OR(LEFT($L28,7)="Vencida",LEFT($L28,5)="Vence"),SUMPRODUCT(--(LEFT($L$5:$L28,7)="Vencida"))+SUMPRODUCT(--(LEFT($L$5:$L28,5)="Vence")),"")</f>
        <v/>
      </c>
    </row>
    <row r="29">
      <c r="A29" s="56">
        <f>IF($N29="","",INDEX('Cronograma Asistente Técnico'!$A$5:$A$1000,$N29))</f>
        <v/>
      </c>
      <c r="B29" s="62">
        <f>IF($N29="","",IF($O29="Sub","      ↳  "&amp;INDEX('Cronograma Asistente Técnico'!$C$5:$C$1000,$N29),INDEX('Cronograma Asistente Técnico'!$C$5:$C$1000,$N29)&amp;""))</f>
        <v/>
      </c>
      <c r="C29" s="79">
        <f>IF($N29="","",IF(INDEX('Cronograma Asistente Técnico'!$AR$5:$AR$1000,$N29)="","",INDEX('Cronograma Asistente Técnico'!$AR$5:$AR$1000,$N29)))</f>
        <v/>
      </c>
      <c r="D29" s="79">
        <f>IF($N29="","",IF(INDEX('Cronograma Asistente Técnico'!$AS$5:$AS$1000,$N29)="","",INDEX('Cronograma Asistente Técnico'!$AS$5:$AS$1000,$N29)))</f>
        <v/>
      </c>
      <c r="E29" s="56">
        <f>IF($N29="","",IF(NOT(ISNUMBER($D29)),"",IF($D29&lt;InicioCiclo,"Antes del ciclo",IF($D29&gt;=InicioCiclo+28,"Después del ciclo","Semana "&amp;(INT(($D29-InicioCiclo)/7)+1)))))</f>
        <v/>
      </c>
      <c r="F29" s="61">
        <f>IF($N29="","",IF($P29&gt;0,IF(1&lt;=SemanaActual,INDEX('Cronograma Asistente Técnico'!$AH$5:$AH$1000,$N29),""),IF(INDEX('Cronograma Asistente Técnico'!$I$5:$I$1000,$N29)="","",INDEX('Cronograma Asistente Técnico'!$I$5:$I$1000,$N29))))</f>
        <v/>
      </c>
      <c r="G29" s="61">
        <f>IF($N29="","",IF($P29&gt;0,IF(2&lt;=SemanaActual,INDEX('Cronograma Asistente Técnico'!$AI$5:$AI$1000,$N29),""),IF(INDEX('Cronograma Asistente Técnico'!$J$5:$J$1000,$N29)="","",INDEX('Cronograma Asistente Técnico'!$J$5:$J$1000,$N29))))</f>
        <v/>
      </c>
      <c r="H29" s="61">
        <f>IF($N29="","",IF($P29&gt;0,IF(3&lt;=SemanaActual,INDEX('Cronograma Asistente Técnico'!$AJ$5:$AJ$1000,$N29),""),IF(INDEX('Cronograma Asistente Técnico'!$K$5:$K$1000,$N29)="","",INDEX('Cronograma Asistente Técnico'!$K$5:$K$1000,$N29))))</f>
        <v/>
      </c>
      <c r="I29" s="61">
        <f>IF($N29="","",IF($P29&gt;0,IF(4&lt;=SemanaActual,INDEX('Cronograma Asistente Técnico'!$AK$5:$AK$1000,$N29),""),IF(INDEX('Cronograma Asistente Técnico'!$L$5:$L$1000,$N29)="","",INDEX('Cronograma Asistente Técnico'!$L$5:$L$1000,$N29))))</f>
        <v/>
      </c>
      <c r="J29" s="61">
        <f>IF($N29="","",INDEX('Cronograma Asistente Técnico'!$M$5:$M$1000,$N29))</f>
        <v/>
      </c>
      <c r="K29" s="56">
        <f>IF($N29="","",IF(N($J29)&gt;=1,"Completado",IF(AND(ISNUMBER($D29),$D29&lt;FechaRef),"Vencida",IF(N($J29)&gt;0,"En curso","Pendiente"))))</f>
        <v/>
      </c>
      <c r="L29" s="56">
        <f>IF($N29="","",INDEX('Cronograma Asistente Técnico'!$O$5:$O$1000,$N29)&amp;"")</f>
        <v/>
      </c>
      <c r="M29" s="62">
        <f>IF($N29="","",INDEX('Cronograma Asistente Técnico'!$Q$5:$Q$1000,$N29)&amp;"")</f>
        <v/>
      </c>
      <c r="N29">
        <f>IFERROR(MATCH(ROW()-4,rOrden_ATR,0),"")</f>
        <v/>
      </c>
      <c r="O29">
        <f>IF($N29="","",INDEX('Cronograma Asistente Técnico'!$V$5:$V$1000,$N29))</f>
        <v/>
      </c>
      <c r="P29">
        <f>IF($N29="","",N(INDEX('Cronograma Asistente Técnico'!$W$5:$W$1000,$N29)))</f>
        <v/>
      </c>
      <c r="Q29">
        <f>IF(OR(LEFT($L29,7)="Vencida",LEFT($L29,5)="Vence"),SUMPRODUCT(--(LEFT($L$5:$L29,7)="Vencida"))+SUMPRODUCT(--(LEFT($L$5:$L29,5)="Vence")),"")</f>
        <v/>
      </c>
    </row>
    <row r="30">
      <c r="A30" s="56">
        <f>IF($N30="","",INDEX('Cronograma Asistente Técnico'!$A$5:$A$1000,$N30))</f>
        <v/>
      </c>
      <c r="B30" s="62">
        <f>IF($N30="","",IF($O30="Sub","      ↳  "&amp;INDEX('Cronograma Asistente Técnico'!$C$5:$C$1000,$N30),INDEX('Cronograma Asistente Técnico'!$C$5:$C$1000,$N30)&amp;""))</f>
        <v/>
      </c>
      <c r="C30" s="79">
        <f>IF($N30="","",IF(INDEX('Cronograma Asistente Técnico'!$AR$5:$AR$1000,$N30)="","",INDEX('Cronograma Asistente Técnico'!$AR$5:$AR$1000,$N30)))</f>
        <v/>
      </c>
      <c r="D30" s="79">
        <f>IF($N30="","",IF(INDEX('Cronograma Asistente Técnico'!$AS$5:$AS$1000,$N30)="","",INDEX('Cronograma Asistente Técnico'!$AS$5:$AS$1000,$N30)))</f>
        <v/>
      </c>
      <c r="E30" s="56">
        <f>IF($N30="","",IF(NOT(ISNUMBER($D30)),"",IF($D30&lt;InicioCiclo,"Antes del ciclo",IF($D30&gt;=InicioCiclo+28,"Después del ciclo","Semana "&amp;(INT(($D30-InicioCiclo)/7)+1)))))</f>
        <v/>
      </c>
      <c r="F30" s="61">
        <f>IF($N30="","",IF($P30&gt;0,IF(1&lt;=SemanaActual,INDEX('Cronograma Asistente Técnico'!$AH$5:$AH$1000,$N30),""),IF(INDEX('Cronograma Asistente Técnico'!$I$5:$I$1000,$N30)="","",INDEX('Cronograma Asistente Técnico'!$I$5:$I$1000,$N30))))</f>
        <v/>
      </c>
      <c r="G30" s="61">
        <f>IF($N30="","",IF($P30&gt;0,IF(2&lt;=SemanaActual,INDEX('Cronograma Asistente Técnico'!$AI$5:$AI$1000,$N30),""),IF(INDEX('Cronograma Asistente Técnico'!$J$5:$J$1000,$N30)="","",INDEX('Cronograma Asistente Técnico'!$J$5:$J$1000,$N30))))</f>
        <v/>
      </c>
      <c r="H30" s="61">
        <f>IF($N30="","",IF($P30&gt;0,IF(3&lt;=SemanaActual,INDEX('Cronograma Asistente Técnico'!$AJ$5:$AJ$1000,$N30),""),IF(INDEX('Cronograma Asistente Técnico'!$K$5:$K$1000,$N30)="","",INDEX('Cronograma Asistente Técnico'!$K$5:$K$1000,$N30))))</f>
        <v/>
      </c>
      <c r="I30" s="61">
        <f>IF($N30="","",IF($P30&gt;0,IF(4&lt;=SemanaActual,INDEX('Cronograma Asistente Técnico'!$AK$5:$AK$1000,$N30),""),IF(INDEX('Cronograma Asistente Técnico'!$L$5:$L$1000,$N30)="","",INDEX('Cronograma Asistente Técnico'!$L$5:$L$1000,$N30))))</f>
        <v/>
      </c>
      <c r="J30" s="61">
        <f>IF($N30="","",INDEX('Cronograma Asistente Técnico'!$M$5:$M$1000,$N30))</f>
        <v/>
      </c>
      <c r="K30" s="56">
        <f>IF($N30="","",IF(N($J30)&gt;=1,"Completado",IF(AND(ISNUMBER($D30),$D30&lt;FechaRef),"Vencida",IF(N($J30)&gt;0,"En curso","Pendiente"))))</f>
        <v/>
      </c>
      <c r="L30" s="56">
        <f>IF($N30="","",INDEX('Cronograma Asistente Técnico'!$O$5:$O$1000,$N30)&amp;"")</f>
        <v/>
      </c>
      <c r="M30" s="62">
        <f>IF($N30="","",INDEX('Cronograma Asistente Técnico'!$Q$5:$Q$1000,$N30)&amp;"")</f>
        <v/>
      </c>
      <c r="N30">
        <f>IFERROR(MATCH(ROW()-4,rOrden_ATR,0),"")</f>
        <v/>
      </c>
      <c r="O30">
        <f>IF($N30="","",INDEX('Cronograma Asistente Técnico'!$V$5:$V$1000,$N30))</f>
        <v/>
      </c>
      <c r="P30">
        <f>IF($N30="","",N(INDEX('Cronograma Asistente Técnico'!$W$5:$W$1000,$N30)))</f>
        <v/>
      </c>
      <c r="Q30">
        <f>IF(OR(LEFT($L30,7)="Vencida",LEFT($L30,5)="Vence"),SUMPRODUCT(--(LEFT($L$5:$L30,7)="Vencida"))+SUMPRODUCT(--(LEFT($L$5:$L30,5)="Vence")),"")</f>
        <v/>
      </c>
    </row>
    <row r="31">
      <c r="A31" s="56">
        <f>IF($N31="","",INDEX('Cronograma Asistente Técnico'!$A$5:$A$1000,$N31))</f>
        <v/>
      </c>
      <c r="B31" s="62">
        <f>IF($N31="","",IF($O31="Sub","      ↳  "&amp;INDEX('Cronograma Asistente Técnico'!$C$5:$C$1000,$N31),INDEX('Cronograma Asistente Técnico'!$C$5:$C$1000,$N31)&amp;""))</f>
        <v/>
      </c>
      <c r="C31" s="79">
        <f>IF($N31="","",IF(INDEX('Cronograma Asistente Técnico'!$AR$5:$AR$1000,$N31)="","",INDEX('Cronograma Asistente Técnico'!$AR$5:$AR$1000,$N31)))</f>
        <v/>
      </c>
      <c r="D31" s="79">
        <f>IF($N31="","",IF(INDEX('Cronograma Asistente Técnico'!$AS$5:$AS$1000,$N31)="","",INDEX('Cronograma Asistente Técnico'!$AS$5:$AS$1000,$N31)))</f>
        <v/>
      </c>
      <c r="E31" s="56">
        <f>IF($N31="","",IF(NOT(ISNUMBER($D31)),"",IF($D31&lt;InicioCiclo,"Antes del ciclo",IF($D31&gt;=InicioCiclo+28,"Después del ciclo","Semana "&amp;(INT(($D31-InicioCiclo)/7)+1)))))</f>
        <v/>
      </c>
      <c r="F31" s="61">
        <f>IF($N31="","",IF($P31&gt;0,IF(1&lt;=SemanaActual,INDEX('Cronograma Asistente Técnico'!$AH$5:$AH$1000,$N31),""),IF(INDEX('Cronograma Asistente Técnico'!$I$5:$I$1000,$N31)="","",INDEX('Cronograma Asistente Técnico'!$I$5:$I$1000,$N31))))</f>
        <v/>
      </c>
      <c r="G31" s="61">
        <f>IF($N31="","",IF($P31&gt;0,IF(2&lt;=SemanaActual,INDEX('Cronograma Asistente Técnico'!$AI$5:$AI$1000,$N31),""),IF(INDEX('Cronograma Asistente Técnico'!$J$5:$J$1000,$N31)="","",INDEX('Cronograma Asistente Técnico'!$J$5:$J$1000,$N31))))</f>
        <v/>
      </c>
      <c r="H31" s="61">
        <f>IF($N31="","",IF($P31&gt;0,IF(3&lt;=SemanaActual,INDEX('Cronograma Asistente Técnico'!$AJ$5:$AJ$1000,$N31),""),IF(INDEX('Cronograma Asistente Técnico'!$K$5:$K$1000,$N31)="","",INDEX('Cronograma Asistente Técnico'!$K$5:$K$1000,$N31))))</f>
        <v/>
      </c>
      <c r="I31" s="61">
        <f>IF($N31="","",IF($P31&gt;0,IF(4&lt;=SemanaActual,INDEX('Cronograma Asistente Técnico'!$AK$5:$AK$1000,$N31),""),IF(INDEX('Cronograma Asistente Técnico'!$L$5:$L$1000,$N31)="","",INDEX('Cronograma Asistente Técnico'!$L$5:$L$1000,$N31))))</f>
        <v/>
      </c>
      <c r="J31" s="61">
        <f>IF($N31="","",INDEX('Cronograma Asistente Técnico'!$M$5:$M$1000,$N31))</f>
        <v/>
      </c>
      <c r="K31" s="56">
        <f>IF($N31="","",IF(N($J31)&gt;=1,"Completado",IF(AND(ISNUMBER($D31),$D31&lt;FechaRef),"Vencida",IF(N($J31)&gt;0,"En curso","Pendiente"))))</f>
        <v/>
      </c>
      <c r="L31" s="56">
        <f>IF($N31="","",INDEX('Cronograma Asistente Técnico'!$O$5:$O$1000,$N31)&amp;"")</f>
        <v/>
      </c>
      <c r="M31" s="62">
        <f>IF($N31="","",INDEX('Cronograma Asistente Técnico'!$Q$5:$Q$1000,$N31)&amp;"")</f>
        <v/>
      </c>
      <c r="N31">
        <f>IFERROR(MATCH(ROW()-4,rOrden_ATR,0),"")</f>
        <v/>
      </c>
      <c r="O31">
        <f>IF($N31="","",INDEX('Cronograma Asistente Técnico'!$V$5:$V$1000,$N31))</f>
        <v/>
      </c>
      <c r="P31">
        <f>IF($N31="","",N(INDEX('Cronograma Asistente Técnico'!$W$5:$W$1000,$N31)))</f>
        <v/>
      </c>
      <c r="Q31">
        <f>IF(OR(LEFT($L31,7)="Vencida",LEFT($L31,5)="Vence"),SUMPRODUCT(--(LEFT($L$5:$L31,7)="Vencida"))+SUMPRODUCT(--(LEFT($L$5:$L31,5)="Vence")),"")</f>
        <v/>
      </c>
    </row>
    <row r="32">
      <c r="A32" s="56">
        <f>IF($N32="","",INDEX('Cronograma Asistente Técnico'!$A$5:$A$1000,$N32))</f>
        <v/>
      </c>
      <c r="B32" s="62">
        <f>IF($N32="","",IF($O32="Sub","      ↳  "&amp;INDEX('Cronograma Asistente Técnico'!$C$5:$C$1000,$N32),INDEX('Cronograma Asistente Técnico'!$C$5:$C$1000,$N32)&amp;""))</f>
        <v/>
      </c>
      <c r="C32" s="79">
        <f>IF($N32="","",IF(INDEX('Cronograma Asistente Técnico'!$AR$5:$AR$1000,$N32)="","",INDEX('Cronograma Asistente Técnico'!$AR$5:$AR$1000,$N32)))</f>
        <v/>
      </c>
      <c r="D32" s="79">
        <f>IF($N32="","",IF(INDEX('Cronograma Asistente Técnico'!$AS$5:$AS$1000,$N32)="","",INDEX('Cronograma Asistente Técnico'!$AS$5:$AS$1000,$N32)))</f>
        <v/>
      </c>
      <c r="E32" s="56">
        <f>IF($N32="","",IF(NOT(ISNUMBER($D32)),"",IF($D32&lt;InicioCiclo,"Antes del ciclo",IF($D32&gt;=InicioCiclo+28,"Después del ciclo","Semana "&amp;(INT(($D32-InicioCiclo)/7)+1)))))</f>
        <v/>
      </c>
      <c r="F32" s="61">
        <f>IF($N32="","",IF($P32&gt;0,IF(1&lt;=SemanaActual,INDEX('Cronograma Asistente Técnico'!$AH$5:$AH$1000,$N32),""),IF(INDEX('Cronograma Asistente Técnico'!$I$5:$I$1000,$N32)="","",INDEX('Cronograma Asistente Técnico'!$I$5:$I$1000,$N32))))</f>
        <v/>
      </c>
      <c r="G32" s="61">
        <f>IF($N32="","",IF($P32&gt;0,IF(2&lt;=SemanaActual,INDEX('Cronograma Asistente Técnico'!$AI$5:$AI$1000,$N32),""),IF(INDEX('Cronograma Asistente Técnico'!$J$5:$J$1000,$N32)="","",INDEX('Cronograma Asistente Técnico'!$J$5:$J$1000,$N32))))</f>
        <v/>
      </c>
      <c r="H32" s="61">
        <f>IF($N32="","",IF($P32&gt;0,IF(3&lt;=SemanaActual,INDEX('Cronograma Asistente Técnico'!$AJ$5:$AJ$1000,$N32),""),IF(INDEX('Cronograma Asistente Técnico'!$K$5:$K$1000,$N32)="","",INDEX('Cronograma Asistente Técnico'!$K$5:$K$1000,$N32))))</f>
        <v/>
      </c>
      <c r="I32" s="61">
        <f>IF($N32="","",IF($P32&gt;0,IF(4&lt;=SemanaActual,INDEX('Cronograma Asistente Técnico'!$AK$5:$AK$1000,$N32),""),IF(INDEX('Cronograma Asistente Técnico'!$L$5:$L$1000,$N32)="","",INDEX('Cronograma Asistente Técnico'!$L$5:$L$1000,$N32))))</f>
        <v/>
      </c>
      <c r="J32" s="61">
        <f>IF($N32="","",INDEX('Cronograma Asistente Técnico'!$M$5:$M$1000,$N32))</f>
        <v/>
      </c>
      <c r="K32" s="56">
        <f>IF($N32="","",IF(N($J32)&gt;=1,"Completado",IF(AND(ISNUMBER($D32),$D32&lt;FechaRef),"Vencida",IF(N($J32)&gt;0,"En curso","Pendiente"))))</f>
        <v/>
      </c>
      <c r="L32" s="56">
        <f>IF($N32="","",INDEX('Cronograma Asistente Técnico'!$O$5:$O$1000,$N32)&amp;"")</f>
        <v/>
      </c>
      <c r="M32" s="62">
        <f>IF($N32="","",INDEX('Cronograma Asistente Técnico'!$Q$5:$Q$1000,$N32)&amp;"")</f>
        <v/>
      </c>
      <c r="N32">
        <f>IFERROR(MATCH(ROW()-4,rOrden_ATR,0),"")</f>
        <v/>
      </c>
      <c r="O32">
        <f>IF($N32="","",INDEX('Cronograma Asistente Técnico'!$V$5:$V$1000,$N32))</f>
        <v/>
      </c>
      <c r="P32">
        <f>IF($N32="","",N(INDEX('Cronograma Asistente Técnico'!$W$5:$W$1000,$N32)))</f>
        <v/>
      </c>
      <c r="Q32">
        <f>IF(OR(LEFT($L32,7)="Vencida",LEFT($L32,5)="Vence"),SUMPRODUCT(--(LEFT($L$5:$L32,7)="Vencida"))+SUMPRODUCT(--(LEFT($L$5:$L32,5)="Vence")),"")</f>
        <v/>
      </c>
    </row>
    <row r="33">
      <c r="A33" s="56">
        <f>IF($N33="","",INDEX('Cronograma Asistente Técnico'!$A$5:$A$1000,$N33))</f>
        <v/>
      </c>
      <c r="B33" s="62">
        <f>IF($N33="","",IF($O33="Sub","      ↳  "&amp;INDEX('Cronograma Asistente Técnico'!$C$5:$C$1000,$N33),INDEX('Cronograma Asistente Técnico'!$C$5:$C$1000,$N33)&amp;""))</f>
        <v/>
      </c>
      <c r="C33" s="79">
        <f>IF($N33="","",IF(INDEX('Cronograma Asistente Técnico'!$AR$5:$AR$1000,$N33)="","",INDEX('Cronograma Asistente Técnico'!$AR$5:$AR$1000,$N33)))</f>
        <v/>
      </c>
      <c r="D33" s="79">
        <f>IF($N33="","",IF(INDEX('Cronograma Asistente Técnico'!$AS$5:$AS$1000,$N33)="","",INDEX('Cronograma Asistente Técnico'!$AS$5:$AS$1000,$N33)))</f>
        <v/>
      </c>
      <c r="E33" s="56">
        <f>IF($N33="","",IF(NOT(ISNUMBER($D33)),"",IF($D33&lt;InicioCiclo,"Antes del ciclo",IF($D33&gt;=InicioCiclo+28,"Después del ciclo","Semana "&amp;(INT(($D33-InicioCiclo)/7)+1)))))</f>
        <v/>
      </c>
      <c r="F33" s="61">
        <f>IF($N33="","",IF($P33&gt;0,IF(1&lt;=SemanaActual,INDEX('Cronograma Asistente Técnico'!$AH$5:$AH$1000,$N33),""),IF(INDEX('Cronograma Asistente Técnico'!$I$5:$I$1000,$N33)="","",INDEX('Cronograma Asistente Técnico'!$I$5:$I$1000,$N33))))</f>
        <v/>
      </c>
      <c r="G33" s="61">
        <f>IF($N33="","",IF($P33&gt;0,IF(2&lt;=SemanaActual,INDEX('Cronograma Asistente Técnico'!$AI$5:$AI$1000,$N33),""),IF(INDEX('Cronograma Asistente Técnico'!$J$5:$J$1000,$N33)="","",INDEX('Cronograma Asistente Técnico'!$J$5:$J$1000,$N33))))</f>
        <v/>
      </c>
      <c r="H33" s="61">
        <f>IF($N33="","",IF($P33&gt;0,IF(3&lt;=SemanaActual,INDEX('Cronograma Asistente Técnico'!$AJ$5:$AJ$1000,$N33),""),IF(INDEX('Cronograma Asistente Técnico'!$K$5:$K$1000,$N33)="","",INDEX('Cronograma Asistente Técnico'!$K$5:$K$1000,$N33))))</f>
        <v/>
      </c>
      <c r="I33" s="61">
        <f>IF($N33="","",IF($P33&gt;0,IF(4&lt;=SemanaActual,INDEX('Cronograma Asistente Técnico'!$AK$5:$AK$1000,$N33),""),IF(INDEX('Cronograma Asistente Técnico'!$L$5:$L$1000,$N33)="","",INDEX('Cronograma Asistente Técnico'!$L$5:$L$1000,$N33))))</f>
        <v/>
      </c>
      <c r="J33" s="61">
        <f>IF($N33="","",INDEX('Cronograma Asistente Técnico'!$M$5:$M$1000,$N33))</f>
        <v/>
      </c>
      <c r="K33" s="56">
        <f>IF($N33="","",IF(N($J33)&gt;=1,"Completado",IF(AND(ISNUMBER($D33),$D33&lt;FechaRef),"Vencida",IF(N($J33)&gt;0,"En curso","Pendiente"))))</f>
        <v/>
      </c>
      <c r="L33" s="56">
        <f>IF($N33="","",INDEX('Cronograma Asistente Técnico'!$O$5:$O$1000,$N33)&amp;"")</f>
        <v/>
      </c>
      <c r="M33" s="62">
        <f>IF($N33="","",INDEX('Cronograma Asistente Técnico'!$Q$5:$Q$1000,$N33)&amp;"")</f>
        <v/>
      </c>
      <c r="N33">
        <f>IFERROR(MATCH(ROW()-4,rOrden_ATR,0),"")</f>
        <v/>
      </c>
      <c r="O33">
        <f>IF($N33="","",INDEX('Cronograma Asistente Técnico'!$V$5:$V$1000,$N33))</f>
        <v/>
      </c>
      <c r="P33">
        <f>IF($N33="","",N(INDEX('Cronograma Asistente Técnico'!$W$5:$W$1000,$N33)))</f>
        <v/>
      </c>
      <c r="Q33">
        <f>IF(OR(LEFT($L33,7)="Vencida",LEFT($L33,5)="Vence"),SUMPRODUCT(--(LEFT($L$5:$L33,7)="Vencida"))+SUMPRODUCT(--(LEFT($L$5:$L33,5)="Vence")),"")</f>
        <v/>
      </c>
    </row>
    <row r="34">
      <c r="A34" s="56">
        <f>IF($N34="","",INDEX('Cronograma Asistente Técnico'!$A$5:$A$1000,$N34))</f>
        <v/>
      </c>
      <c r="B34" s="62">
        <f>IF($N34="","",IF($O34="Sub","      ↳  "&amp;INDEX('Cronograma Asistente Técnico'!$C$5:$C$1000,$N34),INDEX('Cronograma Asistente Técnico'!$C$5:$C$1000,$N34)&amp;""))</f>
        <v/>
      </c>
      <c r="C34" s="79">
        <f>IF($N34="","",IF(INDEX('Cronograma Asistente Técnico'!$AR$5:$AR$1000,$N34)="","",INDEX('Cronograma Asistente Técnico'!$AR$5:$AR$1000,$N34)))</f>
        <v/>
      </c>
      <c r="D34" s="79">
        <f>IF($N34="","",IF(INDEX('Cronograma Asistente Técnico'!$AS$5:$AS$1000,$N34)="","",INDEX('Cronograma Asistente Técnico'!$AS$5:$AS$1000,$N34)))</f>
        <v/>
      </c>
      <c r="E34" s="56">
        <f>IF($N34="","",IF(NOT(ISNUMBER($D34)),"",IF($D34&lt;InicioCiclo,"Antes del ciclo",IF($D34&gt;=InicioCiclo+28,"Después del ciclo","Semana "&amp;(INT(($D34-InicioCiclo)/7)+1)))))</f>
        <v/>
      </c>
      <c r="F34" s="61">
        <f>IF($N34="","",IF($P34&gt;0,IF(1&lt;=SemanaActual,INDEX('Cronograma Asistente Técnico'!$AH$5:$AH$1000,$N34),""),IF(INDEX('Cronograma Asistente Técnico'!$I$5:$I$1000,$N34)="","",INDEX('Cronograma Asistente Técnico'!$I$5:$I$1000,$N34))))</f>
        <v/>
      </c>
      <c r="G34" s="61">
        <f>IF($N34="","",IF($P34&gt;0,IF(2&lt;=SemanaActual,INDEX('Cronograma Asistente Técnico'!$AI$5:$AI$1000,$N34),""),IF(INDEX('Cronograma Asistente Técnico'!$J$5:$J$1000,$N34)="","",INDEX('Cronograma Asistente Técnico'!$J$5:$J$1000,$N34))))</f>
        <v/>
      </c>
      <c r="H34" s="61">
        <f>IF($N34="","",IF($P34&gt;0,IF(3&lt;=SemanaActual,INDEX('Cronograma Asistente Técnico'!$AJ$5:$AJ$1000,$N34),""),IF(INDEX('Cronograma Asistente Técnico'!$K$5:$K$1000,$N34)="","",INDEX('Cronograma Asistente Técnico'!$K$5:$K$1000,$N34))))</f>
        <v/>
      </c>
      <c r="I34" s="61">
        <f>IF($N34="","",IF($P34&gt;0,IF(4&lt;=SemanaActual,INDEX('Cronograma Asistente Técnico'!$AK$5:$AK$1000,$N34),""),IF(INDEX('Cronograma Asistente Técnico'!$L$5:$L$1000,$N34)="","",INDEX('Cronograma Asistente Técnico'!$L$5:$L$1000,$N34))))</f>
        <v/>
      </c>
      <c r="J34" s="61">
        <f>IF($N34="","",INDEX('Cronograma Asistente Técnico'!$M$5:$M$1000,$N34))</f>
        <v/>
      </c>
      <c r="K34" s="56">
        <f>IF($N34="","",IF(N($J34)&gt;=1,"Completado",IF(AND(ISNUMBER($D34),$D34&lt;FechaRef),"Vencida",IF(N($J34)&gt;0,"En curso","Pendiente"))))</f>
        <v/>
      </c>
      <c r="L34" s="56">
        <f>IF($N34="","",INDEX('Cronograma Asistente Técnico'!$O$5:$O$1000,$N34)&amp;"")</f>
        <v/>
      </c>
      <c r="M34" s="62">
        <f>IF($N34="","",INDEX('Cronograma Asistente Técnico'!$Q$5:$Q$1000,$N34)&amp;"")</f>
        <v/>
      </c>
      <c r="N34">
        <f>IFERROR(MATCH(ROW()-4,rOrden_ATR,0),"")</f>
        <v/>
      </c>
      <c r="O34">
        <f>IF($N34="","",INDEX('Cronograma Asistente Técnico'!$V$5:$V$1000,$N34))</f>
        <v/>
      </c>
      <c r="P34">
        <f>IF($N34="","",N(INDEX('Cronograma Asistente Técnico'!$W$5:$W$1000,$N34)))</f>
        <v/>
      </c>
      <c r="Q34">
        <f>IF(OR(LEFT($L34,7)="Vencida",LEFT($L34,5)="Vence"),SUMPRODUCT(--(LEFT($L$5:$L34,7)="Vencida"))+SUMPRODUCT(--(LEFT($L$5:$L34,5)="Vence")),"")</f>
        <v/>
      </c>
    </row>
    <row r="35">
      <c r="A35" s="56">
        <f>IF($N35="","",INDEX('Cronograma Asistente Técnico'!$A$5:$A$1000,$N35))</f>
        <v/>
      </c>
      <c r="B35" s="62">
        <f>IF($N35="","",IF($O35="Sub","      ↳  "&amp;INDEX('Cronograma Asistente Técnico'!$C$5:$C$1000,$N35),INDEX('Cronograma Asistente Técnico'!$C$5:$C$1000,$N35)&amp;""))</f>
        <v/>
      </c>
      <c r="C35" s="79">
        <f>IF($N35="","",IF(INDEX('Cronograma Asistente Técnico'!$AR$5:$AR$1000,$N35)="","",INDEX('Cronograma Asistente Técnico'!$AR$5:$AR$1000,$N35)))</f>
        <v/>
      </c>
      <c r="D35" s="79">
        <f>IF($N35="","",IF(INDEX('Cronograma Asistente Técnico'!$AS$5:$AS$1000,$N35)="","",INDEX('Cronograma Asistente Técnico'!$AS$5:$AS$1000,$N35)))</f>
        <v/>
      </c>
      <c r="E35" s="56">
        <f>IF($N35="","",IF(NOT(ISNUMBER($D35)),"",IF($D35&lt;InicioCiclo,"Antes del ciclo",IF($D35&gt;=InicioCiclo+28,"Después del ciclo","Semana "&amp;(INT(($D35-InicioCiclo)/7)+1)))))</f>
        <v/>
      </c>
      <c r="F35" s="61">
        <f>IF($N35="","",IF($P35&gt;0,IF(1&lt;=SemanaActual,INDEX('Cronograma Asistente Técnico'!$AH$5:$AH$1000,$N35),""),IF(INDEX('Cronograma Asistente Técnico'!$I$5:$I$1000,$N35)="","",INDEX('Cronograma Asistente Técnico'!$I$5:$I$1000,$N35))))</f>
        <v/>
      </c>
      <c r="G35" s="61">
        <f>IF($N35="","",IF($P35&gt;0,IF(2&lt;=SemanaActual,INDEX('Cronograma Asistente Técnico'!$AI$5:$AI$1000,$N35),""),IF(INDEX('Cronograma Asistente Técnico'!$J$5:$J$1000,$N35)="","",INDEX('Cronograma Asistente Técnico'!$J$5:$J$1000,$N35))))</f>
        <v/>
      </c>
      <c r="H35" s="61">
        <f>IF($N35="","",IF($P35&gt;0,IF(3&lt;=SemanaActual,INDEX('Cronograma Asistente Técnico'!$AJ$5:$AJ$1000,$N35),""),IF(INDEX('Cronograma Asistente Técnico'!$K$5:$K$1000,$N35)="","",INDEX('Cronograma Asistente Técnico'!$K$5:$K$1000,$N35))))</f>
        <v/>
      </c>
      <c r="I35" s="61">
        <f>IF($N35="","",IF($P35&gt;0,IF(4&lt;=SemanaActual,INDEX('Cronograma Asistente Técnico'!$AK$5:$AK$1000,$N35),""),IF(INDEX('Cronograma Asistente Técnico'!$L$5:$L$1000,$N35)="","",INDEX('Cronograma Asistente Técnico'!$L$5:$L$1000,$N35))))</f>
        <v/>
      </c>
      <c r="J35" s="61">
        <f>IF($N35="","",INDEX('Cronograma Asistente Técnico'!$M$5:$M$1000,$N35))</f>
        <v/>
      </c>
      <c r="K35" s="56">
        <f>IF($N35="","",IF(N($J35)&gt;=1,"Completado",IF(AND(ISNUMBER($D35),$D35&lt;FechaRef),"Vencida",IF(N($J35)&gt;0,"En curso","Pendiente"))))</f>
        <v/>
      </c>
      <c r="L35" s="56">
        <f>IF($N35="","",INDEX('Cronograma Asistente Técnico'!$O$5:$O$1000,$N35)&amp;"")</f>
        <v/>
      </c>
      <c r="M35" s="62">
        <f>IF($N35="","",INDEX('Cronograma Asistente Técnico'!$Q$5:$Q$1000,$N35)&amp;"")</f>
        <v/>
      </c>
      <c r="N35">
        <f>IFERROR(MATCH(ROW()-4,rOrden_ATR,0),"")</f>
        <v/>
      </c>
      <c r="O35">
        <f>IF($N35="","",INDEX('Cronograma Asistente Técnico'!$V$5:$V$1000,$N35))</f>
        <v/>
      </c>
      <c r="P35">
        <f>IF($N35="","",N(INDEX('Cronograma Asistente Técnico'!$W$5:$W$1000,$N35)))</f>
        <v/>
      </c>
      <c r="Q35">
        <f>IF(OR(LEFT($L35,7)="Vencida",LEFT($L35,5)="Vence"),SUMPRODUCT(--(LEFT($L$5:$L35,7)="Vencida"))+SUMPRODUCT(--(LEFT($L$5:$L35,5)="Vence")),"")</f>
        <v/>
      </c>
    </row>
    <row r="36">
      <c r="A36" s="56">
        <f>IF($N36="","",INDEX('Cronograma Asistente Técnico'!$A$5:$A$1000,$N36))</f>
        <v/>
      </c>
      <c r="B36" s="62">
        <f>IF($N36="","",IF($O36="Sub","      ↳  "&amp;INDEX('Cronograma Asistente Técnico'!$C$5:$C$1000,$N36),INDEX('Cronograma Asistente Técnico'!$C$5:$C$1000,$N36)&amp;""))</f>
        <v/>
      </c>
      <c r="C36" s="79">
        <f>IF($N36="","",IF(INDEX('Cronograma Asistente Técnico'!$AR$5:$AR$1000,$N36)="","",INDEX('Cronograma Asistente Técnico'!$AR$5:$AR$1000,$N36)))</f>
        <v/>
      </c>
      <c r="D36" s="79">
        <f>IF($N36="","",IF(INDEX('Cronograma Asistente Técnico'!$AS$5:$AS$1000,$N36)="","",INDEX('Cronograma Asistente Técnico'!$AS$5:$AS$1000,$N36)))</f>
        <v/>
      </c>
      <c r="E36" s="56">
        <f>IF($N36="","",IF(NOT(ISNUMBER($D36)),"",IF($D36&lt;InicioCiclo,"Antes del ciclo",IF($D36&gt;=InicioCiclo+28,"Después del ciclo","Semana "&amp;(INT(($D36-InicioCiclo)/7)+1)))))</f>
        <v/>
      </c>
      <c r="F36" s="61">
        <f>IF($N36="","",IF($P36&gt;0,IF(1&lt;=SemanaActual,INDEX('Cronograma Asistente Técnico'!$AH$5:$AH$1000,$N36),""),IF(INDEX('Cronograma Asistente Técnico'!$I$5:$I$1000,$N36)="","",INDEX('Cronograma Asistente Técnico'!$I$5:$I$1000,$N36))))</f>
        <v/>
      </c>
      <c r="G36" s="61">
        <f>IF($N36="","",IF($P36&gt;0,IF(2&lt;=SemanaActual,INDEX('Cronograma Asistente Técnico'!$AI$5:$AI$1000,$N36),""),IF(INDEX('Cronograma Asistente Técnico'!$J$5:$J$1000,$N36)="","",INDEX('Cronograma Asistente Técnico'!$J$5:$J$1000,$N36))))</f>
        <v/>
      </c>
      <c r="H36" s="61">
        <f>IF($N36="","",IF($P36&gt;0,IF(3&lt;=SemanaActual,INDEX('Cronograma Asistente Técnico'!$AJ$5:$AJ$1000,$N36),""),IF(INDEX('Cronograma Asistente Técnico'!$K$5:$K$1000,$N36)="","",INDEX('Cronograma Asistente Técnico'!$K$5:$K$1000,$N36))))</f>
        <v/>
      </c>
      <c r="I36" s="61">
        <f>IF($N36="","",IF($P36&gt;0,IF(4&lt;=SemanaActual,INDEX('Cronograma Asistente Técnico'!$AK$5:$AK$1000,$N36),""),IF(INDEX('Cronograma Asistente Técnico'!$L$5:$L$1000,$N36)="","",INDEX('Cronograma Asistente Técnico'!$L$5:$L$1000,$N36))))</f>
        <v/>
      </c>
      <c r="J36" s="61">
        <f>IF($N36="","",INDEX('Cronograma Asistente Técnico'!$M$5:$M$1000,$N36))</f>
        <v/>
      </c>
      <c r="K36" s="56">
        <f>IF($N36="","",IF(N($J36)&gt;=1,"Completado",IF(AND(ISNUMBER($D36),$D36&lt;FechaRef),"Vencida",IF(N($J36)&gt;0,"En curso","Pendiente"))))</f>
        <v/>
      </c>
      <c r="L36" s="56">
        <f>IF($N36="","",INDEX('Cronograma Asistente Técnico'!$O$5:$O$1000,$N36)&amp;"")</f>
        <v/>
      </c>
      <c r="M36" s="62">
        <f>IF($N36="","",INDEX('Cronograma Asistente Técnico'!$Q$5:$Q$1000,$N36)&amp;"")</f>
        <v/>
      </c>
      <c r="N36">
        <f>IFERROR(MATCH(ROW()-4,rOrden_ATR,0),"")</f>
        <v/>
      </c>
      <c r="O36">
        <f>IF($N36="","",INDEX('Cronograma Asistente Técnico'!$V$5:$V$1000,$N36))</f>
        <v/>
      </c>
      <c r="P36">
        <f>IF($N36="","",N(INDEX('Cronograma Asistente Técnico'!$W$5:$W$1000,$N36)))</f>
        <v/>
      </c>
      <c r="Q36">
        <f>IF(OR(LEFT($L36,7)="Vencida",LEFT($L36,5)="Vence"),SUMPRODUCT(--(LEFT($L$5:$L36,7)="Vencida"))+SUMPRODUCT(--(LEFT($L$5:$L36,5)="Vence")),"")</f>
        <v/>
      </c>
    </row>
    <row r="37">
      <c r="A37" s="56">
        <f>IF($N37="","",INDEX('Cronograma Asistente Técnico'!$A$5:$A$1000,$N37))</f>
        <v/>
      </c>
      <c r="B37" s="62">
        <f>IF($N37="","",IF($O37="Sub","      ↳  "&amp;INDEX('Cronograma Asistente Técnico'!$C$5:$C$1000,$N37),INDEX('Cronograma Asistente Técnico'!$C$5:$C$1000,$N37)&amp;""))</f>
        <v/>
      </c>
      <c r="C37" s="79">
        <f>IF($N37="","",IF(INDEX('Cronograma Asistente Técnico'!$AR$5:$AR$1000,$N37)="","",INDEX('Cronograma Asistente Técnico'!$AR$5:$AR$1000,$N37)))</f>
        <v/>
      </c>
      <c r="D37" s="79">
        <f>IF($N37="","",IF(INDEX('Cronograma Asistente Técnico'!$AS$5:$AS$1000,$N37)="","",INDEX('Cronograma Asistente Técnico'!$AS$5:$AS$1000,$N37)))</f>
        <v/>
      </c>
      <c r="E37" s="56">
        <f>IF($N37="","",IF(NOT(ISNUMBER($D37)),"",IF($D37&lt;InicioCiclo,"Antes del ciclo",IF($D37&gt;=InicioCiclo+28,"Después del ciclo","Semana "&amp;(INT(($D37-InicioCiclo)/7)+1)))))</f>
        <v/>
      </c>
      <c r="F37" s="61">
        <f>IF($N37="","",IF($P37&gt;0,IF(1&lt;=SemanaActual,INDEX('Cronograma Asistente Técnico'!$AH$5:$AH$1000,$N37),""),IF(INDEX('Cronograma Asistente Técnico'!$I$5:$I$1000,$N37)="","",INDEX('Cronograma Asistente Técnico'!$I$5:$I$1000,$N37))))</f>
        <v/>
      </c>
      <c r="G37" s="61">
        <f>IF($N37="","",IF($P37&gt;0,IF(2&lt;=SemanaActual,INDEX('Cronograma Asistente Técnico'!$AI$5:$AI$1000,$N37),""),IF(INDEX('Cronograma Asistente Técnico'!$J$5:$J$1000,$N37)="","",INDEX('Cronograma Asistente Técnico'!$J$5:$J$1000,$N37))))</f>
        <v/>
      </c>
      <c r="H37" s="61">
        <f>IF($N37="","",IF($P37&gt;0,IF(3&lt;=SemanaActual,INDEX('Cronograma Asistente Técnico'!$AJ$5:$AJ$1000,$N37),""),IF(INDEX('Cronograma Asistente Técnico'!$K$5:$K$1000,$N37)="","",INDEX('Cronograma Asistente Técnico'!$K$5:$K$1000,$N37))))</f>
        <v/>
      </c>
      <c r="I37" s="61">
        <f>IF($N37="","",IF($P37&gt;0,IF(4&lt;=SemanaActual,INDEX('Cronograma Asistente Técnico'!$AK$5:$AK$1000,$N37),""),IF(INDEX('Cronograma Asistente Técnico'!$L$5:$L$1000,$N37)="","",INDEX('Cronograma Asistente Técnico'!$L$5:$L$1000,$N37))))</f>
        <v/>
      </c>
      <c r="J37" s="61">
        <f>IF($N37="","",INDEX('Cronograma Asistente Técnico'!$M$5:$M$1000,$N37))</f>
        <v/>
      </c>
      <c r="K37" s="56">
        <f>IF($N37="","",IF(N($J37)&gt;=1,"Completado",IF(AND(ISNUMBER($D37),$D37&lt;FechaRef),"Vencida",IF(N($J37)&gt;0,"En curso","Pendiente"))))</f>
        <v/>
      </c>
      <c r="L37" s="56">
        <f>IF($N37="","",INDEX('Cronograma Asistente Técnico'!$O$5:$O$1000,$N37)&amp;"")</f>
        <v/>
      </c>
      <c r="M37" s="62">
        <f>IF($N37="","",INDEX('Cronograma Asistente Técnico'!$Q$5:$Q$1000,$N37)&amp;"")</f>
        <v/>
      </c>
      <c r="N37">
        <f>IFERROR(MATCH(ROW()-4,rOrden_ATR,0),"")</f>
        <v/>
      </c>
      <c r="O37">
        <f>IF($N37="","",INDEX('Cronograma Asistente Técnico'!$V$5:$V$1000,$N37))</f>
        <v/>
      </c>
      <c r="P37">
        <f>IF($N37="","",N(INDEX('Cronograma Asistente Técnico'!$W$5:$W$1000,$N37)))</f>
        <v/>
      </c>
      <c r="Q37">
        <f>IF(OR(LEFT($L37,7)="Vencida",LEFT($L37,5)="Vence"),SUMPRODUCT(--(LEFT($L$5:$L37,7)="Vencida"))+SUMPRODUCT(--(LEFT($L$5:$L37,5)="Vence")),"")</f>
        <v/>
      </c>
    </row>
    <row r="38">
      <c r="A38" s="56">
        <f>IF($N38="","",INDEX('Cronograma Asistente Técnico'!$A$5:$A$1000,$N38))</f>
        <v/>
      </c>
      <c r="B38" s="62">
        <f>IF($N38="","",IF($O38="Sub","      ↳  "&amp;INDEX('Cronograma Asistente Técnico'!$C$5:$C$1000,$N38),INDEX('Cronograma Asistente Técnico'!$C$5:$C$1000,$N38)&amp;""))</f>
        <v/>
      </c>
      <c r="C38" s="79">
        <f>IF($N38="","",IF(INDEX('Cronograma Asistente Técnico'!$AR$5:$AR$1000,$N38)="","",INDEX('Cronograma Asistente Técnico'!$AR$5:$AR$1000,$N38)))</f>
        <v/>
      </c>
      <c r="D38" s="79">
        <f>IF($N38="","",IF(INDEX('Cronograma Asistente Técnico'!$AS$5:$AS$1000,$N38)="","",INDEX('Cronograma Asistente Técnico'!$AS$5:$AS$1000,$N38)))</f>
        <v/>
      </c>
      <c r="E38" s="56">
        <f>IF($N38="","",IF(NOT(ISNUMBER($D38)),"",IF($D38&lt;InicioCiclo,"Antes del ciclo",IF($D38&gt;=InicioCiclo+28,"Después del ciclo","Semana "&amp;(INT(($D38-InicioCiclo)/7)+1)))))</f>
        <v/>
      </c>
      <c r="F38" s="61">
        <f>IF($N38="","",IF($P38&gt;0,IF(1&lt;=SemanaActual,INDEX('Cronograma Asistente Técnico'!$AH$5:$AH$1000,$N38),""),IF(INDEX('Cronograma Asistente Técnico'!$I$5:$I$1000,$N38)="","",INDEX('Cronograma Asistente Técnico'!$I$5:$I$1000,$N38))))</f>
        <v/>
      </c>
      <c r="G38" s="61">
        <f>IF($N38="","",IF($P38&gt;0,IF(2&lt;=SemanaActual,INDEX('Cronograma Asistente Técnico'!$AI$5:$AI$1000,$N38),""),IF(INDEX('Cronograma Asistente Técnico'!$J$5:$J$1000,$N38)="","",INDEX('Cronograma Asistente Técnico'!$J$5:$J$1000,$N38))))</f>
        <v/>
      </c>
      <c r="H38" s="61">
        <f>IF($N38="","",IF($P38&gt;0,IF(3&lt;=SemanaActual,INDEX('Cronograma Asistente Técnico'!$AJ$5:$AJ$1000,$N38),""),IF(INDEX('Cronograma Asistente Técnico'!$K$5:$K$1000,$N38)="","",INDEX('Cronograma Asistente Técnico'!$K$5:$K$1000,$N38))))</f>
        <v/>
      </c>
      <c r="I38" s="61">
        <f>IF($N38="","",IF($P38&gt;0,IF(4&lt;=SemanaActual,INDEX('Cronograma Asistente Técnico'!$AK$5:$AK$1000,$N38),""),IF(INDEX('Cronograma Asistente Técnico'!$L$5:$L$1000,$N38)="","",INDEX('Cronograma Asistente Técnico'!$L$5:$L$1000,$N38))))</f>
        <v/>
      </c>
      <c r="J38" s="61">
        <f>IF($N38="","",INDEX('Cronograma Asistente Técnico'!$M$5:$M$1000,$N38))</f>
        <v/>
      </c>
      <c r="K38" s="56">
        <f>IF($N38="","",IF(N($J38)&gt;=1,"Completado",IF(AND(ISNUMBER($D38),$D38&lt;FechaRef),"Vencida",IF(N($J38)&gt;0,"En curso","Pendiente"))))</f>
        <v/>
      </c>
      <c r="L38" s="56">
        <f>IF($N38="","",INDEX('Cronograma Asistente Técnico'!$O$5:$O$1000,$N38)&amp;"")</f>
        <v/>
      </c>
      <c r="M38" s="62">
        <f>IF($N38="","",INDEX('Cronograma Asistente Técnico'!$Q$5:$Q$1000,$N38)&amp;"")</f>
        <v/>
      </c>
      <c r="N38">
        <f>IFERROR(MATCH(ROW()-4,rOrden_ATR,0),"")</f>
        <v/>
      </c>
      <c r="O38">
        <f>IF($N38="","",INDEX('Cronograma Asistente Técnico'!$V$5:$V$1000,$N38))</f>
        <v/>
      </c>
      <c r="P38">
        <f>IF($N38="","",N(INDEX('Cronograma Asistente Técnico'!$W$5:$W$1000,$N38)))</f>
        <v/>
      </c>
      <c r="Q38">
        <f>IF(OR(LEFT($L38,7)="Vencida",LEFT($L38,5)="Vence"),SUMPRODUCT(--(LEFT($L$5:$L38,7)="Vencida"))+SUMPRODUCT(--(LEFT($L$5:$L38,5)="Vence")),"")</f>
        <v/>
      </c>
    </row>
    <row r="39">
      <c r="A39" s="56">
        <f>IF($N39="","",INDEX('Cronograma Asistente Técnico'!$A$5:$A$1000,$N39))</f>
        <v/>
      </c>
      <c r="B39" s="62">
        <f>IF($N39="","",IF($O39="Sub","      ↳  "&amp;INDEX('Cronograma Asistente Técnico'!$C$5:$C$1000,$N39),INDEX('Cronograma Asistente Técnico'!$C$5:$C$1000,$N39)&amp;""))</f>
        <v/>
      </c>
      <c r="C39" s="79">
        <f>IF($N39="","",IF(INDEX('Cronograma Asistente Técnico'!$AR$5:$AR$1000,$N39)="","",INDEX('Cronograma Asistente Técnico'!$AR$5:$AR$1000,$N39)))</f>
        <v/>
      </c>
      <c r="D39" s="79">
        <f>IF($N39="","",IF(INDEX('Cronograma Asistente Técnico'!$AS$5:$AS$1000,$N39)="","",INDEX('Cronograma Asistente Técnico'!$AS$5:$AS$1000,$N39)))</f>
        <v/>
      </c>
      <c r="E39" s="56">
        <f>IF($N39="","",IF(NOT(ISNUMBER($D39)),"",IF($D39&lt;InicioCiclo,"Antes del ciclo",IF($D39&gt;=InicioCiclo+28,"Después del ciclo","Semana "&amp;(INT(($D39-InicioCiclo)/7)+1)))))</f>
        <v/>
      </c>
      <c r="F39" s="61">
        <f>IF($N39="","",IF($P39&gt;0,IF(1&lt;=SemanaActual,INDEX('Cronograma Asistente Técnico'!$AH$5:$AH$1000,$N39),""),IF(INDEX('Cronograma Asistente Técnico'!$I$5:$I$1000,$N39)="","",INDEX('Cronograma Asistente Técnico'!$I$5:$I$1000,$N39))))</f>
        <v/>
      </c>
      <c r="G39" s="61">
        <f>IF($N39="","",IF($P39&gt;0,IF(2&lt;=SemanaActual,INDEX('Cronograma Asistente Técnico'!$AI$5:$AI$1000,$N39),""),IF(INDEX('Cronograma Asistente Técnico'!$J$5:$J$1000,$N39)="","",INDEX('Cronograma Asistente Técnico'!$J$5:$J$1000,$N39))))</f>
        <v/>
      </c>
      <c r="H39" s="61">
        <f>IF($N39="","",IF($P39&gt;0,IF(3&lt;=SemanaActual,INDEX('Cronograma Asistente Técnico'!$AJ$5:$AJ$1000,$N39),""),IF(INDEX('Cronograma Asistente Técnico'!$K$5:$K$1000,$N39)="","",INDEX('Cronograma Asistente Técnico'!$K$5:$K$1000,$N39))))</f>
        <v/>
      </c>
      <c r="I39" s="61">
        <f>IF($N39="","",IF($P39&gt;0,IF(4&lt;=SemanaActual,INDEX('Cronograma Asistente Técnico'!$AK$5:$AK$1000,$N39),""),IF(INDEX('Cronograma Asistente Técnico'!$L$5:$L$1000,$N39)="","",INDEX('Cronograma Asistente Técnico'!$L$5:$L$1000,$N39))))</f>
        <v/>
      </c>
      <c r="J39" s="61">
        <f>IF($N39="","",INDEX('Cronograma Asistente Técnico'!$M$5:$M$1000,$N39))</f>
        <v/>
      </c>
      <c r="K39" s="56">
        <f>IF($N39="","",IF(N($J39)&gt;=1,"Completado",IF(AND(ISNUMBER($D39),$D39&lt;FechaRef),"Vencida",IF(N($J39)&gt;0,"En curso","Pendiente"))))</f>
        <v/>
      </c>
      <c r="L39" s="56">
        <f>IF($N39="","",INDEX('Cronograma Asistente Técnico'!$O$5:$O$1000,$N39)&amp;"")</f>
        <v/>
      </c>
      <c r="M39" s="62">
        <f>IF($N39="","",INDEX('Cronograma Asistente Técnico'!$Q$5:$Q$1000,$N39)&amp;"")</f>
        <v/>
      </c>
      <c r="N39">
        <f>IFERROR(MATCH(ROW()-4,rOrden_ATR,0),"")</f>
        <v/>
      </c>
      <c r="O39">
        <f>IF($N39="","",INDEX('Cronograma Asistente Técnico'!$V$5:$V$1000,$N39))</f>
        <v/>
      </c>
      <c r="P39">
        <f>IF($N39="","",N(INDEX('Cronograma Asistente Técnico'!$W$5:$W$1000,$N39)))</f>
        <v/>
      </c>
      <c r="Q39">
        <f>IF(OR(LEFT($L39,7)="Vencida",LEFT($L39,5)="Vence"),SUMPRODUCT(--(LEFT($L$5:$L39,7)="Vencida"))+SUMPRODUCT(--(LEFT($L$5:$L39,5)="Vence")),"")</f>
        <v/>
      </c>
    </row>
    <row r="40">
      <c r="A40" s="56">
        <f>IF($N40="","",INDEX('Cronograma Asistente Técnico'!$A$5:$A$1000,$N40))</f>
        <v/>
      </c>
      <c r="B40" s="62">
        <f>IF($N40="","",IF($O40="Sub","      ↳  "&amp;INDEX('Cronograma Asistente Técnico'!$C$5:$C$1000,$N40),INDEX('Cronograma Asistente Técnico'!$C$5:$C$1000,$N40)&amp;""))</f>
        <v/>
      </c>
      <c r="C40" s="79">
        <f>IF($N40="","",IF(INDEX('Cronograma Asistente Técnico'!$AR$5:$AR$1000,$N40)="","",INDEX('Cronograma Asistente Técnico'!$AR$5:$AR$1000,$N40)))</f>
        <v/>
      </c>
      <c r="D40" s="79">
        <f>IF($N40="","",IF(INDEX('Cronograma Asistente Técnico'!$AS$5:$AS$1000,$N40)="","",INDEX('Cronograma Asistente Técnico'!$AS$5:$AS$1000,$N40)))</f>
        <v/>
      </c>
      <c r="E40" s="56">
        <f>IF($N40="","",IF(NOT(ISNUMBER($D40)),"",IF($D40&lt;InicioCiclo,"Antes del ciclo",IF($D40&gt;=InicioCiclo+28,"Después del ciclo","Semana "&amp;(INT(($D40-InicioCiclo)/7)+1)))))</f>
        <v/>
      </c>
      <c r="F40" s="61">
        <f>IF($N40="","",IF($P40&gt;0,IF(1&lt;=SemanaActual,INDEX('Cronograma Asistente Técnico'!$AH$5:$AH$1000,$N40),""),IF(INDEX('Cronograma Asistente Técnico'!$I$5:$I$1000,$N40)="","",INDEX('Cronograma Asistente Técnico'!$I$5:$I$1000,$N40))))</f>
        <v/>
      </c>
      <c r="G40" s="61">
        <f>IF($N40="","",IF($P40&gt;0,IF(2&lt;=SemanaActual,INDEX('Cronograma Asistente Técnico'!$AI$5:$AI$1000,$N40),""),IF(INDEX('Cronograma Asistente Técnico'!$J$5:$J$1000,$N40)="","",INDEX('Cronograma Asistente Técnico'!$J$5:$J$1000,$N40))))</f>
        <v/>
      </c>
      <c r="H40" s="61">
        <f>IF($N40="","",IF($P40&gt;0,IF(3&lt;=SemanaActual,INDEX('Cronograma Asistente Técnico'!$AJ$5:$AJ$1000,$N40),""),IF(INDEX('Cronograma Asistente Técnico'!$K$5:$K$1000,$N40)="","",INDEX('Cronograma Asistente Técnico'!$K$5:$K$1000,$N40))))</f>
        <v/>
      </c>
      <c r="I40" s="61">
        <f>IF($N40="","",IF($P40&gt;0,IF(4&lt;=SemanaActual,INDEX('Cronograma Asistente Técnico'!$AK$5:$AK$1000,$N40),""),IF(INDEX('Cronograma Asistente Técnico'!$L$5:$L$1000,$N40)="","",INDEX('Cronograma Asistente Técnico'!$L$5:$L$1000,$N40))))</f>
        <v/>
      </c>
      <c r="J40" s="61">
        <f>IF($N40="","",INDEX('Cronograma Asistente Técnico'!$M$5:$M$1000,$N40))</f>
        <v/>
      </c>
      <c r="K40" s="56">
        <f>IF($N40="","",IF(N($J40)&gt;=1,"Completado",IF(AND(ISNUMBER($D40),$D40&lt;FechaRef),"Vencida",IF(N($J40)&gt;0,"En curso","Pendiente"))))</f>
        <v/>
      </c>
      <c r="L40" s="56">
        <f>IF($N40="","",INDEX('Cronograma Asistente Técnico'!$O$5:$O$1000,$N40)&amp;"")</f>
        <v/>
      </c>
      <c r="M40" s="62">
        <f>IF($N40="","",INDEX('Cronograma Asistente Técnico'!$Q$5:$Q$1000,$N40)&amp;"")</f>
        <v/>
      </c>
      <c r="N40">
        <f>IFERROR(MATCH(ROW()-4,rOrden_ATR,0),"")</f>
        <v/>
      </c>
      <c r="O40">
        <f>IF($N40="","",INDEX('Cronograma Asistente Técnico'!$V$5:$V$1000,$N40))</f>
        <v/>
      </c>
      <c r="P40">
        <f>IF($N40="","",N(INDEX('Cronograma Asistente Técnico'!$W$5:$W$1000,$N40)))</f>
        <v/>
      </c>
      <c r="Q40">
        <f>IF(OR(LEFT($L40,7)="Vencida",LEFT($L40,5)="Vence"),SUMPRODUCT(--(LEFT($L$5:$L40,7)="Vencida"))+SUMPRODUCT(--(LEFT($L$5:$L40,5)="Vence")),"")</f>
        <v/>
      </c>
    </row>
    <row r="41">
      <c r="A41" s="56">
        <f>IF($N41="","",INDEX('Cronograma Asistente Técnico'!$A$5:$A$1000,$N41))</f>
        <v/>
      </c>
      <c r="B41" s="62">
        <f>IF($N41="","",IF($O41="Sub","      ↳  "&amp;INDEX('Cronograma Asistente Técnico'!$C$5:$C$1000,$N41),INDEX('Cronograma Asistente Técnico'!$C$5:$C$1000,$N41)&amp;""))</f>
        <v/>
      </c>
      <c r="C41" s="79">
        <f>IF($N41="","",IF(INDEX('Cronograma Asistente Técnico'!$AR$5:$AR$1000,$N41)="","",INDEX('Cronograma Asistente Técnico'!$AR$5:$AR$1000,$N41)))</f>
        <v/>
      </c>
      <c r="D41" s="79">
        <f>IF($N41="","",IF(INDEX('Cronograma Asistente Técnico'!$AS$5:$AS$1000,$N41)="","",INDEX('Cronograma Asistente Técnico'!$AS$5:$AS$1000,$N41)))</f>
        <v/>
      </c>
      <c r="E41" s="56">
        <f>IF($N41="","",IF(NOT(ISNUMBER($D41)),"",IF($D41&lt;InicioCiclo,"Antes del ciclo",IF($D41&gt;=InicioCiclo+28,"Después del ciclo","Semana "&amp;(INT(($D41-InicioCiclo)/7)+1)))))</f>
        <v/>
      </c>
      <c r="F41" s="61">
        <f>IF($N41="","",IF($P41&gt;0,IF(1&lt;=SemanaActual,INDEX('Cronograma Asistente Técnico'!$AH$5:$AH$1000,$N41),""),IF(INDEX('Cronograma Asistente Técnico'!$I$5:$I$1000,$N41)="","",INDEX('Cronograma Asistente Técnico'!$I$5:$I$1000,$N41))))</f>
        <v/>
      </c>
      <c r="G41" s="61">
        <f>IF($N41="","",IF($P41&gt;0,IF(2&lt;=SemanaActual,INDEX('Cronograma Asistente Técnico'!$AI$5:$AI$1000,$N41),""),IF(INDEX('Cronograma Asistente Técnico'!$J$5:$J$1000,$N41)="","",INDEX('Cronograma Asistente Técnico'!$J$5:$J$1000,$N41))))</f>
        <v/>
      </c>
      <c r="H41" s="61">
        <f>IF($N41="","",IF($P41&gt;0,IF(3&lt;=SemanaActual,INDEX('Cronograma Asistente Técnico'!$AJ$5:$AJ$1000,$N41),""),IF(INDEX('Cronograma Asistente Técnico'!$K$5:$K$1000,$N41)="","",INDEX('Cronograma Asistente Técnico'!$K$5:$K$1000,$N41))))</f>
        <v/>
      </c>
      <c r="I41" s="61">
        <f>IF($N41="","",IF($P41&gt;0,IF(4&lt;=SemanaActual,INDEX('Cronograma Asistente Técnico'!$AK$5:$AK$1000,$N41),""),IF(INDEX('Cronograma Asistente Técnico'!$L$5:$L$1000,$N41)="","",INDEX('Cronograma Asistente Técnico'!$L$5:$L$1000,$N41))))</f>
        <v/>
      </c>
      <c r="J41" s="61">
        <f>IF($N41="","",INDEX('Cronograma Asistente Técnico'!$M$5:$M$1000,$N41))</f>
        <v/>
      </c>
      <c r="K41" s="56">
        <f>IF($N41="","",IF(N($J41)&gt;=1,"Completado",IF(AND(ISNUMBER($D41),$D41&lt;FechaRef),"Vencida",IF(N($J41)&gt;0,"En curso","Pendiente"))))</f>
        <v/>
      </c>
      <c r="L41" s="56">
        <f>IF($N41="","",INDEX('Cronograma Asistente Técnico'!$O$5:$O$1000,$N41)&amp;"")</f>
        <v/>
      </c>
      <c r="M41" s="62">
        <f>IF($N41="","",INDEX('Cronograma Asistente Técnico'!$Q$5:$Q$1000,$N41)&amp;"")</f>
        <v/>
      </c>
      <c r="N41">
        <f>IFERROR(MATCH(ROW()-4,rOrden_ATR,0),"")</f>
        <v/>
      </c>
      <c r="O41">
        <f>IF($N41="","",INDEX('Cronograma Asistente Técnico'!$V$5:$V$1000,$N41))</f>
        <v/>
      </c>
      <c r="P41">
        <f>IF($N41="","",N(INDEX('Cronograma Asistente Técnico'!$W$5:$W$1000,$N41)))</f>
        <v/>
      </c>
      <c r="Q41">
        <f>IF(OR(LEFT($L41,7)="Vencida",LEFT($L41,5)="Vence"),SUMPRODUCT(--(LEFT($L$5:$L41,7)="Vencida"))+SUMPRODUCT(--(LEFT($L$5:$L41,5)="Vence")),"")</f>
        <v/>
      </c>
    </row>
    <row r="42">
      <c r="A42" s="56">
        <f>IF($N42="","",INDEX('Cronograma Asistente Técnico'!$A$5:$A$1000,$N42))</f>
        <v/>
      </c>
      <c r="B42" s="62">
        <f>IF($N42="","",IF($O42="Sub","      ↳  "&amp;INDEX('Cronograma Asistente Técnico'!$C$5:$C$1000,$N42),INDEX('Cronograma Asistente Técnico'!$C$5:$C$1000,$N42)&amp;""))</f>
        <v/>
      </c>
      <c r="C42" s="79">
        <f>IF($N42="","",IF(INDEX('Cronograma Asistente Técnico'!$AR$5:$AR$1000,$N42)="","",INDEX('Cronograma Asistente Técnico'!$AR$5:$AR$1000,$N42)))</f>
        <v/>
      </c>
      <c r="D42" s="79">
        <f>IF($N42="","",IF(INDEX('Cronograma Asistente Técnico'!$AS$5:$AS$1000,$N42)="","",INDEX('Cronograma Asistente Técnico'!$AS$5:$AS$1000,$N42)))</f>
        <v/>
      </c>
      <c r="E42" s="56">
        <f>IF($N42="","",IF(NOT(ISNUMBER($D42)),"",IF($D42&lt;InicioCiclo,"Antes del ciclo",IF($D42&gt;=InicioCiclo+28,"Después del ciclo","Semana "&amp;(INT(($D42-InicioCiclo)/7)+1)))))</f>
        <v/>
      </c>
      <c r="F42" s="61">
        <f>IF($N42="","",IF($P42&gt;0,IF(1&lt;=SemanaActual,INDEX('Cronograma Asistente Técnico'!$AH$5:$AH$1000,$N42),""),IF(INDEX('Cronograma Asistente Técnico'!$I$5:$I$1000,$N42)="","",INDEX('Cronograma Asistente Técnico'!$I$5:$I$1000,$N42))))</f>
        <v/>
      </c>
      <c r="G42" s="61">
        <f>IF($N42="","",IF($P42&gt;0,IF(2&lt;=SemanaActual,INDEX('Cronograma Asistente Técnico'!$AI$5:$AI$1000,$N42),""),IF(INDEX('Cronograma Asistente Técnico'!$J$5:$J$1000,$N42)="","",INDEX('Cronograma Asistente Técnico'!$J$5:$J$1000,$N42))))</f>
        <v/>
      </c>
      <c r="H42" s="61">
        <f>IF($N42="","",IF($P42&gt;0,IF(3&lt;=SemanaActual,INDEX('Cronograma Asistente Técnico'!$AJ$5:$AJ$1000,$N42),""),IF(INDEX('Cronograma Asistente Técnico'!$K$5:$K$1000,$N42)="","",INDEX('Cronograma Asistente Técnico'!$K$5:$K$1000,$N42))))</f>
        <v/>
      </c>
      <c r="I42" s="61">
        <f>IF($N42="","",IF($P42&gt;0,IF(4&lt;=SemanaActual,INDEX('Cronograma Asistente Técnico'!$AK$5:$AK$1000,$N42),""),IF(INDEX('Cronograma Asistente Técnico'!$L$5:$L$1000,$N42)="","",INDEX('Cronograma Asistente Técnico'!$L$5:$L$1000,$N42))))</f>
        <v/>
      </c>
      <c r="J42" s="61">
        <f>IF($N42="","",INDEX('Cronograma Asistente Técnico'!$M$5:$M$1000,$N42))</f>
        <v/>
      </c>
      <c r="K42" s="56">
        <f>IF($N42="","",IF(N($J42)&gt;=1,"Completado",IF(AND(ISNUMBER($D42),$D42&lt;FechaRef),"Vencida",IF(N($J42)&gt;0,"En curso","Pendiente"))))</f>
        <v/>
      </c>
      <c r="L42" s="56">
        <f>IF($N42="","",INDEX('Cronograma Asistente Técnico'!$O$5:$O$1000,$N42)&amp;"")</f>
        <v/>
      </c>
      <c r="M42" s="62">
        <f>IF($N42="","",INDEX('Cronograma Asistente Técnico'!$Q$5:$Q$1000,$N42)&amp;"")</f>
        <v/>
      </c>
      <c r="N42">
        <f>IFERROR(MATCH(ROW()-4,rOrden_ATR,0),"")</f>
        <v/>
      </c>
      <c r="O42">
        <f>IF($N42="","",INDEX('Cronograma Asistente Técnico'!$V$5:$V$1000,$N42))</f>
        <v/>
      </c>
      <c r="P42">
        <f>IF($N42="","",N(INDEX('Cronograma Asistente Técnico'!$W$5:$W$1000,$N42)))</f>
        <v/>
      </c>
      <c r="Q42">
        <f>IF(OR(LEFT($L42,7)="Vencida",LEFT($L42,5)="Vence"),SUMPRODUCT(--(LEFT($L$5:$L42,7)="Vencida"))+SUMPRODUCT(--(LEFT($L$5:$L42,5)="Vence")),"")</f>
        <v/>
      </c>
    </row>
    <row r="43">
      <c r="A43" s="56">
        <f>IF($N43="","",INDEX('Cronograma Asistente Técnico'!$A$5:$A$1000,$N43))</f>
        <v/>
      </c>
      <c r="B43" s="62">
        <f>IF($N43="","",IF($O43="Sub","      ↳  "&amp;INDEX('Cronograma Asistente Técnico'!$C$5:$C$1000,$N43),INDEX('Cronograma Asistente Técnico'!$C$5:$C$1000,$N43)&amp;""))</f>
        <v/>
      </c>
      <c r="C43" s="79">
        <f>IF($N43="","",IF(INDEX('Cronograma Asistente Técnico'!$AR$5:$AR$1000,$N43)="","",INDEX('Cronograma Asistente Técnico'!$AR$5:$AR$1000,$N43)))</f>
        <v/>
      </c>
      <c r="D43" s="79">
        <f>IF($N43="","",IF(INDEX('Cronograma Asistente Técnico'!$AS$5:$AS$1000,$N43)="","",INDEX('Cronograma Asistente Técnico'!$AS$5:$AS$1000,$N43)))</f>
        <v/>
      </c>
      <c r="E43" s="56">
        <f>IF($N43="","",IF(NOT(ISNUMBER($D43)),"",IF($D43&lt;InicioCiclo,"Antes del ciclo",IF($D43&gt;=InicioCiclo+28,"Después del ciclo","Semana "&amp;(INT(($D43-InicioCiclo)/7)+1)))))</f>
        <v/>
      </c>
      <c r="F43" s="61">
        <f>IF($N43="","",IF($P43&gt;0,IF(1&lt;=SemanaActual,INDEX('Cronograma Asistente Técnico'!$AH$5:$AH$1000,$N43),""),IF(INDEX('Cronograma Asistente Técnico'!$I$5:$I$1000,$N43)="","",INDEX('Cronograma Asistente Técnico'!$I$5:$I$1000,$N43))))</f>
        <v/>
      </c>
      <c r="G43" s="61">
        <f>IF($N43="","",IF($P43&gt;0,IF(2&lt;=SemanaActual,INDEX('Cronograma Asistente Técnico'!$AI$5:$AI$1000,$N43),""),IF(INDEX('Cronograma Asistente Técnico'!$J$5:$J$1000,$N43)="","",INDEX('Cronograma Asistente Técnico'!$J$5:$J$1000,$N43))))</f>
        <v/>
      </c>
      <c r="H43" s="61">
        <f>IF($N43="","",IF($P43&gt;0,IF(3&lt;=SemanaActual,INDEX('Cronograma Asistente Técnico'!$AJ$5:$AJ$1000,$N43),""),IF(INDEX('Cronograma Asistente Técnico'!$K$5:$K$1000,$N43)="","",INDEX('Cronograma Asistente Técnico'!$K$5:$K$1000,$N43))))</f>
        <v/>
      </c>
      <c r="I43" s="61">
        <f>IF($N43="","",IF($P43&gt;0,IF(4&lt;=SemanaActual,INDEX('Cronograma Asistente Técnico'!$AK$5:$AK$1000,$N43),""),IF(INDEX('Cronograma Asistente Técnico'!$L$5:$L$1000,$N43)="","",INDEX('Cronograma Asistente Técnico'!$L$5:$L$1000,$N43))))</f>
        <v/>
      </c>
      <c r="J43" s="61">
        <f>IF($N43="","",INDEX('Cronograma Asistente Técnico'!$M$5:$M$1000,$N43))</f>
        <v/>
      </c>
      <c r="K43" s="56">
        <f>IF($N43="","",IF(N($J43)&gt;=1,"Completado",IF(AND(ISNUMBER($D43),$D43&lt;FechaRef),"Vencida",IF(N($J43)&gt;0,"En curso","Pendiente"))))</f>
        <v/>
      </c>
      <c r="L43" s="56">
        <f>IF($N43="","",INDEX('Cronograma Asistente Técnico'!$O$5:$O$1000,$N43)&amp;"")</f>
        <v/>
      </c>
      <c r="M43" s="62">
        <f>IF($N43="","",INDEX('Cronograma Asistente Técnico'!$Q$5:$Q$1000,$N43)&amp;"")</f>
        <v/>
      </c>
      <c r="N43">
        <f>IFERROR(MATCH(ROW()-4,rOrden_ATR,0),"")</f>
        <v/>
      </c>
      <c r="O43">
        <f>IF($N43="","",INDEX('Cronograma Asistente Técnico'!$V$5:$V$1000,$N43))</f>
        <v/>
      </c>
      <c r="P43">
        <f>IF($N43="","",N(INDEX('Cronograma Asistente Técnico'!$W$5:$W$1000,$N43)))</f>
        <v/>
      </c>
      <c r="Q43">
        <f>IF(OR(LEFT($L43,7)="Vencida",LEFT($L43,5)="Vence"),SUMPRODUCT(--(LEFT($L$5:$L43,7)="Vencida"))+SUMPRODUCT(--(LEFT($L$5:$L43,5)="Vence")),"")</f>
        <v/>
      </c>
    </row>
    <row r="44">
      <c r="A44" s="56">
        <f>IF($N44="","",INDEX('Cronograma Asistente Técnico'!$A$5:$A$1000,$N44))</f>
        <v/>
      </c>
      <c r="B44" s="62">
        <f>IF($N44="","",IF($O44="Sub","      ↳  "&amp;INDEX('Cronograma Asistente Técnico'!$C$5:$C$1000,$N44),INDEX('Cronograma Asistente Técnico'!$C$5:$C$1000,$N44)&amp;""))</f>
        <v/>
      </c>
      <c r="C44" s="79">
        <f>IF($N44="","",IF(INDEX('Cronograma Asistente Técnico'!$AR$5:$AR$1000,$N44)="","",INDEX('Cronograma Asistente Técnico'!$AR$5:$AR$1000,$N44)))</f>
        <v/>
      </c>
      <c r="D44" s="79">
        <f>IF($N44="","",IF(INDEX('Cronograma Asistente Técnico'!$AS$5:$AS$1000,$N44)="","",INDEX('Cronograma Asistente Técnico'!$AS$5:$AS$1000,$N44)))</f>
        <v/>
      </c>
      <c r="E44" s="56">
        <f>IF($N44="","",IF(NOT(ISNUMBER($D44)),"",IF($D44&lt;InicioCiclo,"Antes del ciclo",IF($D44&gt;=InicioCiclo+28,"Después del ciclo","Semana "&amp;(INT(($D44-InicioCiclo)/7)+1)))))</f>
        <v/>
      </c>
      <c r="F44" s="61">
        <f>IF($N44="","",IF($P44&gt;0,IF(1&lt;=SemanaActual,INDEX('Cronograma Asistente Técnico'!$AH$5:$AH$1000,$N44),""),IF(INDEX('Cronograma Asistente Técnico'!$I$5:$I$1000,$N44)="","",INDEX('Cronograma Asistente Técnico'!$I$5:$I$1000,$N44))))</f>
        <v/>
      </c>
      <c r="G44" s="61">
        <f>IF($N44="","",IF($P44&gt;0,IF(2&lt;=SemanaActual,INDEX('Cronograma Asistente Técnico'!$AI$5:$AI$1000,$N44),""),IF(INDEX('Cronograma Asistente Técnico'!$J$5:$J$1000,$N44)="","",INDEX('Cronograma Asistente Técnico'!$J$5:$J$1000,$N44))))</f>
        <v/>
      </c>
      <c r="H44" s="61">
        <f>IF($N44="","",IF($P44&gt;0,IF(3&lt;=SemanaActual,INDEX('Cronograma Asistente Técnico'!$AJ$5:$AJ$1000,$N44),""),IF(INDEX('Cronograma Asistente Técnico'!$K$5:$K$1000,$N44)="","",INDEX('Cronograma Asistente Técnico'!$K$5:$K$1000,$N44))))</f>
        <v/>
      </c>
      <c r="I44" s="61">
        <f>IF($N44="","",IF($P44&gt;0,IF(4&lt;=SemanaActual,INDEX('Cronograma Asistente Técnico'!$AK$5:$AK$1000,$N44),""),IF(INDEX('Cronograma Asistente Técnico'!$L$5:$L$1000,$N44)="","",INDEX('Cronograma Asistente Técnico'!$L$5:$L$1000,$N44))))</f>
        <v/>
      </c>
      <c r="J44" s="61">
        <f>IF($N44="","",INDEX('Cronograma Asistente Técnico'!$M$5:$M$1000,$N44))</f>
        <v/>
      </c>
      <c r="K44" s="56">
        <f>IF($N44="","",IF(N($J44)&gt;=1,"Completado",IF(AND(ISNUMBER($D44),$D44&lt;FechaRef),"Vencida",IF(N($J44)&gt;0,"En curso","Pendiente"))))</f>
        <v/>
      </c>
      <c r="L44" s="56">
        <f>IF($N44="","",INDEX('Cronograma Asistente Técnico'!$O$5:$O$1000,$N44)&amp;"")</f>
        <v/>
      </c>
      <c r="M44" s="62">
        <f>IF($N44="","",INDEX('Cronograma Asistente Técnico'!$Q$5:$Q$1000,$N44)&amp;"")</f>
        <v/>
      </c>
      <c r="N44">
        <f>IFERROR(MATCH(ROW()-4,rOrden_ATR,0),"")</f>
        <v/>
      </c>
      <c r="O44">
        <f>IF($N44="","",INDEX('Cronograma Asistente Técnico'!$V$5:$V$1000,$N44))</f>
        <v/>
      </c>
      <c r="P44">
        <f>IF($N44="","",N(INDEX('Cronograma Asistente Técnico'!$W$5:$W$1000,$N44)))</f>
        <v/>
      </c>
      <c r="Q44">
        <f>IF(OR(LEFT($L44,7)="Vencida",LEFT($L44,5)="Vence"),SUMPRODUCT(--(LEFT($L$5:$L44,7)="Vencida"))+SUMPRODUCT(--(LEFT($L$5:$L44,5)="Vence")),"")</f>
        <v/>
      </c>
    </row>
    <row r="45">
      <c r="A45" s="56">
        <f>IF($N45="","",INDEX('Cronograma Asistente Técnico'!$A$5:$A$1000,$N45))</f>
        <v/>
      </c>
      <c r="B45" s="62">
        <f>IF($N45="","",IF($O45="Sub","      ↳  "&amp;INDEX('Cronograma Asistente Técnico'!$C$5:$C$1000,$N45),INDEX('Cronograma Asistente Técnico'!$C$5:$C$1000,$N45)&amp;""))</f>
        <v/>
      </c>
      <c r="C45" s="79">
        <f>IF($N45="","",IF(INDEX('Cronograma Asistente Técnico'!$AR$5:$AR$1000,$N45)="","",INDEX('Cronograma Asistente Técnico'!$AR$5:$AR$1000,$N45)))</f>
        <v/>
      </c>
      <c r="D45" s="79">
        <f>IF($N45="","",IF(INDEX('Cronograma Asistente Técnico'!$AS$5:$AS$1000,$N45)="","",INDEX('Cronograma Asistente Técnico'!$AS$5:$AS$1000,$N45)))</f>
        <v/>
      </c>
      <c r="E45" s="56">
        <f>IF($N45="","",IF(NOT(ISNUMBER($D45)),"",IF($D45&lt;InicioCiclo,"Antes del ciclo",IF($D45&gt;=InicioCiclo+28,"Después del ciclo","Semana "&amp;(INT(($D45-InicioCiclo)/7)+1)))))</f>
        <v/>
      </c>
      <c r="F45" s="61">
        <f>IF($N45="","",IF($P45&gt;0,IF(1&lt;=SemanaActual,INDEX('Cronograma Asistente Técnico'!$AH$5:$AH$1000,$N45),""),IF(INDEX('Cronograma Asistente Técnico'!$I$5:$I$1000,$N45)="","",INDEX('Cronograma Asistente Técnico'!$I$5:$I$1000,$N45))))</f>
        <v/>
      </c>
      <c r="G45" s="61">
        <f>IF($N45="","",IF($P45&gt;0,IF(2&lt;=SemanaActual,INDEX('Cronograma Asistente Técnico'!$AI$5:$AI$1000,$N45),""),IF(INDEX('Cronograma Asistente Técnico'!$J$5:$J$1000,$N45)="","",INDEX('Cronograma Asistente Técnico'!$J$5:$J$1000,$N45))))</f>
        <v/>
      </c>
      <c r="H45" s="61">
        <f>IF($N45="","",IF($P45&gt;0,IF(3&lt;=SemanaActual,INDEX('Cronograma Asistente Técnico'!$AJ$5:$AJ$1000,$N45),""),IF(INDEX('Cronograma Asistente Técnico'!$K$5:$K$1000,$N45)="","",INDEX('Cronograma Asistente Técnico'!$K$5:$K$1000,$N45))))</f>
        <v/>
      </c>
      <c r="I45" s="61">
        <f>IF($N45="","",IF($P45&gt;0,IF(4&lt;=SemanaActual,INDEX('Cronograma Asistente Técnico'!$AK$5:$AK$1000,$N45),""),IF(INDEX('Cronograma Asistente Técnico'!$L$5:$L$1000,$N45)="","",INDEX('Cronograma Asistente Técnico'!$L$5:$L$1000,$N45))))</f>
        <v/>
      </c>
      <c r="J45" s="61">
        <f>IF($N45="","",INDEX('Cronograma Asistente Técnico'!$M$5:$M$1000,$N45))</f>
        <v/>
      </c>
      <c r="K45" s="56">
        <f>IF($N45="","",IF(N($J45)&gt;=1,"Completado",IF(AND(ISNUMBER($D45),$D45&lt;FechaRef),"Vencida",IF(N($J45)&gt;0,"En curso","Pendiente"))))</f>
        <v/>
      </c>
      <c r="L45" s="56">
        <f>IF($N45="","",INDEX('Cronograma Asistente Técnico'!$O$5:$O$1000,$N45)&amp;"")</f>
        <v/>
      </c>
      <c r="M45" s="62">
        <f>IF($N45="","",INDEX('Cronograma Asistente Técnico'!$Q$5:$Q$1000,$N45)&amp;"")</f>
        <v/>
      </c>
      <c r="N45">
        <f>IFERROR(MATCH(ROW()-4,rOrden_ATR,0),"")</f>
        <v/>
      </c>
      <c r="O45">
        <f>IF($N45="","",INDEX('Cronograma Asistente Técnico'!$V$5:$V$1000,$N45))</f>
        <v/>
      </c>
      <c r="P45">
        <f>IF($N45="","",N(INDEX('Cronograma Asistente Técnico'!$W$5:$W$1000,$N45)))</f>
        <v/>
      </c>
      <c r="Q45">
        <f>IF(OR(LEFT($L45,7)="Vencida",LEFT($L45,5)="Vence"),SUMPRODUCT(--(LEFT($L$5:$L45,7)="Vencida"))+SUMPRODUCT(--(LEFT($L$5:$L45,5)="Vence")),"")</f>
        <v/>
      </c>
    </row>
    <row r="46">
      <c r="A46" s="56">
        <f>IF($N46="","",INDEX('Cronograma Asistente Técnico'!$A$5:$A$1000,$N46))</f>
        <v/>
      </c>
      <c r="B46" s="62">
        <f>IF($N46="","",IF($O46="Sub","      ↳  "&amp;INDEX('Cronograma Asistente Técnico'!$C$5:$C$1000,$N46),INDEX('Cronograma Asistente Técnico'!$C$5:$C$1000,$N46)&amp;""))</f>
        <v/>
      </c>
      <c r="C46" s="79">
        <f>IF($N46="","",IF(INDEX('Cronograma Asistente Técnico'!$AR$5:$AR$1000,$N46)="","",INDEX('Cronograma Asistente Técnico'!$AR$5:$AR$1000,$N46)))</f>
        <v/>
      </c>
      <c r="D46" s="79">
        <f>IF($N46="","",IF(INDEX('Cronograma Asistente Técnico'!$AS$5:$AS$1000,$N46)="","",INDEX('Cronograma Asistente Técnico'!$AS$5:$AS$1000,$N46)))</f>
        <v/>
      </c>
      <c r="E46" s="56">
        <f>IF($N46="","",IF(NOT(ISNUMBER($D46)),"",IF($D46&lt;InicioCiclo,"Antes del ciclo",IF($D46&gt;=InicioCiclo+28,"Después del ciclo","Semana "&amp;(INT(($D46-InicioCiclo)/7)+1)))))</f>
        <v/>
      </c>
      <c r="F46" s="61">
        <f>IF($N46="","",IF($P46&gt;0,IF(1&lt;=SemanaActual,INDEX('Cronograma Asistente Técnico'!$AH$5:$AH$1000,$N46),""),IF(INDEX('Cronograma Asistente Técnico'!$I$5:$I$1000,$N46)="","",INDEX('Cronograma Asistente Técnico'!$I$5:$I$1000,$N46))))</f>
        <v/>
      </c>
      <c r="G46" s="61">
        <f>IF($N46="","",IF($P46&gt;0,IF(2&lt;=SemanaActual,INDEX('Cronograma Asistente Técnico'!$AI$5:$AI$1000,$N46),""),IF(INDEX('Cronograma Asistente Técnico'!$J$5:$J$1000,$N46)="","",INDEX('Cronograma Asistente Técnico'!$J$5:$J$1000,$N46))))</f>
        <v/>
      </c>
      <c r="H46" s="61">
        <f>IF($N46="","",IF($P46&gt;0,IF(3&lt;=SemanaActual,INDEX('Cronograma Asistente Técnico'!$AJ$5:$AJ$1000,$N46),""),IF(INDEX('Cronograma Asistente Técnico'!$K$5:$K$1000,$N46)="","",INDEX('Cronograma Asistente Técnico'!$K$5:$K$1000,$N46))))</f>
        <v/>
      </c>
      <c r="I46" s="61">
        <f>IF($N46="","",IF($P46&gt;0,IF(4&lt;=SemanaActual,INDEX('Cronograma Asistente Técnico'!$AK$5:$AK$1000,$N46),""),IF(INDEX('Cronograma Asistente Técnico'!$L$5:$L$1000,$N46)="","",INDEX('Cronograma Asistente Técnico'!$L$5:$L$1000,$N46))))</f>
        <v/>
      </c>
      <c r="J46" s="61">
        <f>IF($N46="","",INDEX('Cronograma Asistente Técnico'!$M$5:$M$1000,$N46))</f>
        <v/>
      </c>
      <c r="K46" s="56">
        <f>IF($N46="","",IF(N($J46)&gt;=1,"Completado",IF(AND(ISNUMBER($D46),$D46&lt;FechaRef),"Vencida",IF(N($J46)&gt;0,"En curso","Pendiente"))))</f>
        <v/>
      </c>
      <c r="L46" s="56">
        <f>IF($N46="","",INDEX('Cronograma Asistente Técnico'!$O$5:$O$1000,$N46)&amp;"")</f>
        <v/>
      </c>
      <c r="M46" s="62">
        <f>IF($N46="","",INDEX('Cronograma Asistente Técnico'!$Q$5:$Q$1000,$N46)&amp;"")</f>
        <v/>
      </c>
      <c r="N46">
        <f>IFERROR(MATCH(ROW()-4,rOrden_ATR,0),"")</f>
        <v/>
      </c>
      <c r="O46">
        <f>IF($N46="","",INDEX('Cronograma Asistente Técnico'!$V$5:$V$1000,$N46))</f>
        <v/>
      </c>
      <c r="P46">
        <f>IF($N46="","",N(INDEX('Cronograma Asistente Técnico'!$W$5:$W$1000,$N46)))</f>
        <v/>
      </c>
      <c r="Q46">
        <f>IF(OR(LEFT($L46,7)="Vencida",LEFT($L46,5)="Vence"),SUMPRODUCT(--(LEFT($L$5:$L46,7)="Vencida"))+SUMPRODUCT(--(LEFT($L$5:$L46,5)="Vence")),"")</f>
        <v/>
      </c>
    </row>
    <row r="47">
      <c r="A47" s="56">
        <f>IF($N47="","",INDEX('Cronograma Asistente Técnico'!$A$5:$A$1000,$N47))</f>
        <v/>
      </c>
      <c r="B47" s="62">
        <f>IF($N47="","",IF($O47="Sub","      ↳  "&amp;INDEX('Cronograma Asistente Técnico'!$C$5:$C$1000,$N47),INDEX('Cronograma Asistente Técnico'!$C$5:$C$1000,$N47)&amp;""))</f>
        <v/>
      </c>
      <c r="C47" s="79">
        <f>IF($N47="","",IF(INDEX('Cronograma Asistente Técnico'!$AR$5:$AR$1000,$N47)="","",INDEX('Cronograma Asistente Técnico'!$AR$5:$AR$1000,$N47)))</f>
        <v/>
      </c>
      <c r="D47" s="79">
        <f>IF($N47="","",IF(INDEX('Cronograma Asistente Técnico'!$AS$5:$AS$1000,$N47)="","",INDEX('Cronograma Asistente Técnico'!$AS$5:$AS$1000,$N47)))</f>
        <v/>
      </c>
      <c r="E47" s="56">
        <f>IF($N47="","",IF(NOT(ISNUMBER($D47)),"",IF($D47&lt;InicioCiclo,"Antes del ciclo",IF($D47&gt;=InicioCiclo+28,"Después del ciclo","Semana "&amp;(INT(($D47-InicioCiclo)/7)+1)))))</f>
        <v/>
      </c>
      <c r="F47" s="61">
        <f>IF($N47="","",IF($P47&gt;0,IF(1&lt;=SemanaActual,INDEX('Cronograma Asistente Técnico'!$AH$5:$AH$1000,$N47),""),IF(INDEX('Cronograma Asistente Técnico'!$I$5:$I$1000,$N47)="","",INDEX('Cronograma Asistente Técnico'!$I$5:$I$1000,$N47))))</f>
        <v/>
      </c>
      <c r="G47" s="61">
        <f>IF($N47="","",IF($P47&gt;0,IF(2&lt;=SemanaActual,INDEX('Cronograma Asistente Técnico'!$AI$5:$AI$1000,$N47),""),IF(INDEX('Cronograma Asistente Técnico'!$J$5:$J$1000,$N47)="","",INDEX('Cronograma Asistente Técnico'!$J$5:$J$1000,$N47))))</f>
        <v/>
      </c>
      <c r="H47" s="61">
        <f>IF($N47="","",IF($P47&gt;0,IF(3&lt;=SemanaActual,INDEX('Cronograma Asistente Técnico'!$AJ$5:$AJ$1000,$N47),""),IF(INDEX('Cronograma Asistente Técnico'!$K$5:$K$1000,$N47)="","",INDEX('Cronograma Asistente Técnico'!$K$5:$K$1000,$N47))))</f>
        <v/>
      </c>
      <c r="I47" s="61">
        <f>IF($N47="","",IF($P47&gt;0,IF(4&lt;=SemanaActual,INDEX('Cronograma Asistente Técnico'!$AK$5:$AK$1000,$N47),""),IF(INDEX('Cronograma Asistente Técnico'!$L$5:$L$1000,$N47)="","",INDEX('Cronograma Asistente Técnico'!$L$5:$L$1000,$N47))))</f>
        <v/>
      </c>
      <c r="J47" s="61">
        <f>IF($N47="","",INDEX('Cronograma Asistente Técnico'!$M$5:$M$1000,$N47))</f>
        <v/>
      </c>
      <c r="K47" s="56">
        <f>IF($N47="","",IF(N($J47)&gt;=1,"Completado",IF(AND(ISNUMBER($D47),$D47&lt;FechaRef),"Vencida",IF(N($J47)&gt;0,"En curso","Pendiente"))))</f>
        <v/>
      </c>
      <c r="L47" s="56">
        <f>IF($N47="","",INDEX('Cronograma Asistente Técnico'!$O$5:$O$1000,$N47)&amp;"")</f>
        <v/>
      </c>
      <c r="M47" s="62">
        <f>IF($N47="","",INDEX('Cronograma Asistente Técnico'!$Q$5:$Q$1000,$N47)&amp;"")</f>
        <v/>
      </c>
      <c r="N47">
        <f>IFERROR(MATCH(ROW()-4,rOrden_ATR,0),"")</f>
        <v/>
      </c>
      <c r="O47">
        <f>IF($N47="","",INDEX('Cronograma Asistente Técnico'!$V$5:$V$1000,$N47))</f>
        <v/>
      </c>
      <c r="P47">
        <f>IF($N47="","",N(INDEX('Cronograma Asistente Técnico'!$W$5:$W$1000,$N47)))</f>
        <v/>
      </c>
      <c r="Q47">
        <f>IF(OR(LEFT($L47,7)="Vencida",LEFT($L47,5)="Vence"),SUMPRODUCT(--(LEFT($L$5:$L47,7)="Vencida"))+SUMPRODUCT(--(LEFT($L$5:$L47,5)="Vence")),"")</f>
        <v/>
      </c>
    </row>
    <row r="48">
      <c r="A48" s="56">
        <f>IF($N48="","",INDEX('Cronograma Asistente Técnico'!$A$5:$A$1000,$N48))</f>
        <v/>
      </c>
      <c r="B48" s="62">
        <f>IF($N48="","",IF($O48="Sub","      ↳  "&amp;INDEX('Cronograma Asistente Técnico'!$C$5:$C$1000,$N48),INDEX('Cronograma Asistente Técnico'!$C$5:$C$1000,$N48)&amp;""))</f>
        <v/>
      </c>
      <c r="C48" s="79">
        <f>IF($N48="","",IF(INDEX('Cronograma Asistente Técnico'!$AR$5:$AR$1000,$N48)="","",INDEX('Cronograma Asistente Técnico'!$AR$5:$AR$1000,$N48)))</f>
        <v/>
      </c>
      <c r="D48" s="79">
        <f>IF($N48="","",IF(INDEX('Cronograma Asistente Técnico'!$AS$5:$AS$1000,$N48)="","",INDEX('Cronograma Asistente Técnico'!$AS$5:$AS$1000,$N48)))</f>
        <v/>
      </c>
      <c r="E48" s="56">
        <f>IF($N48="","",IF(NOT(ISNUMBER($D48)),"",IF($D48&lt;InicioCiclo,"Antes del ciclo",IF($D48&gt;=InicioCiclo+28,"Después del ciclo","Semana "&amp;(INT(($D48-InicioCiclo)/7)+1)))))</f>
        <v/>
      </c>
      <c r="F48" s="61">
        <f>IF($N48="","",IF($P48&gt;0,IF(1&lt;=SemanaActual,INDEX('Cronograma Asistente Técnico'!$AH$5:$AH$1000,$N48),""),IF(INDEX('Cronograma Asistente Técnico'!$I$5:$I$1000,$N48)="","",INDEX('Cronograma Asistente Técnico'!$I$5:$I$1000,$N48))))</f>
        <v/>
      </c>
      <c r="G48" s="61">
        <f>IF($N48="","",IF($P48&gt;0,IF(2&lt;=SemanaActual,INDEX('Cronograma Asistente Técnico'!$AI$5:$AI$1000,$N48),""),IF(INDEX('Cronograma Asistente Técnico'!$J$5:$J$1000,$N48)="","",INDEX('Cronograma Asistente Técnico'!$J$5:$J$1000,$N48))))</f>
        <v/>
      </c>
      <c r="H48" s="61">
        <f>IF($N48="","",IF($P48&gt;0,IF(3&lt;=SemanaActual,INDEX('Cronograma Asistente Técnico'!$AJ$5:$AJ$1000,$N48),""),IF(INDEX('Cronograma Asistente Técnico'!$K$5:$K$1000,$N48)="","",INDEX('Cronograma Asistente Técnico'!$K$5:$K$1000,$N48))))</f>
        <v/>
      </c>
      <c r="I48" s="61">
        <f>IF($N48="","",IF($P48&gt;0,IF(4&lt;=SemanaActual,INDEX('Cronograma Asistente Técnico'!$AK$5:$AK$1000,$N48),""),IF(INDEX('Cronograma Asistente Técnico'!$L$5:$L$1000,$N48)="","",INDEX('Cronograma Asistente Técnico'!$L$5:$L$1000,$N48))))</f>
        <v/>
      </c>
      <c r="J48" s="61">
        <f>IF($N48="","",INDEX('Cronograma Asistente Técnico'!$M$5:$M$1000,$N48))</f>
        <v/>
      </c>
      <c r="K48" s="56">
        <f>IF($N48="","",IF(N($J48)&gt;=1,"Completado",IF(AND(ISNUMBER($D48),$D48&lt;FechaRef),"Vencida",IF(N($J48)&gt;0,"En curso","Pendiente"))))</f>
        <v/>
      </c>
      <c r="L48" s="56">
        <f>IF($N48="","",INDEX('Cronograma Asistente Técnico'!$O$5:$O$1000,$N48)&amp;"")</f>
        <v/>
      </c>
      <c r="M48" s="62">
        <f>IF($N48="","",INDEX('Cronograma Asistente Técnico'!$Q$5:$Q$1000,$N48)&amp;"")</f>
        <v/>
      </c>
      <c r="N48">
        <f>IFERROR(MATCH(ROW()-4,rOrden_ATR,0),"")</f>
        <v/>
      </c>
      <c r="O48">
        <f>IF($N48="","",INDEX('Cronograma Asistente Técnico'!$V$5:$V$1000,$N48))</f>
        <v/>
      </c>
      <c r="P48">
        <f>IF($N48="","",N(INDEX('Cronograma Asistente Técnico'!$W$5:$W$1000,$N48)))</f>
        <v/>
      </c>
      <c r="Q48">
        <f>IF(OR(LEFT($L48,7)="Vencida",LEFT($L48,5)="Vence"),SUMPRODUCT(--(LEFT($L$5:$L48,7)="Vencida"))+SUMPRODUCT(--(LEFT($L$5:$L48,5)="Vence")),"")</f>
        <v/>
      </c>
    </row>
    <row r="49">
      <c r="A49" s="56">
        <f>IF($N49="","",INDEX('Cronograma Asistente Técnico'!$A$5:$A$1000,$N49))</f>
        <v/>
      </c>
      <c r="B49" s="62">
        <f>IF($N49="","",IF($O49="Sub","      ↳  "&amp;INDEX('Cronograma Asistente Técnico'!$C$5:$C$1000,$N49),INDEX('Cronograma Asistente Técnico'!$C$5:$C$1000,$N49)&amp;""))</f>
        <v/>
      </c>
      <c r="C49" s="79">
        <f>IF($N49="","",IF(INDEX('Cronograma Asistente Técnico'!$AR$5:$AR$1000,$N49)="","",INDEX('Cronograma Asistente Técnico'!$AR$5:$AR$1000,$N49)))</f>
        <v/>
      </c>
      <c r="D49" s="79">
        <f>IF($N49="","",IF(INDEX('Cronograma Asistente Técnico'!$AS$5:$AS$1000,$N49)="","",INDEX('Cronograma Asistente Técnico'!$AS$5:$AS$1000,$N49)))</f>
        <v/>
      </c>
      <c r="E49" s="56">
        <f>IF($N49="","",IF(NOT(ISNUMBER($D49)),"",IF($D49&lt;InicioCiclo,"Antes del ciclo",IF($D49&gt;=InicioCiclo+28,"Después del ciclo","Semana "&amp;(INT(($D49-InicioCiclo)/7)+1)))))</f>
        <v/>
      </c>
      <c r="F49" s="61">
        <f>IF($N49="","",IF($P49&gt;0,IF(1&lt;=SemanaActual,INDEX('Cronograma Asistente Técnico'!$AH$5:$AH$1000,$N49),""),IF(INDEX('Cronograma Asistente Técnico'!$I$5:$I$1000,$N49)="","",INDEX('Cronograma Asistente Técnico'!$I$5:$I$1000,$N49))))</f>
        <v/>
      </c>
      <c r="G49" s="61">
        <f>IF($N49="","",IF($P49&gt;0,IF(2&lt;=SemanaActual,INDEX('Cronograma Asistente Técnico'!$AI$5:$AI$1000,$N49),""),IF(INDEX('Cronograma Asistente Técnico'!$J$5:$J$1000,$N49)="","",INDEX('Cronograma Asistente Técnico'!$J$5:$J$1000,$N49))))</f>
        <v/>
      </c>
      <c r="H49" s="61">
        <f>IF($N49="","",IF($P49&gt;0,IF(3&lt;=SemanaActual,INDEX('Cronograma Asistente Técnico'!$AJ$5:$AJ$1000,$N49),""),IF(INDEX('Cronograma Asistente Técnico'!$K$5:$K$1000,$N49)="","",INDEX('Cronograma Asistente Técnico'!$K$5:$K$1000,$N49))))</f>
        <v/>
      </c>
      <c r="I49" s="61">
        <f>IF($N49="","",IF($P49&gt;0,IF(4&lt;=SemanaActual,INDEX('Cronograma Asistente Técnico'!$AK$5:$AK$1000,$N49),""),IF(INDEX('Cronograma Asistente Técnico'!$L$5:$L$1000,$N49)="","",INDEX('Cronograma Asistente Técnico'!$L$5:$L$1000,$N49))))</f>
        <v/>
      </c>
      <c r="J49" s="61">
        <f>IF($N49="","",INDEX('Cronograma Asistente Técnico'!$M$5:$M$1000,$N49))</f>
        <v/>
      </c>
      <c r="K49" s="56">
        <f>IF($N49="","",IF(N($J49)&gt;=1,"Completado",IF(AND(ISNUMBER($D49),$D49&lt;FechaRef),"Vencida",IF(N($J49)&gt;0,"En curso","Pendiente"))))</f>
        <v/>
      </c>
      <c r="L49" s="56">
        <f>IF($N49="","",INDEX('Cronograma Asistente Técnico'!$O$5:$O$1000,$N49)&amp;"")</f>
        <v/>
      </c>
      <c r="M49" s="62">
        <f>IF($N49="","",INDEX('Cronograma Asistente Técnico'!$Q$5:$Q$1000,$N49)&amp;"")</f>
        <v/>
      </c>
      <c r="N49">
        <f>IFERROR(MATCH(ROW()-4,rOrden_ATR,0),"")</f>
        <v/>
      </c>
      <c r="O49">
        <f>IF($N49="","",INDEX('Cronograma Asistente Técnico'!$V$5:$V$1000,$N49))</f>
        <v/>
      </c>
      <c r="P49">
        <f>IF($N49="","",N(INDEX('Cronograma Asistente Técnico'!$W$5:$W$1000,$N49)))</f>
        <v/>
      </c>
      <c r="Q49">
        <f>IF(OR(LEFT($L49,7)="Vencida",LEFT($L49,5)="Vence"),SUMPRODUCT(--(LEFT($L$5:$L49,7)="Vencida"))+SUMPRODUCT(--(LEFT($L$5:$L49,5)="Vence")),"")</f>
        <v/>
      </c>
    </row>
    <row r="50">
      <c r="A50" s="56">
        <f>IF($N50="","",INDEX('Cronograma Asistente Técnico'!$A$5:$A$1000,$N50))</f>
        <v/>
      </c>
      <c r="B50" s="62">
        <f>IF($N50="","",IF($O50="Sub","      ↳  "&amp;INDEX('Cronograma Asistente Técnico'!$C$5:$C$1000,$N50),INDEX('Cronograma Asistente Técnico'!$C$5:$C$1000,$N50)&amp;""))</f>
        <v/>
      </c>
      <c r="C50" s="79">
        <f>IF($N50="","",IF(INDEX('Cronograma Asistente Técnico'!$AR$5:$AR$1000,$N50)="","",INDEX('Cronograma Asistente Técnico'!$AR$5:$AR$1000,$N50)))</f>
        <v/>
      </c>
      <c r="D50" s="79">
        <f>IF($N50="","",IF(INDEX('Cronograma Asistente Técnico'!$AS$5:$AS$1000,$N50)="","",INDEX('Cronograma Asistente Técnico'!$AS$5:$AS$1000,$N50)))</f>
        <v/>
      </c>
      <c r="E50" s="56">
        <f>IF($N50="","",IF(NOT(ISNUMBER($D50)),"",IF($D50&lt;InicioCiclo,"Antes del ciclo",IF($D50&gt;=InicioCiclo+28,"Después del ciclo","Semana "&amp;(INT(($D50-InicioCiclo)/7)+1)))))</f>
        <v/>
      </c>
      <c r="F50" s="61">
        <f>IF($N50="","",IF($P50&gt;0,IF(1&lt;=SemanaActual,INDEX('Cronograma Asistente Técnico'!$AH$5:$AH$1000,$N50),""),IF(INDEX('Cronograma Asistente Técnico'!$I$5:$I$1000,$N50)="","",INDEX('Cronograma Asistente Técnico'!$I$5:$I$1000,$N50))))</f>
        <v/>
      </c>
      <c r="G50" s="61">
        <f>IF($N50="","",IF($P50&gt;0,IF(2&lt;=SemanaActual,INDEX('Cronograma Asistente Técnico'!$AI$5:$AI$1000,$N50),""),IF(INDEX('Cronograma Asistente Técnico'!$J$5:$J$1000,$N50)="","",INDEX('Cronograma Asistente Técnico'!$J$5:$J$1000,$N50))))</f>
        <v/>
      </c>
      <c r="H50" s="61">
        <f>IF($N50="","",IF($P50&gt;0,IF(3&lt;=SemanaActual,INDEX('Cronograma Asistente Técnico'!$AJ$5:$AJ$1000,$N50),""),IF(INDEX('Cronograma Asistente Técnico'!$K$5:$K$1000,$N50)="","",INDEX('Cronograma Asistente Técnico'!$K$5:$K$1000,$N50))))</f>
        <v/>
      </c>
      <c r="I50" s="61">
        <f>IF($N50="","",IF($P50&gt;0,IF(4&lt;=SemanaActual,INDEX('Cronograma Asistente Técnico'!$AK$5:$AK$1000,$N50),""),IF(INDEX('Cronograma Asistente Técnico'!$L$5:$L$1000,$N50)="","",INDEX('Cronograma Asistente Técnico'!$L$5:$L$1000,$N50))))</f>
        <v/>
      </c>
      <c r="J50" s="61">
        <f>IF($N50="","",INDEX('Cronograma Asistente Técnico'!$M$5:$M$1000,$N50))</f>
        <v/>
      </c>
      <c r="K50" s="56">
        <f>IF($N50="","",IF(N($J50)&gt;=1,"Completado",IF(AND(ISNUMBER($D50),$D50&lt;FechaRef),"Vencida",IF(N($J50)&gt;0,"En curso","Pendiente"))))</f>
        <v/>
      </c>
      <c r="L50" s="56">
        <f>IF($N50="","",INDEX('Cronograma Asistente Técnico'!$O$5:$O$1000,$N50)&amp;"")</f>
        <v/>
      </c>
      <c r="M50" s="62">
        <f>IF($N50="","",INDEX('Cronograma Asistente Técnico'!$Q$5:$Q$1000,$N50)&amp;"")</f>
        <v/>
      </c>
      <c r="N50">
        <f>IFERROR(MATCH(ROW()-4,rOrden_ATR,0),"")</f>
        <v/>
      </c>
      <c r="O50">
        <f>IF($N50="","",INDEX('Cronograma Asistente Técnico'!$V$5:$V$1000,$N50))</f>
        <v/>
      </c>
      <c r="P50">
        <f>IF($N50="","",N(INDEX('Cronograma Asistente Técnico'!$W$5:$W$1000,$N50)))</f>
        <v/>
      </c>
      <c r="Q50">
        <f>IF(OR(LEFT($L50,7)="Vencida",LEFT($L50,5)="Vence"),SUMPRODUCT(--(LEFT($L$5:$L50,7)="Vencida"))+SUMPRODUCT(--(LEFT($L$5:$L50,5)="Vence")),"")</f>
        <v/>
      </c>
    </row>
    <row r="51">
      <c r="A51" s="56">
        <f>IF($N51="","",INDEX('Cronograma Asistente Técnico'!$A$5:$A$1000,$N51))</f>
        <v/>
      </c>
      <c r="B51" s="62">
        <f>IF($N51="","",IF($O51="Sub","      ↳  "&amp;INDEX('Cronograma Asistente Técnico'!$C$5:$C$1000,$N51),INDEX('Cronograma Asistente Técnico'!$C$5:$C$1000,$N51)&amp;""))</f>
        <v/>
      </c>
      <c r="C51" s="79">
        <f>IF($N51="","",IF(INDEX('Cronograma Asistente Técnico'!$AR$5:$AR$1000,$N51)="","",INDEX('Cronograma Asistente Técnico'!$AR$5:$AR$1000,$N51)))</f>
        <v/>
      </c>
      <c r="D51" s="79">
        <f>IF($N51="","",IF(INDEX('Cronograma Asistente Técnico'!$AS$5:$AS$1000,$N51)="","",INDEX('Cronograma Asistente Técnico'!$AS$5:$AS$1000,$N51)))</f>
        <v/>
      </c>
      <c r="E51" s="56">
        <f>IF($N51="","",IF(NOT(ISNUMBER($D51)),"",IF($D51&lt;InicioCiclo,"Antes del ciclo",IF($D51&gt;=InicioCiclo+28,"Después del ciclo","Semana "&amp;(INT(($D51-InicioCiclo)/7)+1)))))</f>
        <v/>
      </c>
      <c r="F51" s="61">
        <f>IF($N51="","",IF($P51&gt;0,IF(1&lt;=SemanaActual,INDEX('Cronograma Asistente Técnico'!$AH$5:$AH$1000,$N51),""),IF(INDEX('Cronograma Asistente Técnico'!$I$5:$I$1000,$N51)="","",INDEX('Cronograma Asistente Técnico'!$I$5:$I$1000,$N51))))</f>
        <v/>
      </c>
      <c r="G51" s="61">
        <f>IF($N51="","",IF($P51&gt;0,IF(2&lt;=SemanaActual,INDEX('Cronograma Asistente Técnico'!$AI$5:$AI$1000,$N51),""),IF(INDEX('Cronograma Asistente Técnico'!$J$5:$J$1000,$N51)="","",INDEX('Cronograma Asistente Técnico'!$J$5:$J$1000,$N51))))</f>
        <v/>
      </c>
      <c r="H51" s="61">
        <f>IF($N51="","",IF($P51&gt;0,IF(3&lt;=SemanaActual,INDEX('Cronograma Asistente Técnico'!$AJ$5:$AJ$1000,$N51),""),IF(INDEX('Cronograma Asistente Técnico'!$K$5:$K$1000,$N51)="","",INDEX('Cronograma Asistente Técnico'!$K$5:$K$1000,$N51))))</f>
        <v/>
      </c>
      <c r="I51" s="61">
        <f>IF($N51="","",IF($P51&gt;0,IF(4&lt;=SemanaActual,INDEX('Cronograma Asistente Técnico'!$AK$5:$AK$1000,$N51),""),IF(INDEX('Cronograma Asistente Técnico'!$L$5:$L$1000,$N51)="","",INDEX('Cronograma Asistente Técnico'!$L$5:$L$1000,$N51))))</f>
        <v/>
      </c>
      <c r="J51" s="61">
        <f>IF($N51="","",INDEX('Cronograma Asistente Técnico'!$M$5:$M$1000,$N51))</f>
        <v/>
      </c>
      <c r="K51" s="56">
        <f>IF($N51="","",IF(N($J51)&gt;=1,"Completado",IF(AND(ISNUMBER($D51),$D51&lt;FechaRef),"Vencida",IF(N($J51)&gt;0,"En curso","Pendiente"))))</f>
        <v/>
      </c>
      <c r="L51" s="56">
        <f>IF($N51="","",INDEX('Cronograma Asistente Técnico'!$O$5:$O$1000,$N51)&amp;"")</f>
        <v/>
      </c>
      <c r="M51" s="62">
        <f>IF($N51="","",INDEX('Cronograma Asistente Técnico'!$Q$5:$Q$1000,$N51)&amp;"")</f>
        <v/>
      </c>
      <c r="N51">
        <f>IFERROR(MATCH(ROW()-4,rOrden_ATR,0),"")</f>
        <v/>
      </c>
      <c r="O51">
        <f>IF($N51="","",INDEX('Cronograma Asistente Técnico'!$V$5:$V$1000,$N51))</f>
        <v/>
      </c>
      <c r="P51">
        <f>IF($N51="","",N(INDEX('Cronograma Asistente Técnico'!$W$5:$W$1000,$N51)))</f>
        <v/>
      </c>
      <c r="Q51">
        <f>IF(OR(LEFT($L51,7)="Vencida",LEFT($L51,5)="Vence"),SUMPRODUCT(--(LEFT($L$5:$L51,7)="Vencida"))+SUMPRODUCT(--(LEFT($L$5:$L51,5)="Vence")),"")</f>
        <v/>
      </c>
    </row>
    <row r="52">
      <c r="A52" s="56">
        <f>IF($N52="","",INDEX('Cronograma Asistente Técnico'!$A$5:$A$1000,$N52))</f>
        <v/>
      </c>
      <c r="B52" s="62">
        <f>IF($N52="","",IF($O52="Sub","      ↳  "&amp;INDEX('Cronograma Asistente Técnico'!$C$5:$C$1000,$N52),INDEX('Cronograma Asistente Técnico'!$C$5:$C$1000,$N52)&amp;""))</f>
        <v/>
      </c>
      <c r="C52" s="79">
        <f>IF($N52="","",IF(INDEX('Cronograma Asistente Técnico'!$AR$5:$AR$1000,$N52)="","",INDEX('Cronograma Asistente Técnico'!$AR$5:$AR$1000,$N52)))</f>
        <v/>
      </c>
      <c r="D52" s="79">
        <f>IF($N52="","",IF(INDEX('Cronograma Asistente Técnico'!$AS$5:$AS$1000,$N52)="","",INDEX('Cronograma Asistente Técnico'!$AS$5:$AS$1000,$N52)))</f>
        <v/>
      </c>
      <c r="E52" s="56">
        <f>IF($N52="","",IF(NOT(ISNUMBER($D52)),"",IF($D52&lt;InicioCiclo,"Antes del ciclo",IF($D52&gt;=InicioCiclo+28,"Después del ciclo","Semana "&amp;(INT(($D52-InicioCiclo)/7)+1)))))</f>
        <v/>
      </c>
      <c r="F52" s="61">
        <f>IF($N52="","",IF($P52&gt;0,IF(1&lt;=SemanaActual,INDEX('Cronograma Asistente Técnico'!$AH$5:$AH$1000,$N52),""),IF(INDEX('Cronograma Asistente Técnico'!$I$5:$I$1000,$N52)="","",INDEX('Cronograma Asistente Técnico'!$I$5:$I$1000,$N52))))</f>
        <v/>
      </c>
      <c r="G52" s="61">
        <f>IF($N52="","",IF($P52&gt;0,IF(2&lt;=SemanaActual,INDEX('Cronograma Asistente Técnico'!$AI$5:$AI$1000,$N52),""),IF(INDEX('Cronograma Asistente Técnico'!$J$5:$J$1000,$N52)="","",INDEX('Cronograma Asistente Técnico'!$J$5:$J$1000,$N52))))</f>
        <v/>
      </c>
      <c r="H52" s="61">
        <f>IF($N52="","",IF($P52&gt;0,IF(3&lt;=SemanaActual,INDEX('Cronograma Asistente Técnico'!$AJ$5:$AJ$1000,$N52),""),IF(INDEX('Cronograma Asistente Técnico'!$K$5:$K$1000,$N52)="","",INDEX('Cronograma Asistente Técnico'!$K$5:$K$1000,$N52))))</f>
        <v/>
      </c>
      <c r="I52" s="61">
        <f>IF($N52="","",IF($P52&gt;0,IF(4&lt;=SemanaActual,INDEX('Cronograma Asistente Técnico'!$AK$5:$AK$1000,$N52),""),IF(INDEX('Cronograma Asistente Técnico'!$L$5:$L$1000,$N52)="","",INDEX('Cronograma Asistente Técnico'!$L$5:$L$1000,$N52))))</f>
        <v/>
      </c>
      <c r="J52" s="61">
        <f>IF($N52="","",INDEX('Cronograma Asistente Técnico'!$M$5:$M$1000,$N52))</f>
        <v/>
      </c>
      <c r="K52" s="56">
        <f>IF($N52="","",IF(N($J52)&gt;=1,"Completado",IF(AND(ISNUMBER($D52),$D52&lt;FechaRef),"Vencida",IF(N($J52)&gt;0,"En curso","Pendiente"))))</f>
        <v/>
      </c>
      <c r="L52" s="56">
        <f>IF($N52="","",INDEX('Cronograma Asistente Técnico'!$O$5:$O$1000,$N52)&amp;"")</f>
        <v/>
      </c>
      <c r="M52" s="62">
        <f>IF($N52="","",INDEX('Cronograma Asistente Técnico'!$Q$5:$Q$1000,$N52)&amp;"")</f>
        <v/>
      </c>
      <c r="N52">
        <f>IFERROR(MATCH(ROW()-4,rOrden_ATR,0),"")</f>
        <v/>
      </c>
      <c r="O52">
        <f>IF($N52="","",INDEX('Cronograma Asistente Técnico'!$V$5:$V$1000,$N52))</f>
        <v/>
      </c>
      <c r="P52">
        <f>IF($N52="","",N(INDEX('Cronograma Asistente Técnico'!$W$5:$W$1000,$N52)))</f>
        <v/>
      </c>
      <c r="Q52">
        <f>IF(OR(LEFT($L52,7)="Vencida",LEFT($L52,5)="Vence"),SUMPRODUCT(--(LEFT($L$5:$L52,7)="Vencida"))+SUMPRODUCT(--(LEFT($L$5:$L52,5)="Vence")),"")</f>
        <v/>
      </c>
    </row>
    <row r="53">
      <c r="A53" s="56">
        <f>IF($N53="","",INDEX('Cronograma Asistente Técnico'!$A$5:$A$1000,$N53))</f>
        <v/>
      </c>
      <c r="B53" s="62">
        <f>IF($N53="","",IF($O53="Sub","      ↳  "&amp;INDEX('Cronograma Asistente Técnico'!$C$5:$C$1000,$N53),INDEX('Cronograma Asistente Técnico'!$C$5:$C$1000,$N53)&amp;""))</f>
        <v/>
      </c>
      <c r="C53" s="79">
        <f>IF($N53="","",IF(INDEX('Cronograma Asistente Técnico'!$AR$5:$AR$1000,$N53)="","",INDEX('Cronograma Asistente Técnico'!$AR$5:$AR$1000,$N53)))</f>
        <v/>
      </c>
      <c r="D53" s="79">
        <f>IF($N53="","",IF(INDEX('Cronograma Asistente Técnico'!$AS$5:$AS$1000,$N53)="","",INDEX('Cronograma Asistente Técnico'!$AS$5:$AS$1000,$N53)))</f>
        <v/>
      </c>
      <c r="E53" s="56">
        <f>IF($N53="","",IF(NOT(ISNUMBER($D53)),"",IF($D53&lt;InicioCiclo,"Antes del ciclo",IF($D53&gt;=InicioCiclo+28,"Después del ciclo","Semana "&amp;(INT(($D53-InicioCiclo)/7)+1)))))</f>
        <v/>
      </c>
      <c r="F53" s="61">
        <f>IF($N53="","",IF($P53&gt;0,IF(1&lt;=SemanaActual,INDEX('Cronograma Asistente Técnico'!$AH$5:$AH$1000,$N53),""),IF(INDEX('Cronograma Asistente Técnico'!$I$5:$I$1000,$N53)="","",INDEX('Cronograma Asistente Técnico'!$I$5:$I$1000,$N53))))</f>
        <v/>
      </c>
      <c r="G53" s="61">
        <f>IF($N53="","",IF($P53&gt;0,IF(2&lt;=SemanaActual,INDEX('Cronograma Asistente Técnico'!$AI$5:$AI$1000,$N53),""),IF(INDEX('Cronograma Asistente Técnico'!$J$5:$J$1000,$N53)="","",INDEX('Cronograma Asistente Técnico'!$J$5:$J$1000,$N53))))</f>
        <v/>
      </c>
      <c r="H53" s="61">
        <f>IF($N53="","",IF($P53&gt;0,IF(3&lt;=SemanaActual,INDEX('Cronograma Asistente Técnico'!$AJ$5:$AJ$1000,$N53),""),IF(INDEX('Cronograma Asistente Técnico'!$K$5:$K$1000,$N53)="","",INDEX('Cronograma Asistente Técnico'!$K$5:$K$1000,$N53))))</f>
        <v/>
      </c>
      <c r="I53" s="61">
        <f>IF($N53="","",IF($P53&gt;0,IF(4&lt;=SemanaActual,INDEX('Cronograma Asistente Técnico'!$AK$5:$AK$1000,$N53),""),IF(INDEX('Cronograma Asistente Técnico'!$L$5:$L$1000,$N53)="","",INDEX('Cronograma Asistente Técnico'!$L$5:$L$1000,$N53))))</f>
        <v/>
      </c>
      <c r="J53" s="61">
        <f>IF($N53="","",INDEX('Cronograma Asistente Técnico'!$M$5:$M$1000,$N53))</f>
        <v/>
      </c>
      <c r="K53" s="56">
        <f>IF($N53="","",IF(N($J53)&gt;=1,"Completado",IF(AND(ISNUMBER($D53),$D53&lt;FechaRef),"Vencida",IF(N($J53)&gt;0,"En curso","Pendiente"))))</f>
        <v/>
      </c>
      <c r="L53" s="56">
        <f>IF($N53="","",INDEX('Cronograma Asistente Técnico'!$O$5:$O$1000,$N53)&amp;"")</f>
        <v/>
      </c>
      <c r="M53" s="62">
        <f>IF($N53="","",INDEX('Cronograma Asistente Técnico'!$Q$5:$Q$1000,$N53)&amp;"")</f>
        <v/>
      </c>
      <c r="N53">
        <f>IFERROR(MATCH(ROW()-4,rOrden_ATR,0),"")</f>
        <v/>
      </c>
      <c r="O53">
        <f>IF($N53="","",INDEX('Cronograma Asistente Técnico'!$V$5:$V$1000,$N53))</f>
        <v/>
      </c>
      <c r="P53">
        <f>IF($N53="","",N(INDEX('Cronograma Asistente Técnico'!$W$5:$W$1000,$N53)))</f>
        <v/>
      </c>
      <c r="Q53">
        <f>IF(OR(LEFT($L53,7)="Vencida",LEFT($L53,5)="Vence"),SUMPRODUCT(--(LEFT($L$5:$L53,7)="Vencida"))+SUMPRODUCT(--(LEFT($L$5:$L53,5)="Vence")),"")</f>
        <v/>
      </c>
    </row>
    <row r="54">
      <c r="A54" s="56">
        <f>IF($N54="","",INDEX('Cronograma Asistente Técnico'!$A$5:$A$1000,$N54))</f>
        <v/>
      </c>
      <c r="B54" s="62">
        <f>IF($N54="","",IF($O54="Sub","      ↳  "&amp;INDEX('Cronograma Asistente Técnico'!$C$5:$C$1000,$N54),INDEX('Cronograma Asistente Técnico'!$C$5:$C$1000,$N54)&amp;""))</f>
        <v/>
      </c>
      <c r="C54" s="79">
        <f>IF($N54="","",IF(INDEX('Cronograma Asistente Técnico'!$AR$5:$AR$1000,$N54)="","",INDEX('Cronograma Asistente Técnico'!$AR$5:$AR$1000,$N54)))</f>
        <v/>
      </c>
      <c r="D54" s="79">
        <f>IF($N54="","",IF(INDEX('Cronograma Asistente Técnico'!$AS$5:$AS$1000,$N54)="","",INDEX('Cronograma Asistente Técnico'!$AS$5:$AS$1000,$N54)))</f>
        <v/>
      </c>
      <c r="E54" s="56">
        <f>IF($N54="","",IF(NOT(ISNUMBER($D54)),"",IF($D54&lt;InicioCiclo,"Antes del ciclo",IF($D54&gt;=InicioCiclo+28,"Después del ciclo","Semana "&amp;(INT(($D54-InicioCiclo)/7)+1)))))</f>
        <v/>
      </c>
      <c r="F54" s="61">
        <f>IF($N54="","",IF($P54&gt;0,IF(1&lt;=SemanaActual,INDEX('Cronograma Asistente Técnico'!$AH$5:$AH$1000,$N54),""),IF(INDEX('Cronograma Asistente Técnico'!$I$5:$I$1000,$N54)="","",INDEX('Cronograma Asistente Técnico'!$I$5:$I$1000,$N54))))</f>
        <v/>
      </c>
      <c r="G54" s="61">
        <f>IF($N54="","",IF($P54&gt;0,IF(2&lt;=SemanaActual,INDEX('Cronograma Asistente Técnico'!$AI$5:$AI$1000,$N54),""),IF(INDEX('Cronograma Asistente Técnico'!$J$5:$J$1000,$N54)="","",INDEX('Cronograma Asistente Técnico'!$J$5:$J$1000,$N54))))</f>
        <v/>
      </c>
      <c r="H54" s="61">
        <f>IF($N54="","",IF($P54&gt;0,IF(3&lt;=SemanaActual,INDEX('Cronograma Asistente Técnico'!$AJ$5:$AJ$1000,$N54),""),IF(INDEX('Cronograma Asistente Técnico'!$K$5:$K$1000,$N54)="","",INDEX('Cronograma Asistente Técnico'!$K$5:$K$1000,$N54))))</f>
        <v/>
      </c>
      <c r="I54" s="61">
        <f>IF($N54="","",IF($P54&gt;0,IF(4&lt;=SemanaActual,INDEX('Cronograma Asistente Técnico'!$AK$5:$AK$1000,$N54),""),IF(INDEX('Cronograma Asistente Técnico'!$L$5:$L$1000,$N54)="","",INDEX('Cronograma Asistente Técnico'!$L$5:$L$1000,$N54))))</f>
        <v/>
      </c>
      <c r="J54" s="61">
        <f>IF($N54="","",INDEX('Cronograma Asistente Técnico'!$M$5:$M$1000,$N54))</f>
        <v/>
      </c>
      <c r="K54" s="56">
        <f>IF($N54="","",IF(N($J54)&gt;=1,"Completado",IF(AND(ISNUMBER($D54),$D54&lt;FechaRef),"Vencida",IF(N($J54)&gt;0,"En curso","Pendiente"))))</f>
        <v/>
      </c>
      <c r="L54" s="56">
        <f>IF($N54="","",INDEX('Cronograma Asistente Técnico'!$O$5:$O$1000,$N54)&amp;"")</f>
        <v/>
      </c>
      <c r="M54" s="62">
        <f>IF($N54="","",INDEX('Cronograma Asistente Técnico'!$Q$5:$Q$1000,$N54)&amp;"")</f>
        <v/>
      </c>
      <c r="N54">
        <f>IFERROR(MATCH(ROW()-4,rOrden_ATR,0),"")</f>
        <v/>
      </c>
      <c r="O54">
        <f>IF($N54="","",INDEX('Cronograma Asistente Técnico'!$V$5:$V$1000,$N54))</f>
        <v/>
      </c>
      <c r="P54">
        <f>IF($N54="","",N(INDEX('Cronograma Asistente Técnico'!$W$5:$W$1000,$N54)))</f>
        <v/>
      </c>
      <c r="Q54">
        <f>IF(OR(LEFT($L54,7)="Vencida",LEFT($L54,5)="Vence"),SUMPRODUCT(--(LEFT($L$5:$L54,7)="Vencida"))+SUMPRODUCT(--(LEFT($L$5:$L54,5)="Vence")),"")</f>
        <v/>
      </c>
    </row>
    <row r="55">
      <c r="A55" s="56">
        <f>IF($N55="","",INDEX('Cronograma Asistente Técnico'!$A$5:$A$1000,$N55))</f>
        <v/>
      </c>
      <c r="B55" s="62">
        <f>IF($N55="","",IF($O55="Sub","      ↳  "&amp;INDEX('Cronograma Asistente Técnico'!$C$5:$C$1000,$N55),INDEX('Cronograma Asistente Técnico'!$C$5:$C$1000,$N55)&amp;""))</f>
        <v/>
      </c>
      <c r="C55" s="79">
        <f>IF($N55="","",IF(INDEX('Cronograma Asistente Técnico'!$AR$5:$AR$1000,$N55)="","",INDEX('Cronograma Asistente Técnico'!$AR$5:$AR$1000,$N55)))</f>
        <v/>
      </c>
      <c r="D55" s="79">
        <f>IF($N55="","",IF(INDEX('Cronograma Asistente Técnico'!$AS$5:$AS$1000,$N55)="","",INDEX('Cronograma Asistente Técnico'!$AS$5:$AS$1000,$N55)))</f>
        <v/>
      </c>
      <c r="E55" s="56">
        <f>IF($N55="","",IF(NOT(ISNUMBER($D55)),"",IF($D55&lt;InicioCiclo,"Antes del ciclo",IF($D55&gt;=InicioCiclo+28,"Después del ciclo","Semana "&amp;(INT(($D55-InicioCiclo)/7)+1)))))</f>
        <v/>
      </c>
      <c r="F55" s="61">
        <f>IF($N55="","",IF($P55&gt;0,IF(1&lt;=SemanaActual,INDEX('Cronograma Asistente Técnico'!$AH$5:$AH$1000,$N55),""),IF(INDEX('Cronograma Asistente Técnico'!$I$5:$I$1000,$N55)="","",INDEX('Cronograma Asistente Técnico'!$I$5:$I$1000,$N55))))</f>
        <v/>
      </c>
      <c r="G55" s="61">
        <f>IF($N55="","",IF($P55&gt;0,IF(2&lt;=SemanaActual,INDEX('Cronograma Asistente Técnico'!$AI$5:$AI$1000,$N55),""),IF(INDEX('Cronograma Asistente Técnico'!$J$5:$J$1000,$N55)="","",INDEX('Cronograma Asistente Técnico'!$J$5:$J$1000,$N55))))</f>
        <v/>
      </c>
      <c r="H55" s="61">
        <f>IF($N55="","",IF($P55&gt;0,IF(3&lt;=SemanaActual,INDEX('Cronograma Asistente Técnico'!$AJ$5:$AJ$1000,$N55),""),IF(INDEX('Cronograma Asistente Técnico'!$K$5:$K$1000,$N55)="","",INDEX('Cronograma Asistente Técnico'!$K$5:$K$1000,$N55))))</f>
        <v/>
      </c>
      <c r="I55" s="61">
        <f>IF($N55="","",IF($P55&gt;0,IF(4&lt;=SemanaActual,INDEX('Cronograma Asistente Técnico'!$AK$5:$AK$1000,$N55),""),IF(INDEX('Cronograma Asistente Técnico'!$L$5:$L$1000,$N55)="","",INDEX('Cronograma Asistente Técnico'!$L$5:$L$1000,$N55))))</f>
        <v/>
      </c>
      <c r="J55" s="61">
        <f>IF($N55="","",INDEX('Cronograma Asistente Técnico'!$M$5:$M$1000,$N55))</f>
        <v/>
      </c>
      <c r="K55" s="56">
        <f>IF($N55="","",IF(N($J55)&gt;=1,"Completado",IF(AND(ISNUMBER($D55),$D55&lt;FechaRef),"Vencida",IF(N($J55)&gt;0,"En curso","Pendiente"))))</f>
        <v/>
      </c>
      <c r="L55" s="56">
        <f>IF($N55="","",INDEX('Cronograma Asistente Técnico'!$O$5:$O$1000,$N55)&amp;"")</f>
        <v/>
      </c>
      <c r="M55" s="62">
        <f>IF($N55="","",INDEX('Cronograma Asistente Técnico'!$Q$5:$Q$1000,$N55)&amp;"")</f>
        <v/>
      </c>
      <c r="N55">
        <f>IFERROR(MATCH(ROW()-4,rOrden_ATR,0),"")</f>
        <v/>
      </c>
      <c r="O55">
        <f>IF($N55="","",INDEX('Cronograma Asistente Técnico'!$V$5:$V$1000,$N55))</f>
        <v/>
      </c>
      <c r="P55">
        <f>IF($N55="","",N(INDEX('Cronograma Asistente Técnico'!$W$5:$W$1000,$N55)))</f>
        <v/>
      </c>
      <c r="Q55">
        <f>IF(OR(LEFT($L55,7)="Vencida",LEFT($L55,5)="Vence"),SUMPRODUCT(--(LEFT($L$5:$L55,7)="Vencida"))+SUMPRODUCT(--(LEFT($L$5:$L55,5)="Vence")),"")</f>
        <v/>
      </c>
    </row>
    <row r="56">
      <c r="A56" s="56">
        <f>IF($N56="","",INDEX('Cronograma Asistente Técnico'!$A$5:$A$1000,$N56))</f>
        <v/>
      </c>
      <c r="B56" s="62">
        <f>IF($N56="","",IF($O56="Sub","      ↳  "&amp;INDEX('Cronograma Asistente Técnico'!$C$5:$C$1000,$N56),INDEX('Cronograma Asistente Técnico'!$C$5:$C$1000,$N56)&amp;""))</f>
        <v/>
      </c>
      <c r="C56" s="79">
        <f>IF($N56="","",IF(INDEX('Cronograma Asistente Técnico'!$AR$5:$AR$1000,$N56)="","",INDEX('Cronograma Asistente Técnico'!$AR$5:$AR$1000,$N56)))</f>
        <v/>
      </c>
      <c r="D56" s="79">
        <f>IF($N56="","",IF(INDEX('Cronograma Asistente Técnico'!$AS$5:$AS$1000,$N56)="","",INDEX('Cronograma Asistente Técnico'!$AS$5:$AS$1000,$N56)))</f>
        <v/>
      </c>
      <c r="E56" s="56">
        <f>IF($N56="","",IF(NOT(ISNUMBER($D56)),"",IF($D56&lt;InicioCiclo,"Antes del ciclo",IF($D56&gt;=InicioCiclo+28,"Después del ciclo","Semana "&amp;(INT(($D56-InicioCiclo)/7)+1)))))</f>
        <v/>
      </c>
      <c r="F56" s="61">
        <f>IF($N56="","",IF($P56&gt;0,IF(1&lt;=SemanaActual,INDEX('Cronograma Asistente Técnico'!$AH$5:$AH$1000,$N56),""),IF(INDEX('Cronograma Asistente Técnico'!$I$5:$I$1000,$N56)="","",INDEX('Cronograma Asistente Técnico'!$I$5:$I$1000,$N56))))</f>
        <v/>
      </c>
      <c r="G56" s="61">
        <f>IF($N56="","",IF($P56&gt;0,IF(2&lt;=SemanaActual,INDEX('Cronograma Asistente Técnico'!$AI$5:$AI$1000,$N56),""),IF(INDEX('Cronograma Asistente Técnico'!$J$5:$J$1000,$N56)="","",INDEX('Cronograma Asistente Técnico'!$J$5:$J$1000,$N56))))</f>
        <v/>
      </c>
      <c r="H56" s="61">
        <f>IF($N56="","",IF($P56&gt;0,IF(3&lt;=SemanaActual,INDEX('Cronograma Asistente Técnico'!$AJ$5:$AJ$1000,$N56),""),IF(INDEX('Cronograma Asistente Técnico'!$K$5:$K$1000,$N56)="","",INDEX('Cronograma Asistente Técnico'!$K$5:$K$1000,$N56))))</f>
        <v/>
      </c>
      <c r="I56" s="61">
        <f>IF($N56="","",IF($P56&gt;0,IF(4&lt;=SemanaActual,INDEX('Cronograma Asistente Técnico'!$AK$5:$AK$1000,$N56),""),IF(INDEX('Cronograma Asistente Técnico'!$L$5:$L$1000,$N56)="","",INDEX('Cronograma Asistente Técnico'!$L$5:$L$1000,$N56))))</f>
        <v/>
      </c>
      <c r="J56" s="61">
        <f>IF($N56="","",INDEX('Cronograma Asistente Técnico'!$M$5:$M$1000,$N56))</f>
        <v/>
      </c>
      <c r="K56" s="56">
        <f>IF($N56="","",IF(N($J56)&gt;=1,"Completado",IF(AND(ISNUMBER($D56),$D56&lt;FechaRef),"Vencida",IF(N($J56)&gt;0,"En curso","Pendiente"))))</f>
        <v/>
      </c>
      <c r="L56" s="56">
        <f>IF($N56="","",INDEX('Cronograma Asistente Técnico'!$O$5:$O$1000,$N56)&amp;"")</f>
        <v/>
      </c>
      <c r="M56" s="62">
        <f>IF($N56="","",INDEX('Cronograma Asistente Técnico'!$Q$5:$Q$1000,$N56)&amp;"")</f>
        <v/>
      </c>
      <c r="N56">
        <f>IFERROR(MATCH(ROW()-4,rOrden_ATR,0),"")</f>
        <v/>
      </c>
      <c r="O56">
        <f>IF($N56="","",INDEX('Cronograma Asistente Técnico'!$V$5:$V$1000,$N56))</f>
        <v/>
      </c>
      <c r="P56">
        <f>IF($N56="","",N(INDEX('Cronograma Asistente Técnico'!$W$5:$W$1000,$N56)))</f>
        <v/>
      </c>
      <c r="Q56">
        <f>IF(OR(LEFT($L56,7)="Vencida",LEFT($L56,5)="Vence"),SUMPRODUCT(--(LEFT($L$5:$L56,7)="Vencida"))+SUMPRODUCT(--(LEFT($L$5:$L56,5)="Vence")),"")</f>
        <v/>
      </c>
    </row>
    <row r="57">
      <c r="A57" s="56">
        <f>IF($N57="","",INDEX('Cronograma Asistente Técnico'!$A$5:$A$1000,$N57))</f>
        <v/>
      </c>
      <c r="B57" s="62">
        <f>IF($N57="","",IF($O57="Sub","      ↳  "&amp;INDEX('Cronograma Asistente Técnico'!$C$5:$C$1000,$N57),INDEX('Cronograma Asistente Técnico'!$C$5:$C$1000,$N57)&amp;""))</f>
        <v/>
      </c>
      <c r="C57" s="79">
        <f>IF($N57="","",IF(INDEX('Cronograma Asistente Técnico'!$AR$5:$AR$1000,$N57)="","",INDEX('Cronograma Asistente Técnico'!$AR$5:$AR$1000,$N57)))</f>
        <v/>
      </c>
      <c r="D57" s="79">
        <f>IF($N57="","",IF(INDEX('Cronograma Asistente Técnico'!$AS$5:$AS$1000,$N57)="","",INDEX('Cronograma Asistente Técnico'!$AS$5:$AS$1000,$N57)))</f>
        <v/>
      </c>
      <c r="E57" s="56">
        <f>IF($N57="","",IF(NOT(ISNUMBER($D57)),"",IF($D57&lt;InicioCiclo,"Antes del ciclo",IF($D57&gt;=InicioCiclo+28,"Después del ciclo","Semana "&amp;(INT(($D57-InicioCiclo)/7)+1)))))</f>
        <v/>
      </c>
      <c r="F57" s="61">
        <f>IF($N57="","",IF($P57&gt;0,IF(1&lt;=SemanaActual,INDEX('Cronograma Asistente Técnico'!$AH$5:$AH$1000,$N57),""),IF(INDEX('Cronograma Asistente Técnico'!$I$5:$I$1000,$N57)="","",INDEX('Cronograma Asistente Técnico'!$I$5:$I$1000,$N57))))</f>
        <v/>
      </c>
      <c r="G57" s="61">
        <f>IF($N57="","",IF($P57&gt;0,IF(2&lt;=SemanaActual,INDEX('Cronograma Asistente Técnico'!$AI$5:$AI$1000,$N57),""),IF(INDEX('Cronograma Asistente Técnico'!$J$5:$J$1000,$N57)="","",INDEX('Cronograma Asistente Técnico'!$J$5:$J$1000,$N57))))</f>
        <v/>
      </c>
      <c r="H57" s="61">
        <f>IF($N57="","",IF($P57&gt;0,IF(3&lt;=SemanaActual,INDEX('Cronograma Asistente Técnico'!$AJ$5:$AJ$1000,$N57),""),IF(INDEX('Cronograma Asistente Técnico'!$K$5:$K$1000,$N57)="","",INDEX('Cronograma Asistente Técnico'!$K$5:$K$1000,$N57))))</f>
        <v/>
      </c>
      <c r="I57" s="61">
        <f>IF($N57="","",IF($P57&gt;0,IF(4&lt;=SemanaActual,INDEX('Cronograma Asistente Técnico'!$AK$5:$AK$1000,$N57),""),IF(INDEX('Cronograma Asistente Técnico'!$L$5:$L$1000,$N57)="","",INDEX('Cronograma Asistente Técnico'!$L$5:$L$1000,$N57))))</f>
        <v/>
      </c>
      <c r="J57" s="61">
        <f>IF($N57="","",INDEX('Cronograma Asistente Técnico'!$M$5:$M$1000,$N57))</f>
        <v/>
      </c>
      <c r="K57" s="56">
        <f>IF($N57="","",IF(N($J57)&gt;=1,"Completado",IF(AND(ISNUMBER($D57),$D57&lt;FechaRef),"Vencida",IF(N($J57)&gt;0,"En curso","Pendiente"))))</f>
        <v/>
      </c>
      <c r="L57" s="56">
        <f>IF($N57="","",INDEX('Cronograma Asistente Técnico'!$O$5:$O$1000,$N57)&amp;"")</f>
        <v/>
      </c>
      <c r="M57" s="62">
        <f>IF($N57="","",INDEX('Cronograma Asistente Técnico'!$Q$5:$Q$1000,$N57)&amp;"")</f>
        <v/>
      </c>
      <c r="N57">
        <f>IFERROR(MATCH(ROW()-4,rOrden_ATR,0),"")</f>
        <v/>
      </c>
      <c r="O57">
        <f>IF($N57="","",INDEX('Cronograma Asistente Técnico'!$V$5:$V$1000,$N57))</f>
        <v/>
      </c>
      <c r="P57">
        <f>IF($N57="","",N(INDEX('Cronograma Asistente Técnico'!$W$5:$W$1000,$N57)))</f>
        <v/>
      </c>
      <c r="Q57">
        <f>IF(OR(LEFT($L57,7)="Vencida",LEFT($L57,5)="Vence"),SUMPRODUCT(--(LEFT($L$5:$L57,7)="Vencida"))+SUMPRODUCT(--(LEFT($L$5:$L57,5)="Vence")),"")</f>
        <v/>
      </c>
    </row>
    <row r="58">
      <c r="A58" s="56">
        <f>IF($N58="","",INDEX('Cronograma Asistente Técnico'!$A$5:$A$1000,$N58))</f>
        <v/>
      </c>
      <c r="B58" s="62">
        <f>IF($N58="","",IF($O58="Sub","      ↳  "&amp;INDEX('Cronograma Asistente Técnico'!$C$5:$C$1000,$N58),INDEX('Cronograma Asistente Técnico'!$C$5:$C$1000,$N58)&amp;""))</f>
        <v/>
      </c>
      <c r="C58" s="79">
        <f>IF($N58="","",IF(INDEX('Cronograma Asistente Técnico'!$AR$5:$AR$1000,$N58)="","",INDEX('Cronograma Asistente Técnico'!$AR$5:$AR$1000,$N58)))</f>
        <v/>
      </c>
      <c r="D58" s="79">
        <f>IF($N58="","",IF(INDEX('Cronograma Asistente Técnico'!$AS$5:$AS$1000,$N58)="","",INDEX('Cronograma Asistente Técnico'!$AS$5:$AS$1000,$N58)))</f>
        <v/>
      </c>
      <c r="E58" s="56">
        <f>IF($N58="","",IF(NOT(ISNUMBER($D58)),"",IF($D58&lt;InicioCiclo,"Antes del ciclo",IF($D58&gt;=InicioCiclo+28,"Después del ciclo","Semana "&amp;(INT(($D58-InicioCiclo)/7)+1)))))</f>
        <v/>
      </c>
      <c r="F58" s="61">
        <f>IF($N58="","",IF($P58&gt;0,IF(1&lt;=SemanaActual,INDEX('Cronograma Asistente Técnico'!$AH$5:$AH$1000,$N58),""),IF(INDEX('Cronograma Asistente Técnico'!$I$5:$I$1000,$N58)="","",INDEX('Cronograma Asistente Técnico'!$I$5:$I$1000,$N58))))</f>
        <v/>
      </c>
      <c r="G58" s="61">
        <f>IF($N58="","",IF($P58&gt;0,IF(2&lt;=SemanaActual,INDEX('Cronograma Asistente Técnico'!$AI$5:$AI$1000,$N58),""),IF(INDEX('Cronograma Asistente Técnico'!$J$5:$J$1000,$N58)="","",INDEX('Cronograma Asistente Técnico'!$J$5:$J$1000,$N58))))</f>
        <v/>
      </c>
      <c r="H58" s="61">
        <f>IF($N58="","",IF($P58&gt;0,IF(3&lt;=SemanaActual,INDEX('Cronograma Asistente Técnico'!$AJ$5:$AJ$1000,$N58),""),IF(INDEX('Cronograma Asistente Técnico'!$K$5:$K$1000,$N58)="","",INDEX('Cronograma Asistente Técnico'!$K$5:$K$1000,$N58))))</f>
        <v/>
      </c>
      <c r="I58" s="61">
        <f>IF($N58="","",IF($P58&gt;0,IF(4&lt;=SemanaActual,INDEX('Cronograma Asistente Técnico'!$AK$5:$AK$1000,$N58),""),IF(INDEX('Cronograma Asistente Técnico'!$L$5:$L$1000,$N58)="","",INDEX('Cronograma Asistente Técnico'!$L$5:$L$1000,$N58))))</f>
        <v/>
      </c>
      <c r="J58" s="61">
        <f>IF($N58="","",INDEX('Cronograma Asistente Técnico'!$M$5:$M$1000,$N58))</f>
        <v/>
      </c>
      <c r="K58" s="56">
        <f>IF($N58="","",IF(N($J58)&gt;=1,"Completado",IF(AND(ISNUMBER($D58),$D58&lt;FechaRef),"Vencida",IF(N($J58)&gt;0,"En curso","Pendiente"))))</f>
        <v/>
      </c>
      <c r="L58" s="56">
        <f>IF($N58="","",INDEX('Cronograma Asistente Técnico'!$O$5:$O$1000,$N58)&amp;"")</f>
        <v/>
      </c>
      <c r="M58" s="62">
        <f>IF($N58="","",INDEX('Cronograma Asistente Técnico'!$Q$5:$Q$1000,$N58)&amp;"")</f>
        <v/>
      </c>
      <c r="N58">
        <f>IFERROR(MATCH(ROW()-4,rOrden_ATR,0),"")</f>
        <v/>
      </c>
      <c r="O58">
        <f>IF($N58="","",INDEX('Cronograma Asistente Técnico'!$V$5:$V$1000,$N58))</f>
        <v/>
      </c>
      <c r="P58">
        <f>IF($N58="","",N(INDEX('Cronograma Asistente Técnico'!$W$5:$W$1000,$N58)))</f>
        <v/>
      </c>
      <c r="Q58">
        <f>IF(OR(LEFT($L58,7)="Vencida",LEFT($L58,5)="Vence"),SUMPRODUCT(--(LEFT($L$5:$L58,7)="Vencida"))+SUMPRODUCT(--(LEFT($L$5:$L58,5)="Vence")),"")</f>
        <v/>
      </c>
    </row>
    <row r="59">
      <c r="A59" s="56">
        <f>IF($N59="","",INDEX('Cronograma Asistente Técnico'!$A$5:$A$1000,$N59))</f>
        <v/>
      </c>
      <c r="B59" s="62">
        <f>IF($N59="","",IF($O59="Sub","      ↳  "&amp;INDEX('Cronograma Asistente Técnico'!$C$5:$C$1000,$N59),INDEX('Cronograma Asistente Técnico'!$C$5:$C$1000,$N59)&amp;""))</f>
        <v/>
      </c>
      <c r="C59" s="79">
        <f>IF($N59="","",IF(INDEX('Cronograma Asistente Técnico'!$AR$5:$AR$1000,$N59)="","",INDEX('Cronograma Asistente Técnico'!$AR$5:$AR$1000,$N59)))</f>
        <v/>
      </c>
      <c r="D59" s="79">
        <f>IF($N59="","",IF(INDEX('Cronograma Asistente Técnico'!$AS$5:$AS$1000,$N59)="","",INDEX('Cronograma Asistente Técnico'!$AS$5:$AS$1000,$N59)))</f>
        <v/>
      </c>
      <c r="E59" s="56">
        <f>IF($N59="","",IF(NOT(ISNUMBER($D59)),"",IF($D59&lt;InicioCiclo,"Antes del ciclo",IF($D59&gt;=InicioCiclo+28,"Después del ciclo","Semana "&amp;(INT(($D59-InicioCiclo)/7)+1)))))</f>
        <v/>
      </c>
      <c r="F59" s="61">
        <f>IF($N59="","",IF($P59&gt;0,IF(1&lt;=SemanaActual,INDEX('Cronograma Asistente Técnico'!$AH$5:$AH$1000,$N59),""),IF(INDEX('Cronograma Asistente Técnico'!$I$5:$I$1000,$N59)="","",INDEX('Cronograma Asistente Técnico'!$I$5:$I$1000,$N59))))</f>
        <v/>
      </c>
      <c r="G59" s="61">
        <f>IF($N59="","",IF($P59&gt;0,IF(2&lt;=SemanaActual,INDEX('Cronograma Asistente Técnico'!$AI$5:$AI$1000,$N59),""),IF(INDEX('Cronograma Asistente Técnico'!$J$5:$J$1000,$N59)="","",INDEX('Cronograma Asistente Técnico'!$J$5:$J$1000,$N59))))</f>
        <v/>
      </c>
      <c r="H59" s="61">
        <f>IF($N59="","",IF($P59&gt;0,IF(3&lt;=SemanaActual,INDEX('Cronograma Asistente Técnico'!$AJ$5:$AJ$1000,$N59),""),IF(INDEX('Cronograma Asistente Técnico'!$K$5:$K$1000,$N59)="","",INDEX('Cronograma Asistente Técnico'!$K$5:$K$1000,$N59))))</f>
        <v/>
      </c>
      <c r="I59" s="61">
        <f>IF($N59="","",IF($P59&gt;0,IF(4&lt;=SemanaActual,INDEX('Cronograma Asistente Técnico'!$AK$5:$AK$1000,$N59),""),IF(INDEX('Cronograma Asistente Técnico'!$L$5:$L$1000,$N59)="","",INDEX('Cronograma Asistente Técnico'!$L$5:$L$1000,$N59))))</f>
        <v/>
      </c>
      <c r="J59" s="61">
        <f>IF($N59="","",INDEX('Cronograma Asistente Técnico'!$M$5:$M$1000,$N59))</f>
        <v/>
      </c>
      <c r="K59" s="56">
        <f>IF($N59="","",IF(N($J59)&gt;=1,"Completado",IF(AND(ISNUMBER($D59),$D59&lt;FechaRef),"Vencida",IF(N($J59)&gt;0,"En curso","Pendiente"))))</f>
        <v/>
      </c>
      <c r="L59" s="56">
        <f>IF($N59="","",INDEX('Cronograma Asistente Técnico'!$O$5:$O$1000,$N59)&amp;"")</f>
        <v/>
      </c>
      <c r="M59" s="62">
        <f>IF($N59="","",INDEX('Cronograma Asistente Técnico'!$Q$5:$Q$1000,$N59)&amp;"")</f>
        <v/>
      </c>
      <c r="N59">
        <f>IFERROR(MATCH(ROW()-4,rOrden_ATR,0),"")</f>
        <v/>
      </c>
      <c r="O59">
        <f>IF($N59="","",INDEX('Cronograma Asistente Técnico'!$V$5:$V$1000,$N59))</f>
        <v/>
      </c>
      <c r="P59">
        <f>IF($N59="","",N(INDEX('Cronograma Asistente Técnico'!$W$5:$W$1000,$N59)))</f>
        <v/>
      </c>
      <c r="Q59">
        <f>IF(OR(LEFT($L59,7)="Vencida",LEFT($L59,5)="Vence"),SUMPRODUCT(--(LEFT($L$5:$L59,7)="Vencida"))+SUMPRODUCT(--(LEFT($L$5:$L59,5)="Vence")),"")</f>
        <v/>
      </c>
    </row>
    <row r="60">
      <c r="A60" s="56">
        <f>IF($N60="","",INDEX('Cronograma Asistente Técnico'!$A$5:$A$1000,$N60))</f>
        <v/>
      </c>
      <c r="B60" s="62">
        <f>IF($N60="","",IF($O60="Sub","      ↳  "&amp;INDEX('Cronograma Asistente Técnico'!$C$5:$C$1000,$N60),INDEX('Cronograma Asistente Técnico'!$C$5:$C$1000,$N60)&amp;""))</f>
        <v/>
      </c>
      <c r="C60" s="79">
        <f>IF($N60="","",IF(INDEX('Cronograma Asistente Técnico'!$AR$5:$AR$1000,$N60)="","",INDEX('Cronograma Asistente Técnico'!$AR$5:$AR$1000,$N60)))</f>
        <v/>
      </c>
      <c r="D60" s="79">
        <f>IF($N60="","",IF(INDEX('Cronograma Asistente Técnico'!$AS$5:$AS$1000,$N60)="","",INDEX('Cronograma Asistente Técnico'!$AS$5:$AS$1000,$N60)))</f>
        <v/>
      </c>
      <c r="E60" s="56">
        <f>IF($N60="","",IF(NOT(ISNUMBER($D60)),"",IF($D60&lt;InicioCiclo,"Antes del ciclo",IF($D60&gt;=InicioCiclo+28,"Después del ciclo","Semana "&amp;(INT(($D60-InicioCiclo)/7)+1)))))</f>
        <v/>
      </c>
      <c r="F60" s="61">
        <f>IF($N60="","",IF($P60&gt;0,IF(1&lt;=SemanaActual,INDEX('Cronograma Asistente Técnico'!$AH$5:$AH$1000,$N60),""),IF(INDEX('Cronograma Asistente Técnico'!$I$5:$I$1000,$N60)="","",INDEX('Cronograma Asistente Técnico'!$I$5:$I$1000,$N60))))</f>
        <v/>
      </c>
      <c r="G60" s="61">
        <f>IF($N60="","",IF($P60&gt;0,IF(2&lt;=SemanaActual,INDEX('Cronograma Asistente Técnico'!$AI$5:$AI$1000,$N60),""),IF(INDEX('Cronograma Asistente Técnico'!$J$5:$J$1000,$N60)="","",INDEX('Cronograma Asistente Técnico'!$J$5:$J$1000,$N60))))</f>
        <v/>
      </c>
      <c r="H60" s="61">
        <f>IF($N60="","",IF($P60&gt;0,IF(3&lt;=SemanaActual,INDEX('Cronograma Asistente Técnico'!$AJ$5:$AJ$1000,$N60),""),IF(INDEX('Cronograma Asistente Técnico'!$K$5:$K$1000,$N60)="","",INDEX('Cronograma Asistente Técnico'!$K$5:$K$1000,$N60))))</f>
        <v/>
      </c>
      <c r="I60" s="61">
        <f>IF($N60="","",IF($P60&gt;0,IF(4&lt;=SemanaActual,INDEX('Cronograma Asistente Técnico'!$AK$5:$AK$1000,$N60),""),IF(INDEX('Cronograma Asistente Técnico'!$L$5:$L$1000,$N60)="","",INDEX('Cronograma Asistente Técnico'!$L$5:$L$1000,$N60))))</f>
        <v/>
      </c>
      <c r="J60" s="61">
        <f>IF($N60="","",INDEX('Cronograma Asistente Técnico'!$M$5:$M$1000,$N60))</f>
        <v/>
      </c>
      <c r="K60" s="56">
        <f>IF($N60="","",IF(N($J60)&gt;=1,"Completado",IF(AND(ISNUMBER($D60),$D60&lt;FechaRef),"Vencida",IF(N($J60)&gt;0,"En curso","Pendiente"))))</f>
        <v/>
      </c>
      <c r="L60" s="56">
        <f>IF($N60="","",INDEX('Cronograma Asistente Técnico'!$O$5:$O$1000,$N60)&amp;"")</f>
        <v/>
      </c>
      <c r="M60" s="62">
        <f>IF($N60="","",INDEX('Cronograma Asistente Técnico'!$Q$5:$Q$1000,$N60)&amp;"")</f>
        <v/>
      </c>
      <c r="N60">
        <f>IFERROR(MATCH(ROW()-4,rOrden_ATR,0),"")</f>
        <v/>
      </c>
      <c r="O60">
        <f>IF($N60="","",INDEX('Cronograma Asistente Técnico'!$V$5:$V$1000,$N60))</f>
        <v/>
      </c>
      <c r="P60">
        <f>IF($N60="","",N(INDEX('Cronograma Asistente Técnico'!$W$5:$W$1000,$N60)))</f>
        <v/>
      </c>
      <c r="Q60">
        <f>IF(OR(LEFT($L60,7)="Vencida",LEFT($L60,5)="Vence"),SUMPRODUCT(--(LEFT($L$5:$L60,7)="Vencida"))+SUMPRODUCT(--(LEFT($L$5:$L60,5)="Vence")),"")</f>
        <v/>
      </c>
    </row>
    <row r="61">
      <c r="A61" s="56">
        <f>IF($N61="","",INDEX('Cronograma Asistente Técnico'!$A$5:$A$1000,$N61))</f>
        <v/>
      </c>
      <c r="B61" s="62">
        <f>IF($N61="","",IF($O61="Sub","      ↳  "&amp;INDEX('Cronograma Asistente Técnico'!$C$5:$C$1000,$N61),INDEX('Cronograma Asistente Técnico'!$C$5:$C$1000,$N61)&amp;""))</f>
        <v/>
      </c>
      <c r="C61" s="79">
        <f>IF($N61="","",IF(INDEX('Cronograma Asistente Técnico'!$AR$5:$AR$1000,$N61)="","",INDEX('Cronograma Asistente Técnico'!$AR$5:$AR$1000,$N61)))</f>
        <v/>
      </c>
      <c r="D61" s="79">
        <f>IF($N61="","",IF(INDEX('Cronograma Asistente Técnico'!$AS$5:$AS$1000,$N61)="","",INDEX('Cronograma Asistente Técnico'!$AS$5:$AS$1000,$N61)))</f>
        <v/>
      </c>
      <c r="E61" s="56">
        <f>IF($N61="","",IF(NOT(ISNUMBER($D61)),"",IF($D61&lt;InicioCiclo,"Antes del ciclo",IF($D61&gt;=InicioCiclo+28,"Después del ciclo","Semana "&amp;(INT(($D61-InicioCiclo)/7)+1)))))</f>
        <v/>
      </c>
      <c r="F61" s="61">
        <f>IF($N61="","",IF($P61&gt;0,IF(1&lt;=SemanaActual,INDEX('Cronograma Asistente Técnico'!$AH$5:$AH$1000,$N61),""),IF(INDEX('Cronograma Asistente Técnico'!$I$5:$I$1000,$N61)="","",INDEX('Cronograma Asistente Técnico'!$I$5:$I$1000,$N61))))</f>
        <v/>
      </c>
      <c r="G61" s="61">
        <f>IF($N61="","",IF($P61&gt;0,IF(2&lt;=SemanaActual,INDEX('Cronograma Asistente Técnico'!$AI$5:$AI$1000,$N61),""),IF(INDEX('Cronograma Asistente Técnico'!$J$5:$J$1000,$N61)="","",INDEX('Cronograma Asistente Técnico'!$J$5:$J$1000,$N61))))</f>
        <v/>
      </c>
      <c r="H61" s="61">
        <f>IF($N61="","",IF($P61&gt;0,IF(3&lt;=SemanaActual,INDEX('Cronograma Asistente Técnico'!$AJ$5:$AJ$1000,$N61),""),IF(INDEX('Cronograma Asistente Técnico'!$K$5:$K$1000,$N61)="","",INDEX('Cronograma Asistente Técnico'!$K$5:$K$1000,$N61))))</f>
        <v/>
      </c>
      <c r="I61" s="61">
        <f>IF($N61="","",IF($P61&gt;0,IF(4&lt;=SemanaActual,INDEX('Cronograma Asistente Técnico'!$AK$5:$AK$1000,$N61),""),IF(INDEX('Cronograma Asistente Técnico'!$L$5:$L$1000,$N61)="","",INDEX('Cronograma Asistente Técnico'!$L$5:$L$1000,$N61))))</f>
        <v/>
      </c>
      <c r="J61" s="61">
        <f>IF($N61="","",INDEX('Cronograma Asistente Técnico'!$M$5:$M$1000,$N61))</f>
        <v/>
      </c>
      <c r="K61" s="56">
        <f>IF($N61="","",IF(N($J61)&gt;=1,"Completado",IF(AND(ISNUMBER($D61),$D61&lt;FechaRef),"Vencida",IF(N($J61)&gt;0,"En curso","Pendiente"))))</f>
        <v/>
      </c>
      <c r="L61" s="56">
        <f>IF($N61="","",INDEX('Cronograma Asistente Técnico'!$O$5:$O$1000,$N61)&amp;"")</f>
        <v/>
      </c>
      <c r="M61" s="62">
        <f>IF($N61="","",INDEX('Cronograma Asistente Técnico'!$Q$5:$Q$1000,$N61)&amp;"")</f>
        <v/>
      </c>
      <c r="N61">
        <f>IFERROR(MATCH(ROW()-4,rOrden_ATR,0),"")</f>
        <v/>
      </c>
      <c r="O61">
        <f>IF($N61="","",INDEX('Cronograma Asistente Técnico'!$V$5:$V$1000,$N61))</f>
        <v/>
      </c>
      <c r="P61">
        <f>IF($N61="","",N(INDEX('Cronograma Asistente Técnico'!$W$5:$W$1000,$N61)))</f>
        <v/>
      </c>
      <c r="Q61">
        <f>IF(OR(LEFT($L61,7)="Vencida",LEFT($L61,5)="Vence"),SUMPRODUCT(--(LEFT($L$5:$L61,7)="Vencida"))+SUMPRODUCT(--(LEFT($L$5:$L61,5)="Vence")),"")</f>
        <v/>
      </c>
    </row>
    <row r="62">
      <c r="A62" s="56">
        <f>IF($N62="","",INDEX('Cronograma Asistente Técnico'!$A$5:$A$1000,$N62))</f>
        <v/>
      </c>
      <c r="B62" s="62">
        <f>IF($N62="","",IF($O62="Sub","      ↳  "&amp;INDEX('Cronograma Asistente Técnico'!$C$5:$C$1000,$N62),INDEX('Cronograma Asistente Técnico'!$C$5:$C$1000,$N62)&amp;""))</f>
        <v/>
      </c>
      <c r="C62" s="79">
        <f>IF($N62="","",IF(INDEX('Cronograma Asistente Técnico'!$AR$5:$AR$1000,$N62)="","",INDEX('Cronograma Asistente Técnico'!$AR$5:$AR$1000,$N62)))</f>
        <v/>
      </c>
      <c r="D62" s="79">
        <f>IF($N62="","",IF(INDEX('Cronograma Asistente Técnico'!$AS$5:$AS$1000,$N62)="","",INDEX('Cronograma Asistente Técnico'!$AS$5:$AS$1000,$N62)))</f>
        <v/>
      </c>
      <c r="E62" s="56">
        <f>IF($N62="","",IF(NOT(ISNUMBER($D62)),"",IF($D62&lt;InicioCiclo,"Antes del ciclo",IF($D62&gt;=InicioCiclo+28,"Después del ciclo","Semana "&amp;(INT(($D62-InicioCiclo)/7)+1)))))</f>
        <v/>
      </c>
      <c r="F62" s="61">
        <f>IF($N62="","",IF($P62&gt;0,IF(1&lt;=SemanaActual,INDEX('Cronograma Asistente Técnico'!$AH$5:$AH$1000,$N62),""),IF(INDEX('Cronograma Asistente Técnico'!$I$5:$I$1000,$N62)="","",INDEX('Cronograma Asistente Técnico'!$I$5:$I$1000,$N62))))</f>
        <v/>
      </c>
      <c r="G62" s="61">
        <f>IF($N62="","",IF($P62&gt;0,IF(2&lt;=SemanaActual,INDEX('Cronograma Asistente Técnico'!$AI$5:$AI$1000,$N62),""),IF(INDEX('Cronograma Asistente Técnico'!$J$5:$J$1000,$N62)="","",INDEX('Cronograma Asistente Técnico'!$J$5:$J$1000,$N62))))</f>
        <v/>
      </c>
      <c r="H62" s="61">
        <f>IF($N62="","",IF($P62&gt;0,IF(3&lt;=SemanaActual,INDEX('Cronograma Asistente Técnico'!$AJ$5:$AJ$1000,$N62),""),IF(INDEX('Cronograma Asistente Técnico'!$K$5:$K$1000,$N62)="","",INDEX('Cronograma Asistente Técnico'!$K$5:$K$1000,$N62))))</f>
        <v/>
      </c>
      <c r="I62" s="61">
        <f>IF($N62="","",IF($P62&gt;0,IF(4&lt;=SemanaActual,INDEX('Cronograma Asistente Técnico'!$AK$5:$AK$1000,$N62),""),IF(INDEX('Cronograma Asistente Técnico'!$L$5:$L$1000,$N62)="","",INDEX('Cronograma Asistente Técnico'!$L$5:$L$1000,$N62))))</f>
        <v/>
      </c>
      <c r="J62" s="61">
        <f>IF($N62="","",INDEX('Cronograma Asistente Técnico'!$M$5:$M$1000,$N62))</f>
        <v/>
      </c>
      <c r="K62" s="56">
        <f>IF($N62="","",IF(N($J62)&gt;=1,"Completado",IF(AND(ISNUMBER($D62),$D62&lt;FechaRef),"Vencida",IF(N($J62)&gt;0,"En curso","Pendiente"))))</f>
        <v/>
      </c>
      <c r="L62" s="56">
        <f>IF($N62="","",INDEX('Cronograma Asistente Técnico'!$O$5:$O$1000,$N62)&amp;"")</f>
        <v/>
      </c>
      <c r="M62" s="62">
        <f>IF($N62="","",INDEX('Cronograma Asistente Técnico'!$Q$5:$Q$1000,$N62)&amp;"")</f>
        <v/>
      </c>
      <c r="N62">
        <f>IFERROR(MATCH(ROW()-4,rOrden_ATR,0),"")</f>
        <v/>
      </c>
      <c r="O62">
        <f>IF($N62="","",INDEX('Cronograma Asistente Técnico'!$V$5:$V$1000,$N62))</f>
        <v/>
      </c>
      <c r="P62">
        <f>IF($N62="","",N(INDEX('Cronograma Asistente Técnico'!$W$5:$W$1000,$N62)))</f>
        <v/>
      </c>
      <c r="Q62">
        <f>IF(OR(LEFT($L62,7)="Vencida",LEFT($L62,5)="Vence"),SUMPRODUCT(--(LEFT($L$5:$L62,7)="Vencida"))+SUMPRODUCT(--(LEFT($L$5:$L62,5)="Vence")),"")</f>
        <v/>
      </c>
    </row>
    <row r="63">
      <c r="A63" s="56">
        <f>IF($N63="","",INDEX('Cronograma Asistente Técnico'!$A$5:$A$1000,$N63))</f>
        <v/>
      </c>
      <c r="B63" s="62">
        <f>IF($N63="","",IF($O63="Sub","      ↳  "&amp;INDEX('Cronograma Asistente Técnico'!$C$5:$C$1000,$N63),INDEX('Cronograma Asistente Técnico'!$C$5:$C$1000,$N63)&amp;""))</f>
        <v/>
      </c>
      <c r="C63" s="79">
        <f>IF($N63="","",IF(INDEX('Cronograma Asistente Técnico'!$AR$5:$AR$1000,$N63)="","",INDEX('Cronograma Asistente Técnico'!$AR$5:$AR$1000,$N63)))</f>
        <v/>
      </c>
      <c r="D63" s="79">
        <f>IF($N63="","",IF(INDEX('Cronograma Asistente Técnico'!$AS$5:$AS$1000,$N63)="","",INDEX('Cronograma Asistente Técnico'!$AS$5:$AS$1000,$N63)))</f>
        <v/>
      </c>
      <c r="E63" s="56">
        <f>IF($N63="","",IF(NOT(ISNUMBER($D63)),"",IF($D63&lt;InicioCiclo,"Antes del ciclo",IF($D63&gt;=InicioCiclo+28,"Después del ciclo","Semana "&amp;(INT(($D63-InicioCiclo)/7)+1)))))</f>
        <v/>
      </c>
      <c r="F63" s="61">
        <f>IF($N63="","",IF($P63&gt;0,IF(1&lt;=SemanaActual,INDEX('Cronograma Asistente Técnico'!$AH$5:$AH$1000,$N63),""),IF(INDEX('Cronograma Asistente Técnico'!$I$5:$I$1000,$N63)="","",INDEX('Cronograma Asistente Técnico'!$I$5:$I$1000,$N63))))</f>
        <v/>
      </c>
      <c r="G63" s="61">
        <f>IF($N63="","",IF($P63&gt;0,IF(2&lt;=SemanaActual,INDEX('Cronograma Asistente Técnico'!$AI$5:$AI$1000,$N63),""),IF(INDEX('Cronograma Asistente Técnico'!$J$5:$J$1000,$N63)="","",INDEX('Cronograma Asistente Técnico'!$J$5:$J$1000,$N63))))</f>
        <v/>
      </c>
      <c r="H63" s="61">
        <f>IF($N63="","",IF($P63&gt;0,IF(3&lt;=SemanaActual,INDEX('Cronograma Asistente Técnico'!$AJ$5:$AJ$1000,$N63),""),IF(INDEX('Cronograma Asistente Técnico'!$K$5:$K$1000,$N63)="","",INDEX('Cronograma Asistente Técnico'!$K$5:$K$1000,$N63))))</f>
        <v/>
      </c>
      <c r="I63" s="61">
        <f>IF($N63="","",IF($P63&gt;0,IF(4&lt;=SemanaActual,INDEX('Cronograma Asistente Técnico'!$AK$5:$AK$1000,$N63),""),IF(INDEX('Cronograma Asistente Técnico'!$L$5:$L$1000,$N63)="","",INDEX('Cronograma Asistente Técnico'!$L$5:$L$1000,$N63))))</f>
        <v/>
      </c>
      <c r="J63" s="61">
        <f>IF($N63="","",INDEX('Cronograma Asistente Técnico'!$M$5:$M$1000,$N63))</f>
        <v/>
      </c>
      <c r="K63" s="56">
        <f>IF($N63="","",IF(N($J63)&gt;=1,"Completado",IF(AND(ISNUMBER($D63),$D63&lt;FechaRef),"Vencida",IF(N($J63)&gt;0,"En curso","Pendiente"))))</f>
        <v/>
      </c>
      <c r="L63" s="56">
        <f>IF($N63="","",INDEX('Cronograma Asistente Técnico'!$O$5:$O$1000,$N63)&amp;"")</f>
        <v/>
      </c>
      <c r="M63" s="62">
        <f>IF($N63="","",INDEX('Cronograma Asistente Técnico'!$Q$5:$Q$1000,$N63)&amp;"")</f>
        <v/>
      </c>
      <c r="N63">
        <f>IFERROR(MATCH(ROW()-4,rOrden_ATR,0),"")</f>
        <v/>
      </c>
      <c r="O63">
        <f>IF($N63="","",INDEX('Cronograma Asistente Técnico'!$V$5:$V$1000,$N63))</f>
        <v/>
      </c>
      <c r="P63">
        <f>IF($N63="","",N(INDEX('Cronograma Asistente Técnico'!$W$5:$W$1000,$N63)))</f>
        <v/>
      </c>
      <c r="Q63">
        <f>IF(OR(LEFT($L63,7)="Vencida",LEFT($L63,5)="Vence"),SUMPRODUCT(--(LEFT($L$5:$L63,7)="Vencida"))+SUMPRODUCT(--(LEFT($L$5:$L63,5)="Vence")),"")</f>
        <v/>
      </c>
    </row>
    <row r="64">
      <c r="A64" s="56">
        <f>IF($N64="","",INDEX('Cronograma Asistente Técnico'!$A$5:$A$1000,$N64))</f>
        <v/>
      </c>
      <c r="B64" s="62">
        <f>IF($N64="","",IF($O64="Sub","      ↳  "&amp;INDEX('Cronograma Asistente Técnico'!$C$5:$C$1000,$N64),INDEX('Cronograma Asistente Técnico'!$C$5:$C$1000,$N64)&amp;""))</f>
        <v/>
      </c>
      <c r="C64" s="79">
        <f>IF($N64="","",IF(INDEX('Cronograma Asistente Técnico'!$AR$5:$AR$1000,$N64)="","",INDEX('Cronograma Asistente Técnico'!$AR$5:$AR$1000,$N64)))</f>
        <v/>
      </c>
      <c r="D64" s="79">
        <f>IF($N64="","",IF(INDEX('Cronograma Asistente Técnico'!$AS$5:$AS$1000,$N64)="","",INDEX('Cronograma Asistente Técnico'!$AS$5:$AS$1000,$N64)))</f>
        <v/>
      </c>
      <c r="E64" s="56">
        <f>IF($N64="","",IF(NOT(ISNUMBER($D64)),"",IF($D64&lt;InicioCiclo,"Antes del ciclo",IF($D64&gt;=InicioCiclo+28,"Después del ciclo","Semana "&amp;(INT(($D64-InicioCiclo)/7)+1)))))</f>
        <v/>
      </c>
      <c r="F64" s="61">
        <f>IF($N64="","",IF($P64&gt;0,IF(1&lt;=SemanaActual,INDEX('Cronograma Asistente Técnico'!$AH$5:$AH$1000,$N64),""),IF(INDEX('Cronograma Asistente Técnico'!$I$5:$I$1000,$N64)="","",INDEX('Cronograma Asistente Técnico'!$I$5:$I$1000,$N64))))</f>
        <v/>
      </c>
      <c r="G64" s="61">
        <f>IF($N64="","",IF($P64&gt;0,IF(2&lt;=SemanaActual,INDEX('Cronograma Asistente Técnico'!$AI$5:$AI$1000,$N64),""),IF(INDEX('Cronograma Asistente Técnico'!$J$5:$J$1000,$N64)="","",INDEX('Cronograma Asistente Técnico'!$J$5:$J$1000,$N64))))</f>
        <v/>
      </c>
      <c r="H64" s="61">
        <f>IF($N64="","",IF($P64&gt;0,IF(3&lt;=SemanaActual,INDEX('Cronograma Asistente Técnico'!$AJ$5:$AJ$1000,$N64),""),IF(INDEX('Cronograma Asistente Técnico'!$K$5:$K$1000,$N64)="","",INDEX('Cronograma Asistente Técnico'!$K$5:$K$1000,$N64))))</f>
        <v/>
      </c>
      <c r="I64" s="61">
        <f>IF($N64="","",IF($P64&gt;0,IF(4&lt;=SemanaActual,INDEX('Cronograma Asistente Técnico'!$AK$5:$AK$1000,$N64),""),IF(INDEX('Cronograma Asistente Técnico'!$L$5:$L$1000,$N64)="","",INDEX('Cronograma Asistente Técnico'!$L$5:$L$1000,$N64))))</f>
        <v/>
      </c>
      <c r="J64" s="61">
        <f>IF($N64="","",INDEX('Cronograma Asistente Técnico'!$M$5:$M$1000,$N64))</f>
        <v/>
      </c>
      <c r="K64" s="56">
        <f>IF($N64="","",IF(N($J64)&gt;=1,"Completado",IF(AND(ISNUMBER($D64),$D64&lt;FechaRef),"Vencida",IF(N($J64)&gt;0,"En curso","Pendiente"))))</f>
        <v/>
      </c>
      <c r="L64" s="56">
        <f>IF($N64="","",INDEX('Cronograma Asistente Técnico'!$O$5:$O$1000,$N64)&amp;"")</f>
        <v/>
      </c>
      <c r="M64" s="62">
        <f>IF($N64="","",INDEX('Cronograma Asistente Técnico'!$Q$5:$Q$1000,$N64)&amp;"")</f>
        <v/>
      </c>
      <c r="N64">
        <f>IFERROR(MATCH(ROW()-4,rOrden_ATR,0),"")</f>
        <v/>
      </c>
      <c r="O64">
        <f>IF($N64="","",INDEX('Cronograma Asistente Técnico'!$V$5:$V$1000,$N64))</f>
        <v/>
      </c>
      <c r="P64">
        <f>IF($N64="","",N(INDEX('Cronograma Asistente Técnico'!$W$5:$W$1000,$N64)))</f>
        <v/>
      </c>
      <c r="Q64">
        <f>IF(OR(LEFT($L64,7)="Vencida",LEFT($L64,5)="Vence"),SUMPRODUCT(--(LEFT($L$5:$L64,7)="Vencida"))+SUMPRODUCT(--(LEFT($L$5:$L64,5)="Vence")),"")</f>
        <v/>
      </c>
    </row>
    <row r="65">
      <c r="A65" s="56">
        <f>IF($N65="","",INDEX('Cronograma Asistente Técnico'!$A$5:$A$1000,$N65))</f>
        <v/>
      </c>
      <c r="B65" s="62">
        <f>IF($N65="","",IF($O65="Sub","      ↳  "&amp;INDEX('Cronograma Asistente Técnico'!$C$5:$C$1000,$N65),INDEX('Cronograma Asistente Técnico'!$C$5:$C$1000,$N65)&amp;""))</f>
        <v/>
      </c>
      <c r="C65" s="79">
        <f>IF($N65="","",IF(INDEX('Cronograma Asistente Técnico'!$AR$5:$AR$1000,$N65)="","",INDEX('Cronograma Asistente Técnico'!$AR$5:$AR$1000,$N65)))</f>
        <v/>
      </c>
      <c r="D65" s="79">
        <f>IF($N65="","",IF(INDEX('Cronograma Asistente Técnico'!$AS$5:$AS$1000,$N65)="","",INDEX('Cronograma Asistente Técnico'!$AS$5:$AS$1000,$N65)))</f>
        <v/>
      </c>
      <c r="E65" s="56">
        <f>IF($N65="","",IF(NOT(ISNUMBER($D65)),"",IF($D65&lt;InicioCiclo,"Antes del ciclo",IF($D65&gt;=InicioCiclo+28,"Después del ciclo","Semana "&amp;(INT(($D65-InicioCiclo)/7)+1)))))</f>
        <v/>
      </c>
      <c r="F65" s="61">
        <f>IF($N65="","",IF($P65&gt;0,IF(1&lt;=SemanaActual,INDEX('Cronograma Asistente Técnico'!$AH$5:$AH$1000,$N65),""),IF(INDEX('Cronograma Asistente Técnico'!$I$5:$I$1000,$N65)="","",INDEX('Cronograma Asistente Técnico'!$I$5:$I$1000,$N65))))</f>
        <v/>
      </c>
      <c r="G65" s="61">
        <f>IF($N65="","",IF($P65&gt;0,IF(2&lt;=SemanaActual,INDEX('Cronograma Asistente Técnico'!$AI$5:$AI$1000,$N65),""),IF(INDEX('Cronograma Asistente Técnico'!$J$5:$J$1000,$N65)="","",INDEX('Cronograma Asistente Técnico'!$J$5:$J$1000,$N65))))</f>
        <v/>
      </c>
      <c r="H65" s="61">
        <f>IF($N65="","",IF($P65&gt;0,IF(3&lt;=SemanaActual,INDEX('Cronograma Asistente Técnico'!$AJ$5:$AJ$1000,$N65),""),IF(INDEX('Cronograma Asistente Técnico'!$K$5:$K$1000,$N65)="","",INDEX('Cronograma Asistente Técnico'!$K$5:$K$1000,$N65))))</f>
        <v/>
      </c>
      <c r="I65" s="61">
        <f>IF($N65="","",IF($P65&gt;0,IF(4&lt;=SemanaActual,INDEX('Cronograma Asistente Técnico'!$AK$5:$AK$1000,$N65),""),IF(INDEX('Cronograma Asistente Técnico'!$L$5:$L$1000,$N65)="","",INDEX('Cronograma Asistente Técnico'!$L$5:$L$1000,$N65))))</f>
        <v/>
      </c>
      <c r="J65" s="61">
        <f>IF($N65="","",INDEX('Cronograma Asistente Técnico'!$M$5:$M$1000,$N65))</f>
        <v/>
      </c>
      <c r="K65" s="56">
        <f>IF($N65="","",IF(N($J65)&gt;=1,"Completado",IF(AND(ISNUMBER($D65),$D65&lt;FechaRef),"Vencida",IF(N($J65)&gt;0,"En curso","Pendiente"))))</f>
        <v/>
      </c>
      <c r="L65" s="56">
        <f>IF($N65="","",INDEX('Cronograma Asistente Técnico'!$O$5:$O$1000,$N65)&amp;"")</f>
        <v/>
      </c>
      <c r="M65" s="62">
        <f>IF($N65="","",INDEX('Cronograma Asistente Técnico'!$Q$5:$Q$1000,$N65)&amp;"")</f>
        <v/>
      </c>
      <c r="N65">
        <f>IFERROR(MATCH(ROW()-4,rOrden_ATR,0),"")</f>
        <v/>
      </c>
      <c r="O65">
        <f>IF($N65="","",INDEX('Cronograma Asistente Técnico'!$V$5:$V$1000,$N65))</f>
        <v/>
      </c>
      <c r="P65">
        <f>IF($N65="","",N(INDEX('Cronograma Asistente Técnico'!$W$5:$W$1000,$N65)))</f>
        <v/>
      </c>
      <c r="Q65">
        <f>IF(OR(LEFT($L65,7)="Vencida",LEFT($L65,5)="Vence"),SUMPRODUCT(--(LEFT($L$5:$L65,7)="Vencida"))+SUMPRODUCT(--(LEFT($L$5:$L65,5)="Vence")),"")</f>
        <v/>
      </c>
    </row>
    <row r="66">
      <c r="A66" s="56">
        <f>IF($N66="","",INDEX('Cronograma Asistente Técnico'!$A$5:$A$1000,$N66))</f>
        <v/>
      </c>
      <c r="B66" s="62">
        <f>IF($N66="","",IF($O66="Sub","      ↳  "&amp;INDEX('Cronograma Asistente Técnico'!$C$5:$C$1000,$N66),INDEX('Cronograma Asistente Técnico'!$C$5:$C$1000,$N66)&amp;""))</f>
        <v/>
      </c>
      <c r="C66" s="79">
        <f>IF($N66="","",IF(INDEX('Cronograma Asistente Técnico'!$AR$5:$AR$1000,$N66)="","",INDEX('Cronograma Asistente Técnico'!$AR$5:$AR$1000,$N66)))</f>
        <v/>
      </c>
      <c r="D66" s="79">
        <f>IF($N66="","",IF(INDEX('Cronograma Asistente Técnico'!$AS$5:$AS$1000,$N66)="","",INDEX('Cronograma Asistente Técnico'!$AS$5:$AS$1000,$N66)))</f>
        <v/>
      </c>
      <c r="E66" s="56">
        <f>IF($N66="","",IF(NOT(ISNUMBER($D66)),"",IF($D66&lt;InicioCiclo,"Antes del ciclo",IF($D66&gt;=InicioCiclo+28,"Después del ciclo","Semana "&amp;(INT(($D66-InicioCiclo)/7)+1)))))</f>
        <v/>
      </c>
      <c r="F66" s="61">
        <f>IF($N66="","",IF($P66&gt;0,IF(1&lt;=SemanaActual,INDEX('Cronograma Asistente Técnico'!$AH$5:$AH$1000,$N66),""),IF(INDEX('Cronograma Asistente Técnico'!$I$5:$I$1000,$N66)="","",INDEX('Cronograma Asistente Técnico'!$I$5:$I$1000,$N66))))</f>
        <v/>
      </c>
      <c r="G66" s="61">
        <f>IF($N66="","",IF($P66&gt;0,IF(2&lt;=SemanaActual,INDEX('Cronograma Asistente Técnico'!$AI$5:$AI$1000,$N66),""),IF(INDEX('Cronograma Asistente Técnico'!$J$5:$J$1000,$N66)="","",INDEX('Cronograma Asistente Técnico'!$J$5:$J$1000,$N66))))</f>
        <v/>
      </c>
      <c r="H66" s="61">
        <f>IF($N66="","",IF($P66&gt;0,IF(3&lt;=SemanaActual,INDEX('Cronograma Asistente Técnico'!$AJ$5:$AJ$1000,$N66),""),IF(INDEX('Cronograma Asistente Técnico'!$K$5:$K$1000,$N66)="","",INDEX('Cronograma Asistente Técnico'!$K$5:$K$1000,$N66))))</f>
        <v/>
      </c>
      <c r="I66" s="61">
        <f>IF($N66="","",IF($P66&gt;0,IF(4&lt;=SemanaActual,INDEX('Cronograma Asistente Técnico'!$AK$5:$AK$1000,$N66),""),IF(INDEX('Cronograma Asistente Técnico'!$L$5:$L$1000,$N66)="","",INDEX('Cronograma Asistente Técnico'!$L$5:$L$1000,$N66))))</f>
        <v/>
      </c>
      <c r="J66" s="61">
        <f>IF($N66="","",INDEX('Cronograma Asistente Técnico'!$M$5:$M$1000,$N66))</f>
        <v/>
      </c>
      <c r="K66" s="56">
        <f>IF($N66="","",IF(N($J66)&gt;=1,"Completado",IF(AND(ISNUMBER($D66),$D66&lt;FechaRef),"Vencida",IF(N($J66)&gt;0,"En curso","Pendiente"))))</f>
        <v/>
      </c>
      <c r="L66" s="56">
        <f>IF($N66="","",INDEX('Cronograma Asistente Técnico'!$O$5:$O$1000,$N66)&amp;"")</f>
        <v/>
      </c>
      <c r="M66" s="62">
        <f>IF($N66="","",INDEX('Cronograma Asistente Técnico'!$Q$5:$Q$1000,$N66)&amp;"")</f>
        <v/>
      </c>
      <c r="N66">
        <f>IFERROR(MATCH(ROW()-4,rOrden_ATR,0),"")</f>
        <v/>
      </c>
      <c r="O66">
        <f>IF($N66="","",INDEX('Cronograma Asistente Técnico'!$V$5:$V$1000,$N66))</f>
        <v/>
      </c>
      <c r="P66">
        <f>IF($N66="","",N(INDEX('Cronograma Asistente Técnico'!$W$5:$W$1000,$N66)))</f>
        <v/>
      </c>
      <c r="Q66">
        <f>IF(OR(LEFT($L66,7)="Vencida",LEFT($L66,5)="Vence"),SUMPRODUCT(--(LEFT($L$5:$L66,7)="Vencida"))+SUMPRODUCT(--(LEFT($L$5:$L66,5)="Vence")),"")</f>
        <v/>
      </c>
    </row>
    <row r="67">
      <c r="A67" s="56">
        <f>IF($N67="","",INDEX('Cronograma Asistente Técnico'!$A$5:$A$1000,$N67))</f>
        <v/>
      </c>
      <c r="B67" s="62">
        <f>IF($N67="","",IF($O67="Sub","      ↳  "&amp;INDEX('Cronograma Asistente Técnico'!$C$5:$C$1000,$N67),INDEX('Cronograma Asistente Técnico'!$C$5:$C$1000,$N67)&amp;""))</f>
        <v/>
      </c>
      <c r="C67" s="79">
        <f>IF($N67="","",IF(INDEX('Cronograma Asistente Técnico'!$AR$5:$AR$1000,$N67)="","",INDEX('Cronograma Asistente Técnico'!$AR$5:$AR$1000,$N67)))</f>
        <v/>
      </c>
      <c r="D67" s="79">
        <f>IF($N67="","",IF(INDEX('Cronograma Asistente Técnico'!$AS$5:$AS$1000,$N67)="","",INDEX('Cronograma Asistente Técnico'!$AS$5:$AS$1000,$N67)))</f>
        <v/>
      </c>
      <c r="E67" s="56">
        <f>IF($N67="","",IF(NOT(ISNUMBER($D67)),"",IF($D67&lt;InicioCiclo,"Antes del ciclo",IF($D67&gt;=InicioCiclo+28,"Después del ciclo","Semana "&amp;(INT(($D67-InicioCiclo)/7)+1)))))</f>
        <v/>
      </c>
      <c r="F67" s="61">
        <f>IF($N67="","",IF($P67&gt;0,IF(1&lt;=SemanaActual,INDEX('Cronograma Asistente Técnico'!$AH$5:$AH$1000,$N67),""),IF(INDEX('Cronograma Asistente Técnico'!$I$5:$I$1000,$N67)="","",INDEX('Cronograma Asistente Técnico'!$I$5:$I$1000,$N67))))</f>
        <v/>
      </c>
      <c r="G67" s="61">
        <f>IF($N67="","",IF($P67&gt;0,IF(2&lt;=SemanaActual,INDEX('Cronograma Asistente Técnico'!$AI$5:$AI$1000,$N67),""),IF(INDEX('Cronograma Asistente Técnico'!$J$5:$J$1000,$N67)="","",INDEX('Cronograma Asistente Técnico'!$J$5:$J$1000,$N67))))</f>
        <v/>
      </c>
      <c r="H67" s="61">
        <f>IF($N67="","",IF($P67&gt;0,IF(3&lt;=SemanaActual,INDEX('Cronograma Asistente Técnico'!$AJ$5:$AJ$1000,$N67),""),IF(INDEX('Cronograma Asistente Técnico'!$K$5:$K$1000,$N67)="","",INDEX('Cronograma Asistente Técnico'!$K$5:$K$1000,$N67))))</f>
        <v/>
      </c>
      <c r="I67" s="61">
        <f>IF($N67="","",IF($P67&gt;0,IF(4&lt;=SemanaActual,INDEX('Cronograma Asistente Técnico'!$AK$5:$AK$1000,$N67),""),IF(INDEX('Cronograma Asistente Técnico'!$L$5:$L$1000,$N67)="","",INDEX('Cronograma Asistente Técnico'!$L$5:$L$1000,$N67))))</f>
        <v/>
      </c>
      <c r="J67" s="61">
        <f>IF($N67="","",INDEX('Cronograma Asistente Técnico'!$M$5:$M$1000,$N67))</f>
        <v/>
      </c>
      <c r="K67" s="56">
        <f>IF($N67="","",IF(N($J67)&gt;=1,"Completado",IF(AND(ISNUMBER($D67),$D67&lt;FechaRef),"Vencida",IF(N($J67)&gt;0,"En curso","Pendiente"))))</f>
        <v/>
      </c>
      <c r="L67" s="56">
        <f>IF($N67="","",INDEX('Cronograma Asistente Técnico'!$O$5:$O$1000,$N67)&amp;"")</f>
        <v/>
      </c>
      <c r="M67" s="62">
        <f>IF($N67="","",INDEX('Cronograma Asistente Técnico'!$Q$5:$Q$1000,$N67)&amp;"")</f>
        <v/>
      </c>
      <c r="N67">
        <f>IFERROR(MATCH(ROW()-4,rOrden_ATR,0),"")</f>
        <v/>
      </c>
      <c r="O67">
        <f>IF($N67="","",INDEX('Cronograma Asistente Técnico'!$V$5:$V$1000,$N67))</f>
        <v/>
      </c>
      <c r="P67">
        <f>IF($N67="","",N(INDEX('Cronograma Asistente Técnico'!$W$5:$W$1000,$N67)))</f>
        <v/>
      </c>
      <c r="Q67">
        <f>IF(OR(LEFT($L67,7)="Vencida",LEFT($L67,5)="Vence"),SUMPRODUCT(--(LEFT($L$5:$L67,7)="Vencida"))+SUMPRODUCT(--(LEFT($L$5:$L67,5)="Vence")),"")</f>
        <v/>
      </c>
    </row>
    <row r="68">
      <c r="A68" s="56">
        <f>IF($N68="","",INDEX('Cronograma Asistente Técnico'!$A$5:$A$1000,$N68))</f>
        <v/>
      </c>
      <c r="B68" s="62">
        <f>IF($N68="","",IF($O68="Sub","      ↳  "&amp;INDEX('Cronograma Asistente Técnico'!$C$5:$C$1000,$N68),INDEX('Cronograma Asistente Técnico'!$C$5:$C$1000,$N68)&amp;""))</f>
        <v/>
      </c>
      <c r="C68" s="79">
        <f>IF($N68="","",IF(INDEX('Cronograma Asistente Técnico'!$AR$5:$AR$1000,$N68)="","",INDEX('Cronograma Asistente Técnico'!$AR$5:$AR$1000,$N68)))</f>
        <v/>
      </c>
      <c r="D68" s="79">
        <f>IF($N68="","",IF(INDEX('Cronograma Asistente Técnico'!$AS$5:$AS$1000,$N68)="","",INDEX('Cronograma Asistente Técnico'!$AS$5:$AS$1000,$N68)))</f>
        <v/>
      </c>
      <c r="E68" s="56">
        <f>IF($N68="","",IF(NOT(ISNUMBER($D68)),"",IF($D68&lt;InicioCiclo,"Antes del ciclo",IF($D68&gt;=InicioCiclo+28,"Después del ciclo","Semana "&amp;(INT(($D68-InicioCiclo)/7)+1)))))</f>
        <v/>
      </c>
      <c r="F68" s="61">
        <f>IF($N68="","",IF($P68&gt;0,IF(1&lt;=SemanaActual,INDEX('Cronograma Asistente Técnico'!$AH$5:$AH$1000,$N68),""),IF(INDEX('Cronograma Asistente Técnico'!$I$5:$I$1000,$N68)="","",INDEX('Cronograma Asistente Técnico'!$I$5:$I$1000,$N68))))</f>
        <v/>
      </c>
      <c r="G68" s="61">
        <f>IF($N68="","",IF($P68&gt;0,IF(2&lt;=SemanaActual,INDEX('Cronograma Asistente Técnico'!$AI$5:$AI$1000,$N68),""),IF(INDEX('Cronograma Asistente Técnico'!$J$5:$J$1000,$N68)="","",INDEX('Cronograma Asistente Técnico'!$J$5:$J$1000,$N68))))</f>
        <v/>
      </c>
      <c r="H68" s="61">
        <f>IF($N68="","",IF($P68&gt;0,IF(3&lt;=SemanaActual,INDEX('Cronograma Asistente Técnico'!$AJ$5:$AJ$1000,$N68),""),IF(INDEX('Cronograma Asistente Técnico'!$K$5:$K$1000,$N68)="","",INDEX('Cronograma Asistente Técnico'!$K$5:$K$1000,$N68))))</f>
        <v/>
      </c>
      <c r="I68" s="61">
        <f>IF($N68="","",IF($P68&gt;0,IF(4&lt;=SemanaActual,INDEX('Cronograma Asistente Técnico'!$AK$5:$AK$1000,$N68),""),IF(INDEX('Cronograma Asistente Técnico'!$L$5:$L$1000,$N68)="","",INDEX('Cronograma Asistente Técnico'!$L$5:$L$1000,$N68))))</f>
        <v/>
      </c>
      <c r="J68" s="61">
        <f>IF($N68="","",INDEX('Cronograma Asistente Técnico'!$M$5:$M$1000,$N68))</f>
        <v/>
      </c>
      <c r="K68" s="56">
        <f>IF($N68="","",IF(N($J68)&gt;=1,"Completado",IF(AND(ISNUMBER($D68),$D68&lt;FechaRef),"Vencida",IF(N($J68)&gt;0,"En curso","Pendiente"))))</f>
        <v/>
      </c>
      <c r="L68" s="56">
        <f>IF($N68="","",INDEX('Cronograma Asistente Técnico'!$O$5:$O$1000,$N68)&amp;"")</f>
        <v/>
      </c>
      <c r="M68" s="62">
        <f>IF($N68="","",INDEX('Cronograma Asistente Técnico'!$Q$5:$Q$1000,$N68)&amp;"")</f>
        <v/>
      </c>
      <c r="N68">
        <f>IFERROR(MATCH(ROW()-4,rOrden_ATR,0),"")</f>
        <v/>
      </c>
      <c r="O68">
        <f>IF($N68="","",INDEX('Cronograma Asistente Técnico'!$V$5:$V$1000,$N68))</f>
        <v/>
      </c>
      <c r="P68">
        <f>IF($N68="","",N(INDEX('Cronograma Asistente Técnico'!$W$5:$W$1000,$N68)))</f>
        <v/>
      </c>
      <c r="Q68">
        <f>IF(OR(LEFT($L68,7)="Vencida",LEFT($L68,5)="Vence"),SUMPRODUCT(--(LEFT($L$5:$L68,7)="Vencida"))+SUMPRODUCT(--(LEFT($L$5:$L68,5)="Vence")),"")</f>
        <v/>
      </c>
    </row>
    <row r="69">
      <c r="A69" s="56">
        <f>IF($N69="","",INDEX('Cronograma Asistente Técnico'!$A$5:$A$1000,$N69))</f>
        <v/>
      </c>
      <c r="B69" s="62">
        <f>IF($N69="","",IF($O69="Sub","      ↳  "&amp;INDEX('Cronograma Asistente Técnico'!$C$5:$C$1000,$N69),INDEX('Cronograma Asistente Técnico'!$C$5:$C$1000,$N69)&amp;""))</f>
        <v/>
      </c>
      <c r="C69" s="79">
        <f>IF($N69="","",IF(INDEX('Cronograma Asistente Técnico'!$AR$5:$AR$1000,$N69)="","",INDEX('Cronograma Asistente Técnico'!$AR$5:$AR$1000,$N69)))</f>
        <v/>
      </c>
      <c r="D69" s="79">
        <f>IF($N69="","",IF(INDEX('Cronograma Asistente Técnico'!$AS$5:$AS$1000,$N69)="","",INDEX('Cronograma Asistente Técnico'!$AS$5:$AS$1000,$N69)))</f>
        <v/>
      </c>
      <c r="E69" s="56">
        <f>IF($N69="","",IF(NOT(ISNUMBER($D69)),"",IF($D69&lt;InicioCiclo,"Antes del ciclo",IF($D69&gt;=InicioCiclo+28,"Después del ciclo","Semana "&amp;(INT(($D69-InicioCiclo)/7)+1)))))</f>
        <v/>
      </c>
      <c r="F69" s="61">
        <f>IF($N69="","",IF($P69&gt;0,IF(1&lt;=SemanaActual,INDEX('Cronograma Asistente Técnico'!$AH$5:$AH$1000,$N69),""),IF(INDEX('Cronograma Asistente Técnico'!$I$5:$I$1000,$N69)="","",INDEX('Cronograma Asistente Técnico'!$I$5:$I$1000,$N69))))</f>
        <v/>
      </c>
      <c r="G69" s="61">
        <f>IF($N69="","",IF($P69&gt;0,IF(2&lt;=SemanaActual,INDEX('Cronograma Asistente Técnico'!$AI$5:$AI$1000,$N69),""),IF(INDEX('Cronograma Asistente Técnico'!$J$5:$J$1000,$N69)="","",INDEX('Cronograma Asistente Técnico'!$J$5:$J$1000,$N69))))</f>
        <v/>
      </c>
      <c r="H69" s="61">
        <f>IF($N69="","",IF($P69&gt;0,IF(3&lt;=SemanaActual,INDEX('Cronograma Asistente Técnico'!$AJ$5:$AJ$1000,$N69),""),IF(INDEX('Cronograma Asistente Técnico'!$K$5:$K$1000,$N69)="","",INDEX('Cronograma Asistente Técnico'!$K$5:$K$1000,$N69))))</f>
        <v/>
      </c>
      <c r="I69" s="61">
        <f>IF($N69="","",IF($P69&gt;0,IF(4&lt;=SemanaActual,INDEX('Cronograma Asistente Técnico'!$AK$5:$AK$1000,$N69),""),IF(INDEX('Cronograma Asistente Técnico'!$L$5:$L$1000,$N69)="","",INDEX('Cronograma Asistente Técnico'!$L$5:$L$1000,$N69))))</f>
        <v/>
      </c>
      <c r="J69" s="61">
        <f>IF($N69="","",INDEX('Cronograma Asistente Técnico'!$M$5:$M$1000,$N69))</f>
        <v/>
      </c>
      <c r="K69" s="56">
        <f>IF($N69="","",IF(N($J69)&gt;=1,"Completado",IF(AND(ISNUMBER($D69),$D69&lt;FechaRef),"Vencida",IF(N($J69)&gt;0,"En curso","Pendiente"))))</f>
        <v/>
      </c>
      <c r="L69" s="56">
        <f>IF($N69="","",INDEX('Cronograma Asistente Técnico'!$O$5:$O$1000,$N69)&amp;"")</f>
        <v/>
      </c>
      <c r="M69" s="62">
        <f>IF($N69="","",INDEX('Cronograma Asistente Técnico'!$Q$5:$Q$1000,$N69)&amp;"")</f>
        <v/>
      </c>
      <c r="N69">
        <f>IFERROR(MATCH(ROW()-4,rOrden_ATR,0),"")</f>
        <v/>
      </c>
      <c r="O69">
        <f>IF($N69="","",INDEX('Cronograma Asistente Técnico'!$V$5:$V$1000,$N69))</f>
        <v/>
      </c>
      <c r="P69">
        <f>IF($N69="","",N(INDEX('Cronograma Asistente Técnico'!$W$5:$W$1000,$N69)))</f>
        <v/>
      </c>
      <c r="Q69">
        <f>IF(OR(LEFT($L69,7)="Vencida",LEFT($L69,5)="Vence"),SUMPRODUCT(--(LEFT($L$5:$L69,7)="Vencida"))+SUMPRODUCT(--(LEFT($L$5:$L69,5)="Vence")),"")</f>
        <v/>
      </c>
    </row>
    <row r="70">
      <c r="A70" s="56">
        <f>IF($N70="","",INDEX('Cronograma Asistente Técnico'!$A$5:$A$1000,$N70))</f>
        <v/>
      </c>
      <c r="B70" s="62">
        <f>IF($N70="","",IF($O70="Sub","      ↳  "&amp;INDEX('Cronograma Asistente Técnico'!$C$5:$C$1000,$N70),INDEX('Cronograma Asistente Técnico'!$C$5:$C$1000,$N70)&amp;""))</f>
        <v/>
      </c>
      <c r="C70" s="79">
        <f>IF($N70="","",IF(INDEX('Cronograma Asistente Técnico'!$AR$5:$AR$1000,$N70)="","",INDEX('Cronograma Asistente Técnico'!$AR$5:$AR$1000,$N70)))</f>
        <v/>
      </c>
      <c r="D70" s="79">
        <f>IF($N70="","",IF(INDEX('Cronograma Asistente Técnico'!$AS$5:$AS$1000,$N70)="","",INDEX('Cronograma Asistente Técnico'!$AS$5:$AS$1000,$N70)))</f>
        <v/>
      </c>
      <c r="E70" s="56">
        <f>IF($N70="","",IF(NOT(ISNUMBER($D70)),"",IF($D70&lt;InicioCiclo,"Antes del ciclo",IF($D70&gt;=InicioCiclo+28,"Después del ciclo","Semana "&amp;(INT(($D70-InicioCiclo)/7)+1)))))</f>
        <v/>
      </c>
      <c r="F70" s="61">
        <f>IF($N70="","",IF($P70&gt;0,IF(1&lt;=SemanaActual,INDEX('Cronograma Asistente Técnico'!$AH$5:$AH$1000,$N70),""),IF(INDEX('Cronograma Asistente Técnico'!$I$5:$I$1000,$N70)="","",INDEX('Cronograma Asistente Técnico'!$I$5:$I$1000,$N70))))</f>
        <v/>
      </c>
      <c r="G70" s="61">
        <f>IF($N70="","",IF($P70&gt;0,IF(2&lt;=SemanaActual,INDEX('Cronograma Asistente Técnico'!$AI$5:$AI$1000,$N70),""),IF(INDEX('Cronograma Asistente Técnico'!$J$5:$J$1000,$N70)="","",INDEX('Cronograma Asistente Técnico'!$J$5:$J$1000,$N70))))</f>
        <v/>
      </c>
      <c r="H70" s="61">
        <f>IF($N70="","",IF($P70&gt;0,IF(3&lt;=SemanaActual,INDEX('Cronograma Asistente Técnico'!$AJ$5:$AJ$1000,$N70),""),IF(INDEX('Cronograma Asistente Técnico'!$K$5:$K$1000,$N70)="","",INDEX('Cronograma Asistente Técnico'!$K$5:$K$1000,$N70))))</f>
        <v/>
      </c>
      <c r="I70" s="61">
        <f>IF($N70="","",IF($P70&gt;0,IF(4&lt;=SemanaActual,INDEX('Cronograma Asistente Técnico'!$AK$5:$AK$1000,$N70),""),IF(INDEX('Cronograma Asistente Técnico'!$L$5:$L$1000,$N70)="","",INDEX('Cronograma Asistente Técnico'!$L$5:$L$1000,$N70))))</f>
        <v/>
      </c>
      <c r="J70" s="61">
        <f>IF($N70="","",INDEX('Cronograma Asistente Técnico'!$M$5:$M$1000,$N70))</f>
        <v/>
      </c>
      <c r="K70" s="56">
        <f>IF($N70="","",IF(N($J70)&gt;=1,"Completado",IF(AND(ISNUMBER($D70),$D70&lt;FechaRef),"Vencida",IF(N($J70)&gt;0,"En curso","Pendiente"))))</f>
        <v/>
      </c>
      <c r="L70" s="56">
        <f>IF($N70="","",INDEX('Cronograma Asistente Técnico'!$O$5:$O$1000,$N70)&amp;"")</f>
        <v/>
      </c>
      <c r="M70" s="62">
        <f>IF($N70="","",INDEX('Cronograma Asistente Técnico'!$Q$5:$Q$1000,$N70)&amp;"")</f>
        <v/>
      </c>
      <c r="N70">
        <f>IFERROR(MATCH(ROW()-4,rOrden_ATR,0),"")</f>
        <v/>
      </c>
      <c r="O70">
        <f>IF($N70="","",INDEX('Cronograma Asistente Técnico'!$V$5:$V$1000,$N70))</f>
        <v/>
      </c>
      <c r="P70">
        <f>IF($N70="","",N(INDEX('Cronograma Asistente Técnico'!$W$5:$W$1000,$N70)))</f>
        <v/>
      </c>
      <c r="Q70">
        <f>IF(OR(LEFT($L70,7)="Vencida",LEFT($L70,5)="Vence"),SUMPRODUCT(--(LEFT($L$5:$L70,7)="Vencida"))+SUMPRODUCT(--(LEFT($L$5:$L70,5)="Vence")),"")</f>
        <v/>
      </c>
    </row>
    <row r="71">
      <c r="A71" s="56">
        <f>IF($N71="","",INDEX('Cronograma Asistente Técnico'!$A$5:$A$1000,$N71))</f>
        <v/>
      </c>
      <c r="B71" s="62">
        <f>IF($N71="","",IF($O71="Sub","      ↳  "&amp;INDEX('Cronograma Asistente Técnico'!$C$5:$C$1000,$N71),INDEX('Cronograma Asistente Técnico'!$C$5:$C$1000,$N71)&amp;""))</f>
        <v/>
      </c>
      <c r="C71" s="79">
        <f>IF($N71="","",IF(INDEX('Cronograma Asistente Técnico'!$AR$5:$AR$1000,$N71)="","",INDEX('Cronograma Asistente Técnico'!$AR$5:$AR$1000,$N71)))</f>
        <v/>
      </c>
      <c r="D71" s="79">
        <f>IF($N71="","",IF(INDEX('Cronograma Asistente Técnico'!$AS$5:$AS$1000,$N71)="","",INDEX('Cronograma Asistente Técnico'!$AS$5:$AS$1000,$N71)))</f>
        <v/>
      </c>
      <c r="E71" s="56">
        <f>IF($N71="","",IF(NOT(ISNUMBER($D71)),"",IF($D71&lt;InicioCiclo,"Antes del ciclo",IF($D71&gt;=InicioCiclo+28,"Después del ciclo","Semana "&amp;(INT(($D71-InicioCiclo)/7)+1)))))</f>
        <v/>
      </c>
      <c r="F71" s="61">
        <f>IF($N71="","",IF($P71&gt;0,IF(1&lt;=SemanaActual,INDEX('Cronograma Asistente Técnico'!$AH$5:$AH$1000,$N71),""),IF(INDEX('Cronograma Asistente Técnico'!$I$5:$I$1000,$N71)="","",INDEX('Cronograma Asistente Técnico'!$I$5:$I$1000,$N71))))</f>
        <v/>
      </c>
      <c r="G71" s="61">
        <f>IF($N71="","",IF($P71&gt;0,IF(2&lt;=SemanaActual,INDEX('Cronograma Asistente Técnico'!$AI$5:$AI$1000,$N71),""),IF(INDEX('Cronograma Asistente Técnico'!$J$5:$J$1000,$N71)="","",INDEX('Cronograma Asistente Técnico'!$J$5:$J$1000,$N71))))</f>
        <v/>
      </c>
      <c r="H71" s="61">
        <f>IF($N71="","",IF($P71&gt;0,IF(3&lt;=SemanaActual,INDEX('Cronograma Asistente Técnico'!$AJ$5:$AJ$1000,$N71),""),IF(INDEX('Cronograma Asistente Técnico'!$K$5:$K$1000,$N71)="","",INDEX('Cronograma Asistente Técnico'!$K$5:$K$1000,$N71))))</f>
        <v/>
      </c>
      <c r="I71" s="61">
        <f>IF($N71="","",IF($P71&gt;0,IF(4&lt;=SemanaActual,INDEX('Cronograma Asistente Técnico'!$AK$5:$AK$1000,$N71),""),IF(INDEX('Cronograma Asistente Técnico'!$L$5:$L$1000,$N71)="","",INDEX('Cronograma Asistente Técnico'!$L$5:$L$1000,$N71))))</f>
        <v/>
      </c>
      <c r="J71" s="61">
        <f>IF($N71="","",INDEX('Cronograma Asistente Técnico'!$M$5:$M$1000,$N71))</f>
        <v/>
      </c>
      <c r="K71" s="56">
        <f>IF($N71="","",IF(N($J71)&gt;=1,"Completado",IF(AND(ISNUMBER($D71),$D71&lt;FechaRef),"Vencida",IF(N($J71)&gt;0,"En curso","Pendiente"))))</f>
        <v/>
      </c>
      <c r="L71" s="56">
        <f>IF($N71="","",INDEX('Cronograma Asistente Técnico'!$O$5:$O$1000,$N71)&amp;"")</f>
        <v/>
      </c>
      <c r="M71" s="62">
        <f>IF($N71="","",INDEX('Cronograma Asistente Técnico'!$Q$5:$Q$1000,$N71)&amp;"")</f>
        <v/>
      </c>
      <c r="N71">
        <f>IFERROR(MATCH(ROW()-4,rOrden_ATR,0),"")</f>
        <v/>
      </c>
      <c r="O71">
        <f>IF($N71="","",INDEX('Cronograma Asistente Técnico'!$V$5:$V$1000,$N71))</f>
        <v/>
      </c>
      <c r="P71">
        <f>IF($N71="","",N(INDEX('Cronograma Asistente Técnico'!$W$5:$W$1000,$N71)))</f>
        <v/>
      </c>
      <c r="Q71">
        <f>IF(OR(LEFT($L71,7)="Vencida",LEFT($L71,5)="Vence"),SUMPRODUCT(--(LEFT($L$5:$L71,7)="Vencida"))+SUMPRODUCT(--(LEFT($L$5:$L71,5)="Vence")),"")</f>
        <v/>
      </c>
    </row>
    <row r="72">
      <c r="A72" s="56">
        <f>IF($N72="","",INDEX('Cronograma Asistente Técnico'!$A$5:$A$1000,$N72))</f>
        <v/>
      </c>
      <c r="B72" s="62">
        <f>IF($N72="","",IF($O72="Sub","      ↳  "&amp;INDEX('Cronograma Asistente Técnico'!$C$5:$C$1000,$N72),INDEX('Cronograma Asistente Técnico'!$C$5:$C$1000,$N72)&amp;""))</f>
        <v/>
      </c>
      <c r="C72" s="79">
        <f>IF($N72="","",IF(INDEX('Cronograma Asistente Técnico'!$AR$5:$AR$1000,$N72)="","",INDEX('Cronograma Asistente Técnico'!$AR$5:$AR$1000,$N72)))</f>
        <v/>
      </c>
      <c r="D72" s="79">
        <f>IF($N72="","",IF(INDEX('Cronograma Asistente Técnico'!$AS$5:$AS$1000,$N72)="","",INDEX('Cronograma Asistente Técnico'!$AS$5:$AS$1000,$N72)))</f>
        <v/>
      </c>
      <c r="E72" s="56">
        <f>IF($N72="","",IF(NOT(ISNUMBER($D72)),"",IF($D72&lt;InicioCiclo,"Antes del ciclo",IF($D72&gt;=InicioCiclo+28,"Después del ciclo","Semana "&amp;(INT(($D72-InicioCiclo)/7)+1)))))</f>
        <v/>
      </c>
      <c r="F72" s="61">
        <f>IF($N72="","",IF($P72&gt;0,IF(1&lt;=SemanaActual,INDEX('Cronograma Asistente Técnico'!$AH$5:$AH$1000,$N72),""),IF(INDEX('Cronograma Asistente Técnico'!$I$5:$I$1000,$N72)="","",INDEX('Cronograma Asistente Técnico'!$I$5:$I$1000,$N72))))</f>
        <v/>
      </c>
      <c r="G72" s="61">
        <f>IF($N72="","",IF($P72&gt;0,IF(2&lt;=SemanaActual,INDEX('Cronograma Asistente Técnico'!$AI$5:$AI$1000,$N72),""),IF(INDEX('Cronograma Asistente Técnico'!$J$5:$J$1000,$N72)="","",INDEX('Cronograma Asistente Técnico'!$J$5:$J$1000,$N72))))</f>
        <v/>
      </c>
      <c r="H72" s="61">
        <f>IF($N72="","",IF($P72&gt;0,IF(3&lt;=SemanaActual,INDEX('Cronograma Asistente Técnico'!$AJ$5:$AJ$1000,$N72),""),IF(INDEX('Cronograma Asistente Técnico'!$K$5:$K$1000,$N72)="","",INDEX('Cronograma Asistente Técnico'!$K$5:$K$1000,$N72))))</f>
        <v/>
      </c>
      <c r="I72" s="61">
        <f>IF($N72="","",IF($P72&gt;0,IF(4&lt;=SemanaActual,INDEX('Cronograma Asistente Técnico'!$AK$5:$AK$1000,$N72),""),IF(INDEX('Cronograma Asistente Técnico'!$L$5:$L$1000,$N72)="","",INDEX('Cronograma Asistente Técnico'!$L$5:$L$1000,$N72))))</f>
        <v/>
      </c>
      <c r="J72" s="61">
        <f>IF($N72="","",INDEX('Cronograma Asistente Técnico'!$M$5:$M$1000,$N72))</f>
        <v/>
      </c>
      <c r="K72" s="56">
        <f>IF($N72="","",IF(N($J72)&gt;=1,"Completado",IF(AND(ISNUMBER($D72),$D72&lt;FechaRef),"Vencida",IF(N($J72)&gt;0,"En curso","Pendiente"))))</f>
        <v/>
      </c>
      <c r="L72" s="56">
        <f>IF($N72="","",INDEX('Cronograma Asistente Técnico'!$O$5:$O$1000,$N72)&amp;"")</f>
        <v/>
      </c>
      <c r="M72" s="62">
        <f>IF($N72="","",INDEX('Cronograma Asistente Técnico'!$Q$5:$Q$1000,$N72)&amp;"")</f>
        <v/>
      </c>
      <c r="N72">
        <f>IFERROR(MATCH(ROW()-4,rOrden_ATR,0),"")</f>
        <v/>
      </c>
      <c r="O72">
        <f>IF($N72="","",INDEX('Cronograma Asistente Técnico'!$V$5:$V$1000,$N72))</f>
        <v/>
      </c>
      <c r="P72">
        <f>IF($N72="","",N(INDEX('Cronograma Asistente Técnico'!$W$5:$W$1000,$N72)))</f>
        <v/>
      </c>
      <c r="Q72">
        <f>IF(OR(LEFT($L72,7)="Vencida",LEFT($L72,5)="Vence"),SUMPRODUCT(--(LEFT($L$5:$L72,7)="Vencida"))+SUMPRODUCT(--(LEFT($L$5:$L72,5)="Vence")),"")</f>
        <v/>
      </c>
    </row>
    <row r="73">
      <c r="A73" s="56">
        <f>IF($N73="","",INDEX('Cronograma Asistente Técnico'!$A$5:$A$1000,$N73))</f>
        <v/>
      </c>
      <c r="B73" s="62">
        <f>IF($N73="","",IF($O73="Sub","      ↳  "&amp;INDEX('Cronograma Asistente Técnico'!$C$5:$C$1000,$N73),INDEX('Cronograma Asistente Técnico'!$C$5:$C$1000,$N73)&amp;""))</f>
        <v/>
      </c>
      <c r="C73" s="79">
        <f>IF($N73="","",IF(INDEX('Cronograma Asistente Técnico'!$AR$5:$AR$1000,$N73)="","",INDEX('Cronograma Asistente Técnico'!$AR$5:$AR$1000,$N73)))</f>
        <v/>
      </c>
      <c r="D73" s="79">
        <f>IF($N73="","",IF(INDEX('Cronograma Asistente Técnico'!$AS$5:$AS$1000,$N73)="","",INDEX('Cronograma Asistente Técnico'!$AS$5:$AS$1000,$N73)))</f>
        <v/>
      </c>
      <c r="E73" s="56">
        <f>IF($N73="","",IF(NOT(ISNUMBER($D73)),"",IF($D73&lt;InicioCiclo,"Antes del ciclo",IF($D73&gt;=InicioCiclo+28,"Después del ciclo","Semana "&amp;(INT(($D73-InicioCiclo)/7)+1)))))</f>
        <v/>
      </c>
      <c r="F73" s="61">
        <f>IF($N73="","",IF($P73&gt;0,IF(1&lt;=SemanaActual,INDEX('Cronograma Asistente Técnico'!$AH$5:$AH$1000,$N73),""),IF(INDEX('Cronograma Asistente Técnico'!$I$5:$I$1000,$N73)="","",INDEX('Cronograma Asistente Técnico'!$I$5:$I$1000,$N73))))</f>
        <v/>
      </c>
      <c r="G73" s="61">
        <f>IF($N73="","",IF($P73&gt;0,IF(2&lt;=SemanaActual,INDEX('Cronograma Asistente Técnico'!$AI$5:$AI$1000,$N73),""),IF(INDEX('Cronograma Asistente Técnico'!$J$5:$J$1000,$N73)="","",INDEX('Cronograma Asistente Técnico'!$J$5:$J$1000,$N73))))</f>
        <v/>
      </c>
      <c r="H73" s="61">
        <f>IF($N73="","",IF($P73&gt;0,IF(3&lt;=SemanaActual,INDEX('Cronograma Asistente Técnico'!$AJ$5:$AJ$1000,$N73),""),IF(INDEX('Cronograma Asistente Técnico'!$K$5:$K$1000,$N73)="","",INDEX('Cronograma Asistente Técnico'!$K$5:$K$1000,$N73))))</f>
        <v/>
      </c>
      <c r="I73" s="61">
        <f>IF($N73="","",IF($P73&gt;0,IF(4&lt;=SemanaActual,INDEX('Cronograma Asistente Técnico'!$AK$5:$AK$1000,$N73),""),IF(INDEX('Cronograma Asistente Técnico'!$L$5:$L$1000,$N73)="","",INDEX('Cronograma Asistente Técnico'!$L$5:$L$1000,$N73))))</f>
        <v/>
      </c>
      <c r="J73" s="61">
        <f>IF($N73="","",INDEX('Cronograma Asistente Técnico'!$M$5:$M$1000,$N73))</f>
        <v/>
      </c>
      <c r="K73" s="56">
        <f>IF($N73="","",IF(N($J73)&gt;=1,"Completado",IF(AND(ISNUMBER($D73),$D73&lt;FechaRef),"Vencida",IF(N($J73)&gt;0,"En curso","Pendiente"))))</f>
        <v/>
      </c>
      <c r="L73" s="56">
        <f>IF($N73="","",INDEX('Cronograma Asistente Técnico'!$O$5:$O$1000,$N73)&amp;"")</f>
        <v/>
      </c>
      <c r="M73" s="62">
        <f>IF($N73="","",INDEX('Cronograma Asistente Técnico'!$Q$5:$Q$1000,$N73)&amp;"")</f>
        <v/>
      </c>
      <c r="N73">
        <f>IFERROR(MATCH(ROW()-4,rOrden_ATR,0),"")</f>
        <v/>
      </c>
      <c r="O73">
        <f>IF($N73="","",INDEX('Cronograma Asistente Técnico'!$V$5:$V$1000,$N73))</f>
        <v/>
      </c>
      <c r="P73">
        <f>IF($N73="","",N(INDEX('Cronograma Asistente Técnico'!$W$5:$W$1000,$N73)))</f>
        <v/>
      </c>
      <c r="Q73">
        <f>IF(OR(LEFT($L73,7)="Vencida",LEFT($L73,5)="Vence"),SUMPRODUCT(--(LEFT($L$5:$L73,7)="Vencida"))+SUMPRODUCT(--(LEFT($L$5:$L73,5)="Vence")),"")</f>
        <v/>
      </c>
    </row>
    <row r="74">
      <c r="A74" s="56">
        <f>IF($N74="","",INDEX('Cronograma Asistente Técnico'!$A$5:$A$1000,$N74))</f>
        <v/>
      </c>
      <c r="B74" s="62">
        <f>IF($N74="","",IF($O74="Sub","      ↳  "&amp;INDEX('Cronograma Asistente Técnico'!$C$5:$C$1000,$N74),INDEX('Cronograma Asistente Técnico'!$C$5:$C$1000,$N74)&amp;""))</f>
        <v/>
      </c>
      <c r="C74" s="79">
        <f>IF($N74="","",IF(INDEX('Cronograma Asistente Técnico'!$AR$5:$AR$1000,$N74)="","",INDEX('Cronograma Asistente Técnico'!$AR$5:$AR$1000,$N74)))</f>
        <v/>
      </c>
      <c r="D74" s="79">
        <f>IF($N74="","",IF(INDEX('Cronograma Asistente Técnico'!$AS$5:$AS$1000,$N74)="","",INDEX('Cronograma Asistente Técnico'!$AS$5:$AS$1000,$N74)))</f>
        <v/>
      </c>
      <c r="E74" s="56">
        <f>IF($N74="","",IF(NOT(ISNUMBER($D74)),"",IF($D74&lt;InicioCiclo,"Antes del ciclo",IF($D74&gt;=InicioCiclo+28,"Después del ciclo","Semana "&amp;(INT(($D74-InicioCiclo)/7)+1)))))</f>
        <v/>
      </c>
      <c r="F74" s="61">
        <f>IF($N74="","",IF($P74&gt;0,IF(1&lt;=SemanaActual,INDEX('Cronograma Asistente Técnico'!$AH$5:$AH$1000,$N74),""),IF(INDEX('Cronograma Asistente Técnico'!$I$5:$I$1000,$N74)="","",INDEX('Cronograma Asistente Técnico'!$I$5:$I$1000,$N74))))</f>
        <v/>
      </c>
      <c r="G74" s="61">
        <f>IF($N74="","",IF($P74&gt;0,IF(2&lt;=SemanaActual,INDEX('Cronograma Asistente Técnico'!$AI$5:$AI$1000,$N74),""),IF(INDEX('Cronograma Asistente Técnico'!$J$5:$J$1000,$N74)="","",INDEX('Cronograma Asistente Técnico'!$J$5:$J$1000,$N74))))</f>
        <v/>
      </c>
      <c r="H74" s="61">
        <f>IF($N74="","",IF($P74&gt;0,IF(3&lt;=SemanaActual,INDEX('Cronograma Asistente Técnico'!$AJ$5:$AJ$1000,$N74),""),IF(INDEX('Cronograma Asistente Técnico'!$K$5:$K$1000,$N74)="","",INDEX('Cronograma Asistente Técnico'!$K$5:$K$1000,$N74))))</f>
        <v/>
      </c>
      <c r="I74" s="61">
        <f>IF($N74="","",IF($P74&gt;0,IF(4&lt;=SemanaActual,INDEX('Cronograma Asistente Técnico'!$AK$5:$AK$1000,$N74),""),IF(INDEX('Cronograma Asistente Técnico'!$L$5:$L$1000,$N74)="","",INDEX('Cronograma Asistente Técnico'!$L$5:$L$1000,$N74))))</f>
        <v/>
      </c>
      <c r="J74" s="61">
        <f>IF($N74="","",INDEX('Cronograma Asistente Técnico'!$M$5:$M$1000,$N74))</f>
        <v/>
      </c>
      <c r="K74" s="56">
        <f>IF($N74="","",IF(N($J74)&gt;=1,"Completado",IF(AND(ISNUMBER($D74),$D74&lt;FechaRef),"Vencida",IF(N($J74)&gt;0,"En curso","Pendiente"))))</f>
        <v/>
      </c>
      <c r="L74" s="56">
        <f>IF($N74="","",INDEX('Cronograma Asistente Técnico'!$O$5:$O$1000,$N74)&amp;"")</f>
        <v/>
      </c>
      <c r="M74" s="62">
        <f>IF($N74="","",INDEX('Cronograma Asistente Técnico'!$Q$5:$Q$1000,$N74)&amp;"")</f>
        <v/>
      </c>
      <c r="N74">
        <f>IFERROR(MATCH(ROW()-4,rOrden_ATR,0),"")</f>
        <v/>
      </c>
      <c r="O74">
        <f>IF($N74="","",INDEX('Cronograma Asistente Técnico'!$V$5:$V$1000,$N74))</f>
        <v/>
      </c>
      <c r="P74">
        <f>IF($N74="","",N(INDEX('Cronograma Asistente Técnico'!$W$5:$W$1000,$N74)))</f>
        <v/>
      </c>
      <c r="Q74">
        <f>IF(OR(LEFT($L74,7)="Vencida",LEFT($L74,5)="Vence"),SUMPRODUCT(--(LEFT($L$5:$L74,7)="Vencida"))+SUMPRODUCT(--(LEFT($L$5:$L74,5)="Vence")),"")</f>
        <v/>
      </c>
    </row>
    <row r="75">
      <c r="A75" s="56">
        <f>IF($N75="","",INDEX('Cronograma Asistente Técnico'!$A$5:$A$1000,$N75))</f>
        <v/>
      </c>
      <c r="B75" s="62">
        <f>IF($N75="","",IF($O75="Sub","      ↳  "&amp;INDEX('Cronograma Asistente Técnico'!$C$5:$C$1000,$N75),INDEX('Cronograma Asistente Técnico'!$C$5:$C$1000,$N75)&amp;""))</f>
        <v/>
      </c>
      <c r="C75" s="79">
        <f>IF($N75="","",IF(INDEX('Cronograma Asistente Técnico'!$AR$5:$AR$1000,$N75)="","",INDEX('Cronograma Asistente Técnico'!$AR$5:$AR$1000,$N75)))</f>
        <v/>
      </c>
      <c r="D75" s="79">
        <f>IF($N75="","",IF(INDEX('Cronograma Asistente Técnico'!$AS$5:$AS$1000,$N75)="","",INDEX('Cronograma Asistente Técnico'!$AS$5:$AS$1000,$N75)))</f>
        <v/>
      </c>
      <c r="E75" s="56">
        <f>IF($N75="","",IF(NOT(ISNUMBER($D75)),"",IF($D75&lt;InicioCiclo,"Antes del ciclo",IF($D75&gt;=InicioCiclo+28,"Después del ciclo","Semana "&amp;(INT(($D75-InicioCiclo)/7)+1)))))</f>
        <v/>
      </c>
      <c r="F75" s="61">
        <f>IF($N75="","",IF($P75&gt;0,IF(1&lt;=SemanaActual,INDEX('Cronograma Asistente Técnico'!$AH$5:$AH$1000,$N75),""),IF(INDEX('Cronograma Asistente Técnico'!$I$5:$I$1000,$N75)="","",INDEX('Cronograma Asistente Técnico'!$I$5:$I$1000,$N75))))</f>
        <v/>
      </c>
      <c r="G75" s="61">
        <f>IF($N75="","",IF($P75&gt;0,IF(2&lt;=SemanaActual,INDEX('Cronograma Asistente Técnico'!$AI$5:$AI$1000,$N75),""),IF(INDEX('Cronograma Asistente Técnico'!$J$5:$J$1000,$N75)="","",INDEX('Cronograma Asistente Técnico'!$J$5:$J$1000,$N75))))</f>
        <v/>
      </c>
      <c r="H75" s="61">
        <f>IF($N75="","",IF($P75&gt;0,IF(3&lt;=SemanaActual,INDEX('Cronograma Asistente Técnico'!$AJ$5:$AJ$1000,$N75),""),IF(INDEX('Cronograma Asistente Técnico'!$K$5:$K$1000,$N75)="","",INDEX('Cronograma Asistente Técnico'!$K$5:$K$1000,$N75))))</f>
        <v/>
      </c>
      <c r="I75" s="61">
        <f>IF($N75="","",IF($P75&gt;0,IF(4&lt;=SemanaActual,INDEX('Cronograma Asistente Técnico'!$AK$5:$AK$1000,$N75),""),IF(INDEX('Cronograma Asistente Técnico'!$L$5:$L$1000,$N75)="","",INDEX('Cronograma Asistente Técnico'!$L$5:$L$1000,$N75))))</f>
        <v/>
      </c>
      <c r="J75" s="61">
        <f>IF($N75="","",INDEX('Cronograma Asistente Técnico'!$M$5:$M$1000,$N75))</f>
        <v/>
      </c>
      <c r="K75" s="56">
        <f>IF($N75="","",IF(N($J75)&gt;=1,"Completado",IF(AND(ISNUMBER($D75),$D75&lt;FechaRef),"Vencida",IF(N($J75)&gt;0,"En curso","Pendiente"))))</f>
        <v/>
      </c>
      <c r="L75" s="56">
        <f>IF($N75="","",INDEX('Cronograma Asistente Técnico'!$O$5:$O$1000,$N75)&amp;"")</f>
        <v/>
      </c>
      <c r="M75" s="62">
        <f>IF($N75="","",INDEX('Cronograma Asistente Técnico'!$Q$5:$Q$1000,$N75)&amp;"")</f>
        <v/>
      </c>
      <c r="N75">
        <f>IFERROR(MATCH(ROW()-4,rOrden_ATR,0),"")</f>
        <v/>
      </c>
      <c r="O75">
        <f>IF($N75="","",INDEX('Cronograma Asistente Técnico'!$V$5:$V$1000,$N75))</f>
        <v/>
      </c>
      <c r="P75">
        <f>IF($N75="","",N(INDEX('Cronograma Asistente Técnico'!$W$5:$W$1000,$N75)))</f>
        <v/>
      </c>
      <c r="Q75">
        <f>IF(OR(LEFT($L75,7)="Vencida",LEFT($L75,5)="Vence"),SUMPRODUCT(--(LEFT($L$5:$L75,7)="Vencida"))+SUMPRODUCT(--(LEFT($L$5:$L75,5)="Vence")),"")</f>
        <v/>
      </c>
    </row>
    <row r="76">
      <c r="A76" s="56">
        <f>IF($N76="","",INDEX('Cronograma Asistente Técnico'!$A$5:$A$1000,$N76))</f>
        <v/>
      </c>
      <c r="B76" s="62">
        <f>IF($N76="","",IF($O76="Sub","      ↳  "&amp;INDEX('Cronograma Asistente Técnico'!$C$5:$C$1000,$N76),INDEX('Cronograma Asistente Técnico'!$C$5:$C$1000,$N76)&amp;""))</f>
        <v/>
      </c>
      <c r="C76" s="79">
        <f>IF($N76="","",IF(INDEX('Cronograma Asistente Técnico'!$AR$5:$AR$1000,$N76)="","",INDEX('Cronograma Asistente Técnico'!$AR$5:$AR$1000,$N76)))</f>
        <v/>
      </c>
      <c r="D76" s="79">
        <f>IF($N76="","",IF(INDEX('Cronograma Asistente Técnico'!$AS$5:$AS$1000,$N76)="","",INDEX('Cronograma Asistente Técnico'!$AS$5:$AS$1000,$N76)))</f>
        <v/>
      </c>
      <c r="E76" s="56">
        <f>IF($N76="","",IF(NOT(ISNUMBER($D76)),"",IF($D76&lt;InicioCiclo,"Antes del ciclo",IF($D76&gt;=InicioCiclo+28,"Después del ciclo","Semana "&amp;(INT(($D76-InicioCiclo)/7)+1)))))</f>
        <v/>
      </c>
      <c r="F76" s="61">
        <f>IF($N76="","",IF($P76&gt;0,IF(1&lt;=SemanaActual,INDEX('Cronograma Asistente Técnico'!$AH$5:$AH$1000,$N76),""),IF(INDEX('Cronograma Asistente Técnico'!$I$5:$I$1000,$N76)="","",INDEX('Cronograma Asistente Técnico'!$I$5:$I$1000,$N76))))</f>
        <v/>
      </c>
      <c r="G76" s="61">
        <f>IF($N76="","",IF($P76&gt;0,IF(2&lt;=SemanaActual,INDEX('Cronograma Asistente Técnico'!$AI$5:$AI$1000,$N76),""),IF(INDEX('Cronograma Asistente Técnico'!$J$5:$J$1000,$N76)="","",INDEX('Cronograma Asistente Técnico'!$J$5:$J$1000,$N76))))</f>
        <v/>
      </c>
      <c r="H76" s="61">
        <f>IF($N76="","",IF($P76&gt;0,IF(3&lt;=SemanaActual,INDEX('Cronograma Asistente Técnico'!$AJ$5:$AJ$1000,$N76),""),IF(INDEX('Cronograma Asistente Técnico'!$K$5:$K$1000,$N76)="","",INDEX('Cronograma Asistente Técnico'!$K$5:$K$1000,$N76))))</f>
        <v/>
      </c>
      <c r="I76" s="61">
        <f>IF($N76="","",IF($P76&gt;0,IF(4&lt;=SemanaActual,INDEX('Cronograma Asistente Técnico'!$AK$5:$AK$1000,$N76),""),IF(INDEX('Cronograma Asistente Técnico'!$L$5:$L$1000,$N76)="","",INDEX('Cronograma Asistente Técnico'!$L$5:$L$1000,$N76))))</f>
        <v/>
      </c>
      <c r="J76" s="61">
        <f>IF($N76="","",INDEX('Cronograma Asistente Técnico'!$M$5:$M$1000,$N76))</f>
        <v/>
      </c>
      <c r="K76" s="56">
        <f>IF($N76="","",IF(N($J76)&gt;=1,"Completado",IF(AND(ISNUMBER($D76),$D76&lt;FechaRef),"Vencida",IF(N($J76)&gt;0,"En curso","Pendiente"))))</f>
        <v/>
      </c>
      <c r="L76" s="56">
        <f>IF($N76="","",INDEX('Cronograma Asistente Técnico'!$O$5:$O$1000,$N76)&amp;"")</f>
        <v/>
      </c>
      <c r="M76" s="62">
        <f>IF($N76="","",INDEX('Cronograma Asistente Técnico'!$Q$5:$Q$1000,$N76)&amp;"")</f>
        <v/>
      </c>
      <c r="N76">
        <f>IFERROR(MATCH(ROW()-4,rOrden_ATR,0),"")</f>
        <v/>
      </c>
      <c r="O76">
        <f>IF($N76="","",INDEX('Cronograma Asistente Técnico'!$V$5:$V$1000,$N76))</f>
        <v/>
      </c>
      <c r="P76">
        <f>IF($N76="","",N(INDEX('Cronograma Asistente Técnico'!$W$5:$W$1000,$N76)))</f>
        <v/>
      </c>
      <c r="Q76">
        <f>IF(OR(LEFT($L76,7)="Vencida",LEFT($L76,5)="Vence"),SUMPRODUCT(--(LEFT($L$5:$L76,7)="Vencida"))+SUMPRODUCT(--(LEFT($L$5:$L76,5)="Vence")),"")</f>
        <v/>
      </c>
    </row>
    <row r="77">
      <c r="A77" s="56">
        <f>IF($N77="","",INDEX('Cronograma Asistente Técnico'!$A$5:$A$1000,$N77))</f>
        <v/>
      </c>
      <c r="B77" s="62">
        <f>IF($N77="","",IF($O77="Sub","      ↳  "&amp;INDEX('Cronograma Asistente Técnico'!$C$5:$C$1000,$N77),INDEX('Cronograma Asistente Técnico'!$C$5:$C$1000,$N77)&amp;""))</f>
        <v/>
      </c>
      <c r="C77" s="79">
        <f>IF($N77="","",IF(INDEX('Cronograma Asistente Técnico'!$AR$5:$AR$1000,$N77)="","",INDEX('Cronograma Asistente Técnico'!$AR$5:$AR$1000,$N77)))</f>
        <v/>
      </c>
      <c r="D77" s="79">
        <f>IF($N77="","",IF(INDEX('Cronograma Asistente Técnico'!$AS$5:$AS$1000,$N77)="","",INDEX('Cronograma Asistente Técnico'!$AS$5:$AS$1000,$N77)))</f>
        <v/>
      </c>
      <c r="E77" s="56">
        <f>IF($N77="","",IF(NOT(ISNUMBER($D77)),"",IF($D77&lt;InicioCiclo,"Antes del ciclo",IF($D77&gt;=InicioCiclo+28,"Después del ciclo","Semana "&amp;(INT(($D77-InicioCiclo)/7)+1)))))</f>
        <v/>
      </c>
      <c r="F77" s="61">
        <f>IF($N77="","",IF($P77&gt;0,IF(1&lt;=SemanaActual,INDEX('Cronograma Asistente Técnico'!$AH$5:$AH$1000,$N77),""),IF(INDEX('Cronograma Asistente Técnico'!$I$5:$I$1000,$N77)="","",INDEX('Cronograma Asistente Técnico'!$I$5:$I$1000,$N77))))</f>
        <v/>
      </c>
      <c r="G77" s="61">
        <f>IF($N77="","",IF($P77&gt;0,IF(2&lt;=SemanaActual,INDEX('Cronograma Asistente Técnico'!$AI$5:$AI$1000,$N77),""),IF(INDEX('Cronograma Asistente Técnico'!$J$5:$J$1000,$N77)="","",INDEX('Cronograma Asistente Técnico'!$J$5:$J$1000,$N77))))</f>
        <v/>
      </c>
      <c r="H77" s="61">
        <f>IF($N77="","",IF($P77&gt;0,IF(3&lt;=SemanaActual,INDEX('Cronograma Asistente Técnico'!$AJ$5:$AJ$1000,$N77),""),IF(INDEX('Cronograma Asistente Técnico'!$K$5:$K$1000,$N77)="","",INDEX('Cronograma Asistente Técnico'!$K$5:$K$1000,$N77))))</f>
        <v/>
      </c>
      <c r="I77" s="61">
        <f>IF($N77="","",IF($P77&gt;0,IF(4&lt;=SemanaActual,INDEX('Cronograma Asistente Técnico'!$AK$5:$AK$1000,$N77),""),IF(INDEX('Cronograma Asistente Técnico'!$L$5:$L$1000,$N77)="","",INDEX('Cronograma Asistente Técnico'!$L$5:$L$1000,$N77))))</f>
        <v/>
      </c>
      <c r="J77" s="61">
        <f>IF($N77="","",INDEX('Cronograma Asistente Técnico'!$M$5:$M$1000,$N77))</f>
        <v/>
      </c>
      <c r="K77" s="56">
        <f>IF($N77="","",IF(N($J77)&gt;=1,"Completado",IF(AND(ISNUMBER($D77),$D77&lt;FechaRef),"Vencida",IF(N($J77)&gt;0,"En curso","Pendiente"))))</f>
        <v/>
      </c>
      <c r="L77" s="56">
        <f>IF($N77="","",INDEX('Cronograma Asistente Técnico'!$O$5:$O$1000,$N77)&amp;"")</f>
        <v/>
      </c>
      <c r="M77" s="62">
        <f>IF($N77="","",INDEX('Cronograma Asistente Técnico'!$Q$5:$Q$1000,$N77)&amp;"")</f>
        <v/>
      </c>
      <c r="N77">
        <f>IFERROR(MATCH(ROW()-4,rOrden_ATR,0),"")</f>
        <v/>
      </c>
      <c r="O77">
        <f>IF($N77="","",INDEX('Cronograma Asistente Técnico'!$V$5:$V$1000,$N77))</f>
        <v/>
      </c>
      <c r="P77">
        <f>IF($N77="","",N(INDEX('Cronograma Asistente Técnico'!$W$5:$W$1000,$N77)))</f>
        <v/>
      </c>
      <c r="Q77">
        <f>IF(OR(LEFT($L77,7)="Vencida",LEFT($L77,5)="Vence"),SUMPRODUCT(--(LEFT($L$5:$L77,7)="Vencida"))+SUMPRODUCT(--(LEFT($L$5:$L77,5)="Vence")),"")</f>
        <v/>
      </c>
    </row>
    <row r="78">
      <c r="A78" s="56">
        <f>IF($N78="","",INDEX('Cronograma Asistente Técnico'!$A$5:$A$1000,$N78))</f>
        <v/>
      </c>
      <c r="B78" s="62">
        <f>IF($N78="","",IF($O78="Sub","      ↳  "&amp;INDEX('Cronograma Asistente Técnico'!$C$5:$C$1000,$N78),INDEX('Cronograma Asistente Técnico'!$C$5:$C$1000,$N78)&amp;""))</f>
        <v/>
      </c>
      <c r="C78" s="79">
        <f>IF($N78="","",IF(INDEX('Cronograma Asistente Técnico'!$AR$5:$AR$1000,$N78)="","",INDEX('Cronograma Asistente Técnico'!$AR$5:$AR$1000,$N78)))</f>
        <v/>
      </c>
      <c r="D78" s="79">
        <f>IF($N78="","",IF(INDEX('Cronograma Asistente Técnico'!$AS$5:$AS$1000,$N78)="","",INDEX('Cronograma Asistente Técnico'!$AS$5:$AS$1000,$N78)))</f>
        <v/>
      </c>
      <c r="E78" s="56">
        <f>IF($N78="","",IF(NOT(ISNUMBER($D78)),"",IF($D78&lt;InicioCiclo,"Antes del ciclo",IF($D78&gt;=InicioCiclo+28,"Después del ciclo","Semana "&amp;(INT(($D78-InicioCiclo)/7)+1)))))</f>
        <v/>
      </c>
      <c r="F78" s="61">
        <f>IF($N78="","",IF($P78&gt;0,IF(1&lt;=SemanaActual,INDEX('Cronograma Asistente Técnico'!$AH$5:$AH$1000,$N78),""),IF(INDEX('Cronograma Asistente Técnico'!$I$5:$I$1000,$N78)="","",INDEX('Cronograma Asistente Técnico'!$I$5:$I$1000,$N78))))</f>
        <v/>
      </c>
      <c r="G78" s="61">
        <f>IF($N78="","",IF($P78&gt;0,IF(2&lt;=SemanaActual,INDEX('Cronograma Asistente Técnico'!$AI$5:$AI$1000,$N78),""),IF(INDEX('Cronograma Asistente Técnico'!$J$5:$J$1000,$N78)="","",INDEX('Cronograma Asistente Técnico'!$J$5:$J$1000,$N78))))</f>
        <v/>
      </c>
      <c r="H78" s="61">
        <f>IF($N78="","",IF($P78&gt;0,IF(3&lt;=SemanaActual,INDEX('Cronograma Asistente Técnico'!$AJ$5:$AJ$1000,$N78),""),IF(INDEX('Cronograma Asistente Técnico'!$K$5:$K$1000,$N78)="","",INDEX('Cronograma Asistente Técnico'!$K$5:$K$1000,$N78))))</f>
        <v/>
      </c>
      <c r="I78" s="61">
        <f>IF($N78="","",IF($P78&gt;0,IF(4&lt;=SemanaActual,INDEX('Cronograma Asistente Técnico'!$AK$5:$AK$1000,$N78),""),IF(INDEX('Cronograma Asistente Técnico'!$L$5:$L$1000,$N78)="","",INDEX('Cronograma Asistente Técnico'!$L$5:$L$1000,$N78))))</f>
        <v/>
      </c>
      <c r="J78" s="61">
        <f>IF($N78="","",INDEX('Cronograma Asistente Técnico'!$M$5:$M$1000,$N78))</f>
        <v/>
      </c>
      <c r="K78" s="56">
        <f>IF($N78="","",IF(N($J78)&gt;=1,"Completado",IF(AND(ISNUMBER($D78),$D78&lt;FechaRef),"Vencida",IF(N($J78)&gt;0,"En curso","Pendiente"))))</f>
        <v/>
      </c>
      <c r="L78" s="56">
        <f>IF($N78="","",INDEX('Cronograma Asistente Técnico'!$O$5:$O$1000,$N78)&amp;"")</f>
        <v/>
      </c>
      <c r="M78" s="62">
        <f>IF($N78="","",INDEX('Cronograma Asistente Técnico'!$Q$5:$Q$1000,$N78)&amp;"")</f>
        <v/>
      </c>
      <c r="N78">
        <f>IFERROR(MATCH(ROW()-4,rOrden_ATR,0),"")</f>
        <v/>
      </c>
      <c r="O78">
        <f>IF($N78="","",INDEX('Cronograma Asistente Técnico'!$V$5:$V$1000,$N78))</f>
        <v/>
      </c>
      <c r="P78">
        <f>IF($N78="","",N(INDEX('Cronograma Asistente Técnico'!$W$5:$W$1000,$N78)))</f>
        <v/>
      </c>
      <c r="Q78">
        <f>IF(OR(LEFT($L78,7)="Vencida",LEFT($L78,5)="Vence"),SUMPRODUCT(--(LEFT($L$5:$L78,7)="Vencida"))+SUMPRODUCT(--(LEFT($L$5:$L78,5)="Vence")),"")</f>
        <v/>
      </c>
    </row>
    <row r="79">
      <c r="A79" s="56">
        <f>IF($N79="","",INDEX('Cronograma Asistente Técnico'!$A$5:$A$1000,$N79))</f>
        <v/>
      </c>
      <c r="B79" s="62">
        <f>IF($N79="","",IF($O79="Sub","      ↳  "&amp;INDEX('Cronograma Asistente Técnico'!$C$5:$C$1000,$N79),INDEX('Cronograma Asistente Técnico'!$C$5:$C$1000,$N79)&amp;""))</f>
        <v/>
      </c>
      <c r="C79" s="79">
        <f>IF($N79="","",IF(INDEX('Cronograma Asistente Técnico'!$AR$5:$AR$1000,$N79)="","",INDEX('Cronograma Asistente Técnico'!$AR$5:$AR$1000,$N79)))</f>
        <v/>
      </c>
      <c r="D79" s="79">
        <f>IF($N79="","",IF(INDEX('Cronograma Asistente Técnico'!$AS$5:$AS$1000,$N79)="","",INDEX('Cronograma Asistente Técnico'!$AS$5:$AS$1000,$N79)))</f>
        <v/>
      </c>
      <c r="E79" s="56">
        <f>IF($N79="","",IF(NOT(ISNUMBER($D79)),"",IF($D79&lt;InicioCiclo,"Antes del ciclo",IF($D79&gt;=InicioCiclo+28,"Después del ciclo","Semana "&amp;(INT(($D79-InicioCiclo)/7)+1)))))</f>
        <v/>
      </c>
      <c r="F79" s="61">
        <f>IF($N79="","",IF($P79&gt;0,IF(1&lt;=SemanaActual,INDEX('Cronograma Asistente Técnico'!$AH$5:$AH$1000,$N79),""),IF(INDEX('Cronograma Asistente Técnico'!$I$5:$I$1000,$N79)="","",INDEX('Cronograma Asistente Técnico'!$I$5:$I$1000,$N79))))</f>
        <v/>
      </c>
      <c r="G79" s="61">
        <f>IF($N79="","",IF($P79&gt;0,IF(2&lt;=SemanaActual,INDEX('Cronograma Asistente Técnico'!$AI$5:$AI$1000,$N79),""),IF(INDEX('Cronograma Asistente Técnico'!$J$5:$J$1000,$N79)="","",INDEX('Cronograma Asistente Técnico'!$J$5:$J$1000,$N79))))</f>
        <v/>
      </c>
      <c r="H79" s="61">
        <f>IF($N79="","",IF($P79&gt;0,IF(3&lt;=SemanaActual,INDEX('Cronograma Asistente Técnico'!$AJ$5:$AJ$1000,$N79),""),IF(INDEX('Cronograma Asistente Técnico'!$K$5:$K$1000,$N79)="","",INDEX('Cronograma Asistente Técnico'!$K$5:$K$1000,$N79))))</f>
        <v/>
      </c>
      <c r="I79" s="61">
        <f>IF($N79="","",IF($P79&gt;0,IF(4&lt;=SemanaActual,INDEX('Cronograma Asistente Técnico'!$AK$5:$AK$1000,$N79),""),IF(INDEX('Cronograma Asistente Técnico'!$L$5:$L$1000,$N79)="","",INDEX('Cronograma Asistente Técnico'!$L$5:$L$1000,$N79))))</f>
        <v/>
      </c>
      <c r="J79" s="61">
        <f>IF($N79="","",INDEX('Cronograma Asistente Técnico'!$M$5:$M$1000,$N79))</f>
        <v/>
      </c>
      <c r="K79" s="56">
        <f>IF($N79="","",IF(N($J79)&gt;=1,"Completado",IF(AND(ISNUMBER($D79),$D79&lt;FechaRef),"Vencida",IF(N($J79)&gt;0,"En curso","Pendiente"))))</f>
        <v/>
      </c>
      <c r="L79" s="56">
        <f>IF($N79="","",INDEX('Cronograma Asistente Técnico'!$O$5:$O$1000,$N79)&amp;"")</f>
        <v/>
      </c>
      <c r="M79" s="62">
        <f>IF($N79="","",INDEX('Cronograma Asistente Técnico'!$Q$5:$Q$1000,$N79)&amp;"")</f>
        <v/>
      </c>
      <c r="N79">
        <f>IFERROR(MATCH(ROW()-4,rOrden_ATR,0),"")</f>
        <v/>
      </c>
      <c r="O79">
        <f>IF($N79="","",INDEX('Cronograma Asistente Técnico'!$V$5:$V$1000,$N79))</f>
        <v/>
      </c>
      <c r="P79">
        <f>IF($N79="","",N(INDEX('Cronograma Asistente Técnico'!$W$5:$W$1000,$N79)))</f>
        <v/>
      </c>
      <c r="Q79">
        <f>IF(OR(LEFT($L79,7)="Vencida",LEFT($L79,5)="Vence"),SUMPRODUCT(--(LEFT($L$5:$L79,7)="Vencida"))+SUMPRODUCT(--(LEFT($L$5:$L79,5)="Vence")),"")</f>
        <v/>
      </c>
    </row>
    <row r="80">
      <c r="A80" s="56">
        <f>IF($N80="","",INDEX('Cronograma Asistente Técnico'!$A$5:$A$1000,$N80))</f>
        <v/>
      </c>
      <c r="B80" s="62">
        <f>IF($N80="","",IF($O80="Sub","      ↳  "&amp;INDEX('Cronograma Asistente Técnico'!$C$5:$C$1000,$N80),INDEX('Cronograma Asistente Técnico'!$C$5:$C$1000,$N80)&amp;""))</f>
        <v/>
      </c>
      <c r="C80" s="79">
        <f>IF($N80="","",IF(INDEX('Cronograma Asistente Técnico'!$AR$5:$AR$1000,$N80)="","",INDEX('Cronograma Asistente Técnico'!$AR$5:$AR$1000,$N80)))</f>
        <v/>
      </c>
      <c r="D80" s="79">
        <f>IF($N80="","",IF(INDEX('Cronograma Asistente Técnico'!$AS$5:$AS$1000,$N80)="","",INDEX('Cronograma Asistente Técnico'!$AS$5:$AS$1000,$N80)))</f>
        <v/>
      </c>
      <c r="E80" s="56">
        <f>IF($N80="","",IF(NOT(ISNUMBER($D80)),"",IF($D80&lt;InicioCiclo,"Antes del ciclo",IF($D80&gt;=InicioCiclo+28,"Después del ciclo","Semana "&amp;(INT(($D80-InicioCiclo)/7)+1)))))</f>
        <v/>
      </c>
      <c r="F80" s="61">
        <f>IF($N80="","",IF($P80&gt;0,IF(1&lt;=SemanaActual,INDEX('Cronograma Asistente Técnico'!$AH$5:$AH$1000,$N80),""),IF(INDEX('Cronograma Asistente Técnico'!$I$5:$I$1000,$N80)="","",INDEX('Cronograma Asistente Técnico'!$I$5:$I$1000,$N80))))</f>
        <v/>
      </c>
      <c r="G80" s="61">
        <f>IF($N80="","",IF($P80&gt;0,IF(2&lt;=SemanaActual,INDEX('Cronograma Asistente Técnico'!$AI$5:$AI$1000,$N80),""),IF(INDEX('Cronograma Asistente Técnico'!$J$5:$J$1000,$N80)="","",INDEX('Cronograma Asistente Técnico'!$J$5:$J$1000,$N80))))</f>
        <v/>
      </c>
      <c r="H80" s="61">
        <f>IF($N80="","",IF($P80&gt;0,IF(3&lt;=SemanaActual,INDEX('Cronograma Asistente Técnico'!$AJ$5:$AJ$1000,$N80),""),IF(INDEX('Cronograma Asistente Técnico'!$K$5:$K$1000,$N80)="","",INDEX('Cronograma Asistente Técnico'!$K$5:$K$1000,$N80))))</f>
        <v/>
      </c>
      <c r="I80" s="61">
        <f>IF($N80="","",IF($P80&gt;0,IF(4&lt;=SemanaActual,INDEX('Cronograma Asistente Técnico'!$AK$5:$AK$1000,$N80),""),IF(INDEX('Cronograma Asistente Técnico'!$L$5:$L$1000,$N80)="","",INDEX('Cronograma Asistente Técnico'!$L$5:$L$1000,$N80))))</f>
        <v/>
      </c>
      <c r="J80" s="61">
        <f>IF($N80="","",INDEX('Cronograma Asistente Técnico'!$M$5:$M$1000,$N80))</f>
        <v/>
      </c>
      <c r="K80" s="56">
        <f>IF($N80="","",IF(N($J80)&gt;=1,"Completado",IF(AND(ISNUMBER($D80),$D80&lt;FechaRef),"Vencida",IF(N($J80)&gt;0,"En curso","Pendiente"))))</f>
        <v/>
      </c>
      <c r="L80" s="56">
        <f>IF($N80="","",INDEX('Cronograma Asistente Técnico'!$O$5:$O$1000,$N80)&amp;"")</f>
        <v/>
      </c>
      <c r="M80" s="62">
        <f>IF($N80="","",INDEX('Cronograma Asistente Técnico'!$Q$5:$Q$1000,$N80)&amp;"")</f>
        <v/>
      </c>
      <c r="N80">
        <f>IFERROR(MATCH(ROW()-4,rOrden_ATR,0),"")</f>
        <v/>
      </c>
      <c r="O80">
        <f>IF($N80="","",INDEX('Cronograma Asistente Técnico'!$V$5:$V$1000,$N80))</f>
        <v/>
      </c>
      <c r="P80">
        <f>IF($N80="","",N(INDEX('Cronograma Asistente Técnico'!$W$5:$W$1000,$N80)))</f>
        <v/>
      </c>
      <c r="Q80">
        <f>IF(OR(LEFT($L80,7)="Vencida",LEFT($L80,5)="Vence"),SUMPRODUCT(--(LEFT($L$5:$L80,7)="Vencida"))+SUMPRODUCT(--(LEFT($L$5:$L80,5)="Vence")),"")</f>
        <v/>
      </c>
    </row>
    <row r="81">
      <c r="A81" s="56">
        <f>IF($N81="","",INDEX('Cronograma Asistente Técnico'!$A$5:$A$1000,$N81))</f>
        <v/>
      </c>
      <c r="B81" s="62">
        <f>IF($N81="","",IF($O81="Sub","      ↳  "&amp;INDEX('Cronograma Asistente Técnico'!$C$5:$C$1000,$N81),INDEX('Cronograma Asistente Técnico'!$C$5:$C$1000,$N81)&amp;""))</f>
        <v/>
      </c>
      <c r="C81" s="79">
        <f>IF($N81="","",IF(INDEX('Cronograma Asistente Técnico'!$AR$5:$AR$1000,$N81)="","",INDEX('Cronograma Asistente Técnico'!$AR$5:$AR$1000,$N81)))</f>
        <v/>
      </c>
      <c r="D81" s="79">
        <f>IF($N81="","",IF(INDEX('Cronograma Asistente Técnico'!$AS$5:$AS$1000,$N81)="","",INDEX('Cronograma Asistente Técnico'!$AS$5:$AS$1000,$N81)))</f>
        <v/>
      </c>
      <c r="E81" s="56">
        <f>IF($N81="","",IF(NOT(ISNUMBER($D81)),"",IF($D81&lt;InicioCiclo,"Antes del ciclo",IF($D81&gt;=InicioCiclo+28,"Después del ciclo","Semana "&amp;(INT(($D81-InicioCiclo)/7)+1)))))</f>
        <v/>
      </c>
      <c r="F81" s="61">
        <f>IF($N81="","",IF($P81&gt;0,IF(1&lt;=SemanaActual,INDEX('Cronograma Asistente Técnico'!$AH$5:$AH$1000,$N81),""),IF(INDEX('Cronograma Asistente Técnico'!$I$5:$I$1000,$N81)="","",INDEX('Cronograma Asistente Técnico'!$I$5:$I$1000,$N81))))</f>
        <v/>
      </c>
      <c r="G81" s="61">
        <f>IF($N81="","",IF($P81&gt;0,IF(2&lt;=SemanaActual,INDEX('Cronograma Asistente Técnico'!$AI$5:$AI$1000,$N81),""),IF(INDEX('Cronograma Asistente Técnico'!$J$5:$J$1000,$N81)="","",INDEX('Cronograma Asistente Técnico'!$J$5:$J$1000,$N81))))</f>
        <v/>
      </c>
      <c r="H81" s="61">
        <f>IF($N81="","",IF($P81&gt;0,IF(3&lt;=SemanaActual,INDEX('Cronograma Asistente Técnico'!$AJ$5:$AJ$1000,$N81),""),IF(INDEX('Cronograma Asistente Técnico'!$K$5:$K$1000,$N81)="","",INDEX('Cronograma Asistente Técnico'!$K$5:$K$1000,$N81))))</f>
        <v/>
      </c>
      <c r="I81" s="61">
        <f>IF($N81="","",IF($P81&gt;0,IF(4&lt;=SemanaActual,INDEX('Cronograma Asistente Técnico'!$AK$5:$AK$1000,$N81),""),IF(INDEX('Cronograma Asistente Técnico'!$L$5:$L$1000,$N81)="","",INDEX('Cronograma Asistente Técnico'!$L$5:$L$1000,$N81))))</f>
        <v/>
      </c>
      <c r="J81" s="61">
        <f>IF($N81="","",INDEX('Cronograma Asistente Técnico'!$M$5:$M$1000,$N81))</f>
        <v/>
      </c>
      <c r="K81" s="56">
        <f>IF($N81="","",IF(N($J81)&gt;=1,"Completado",IF(AND(ISNUMBER($D81),$D81&lt;FechaRef),"Vencida",IF(N($J81)&gt;0,"En curso","Pendiente"))))</f>
        <v/>
      </c>
      <c r="L81" s="56">
        <f>IF($N81="","",INDEX('Cronograma Asistente Técnico'!$O$5:$O$1000,$N81)&amp;"")</f>
        <v/>
      </c>
      <c r="M81" s="62">
        <f>IF($N81="","",INDEX('Cronograma Asistente Técnico'!$Q$5:$Q$1000,$N81)&amp;"")</f>
        <v/>
      </c>
      <c r="N81">
        <f>IFERROR(MATCH(ROW()-4,rOrden_ATR,0),"")</f>
        <v/>
      </c>
      <c r="O81">
        <f>IF($N81="","",INDEX('Cronograma Asistente Técnico'!$V$5:$V$1000,$N81))</f>
        <v/>
      </c>
      <c r="P81">
        <f>IF($N81="","",N(INDEX('Cronograma Asistente Técnico'!$W$5:$W$1000,$N81)))</f>
        <v/>
      </c>
      <c r="Q81">
        <f>IF(OR(LEFT($L81,7)="Vencida",LEFT($L81,5)="Vence"),SUMPRODUCT(--(LEFT($L$5:$L81,7)="Vencida"))+SUMPRODUCT(--(LEFT($L$5:$L81,5)="Vence")),"")</f>
        <v/>
      </c>
    </row>
    <row r="82">
      <c r="A82" s="56">
        <f>IF($N82="","",INDEX('Cronograma Asistente Técnico'!$A$5:$A$1000,$N82))</f>
        <v/>
      </c>
      <c r="B82" s="62">
        <f>IF($N82="","",IF($O82="Sub","      ↳  "&amp;INDEX('Cronograma Asistente Técnico'!$C$5:$C$1000,$N82),INDEX('Cronograma Asistente Técnico'!$C$5:$C$1000,$N82)&amp;""))</f>
        <v/>
      </c>
      <c r="C82" s="79">
        <f>IF($N82="","",IF(INDEX('Cronograma Asistente Técnico'!$AR$5:$AR$1000,$N82)="","",INDEX('Cronograma Asistente Técnico'!$AR$5:$AR$1000,$N82)))</f>
        <v/>
      </c>
      <c r="D82" s="79">
        <f>IF($N82="","",IF(INDEX('Cronograma Asistente Técnico'!$AS$5:$AS$1000,$N82)="","",INDEX('Cronograma Asistente Técnico'!$AS$5:$AS$1000,$N82)))</f>
        <v/>
      </c>
      <c r="E82" s="56">
        <f>IF($N82="","",IF(NOT(ISNUMBER($D82)),"",IF($D82&lt;InicioCiclo,"Antes del ciclo",IF($D82&gt;=InicioCiclo+28,"Después del ciclo","Semana "&amp;(INT(($D82-InicioCiclo)/7)+1)))))</f>
        <v/>
      </c>
      <c r="F82" s="61">
        <f>IF($N82="","",IF($P82&gt;0,IF(1&lt;=SemanaActual,INDEX('Cronograma Asistente Técnico'!$AH$5:$AH$1000,$N82),""),IF(INDEX('Cronograma Asistente Técnico'!$I$5:$I$1000,$N82)="","",INDEX('Cronograma Asistente Técnico'!$I$5:$I$1000,$N82))))</f>
        <v/>
      </c>
      <c r="G82" s="61">
        <f>IF($N82="","",IF($P82&gt;0,IF(2&lt;=SemanaActual,INDEX('Cronograma Asistente Técnico'!$AI$5:$AI$1000,$N82),""),IF(INDEX('Cronograma Asistente Técnico'!$J$5:$J$1000,$N82)="","",INDEX('Cronograma Asistente Técnico'!$J$5:$J$1000,$N82))))</f>
        <v/>
      </c>
      <c r="H82" s="61">
        <f>IF($N82="","",IF($P82&gt;0,IF(3&lt;=SemanaActual,INDEX('Cronograma Asistente Técnico'!$AJ$5:$AJ$1000,$N82),""),IF(INDEX('Cronograma Asistente Técnico'!$K$5:$K$1000,$N82)="","",INDEX('Cronograma Asistente Técnico'!$K$5:$K$1000,$N82))))</f>
        <v/>
      </c>
      <c r="I82" s="61">
        <f>IF($N82="","",IF($P82&gt;0,IF(4&lt;=SemanaActual,INDEX('Cronograma Asistente Técnico'!$AK$5:$AK$1000,$N82),""),IF(INDEX('Cronograma Asistente Técnico'!$L$5:$L$1000,$N82)="","",INDEX('Cronograma Asistente Técnico'!$L$5:$L$1000,$N82))))</f>
        <v/>
      </c>
      <c r="J82" s="61">
        <f>IF($N82="","",INDEX('Cronograma Asistente Técnico'!$M$5:$M$1000,$N82))</f>
        <v/>
      </c>
      <c r="K82" s="56">
        <f>IF($N82="","",IF(N($J82)&gt;=1,"Completado",IF(AND(ISNUMBER($D82),$D82&lt;FechaRef),"Vencida",IF(N($J82)&gt;0,"En curso","Pendiente"))))</f>
        <v/>
      </c>
      <c r="L82" s="56">
        <f>IF($N82="","",INDEX('Cronograma Asistente Técnico'!$O$5:$O$1000,$N82)&amp;"")</f>
        <v/>
      </c>
      <c r="M82" s="62">
        <f>IF($N82="","",INDEX('Cronograma Asistente Técnico'!$Q$5:$Q$1000,$N82)&amp;"")</f>
        <v/>
      </c>
      <c r="N82">
        <f>IFERROR(MATCH(ROW()-4,rOrden_ATR,0),"")</f>
        <v/>
      </c>
      <c r="O82">
        <f>IF($N82="","",INDEX('Cronograma Asistente Técnico'!$V$5:$V$1000,$N82))</f>
        <v/>
      </c>
      <c r="P82">
        <f>IF($N82="","",N(INDEX('Cronograma Asistente Técnico'!$W$5:$W$1000,$N82)))</f>
        <v/>
      </c>
      <c r="Q82">
        <f>IF(OR(LEFT($L82,7)="Vencida",LEFT($L82,5)="Vence"),SUMPRODUCT(--(LEFT($L$5:$L82,7)="Vencida"))+SUMPRODUCT(--(LEFT($L$5:$L82,5)="Vence")),"")</f>
        <v/>
      </c>
    </row>
    <row r="83">
      <c r="A83" s="56">
        <f>IF($N83="","",INDEX('Cronograma Asistente Técnico'!$A$5:$A$1000,$N83))</f>
        <v/>
      </c>
      <c r="B83" s="62">
        <f>IF($N83="","",IF($O83="Sub","      ↳  "&amp;INDEX('Cronograma Asistente Técnico'!$C$5:$C$1000,$N83),INDEX('Cronograma Asistente Técnico'!$C$5:$C$1000,$N83)&amp;""))</f>
        <v/>
      </c>
      <c r="C83" s="79">
        <f>IF($N83="","",IF(INDEX('Cronograma Asistente Técnico'!$AR$5:$AR$1000,$N83)="","",INDEX('Cronograma Asistente Técnico'!$AR$5:$AR$1000,$N83)))</f>
        <v/>
      </c>
      <c r="D83" s="79">
        <f>IF($N83="","",IF(INDEX('Cronograma Asistente Técnico'!$AS$5:$AS$1000,$N83)="","",INDEX('Cronograma Asistente Técnico'!$AS$5:$AS$1000,$N83)))</f>
        <v/>
      </c>
      <c r="E83" s="56">
        <f>IF($N83="","",IF(NOT(ISNUMBER($D83)),"",IF($D83&lt;InicioCiclo,"Antes del ciclo",IF($D83&gt;=InicioCiclo+28,"Después del ciclo","Semana "&amp;(INT(($D83-InicioCiclo)/7)+1)))))</f>
        <v/>
      </c>
      <c r="F83" s="61">
        <f>IF($N83="","",IF($P83&gt;0,IF(1&lt;=SemanaActual,INDEX('Cronograma Asistente Técnico'!$AH$5:$AH$1000,$N83),""),IF(INDEX('Cronograma Asistente Técnico'!$I$5:$I$1000,$N83)="","",INDEX('Cronograma Asistente Técnico'!$I$5:$I$1000,$N83))))</f>
        <v/>
      </c>
      <c r="G83" s="61">
        <f>IF($N83="","",IF($P83&gt;0,IF(2&lt;=SemanaActual,INDEX('Cronograma Asistente Técnico'!$AI$5:$AI$1000,$N83),""),IF(INDEX('Cronograma Asistente Técnico'!$J$5:$J$1000,$N83)="","",INDEX('Cronograma Asistente Técnico'!$J$5:$J$1000,$N83))))</f>
        <v/>
      </c>
      <c r="H83" s="61">
        <f>IF($N83="","",IF($P83&gt;0,IF(3&lt;=SemanaActual,INDEX('Cronograma Asistente Técnico'!$AJ$5:$AJ$1000,$N83),""),IF(INDEX('Cronograma Asistente Técnico'!$K$5:$K$1000,$N83)="","",INDEX('Cronograma Asistente Técnico'!$K$5:$K$1000,$N83))))</f>
        <v/>
      </c>
      <c r="I83" s="61">
        <f>IF($N83="","",IF($P83&gt;0,IF(4&lt;=SemanaActual,INDEX('Cronograma Asistente Técnico'!$AK$5:$AK$1000,$N83),""),IF(INDEX('Cronograma Asistente Técnico'!$L$5:$L$1000,$N83)="","",INDEX('Cronograma Asistente Técnico'!$L$5:$L$1000,$N83))))</f>
        <v/>
      </c>
      <c r="J83" s="61">
        <f>IF($N83="","",INDEX('Cronograma Asistente Técnico'!$M$5:$M$1000,$N83))</f>
        <v/>
      </c>
      <c r="K83" s="56">
        <f>IF($N83="","",IF(N($J83)&gt;=1,"Completado",IF(AND(ISNUMBER($D83),$D83&lt;FechaRef),"Vencida",IF(N($J83)&gt;0,"En curso","Pendiente"))))</f>
        <v/>
      </c>
      <c r="L83" s="56">
        <f>IF($N83="","",INDEX('Cronograma Asistente Técnico'!$O$5:$O$1000,$N83)&amp;"")</f>
        <v/>
      </c>
      <c r="M83" s="62">
        <f>IF($N83="","",INDEX('Cronograma Asistente Técnico'!$Q$5:$Q$1000,$N83)&amp;"")</f>
        <v/>
      </c>
      <c r="N83">
        <f>IFERROR(MATCH(ROW()-4,rOrden_ATR,0),"")</f>
        <v/>
      </c>
      <c r="O83">
        <f>IF($N83="","",INDEX('Cronograma Asistente Técnico'!$V$5:$V$1000,$N83))</f>
        <v/>
      </c>
      <c r="P83">
        <f>IF($N83="","",N(INDEX('Cronograma Asistente Técnico'!$W$5:$W$1000,$N83)))</f>
        <v/>
      </c>
      <c r="Q83">
        <f>IF(OR(LEFT($L83,7)="Vencida",LEFT($L83,5)="Vence"),SUMPRODUCT(--(LEFT($L$5:$L83,7)="Vencida"))+SUMPRODUCT(--(LEFT($L$5:$L83,5)="Vence")),"")</f>
        <v/>
      </c>
    </row>
    <row r="84">
      <c r="A84" s="56">
        <f>IF($N84="","",INDEX('Cronograma Asistente Técnico'!$A$5:$A$1000,$N84))</f>
        <v/>
      </c>
      <c r="B84" s="62">
        <f>IF($N84="","",IF($O84="Sub","      ↳  "&amp;INDEX('Cronograma Asistente Técnico'!$C$5:$C$1000,$N84),INDEX('Cronograma Asistente Técnico'!$C$5:$C$1000,$N84)&amp;""))</f>
        <v/>
      </c>
      <c r="C84" s="79">
        <f>IF($N84="","",IF(INDEX('Cronograma Asistente Técnico'!$AR$5:$AR$1000,$N84)="","",INDEX('Cronograma Asistente Técnico'!$AR$5:$AR$1000,$N84)))</f>
        <v/>
      </c>
      <c r="D84" s="79">
        <f>IF($N84="","",IF(INDEX('Cronograma Asistente Técnico'!$AS$5:$AS$1000,$N84)="","",INDEX('Cronograma Asistente Técnico'!$AS$5:$AS$1000,$N84)))</f>
        <v/>
      </c>
      <c r="E84" s="56">
        <f>IF($N84="","",IF(NOT(ISNUMBER($D84)),"",IF($D84&lt;InicioCiclo,"Antes del ciclo",IF($D84&gt;=InicioCiclo+28,"Después del ciclo","Semana "&amp;(INT(($D84-InicioCiclo)/7)+1)))))</f>
        <v/>
      </c>
      <c r="F84" s="61">
        <f>IF($N84="","",IF($P84&gt;0,IF(1&lt;=SemanaActual,INDEX('Cronograma Asistente Técnico'!$AH$5:$AH$1000,$N84),""),IF(INDEX('Cronograma Asistente Técnico'!$I$5:$I$1000,$N84)="","",INDEX('Cronograma Asistente Técnico'!$I$5:$I$1000,$N84))))</f>
        <v/>
      </c>
      <c r="G84" s="61">
        <f>IF($N84="","",IF($P84&gt;0,IF(2&lt;=SemanaActual,INDEX('Cronograma Asistente Técnico'!$AI$5:$AI$1000,$N84),""),IF(INDEX('Cronograma Asistente Técnico'!$J$5:$J$1000,$N84)="","",INDEX('Cronograma Asistente Técnico'!$J$5:$J$1000,$N84))))</f>
        <v/>
      </c>
      <c r="H84" s="61">
        <f>IF($N84="","",IF($P84&gt;0,IF(3&lt;=SemanaActual,INDEX('Cronograma Asistente Técnico'!$AJ$5:$AJ$1000,$N84),""),IF(INDEX('Cronograma Asistente Técnico'!$K$5:$K$1000,$N84)="","",INDEX('Cronograma Asistente Técnico'!$K$5:$K$1000,$N84))))</f>
        <v/>
      </c>
      <c r="I84" s="61">
        <f>IF($N84="","",IF($P84&gt;0,IF(4&lt;=SemanaActual,INDEX('Cronograma Asistente Técnico'!$AK$5:$AK$1000,$N84),""),IF(INDEX('Cronograma Asistente Técnico'!$L$5:$L$1000,$N84)="","",INDEX('Cronograma Asistente Técnico'!$L$5:$L$1000,$N84))))</f>
        <v/>
      </c>
      <c r="J84" s="61">
        <f>IF($N84="","",INDEX('Cronograma Asistente Técnico'!$M$5:$M$1000,$N84))</f>
        <v/>
      </c>
      <c r="K84" s="56">
        <f>IF($N84="","",IF(N($J84)&gt;=1,"Completado",IF(AND(ISNUMBER($D84),$D84&lt;FechaRef),"Vencida",IF(N($J84)&gt;0,"En curso","Pendiente"))))</f>
        <v/>
      </c>
      <c r="L84" s="56">
        <f>IF($N84="","",INDEX('Cronograma Asistente Técnico'!$O$5:$O$1000,$N84)&amp;"")</f>
        <v/>
      </c>
      <c r="M84" s="62">
        <f>IF($N84="","",INDEX('Cronograma Asistente Técnico'!$Q$5:$Q$1000,$N84)&amp;"")</f>
        <v/>
      </c>
      <c r="N84">
        <f>IFERROR(MATCH(ROW()-4,rOrden_ATR,0),"")</f>
        <v/>
      </c>
      <c r="O84">
        <f>IF($N84="","",INDEX('Cronograma Asistente Técnico'!$V$5:$V$1000,$N84))</f>
        <v/>
      </c>
      <c r="P84">
        <f>IF($N84="","",N(INDEX('Cronograma Asistente Técnico'!$W$5:$W$1000,$N84)))</f>
        <v/>
      </c>
      <c r="Q84">
        <f>IF(OR(LEFT($L84,7)="Vencida",LEFT($L84,5)="Vence"),SUMPRODUCT(--(LEFT($L$5:$L84,7)="Vencida"))+SUMPRODUCT(--(LEFT($L$5:$L84,5)="Vence")),"")</f>
        <v/>
      </c>
    </row>
    <row r="85">
      <c r="A85" s="56">
        <f>IF($N85="","",INDEX('Cronograma Asistente Técnico'!$A$5:$A$1000,$N85))</f>
        <v/>
      </c>
      <c r="B85" s="62">
        <f>IF($N85="","",IF($O85="Sub","      ↳  "&amp;INDEX('Cronograma Asistente Técnico'!$C$5:$C$1000,$N85),INDEX('Cronograma Asistente Técnico'!$C$5:$C$1000,$N85)&amp;""))</f>
        <v/>
      </c>
      <c r="C85" s="79">
        <f>IF($N85="","",IF(INDEX('Cronograma Asistente Técnico'!$AR$5:$AR$1000,$N85)="","",INDEX('Cronograma Asistente Técnico'!$AR$5:$AR$1000,$N85)))</f>
        <v/>
      </c>
      <c r="D85" s="79">
        <f>IF($N85="","",IF(INDEX('Cronograma Asistente Técnico'!$AS$5:$AS$1000,$N85)="","",INDEX('Cronograma Asistente Técnico'!$AS$5:$AS$1000,$N85)))</f>
        <v/>
      </c>
      <c r="E85" s="56">
        <f>IF($N85="","",IF(NOT(ISNUMBER($D85)),"",IF($D85&lt;InicioCiclo,"Antes del ciclo",IF($D85&gt;=InicioCiclo+28,"Después del ciclo","Semana "&amp;(INT(($D85-InicioCiclo)/7)+1)))))</f>
        <v/>
      </c>
      <c r="F85" s="61">
        <f>IF($N85="","",IF($P85&gt;0,IF(1&lt;=SemanaActual,INDEX('Cronograma Asistente Técnico'!$AH$5:$AH$1000,$N85),""),IF(INDEX('Cronograma Asistente Técnico'!$I$5:$I$1000,$N85)="","",INDEX('Cronograma Asistente Técnico'!$I$5:$I$1000,$N85))))</f>
        <v/>
      </c>
      <c r="G85" s="61">
        <f>IF($N85="","",IF($P85&gt;0,IF(2&lt;=SemanaActual,INDEX('Cronograma Asistente Técnico'!$AI$5:$AI$1000,$N85),""),IF(INDEX('Cronograma Asistente Técnico'!$J$5:$J$1000,$N85)="","",INDEX('Cronograma Asistente Técnico'!$J$5:$J$1000,$N85))))</f>
        <v/>
      </c>
      <c r="H85" s="61">
        <f>IF($N85="","",IF($P85&gt;0,IF(3&lt;=SemanaActual,INDEX('Cronograma Asistente Técnico'!$AJ$5:$AJ$1000,$N85),""),IF(INDEX('Cronograma Asistente Técnico'!$K$5:$K$1000,$N85)="","",INDEX('Cronograma Asistente Técnico'!$K$5:$K$1000,$N85))))</f>
        <v/>
      </c>
      <c r="I85" s="61">
        <f>IF($N85="","",IF($P85&gt;0,IF(4&lt;=SemanaActual,INDEX('Cronograma Asistente Técnico'!$AK$5:$AK$1000,$N85),""),IF(INDEX('Cronograma Asistente Técnico'!$L$5:$L$1000,$N85)="","",INDEX('Cronograma Asistente Técnico'!$L$5:$L$1000,$N85))))</f>
        <v/>
      </c>
      <c r="J85" s="61">
        <f>IF($N85="","",INDEX('Cronograma Asistente Técnico'!$M$5:$M$1000,$N85))</f>
        <v/>
      </c>
      <c r="K85" s="56">
        <f>IF($N85="","",IF(N($J85)&gt;=1,"Completado",IF(AND(ISNUMBER($D85),$D85&lt;FechaRef),"Vencida",IF(N($J85)&gt;0,"En curso","Pendiente"))))</f>
        <v/>
      </c>
      <c r="L85" s="56">
        <f>IF($N85="","",INDEX('Cronograma Asistente Técnico'!$O$5:$O$1000,$N85)&amp;"")</f>
        <v/>
      </c>
      <c r="M85" s="62">
        <f>IF($N85="","",INDEX('Cronograma Asistente Técnico'!$Q$5:$Q$1000,$N85)&amp;"")</f>
        <v/>
      </c>
      <c r="N85">
        <f>IFERROR(MATCH(ROW()-4,rOrden_ATR,0),"")</f>
        <v/>
      </c>
      <c r="O85">
        <f>IF($N85="","",INDEX('Cronograma Asistente Técnico'!$V$5:$V$1000,$N85))</f>
        <v/>
      </c>
      <c r="P85">
        <f>IF($N85="","",N(INDEX('Cronograma Asistente Técnico'!$W$5:$W$1000,$N85)))</f>
        <v/>
      </c>
      <c r="Q85">
        <f>IF(OR(LEFT($L85,7)="Vencida",LEFT($L85,5)="Vence"),SUMPRODUCT(--(LEFT($L$5:$L85,7)="Vencida"))+SUMPRODUCT(--(LEFT($L$5:$L85,5)="Vence")),"")</f>
        <v/>
      </c>
    </row>
    <row r="86">
      <c r="A86" s="56">
        <f>IF($N86="","",INDEX('Cronograma Asistente Técnico'!$A$5:$A$1000,$N86))</f>
        <v/>
      </c>
      <c r="B86" s="62">
        <f>IF($N86="","",IF($O86="Sub","      ↳  "&amp;INDEX('Cronograma Asistente Técnico'!$C$5:$C$1000,$N86),INDEX('Cronograma Asistente Técnico'!$C$5:$C$1000,$N86)&amp;""))</f>
        <v/>
      </c>
      <c r="C86" s="79">
        <f>IF($N86="","",IF(INDEX('Cronograma Asistente Técnico'!$AR$5:$AR$1000,$N86)="","",INDEX('Cronograma Asistente Técnico'!$AR$5:$AR$1000,$N86)))</f>
        <v/>
      </c>
      <c r="D86" s="79">
        <f>IF($N86="","",IF(INDEX('Cronograma Asistente Técnico'!$AS$5:$AS$1000,$N86)="","",INDEX('Cronograma Asistente Técnico'!$AS$5:$AS$1000,$N86)))</f>
        <v/>
      </c>
      <c r="E86" s="56">
        <f>IF($N86="","",IF(NOT(ISNUMBER($D86)),"",IF($D86&lt;InicioCiclo,"Antes del ciclo",IF($D86&gt;=InicioCiclo+28,"Después del ciclo","Semana "&amp;(INT(($D86-InicioCiclo)/7)+1)))))</f>
        <v/>
      </c>
      <c r="F86" s="61">
        <f>IF($N86="","",IF($P86&gt;0,IF(1&lt;=SemanaActual,INDEX('Cronograma Asistente Técnico'!$AH$5:$AH$1000,$N86),""),IF(INDEX('Cronograma Asistente Técnico'!$I$5:$I$1000,$N86)="","",INDEX('Cronograma Asistente Técnico'!$I$5:$I$1000,$N86))))</f>
        <v/>
      </c>
      <c r="G86" s="61">
        <f>IF($N86="","",IF($P86&gt;0,IF(2&lt;=SemanaActual,INDEX('Cronograma Asistente Técnico'!$AI$5:$AI$1000,$N86),""),IF(INDEX('Cronograma Asistente Técnico'!$J$5:$J$1000,$N86)="","",INDEX('Cronograma Asistente Técnico'!$J$5:$J$1000,$N86))))</f>
        <v/>
      </c>
      <c r="H86" s="61">
        <f>IF($N86="","",IF($P86&gt;0,IF(3&lt;=SemanaActual,INDEX('Cronograma Asistente Técnico'!$AJ$5:$AJ$1000,$N86),""),IF(INDEX('Cronograma Asistente Técnico'!$K$5:$K$1000,$N86)="","",INDEX('Cronograma Asistente Técnico'!$K$5:$K$1000,$N86))))</f>
        <v/>
      </c>
      <c r="I86" s="61">
        <f>IF($N86="","",IF($P86&gt;0,IF(4&lt;=SemanaActual,INDEX('Cronograma Asistente Técnico'!$AK$5:$AK$1000,$N86),""),IF(INDEX('Cronograma Asistente Técnico'!$L$5:$L$1000,$N86)="","",INDEX('Cronograma Asistente Técnico'!$L$5:$L$1000,$N86))))</f>
        <v/>
      </c>
      <c r="J86" s="61">
        <f>IF($N86="","",INDEX('Cronograma Asistente Técnico'!$M$5:$M$1000,$N86))</f>
        <v/>
      </c>
      <c r="K86" s="56">
        <f>IF($N86="","",IF(N($J86)&gt;=1,"Completado",IF(AND(ISNUMBER($D86),$D86&lt;FechaRef),"Vencida",IF(N($J86)&gt;0,"En curso","Pendiente"))))</f>
        <v/>
      </c>
      <c r="L86" s="56">
        <f>IF($N86="","",INDEX('Cronograma Asistente Técnico'!$O$5:$O$1000,$N86)&amp;"")</f>
        <v/>
      </c>
      <c r="M86" s="62">
        <f>IF($N86="","",INDEX('Cronograma Asistente Técnico'!$Q$5:$Q$1000,$N86)&amp;"")</f>
        <v/>
      </c>
      <c r="N86">
        <f>IFERROR(MATCH(ROW()-4,rOrden_ATR,0),"")</f>
        <v/>
      </c>
      <c r="O86">
        <f>IF($N86="","",INDEX('Cronograma Asistente Técnico'!$V$5:$V$1000,$N86))</f>
        <v/>
      </c>
      <c r="P86">
        <f>IF($N86="","",N(INDEX('Cronograma Asistente Técnico'!$W$5:$W$1000,$N86)))</f>
        <v/>
      </c>
      <c r="Q86">
        <f>IF(OR(LEFT($L86,7)="Vencida",LEFT($L86,5)="Vence"),SUMPRODUCT(--(LEFT($L$5:$L86,7)="Vencida"))+SUMPRODUCT(--(LEFT($L$5:$L86,5)="Vence")),"")</f>
        <v/>
      </c>
    </row>
    <row r="87">
      <c r="A87" s="56">
        <f>IF($N87="","",INDEX('Cronograma Asistente Técnico'!$A$5:$A$1000,$N87))</f>
        <v/>
      </c>
      <c r="B87" s="62">
        <f>IF($N87="","",IF($O87="Sub","      ↳  "&amp;INDEX('Cronograma Asistente Técnico'!$C$5:$C$1000,$N87),INDEX('Cronograma Asistente Técnico'!$C$5:$C$1000,$N87)&amp;""))</f>
        <v/>
      </c>
      <c r="C87" s="79">
        <f>IF($N87="","",IF(INDEX('Cronograma Asistente Técnico'!$AR$5:$AR$1000,$N87)="","",INDEX('Cronograma Asistente Técnico'!$AR$5:$AR$1000,$N87)))</f>
        <v/>
      </c>
      <c r="D87" s="79">
        <f>IF($N87="","",IF(INDEX('Cronograma Asistente Técnico'!$AS$5:$AS$1000,$N87)="","",INDEX('Cronograma Asistente Técnico'!$AS$5:$AS$1000,$N87)))</f>
        <v/>
      </c>
      <c r="E87" s="56">
        <f>IF($N87="","",IF(NOT(ISNUMBER($D87)),"",IF($D87&lt;InicioCiclo,"Antes del ciclo",IF($D87&gt;=InicioCiclo+28,"Después del ciclo","Semana "&amp;(INT(($D87-InicioCiclo)/7)+1)))))</f>
        <v/>
      </c>
      <c r="F87" s="61">
        <f>IF($N87="","",IF($P87&gt;0,IF(1&lt;=SemanaActual,INDEX('Cronograma Asistente Técnico'!$AH$5:$AH$1000,$N87),""),IF(INDEX('Cronograma Asistente Técnico'!$I$5:$I$1000,$N87)="","",INDEX('Cronograma Asistente Técnico'!$I$5:$I$1000,$N87))))</f>
        <v/>
      </c>
      <c r="G87" s="61">
        <f>IF($N87="","",IF($P87&gt;0,IF(2&lt;=SemanaActual,INDEX('Cronograma Asistente Técnico'!$AI$5:$AI$1000,$N87),""),IF(INDEX('Cronograma Asistente Técnico'!$J$5:$J$1000,$N87)="","",INDEX('Cronograma Asistente Técnico'!$J$5:$J$1000,$N87))))</f>
        <v/>
      </c>
      <c r="H87" s="61">
        <f>IF($N87="","",IF($P87&gt;0,IF(3&lt;=SemanaActual,INDEX('Cronograma Asistente Técnico'!$AJ$5:$AJ$1000,$N87),""),IF(INDEX('Cronograma Asistente Técnico'!$K$5:$K$1000,$N87)="","",INDEX('Cronograma Asistente Técnico'!$K$5:$K$1000,$N87))))</f>
        <v/>
      </c>
      <c r="I87" s="61">
        <f>IF($N87="","",IF($P87&gt;0,IF(4&lt;=SemanaActual,INDEX('Cronograma Asistente Técnico'!$AK$5:$AK$1000,$N87),""),IF(INDEX('Cronograma Asistente Técnico'!$L$5:$L$1000,$N87)="","",INDEX('Cronograma Asistente Técnico'!$L$5:$L$1000,$N87))))</f>
        <v/>
      </c>
      <c r="J87" s="61">
        <f>IF($N87="","",INDEX('Cronograma Asistente Técnico'!$M$5:$M$1000,$N87))</f>
        <v/>
      </c>
      <c r="K87" s="56">
        <f>IF($N87="","",IF(N($J87)&gt;=1,"Completado",IF(AND(ISNUMBER($D87),$D87&lt;FechaRef),"Vencida",IF(N($J87)&gt;0,"En curso","Pendiente"))))</f>
        <v/>
      </c>
      <c r="L87" s="56">
        <f>IF($N87="","",INDEX('Cronograma Asistente Técnico'!$O$5:$O$1000,$N87)&amp;"")</f>
        <v/>
      </c>
      <c r="M87" s="62">
        <f>IF($N87="","",INDEX('Cronograma Asistente Técnico'!$Q$5:$Q$1000,$N87)&amp;"")</f>
        <v/>
      </c>
      <c r="N87">
        <f>IFERROR(MATCH(ROW()-4,rOrden_ATR,0),"")</f>
        <v/>
      </c>
      <c r="O87">
        <f>IF($N87="","",INDEX('Cronograma Asistente Técnico'!$V$5:$V$1000,$N87))</f>
        <v/>
      </c>
      <c r="P87">
        <f>IF($N87="","",N(INDEX('Cronograma Asistente Técnico'!$W$5:$W$1000,$N87)))</f>
        <v/>
      </c>
      <c r="Q87">
        <f>IF(OR(LEFT($L87,7)="Vencida",LEFT($L87,5)="Vence"),SUMPRODUCT(--(LEFT($L$5:$L87,7)="Vencida"))+SUMPRODUCT(--(LEFT($L$5:$L87,5)="Vence")),"")</f>
        <v/>
      </c>
    </row>
    <row r="88">
      <c r="A88" s="56">
        <f>IF($N88="","",INDEX('Cronograma Asistente Técnico'!$A$5:$A$1000,$N88))</f>
        <v/>
      </c>
      <c r="B88" s="62">
        <f>IF($N88="","",IF($O88="Sub","      ↳  "&amp;INDEX('Cronograma Asistente Técnico'!$C$5:$C$1000,$N88),INDEX('Cronograma Asistente Técnico'!$C$5:$C$1000,$N88)&amp;""))</f>
        <v/>
      </c>
      <c r="C88" s="79">
        <f>IF($N88="","",IF(INDEX('Cronograma Asistente Técnico'!$AR$5:$AR$1000,$N88)="","",INDEX('Cronograma Asistente Técnico'!$AR$5:$AR$1000,$N88)))</f>
        <v/>
      </c>
      <c r="D88" s="79">
        <f>IF($N88="","",IF(INDEX('Cronograma Asistente Técnico'!$AS$5:$AS$1000,$N88)="","",INDEX('Cronograma Asistente Técnico'!$AS$5:$AS$1000,$N88)))</f>
        <v/>
      </c>
      <c r="E88" s="56">
        <f>IF($N88="","",IF(NOT(ISNUMBER($D88)),"",IF($D88&lt;InicioCiclo,"Antes del ciclo",IF($D88&gt;=InicioCiclo+28,"Después del ciclo","Semana "&amp;(INT(($D88-InicioCiclo)/7)+1)))))</f>
        <v/>
      </c>
      <c r="F88" s="61">
        <f>IF($N88="","",IF($P88&gt;0,IF(1&lt;=SemanaActual,INDEX('Cronograma Asistente Técnico'!$AH$5:$AH$1000,$N88),""),IF(INDEX('Cronograma Asistente Técnico'!$I$5:$I$1000,$N88)="","",INDEX('Cronograma Asistente Técnico'!$I$5:$I$1000,$N88))))</f>
        <v/>
      </c>
      <c r="G88" s="61">
        <f>IF($N88="","",IF($P88&gt;0,IF(2&lt;=SemanaActual,INDEX('Cronograma Asistente Técnico'!$AI$5:$AI$1000,$N88),""),IF(INDEX('Cronograma Asistente Técnico'!$J$5:$J$1000,$N88)="","",INDEX('Cronograma Asistente Técnico'!$J$5:$J$1000,$N88))))</f>
        <v/>
      </c>
      <c r="H88" s="61">
        <f>IF($N88="","",IF($P88&gt;0,IF(3&lt;=SemanaActual,INDEX('Cronograma Asistente Técnico'!$AJ$5:$AJ$1000,$N88),""),IF(INDEX('Cronograma Asistente Técnico'!$K$5:$K$1000,$N88)="","",INDEX('Cronograma Asistente Técnico'!$K$5:$K$1000,$N88))))</f>
        <v/>
      </c>
      <c r="I88" s="61">
        <f>IF($N88="","",IF($P88&gt;0,IF(4&lt;=SemanaActual,INDEX('Cronograma Asistente Técnico'!$AK$5:$AK$1000,$N88),""),IF(INDEX('Cronograma Asistente Técnico'!$L$5:$L$1000,$N88)="","",INDEX('Cronograma Asistente Técnico'!$L$5:$L$1000,$N88))))</f>
        <v/>
      </c>
      <c r="J88" s="61">
        <f>IF($N88="","",INDEX('Cronograma Asistente Técnico'!$M$5:$M$1000,$N88))</f>
        <v/>
      </c>
      <c r="K88" s="56">
        <f>IF($N88="","",IF(N($J88)&gt;=1,"Completado",IF(AND(ISNUMBER($D88),$D88&lt;FechaRef),"Vencida",IF(N($J88)&gt;0,"En curso","Pendiente"))))</f>
        <v/>
      </c>
      <c r="L88" s="56">
        <f>IF($N88="","",INDEX('Cronograma Asistente Técnico'!$O$5:$O$1000,$N88)&amp;"")</f>
        <v/>
      </c>
      <c r="M88" s="62">
        <f>IF($N88="","",INDEX('Cronograma Asistente Técnico'!$Q$5:$Q$1000,$N88)&amp;"")</f>
        <v/>
      </c>
      <c r="N88">
        <f>IFERROR(MATCH(ROW()-4,rOrden_ATR,0),"")</f>
        <v/>
      </c>
      <c r="O88">
        <f>IF($N88="","",INDEX('Cronograma Asistente Técnico'!$V$5:$V$1000,$N88))</f>
        <v/>
      </c>
      <c r="P88">
        <f>IF($N88="","",N(INDEX('Cronograma Asistente Técnico'!$W$5:$W$1000,$N88)))</f>
        <v/>
      </c>
      <c r="Q88">
        <f>IF(OR(LEFT($L88,7)="Vencida",LEFT($L88,5)="Vence"),SUMPRODUCT(--(LEFT($L$5:$L88,7)="Vencida"))+SUMPRODUCT(--(LEFT($L$5:$L88,5)="Vence")),"")</f>
        <v/>
      </c>
    </row>
    <row r="89">
      <c r="A89" s="56">
        <f>IF($N89="","",INDEX('Cronograma Asistente Técnico'!$A$5:$A$1000,$N89))</f>
        <v/>
      </c>
      <c r="B89" s="62">
        <f>IF($N89="","",IF($O89="Sub","      ↳  "&amp;INDEX('Cronograma Asistente Técnico'!$C$5:$C$1000,$N89),INDEX('Cronograma Asistente Técnico'!$C$5:$C$1000,$N89)&amp;""))</f>
        <v/>
      </c>
      <c r="C89" s="79">
        <f>IF($N89="","",IF(INDEX('Cronograma Asistente Técnico'!$AR$5:$AR$1000,$N89)="","",INDEX('Cronograma Asistente Técnico'!$AR$5:$AR$1000,$N89)))</f>
        <v/>
      </c>
      <c r="D89" s="79">
        <f>IF($N89="","",IF(INDEX('Cronograma Asistente Técnico'!$AS$5:$AS$1000,$N89)="","",INDEX('Cronograma Asistente Técnico'!$AS$5:$AS$1000,$N89)))</f>
        <v/>
      </c>
      <c r="E89" s="56">
        <f>IF($N89="","",IF(NOT(ISNUMBER($D89)),"",IF($D89&lt;InicioCiclo,"Antes del ciclo",IF($D89&gt;=InicioCiclo+28,"Después del ciclo","Semana "&amp;(INT(($D89-InicioCiclo)/7)+1)))))</f>
        <v/>
      </c>
      <c r="F89" s="61">
        <f>IF($N89="","",IF($P89&gt;0,IF(1&lt;=SemanaActual,INDEX('Cronograma Asistente Técnico'!$AH$5:$AH$1000,$N89),""),IF(INDEX('Cronograma Asistente Técnico'!$I$5:$I$1000,$N89)="","",INDEX('Cronograma Asistente Técnico'!$I$5:$I$1000,$N89))))</f>
        <v/>
      </c>
      <c r="G89" s="61">
        <f>IF($N89="","",IF($P89&gt;0,IF(2&lt;=SemanaActual,INDEX('Cronograma Asistente Técnico'!$AI$5:$AI$1000,$N89),""),IF(INDEX('Cronograma Asistente Técnico'!$J$5:$J$1000,$N89)="","",INDEX('Cronograma Asistente Técnico'!$J$5:$J$1000,$N89))))</f>
        <v/>
      </c>
      <c r="H89" s="61">
        <f>IF($N89="","",IF($P89&gt;0,IF(3&lt;=SemanaActual,INDEX('Cronograma Asistente Técnico'!$AJ$5:$AJ$1000,$N89),""),IF(INDEX('Cronograma Asistente Técnico'!$K$5:$K$1000,$N89)="","",INDEX('Cronograma Asistente Técnico'!$K$5:$K$1000,$N89))))</f>
        <v/>
      </c>
      <c r="I89" s="61">
        <f>IF($N89="","",IF($P89&gt;0,IF(4&lt;=SemanaActual,INDEX('Cronograma Asistente Técnico'!$AK$5:$AK$1000,$N89),""),IF(INDEX('Cronograma Asistente Técnico'!$L$5:$L$1000,$N89)="","",INDEX('Cronograma Asistente Técnico'!$L$5:$L$1000,$N89))))</f>
        <v/>
      </c>
      <c r="J89" s="61">
        <f>IF($N89="","",INDEX('Cronograma Asistente Técnico'!$M$5:$M$1000,$N89))</f>
        <v/>
      </c>
      <c r="K89" s="56">
        <f>IF($N89="","",IF(N($J89)&gt;=1,"Completado",IF(AND(ISNUMBER($D89),$D89&lt;FechaRef),"Vencida",IF(N($J89)&gt;0,"En curso","Pendiente"))))</f>
        <v/>
      </c>
      <c r="L89" s="56">
        <f>IF($N89="","",INDEX('Cronograma Asistente Técnico'!$O$5:$O$1000,$N89)&amp;"")</f>
        <v/>
      </c>
      <c r="M89" s="62">
        <f>IF($N89="","",INDEX('Cronograma Asistente Técnico'!$Q$5:$Q$1000,$N89)&amp;"")</f>
        <v/>
      </c>
      <c r="N89">
        <f>IFERROR(MATCH(ROW()-4,rOrden_ATR,0),"")</f>
        <v/>
      </c>
      <c r="O89">
        <f>IF($N89="","",INDEX('Cronograma Asistente Técnico'!$V$5:$V$1000,$N89))</f>
        <v/>
      </c>
      <c r="P89">
        <f>IF($N89="","",N(INDEX('Cronograma Asistente Técnico'!$W$5:$W$1000,$N89)))</f>
        <v/>
      </c>
      <c r="Q89">
        <f>IF(OR(LEFT($L89,7)="Vencida",LEFT($L89,5)="Vence"),SUMPRODUCT(--(LEFT($L$5:$L89,7)="Vencida"))+SUMPRODUCT(--(LEFT($L$5:$L89,5)="Vence")),"")</f>
        <v/>
      </c>
    </row>
    <row r="90">
      <c r="A90" s="56">
        <f>IF($N90="","",INDEX('Cronograma Asistente Técnico'!$A$5:$A$1000,$N90))</f>
        <v/>
      </c>
      <c r="B90" s="62">
        <f>IF($N90="","",IF($O90="Sub","      ↳  "&amp;INDEX('Cronograma Asistente Técnico'!$C$5:$C$1000,$N90),INDEX('Cronograma Asistente Técnico'!$C$5:$C$1000,$N90)&amp;""))</f>
        <v/>
      </c>
      <c r="C90" s="79">
        <f>IF($N90="","",IF(INDEX('Cronograma Asistente Técnico'!$AR$5:$AR$1000,$N90)="","",INDEX('Cronograma Asistente Técnico'!$AR$5:$AR$1000,$N90)))</f>
        <v/>
      </c>
      <c r="D90" s="79">
        <f>IF($N90="","",IF(INDEX('Cronograma Asistente Técnico'!$AS$5:$AS$1000,$N90)="","",INDEX('Cronograma Asistente Técnico'!$AS$5:$AS$1000,$N90)))</f>
        <v/>
      </c>
      <c r="E90" s="56">
        <f>IF($N90="","",IF(NOT(ISNUMBER($D90)),"",IF($D90&lt;InicioCiclo,"Antes del ciclo",IF($D90&gt;=InicioCiclo+28,"Después del ciclo","Semana "&amp;(INT(($D90-InicioCiclo)/7)+1)))))</f>
        <v/>
      </c>
      <c r="F90" s="61">
        <f>IF($N90="","",IF($P90&gt;0,IF(1&lt;=SemanaActual,INDEX('Cronograma Asistente Técnico'!$AH$5:$AH$1000,$N90),""),IF(INDEX('Cronograma Asistente Técnico'!$I$5:$I$1000,$N90)="","",INDEX('Cronograma Asistente Técnico'!$I$5:$I$1000,$N90))))</f>
        <v/>
      </c>
      <c r="G90" s="61">
        <f>IF($N90="","",IF($P90&gt;0,IF(2&lt;=SemanaActual,INDEX('Cronograma Asistente Técnico'!$AI$5:$AI$1000,$N90),""),IF(INDEX('Cronograma Asistente Técnico'!$J$5:$J$1000,$N90)="","",INDEX('Cronograma Asistente Técnico'!$J$5:$J$1000,$N90))))</f>
        <v/>
      </c>
      <c r="H90" s="61">
        <f>IF($N90="","",IF($P90&gt;0,IF(3&lt;=SemanaActual,INDEX('Cronograma Asistente Técnico'!$AJ$5:$AJ$1000,$N90),""),IF(INDEX('Cronograma Asistente Técnico'!$K$5:$K$1000,$N90)="","",INDEX('Cronograma Asistente Técnico'!$K$5:$K$1000,$N90))))</f>
        <v/>
      </c>
      <c r="I90" s="61">
        <f>IF($N90="","",IF($P90&gt;0,IF(4&lt;=SemanaActual,INDEX('Cronograma Asistente Técnico'!$AK$5:$AK$1000,$N90),""),IF(INDEX('Cronograma Asistente Técnico'!$L$5:$L$1000,$N90)="","",INDEX('Cronograma Asistente Técnico'!$L$5:$L$1000,$N90))))</f>
        <v/>
      </c>
      <c r="J90" s="61">
        <f>IF($N90="","",INDEX('Cronograma Asistente Técnico'!$M$5:$M$1000,$N90))</f>
        <v/>
      </c>
      <c r="K90" s="56">
        <f>IF($N90="","",IF(N($J90)&gt;=1,"Completado",IF(AND(ISNUMBER($D90),$D90&lt;FechaRef),"Vencida",IF(N($J90)&gt;0,"En curso","Pendiente"))))</f>
        <v/>
      </c>
      <c r="L90" s="56">
        <f>IF($N90="","",INDEX('Cronograma Asistente Técnico'!$O$5:$O$1000,$N90)&amp;"")</f>
        <v/>
      </c>
      <c r="M90" s="62">
        <f>IF($N90="","",INDEX('Cronograma Asistente Técnico'!$Q$5:$Q$1000,$N90)&amp;"")</f>
        <v/>
      </c>
      <c r="N90">
        <f>IFERROR(MATCH(ROW()-4,rOrden_ATR,0),"")</f>
        <v/>
      </c>
      <c r="O90">
        <f>IF($N90="","",INDEX('Cronograma Asistente Técnico'!$V$5:$V$1000,$N90))</f>
        <v/>
      </c>
      <c r="P90">
        <f>IF($N90="","",N(INDEX('Cronograma Asistente Técnico'!$W$5:$W$1000,$N90)))</f>
        <v/>
      </c>
      <c r="Q90">
        <f>IF(OR(LEFT($L90,7)="Vencida",LEFT($L90,5)="Vence"),SUMPRODUCT(--(LEFT($L$5:$L90,7)="Vencida"))+SUMPRODUCT(--(LEFT($L$5:$L90,5)="Vence")),"")</f>
        <v/>
      </c>
    </row>
    <row r="91">
      <c r="A91" s="56">
        <f>IF($N91="","",INDEX('Cronograma Asistente Técnico'!$A$5:$A$1000,$N91))</f>
        <v/>
      </c>
      <c r="B91" s="62">
        <f>IF($N91="","",IF($O91="Sub","      ↳  "&amp;INDEX('Cronograma Asistente Técnico'!$C$5:$C$1000,$N91),INDEX('Cronograma Asistente Técnico'!$C$5:$C$1000,$N91)&amp;""))</f>
        <v/>
      </c>
      <c r="C91" s="79">
        <f>IF($N91="","",IF(INDEX('Cronograma Asistente Técnico'!$AR$5:$AR$1000,$N91)="","",INDEX('Cronograma Asistente Técnico'!$AR$5:$AR$1000,$N91)))</f>
        <v/>
      </c>
      <c r="D91" s="79">
        <f>IF($N91="","",IF(INDEX('Cronograma Asistente Técnico'!$AS$5:$AS$1000,$N91)="","",INDEX('Cronograma Asistente Técnico'!$AS$5:$AS$1000,$N91)))</f>
        <v/>
      </c>
      <c r="E91" s="56">
        <f>IF($N91="","",IF(NOT(ISNUMBER($D91)),"",IF($D91&lt;InicioCiclo,"Antes del ciclo",IF($D91&gt;=InicioCiclo+28,"Después del ciclo","Semana "&amp;(INT(($D91-InicioCiclo)/7)+1)))))</f>
        <v/>
      </c>
      <c r="F91" s="61">
        <f>IF($N91="","",IF($P91&gt;0,IF(1&lt;=SemanaActual,INDEX('Cronograma Asistente Técnico'!$AH$5:$AH$1000,$N91),""),IF(INDEX('Cronograma Asistente Técnico'!$I$5:$I$1000,$N91)="","",INDEX('Cronograma Asistente Técnico'!$I$5:$I$1000,$N91))))</f>
        <v/>
      </c>
      <c r="G91" s="61">
        <f>IF($N91="","",IF($P91&gt;0,IF(2&lt;=SemanaActual,INDEX('Cronograma Asistente Técnico'!$AI$5:$AI$1000,$N91),""),IF(INDEX('Cronograma Asistente Técnico'!$J$5:$J$1000,$N91)="","",INDEX('Cronograma Asistente Técnico'!$J$5:$J$1000,$N91))))</f>
        <v/>
      </c>
      <c r="H91" s="61">
        <f>IF($N91="","",IF($P91&gt;0,IF(3&lt;=SemanaActual,INDEX('Cronograma Asistente Técnico'!$AJ$5:$AJ$1000,$N91),""),IF(INDEX('Cronograma Asistente Técnico'!$K$5:$K$1000,$N91)="","",INDEX('Cronograma Asistente Técnico'!$K$5:$K$1000,$N91))))</f>
        <v/>
      </c>
      <c r="I91" s="61">
        <f>IF($N91="","",IF($P91&gt;0,IF(4&lt;=SemanaActual,INDEX('Cronograma Asistente Técnico'!$AK$5:$AK$1000,$N91),""),IF(INDEX('Cronograma Asistente Técnico'!$L$5:$L$1000,$N91)="","",INDEX('Cronograma Asistente Técnico'!$L$5:$L$1000,$N91))))</f>
        <v/>
      </c>
      <c r="J91" s="61">
        <f>IF($N91="","",INDEX('Cronograma Asistente Técnico'!$M$5:$M$1000,$N91))</f>
        <v/>
      </c>
      <c r="K91" s="56">
        <f>IF($N91="","",IF(N($J91)&gt;=1,"Completado",IF(AND(ISNUMBER($D91),$D91&lt;FechaRef),"Vencida",IF(N($J91)&gt;0,"En curso","Pendiente"))))</f>
        <v/>
      </c>
      <c r="L91" s="56">
        <f>IF($N91="","",INDEX('Cronograma Asistente Técnico'!$O$5:$O$1000,$N91)&amp;"")</f>
        <v/>
      </c>
      <c r="M91" s="62">
        <f>IF($N91="","",INDEX('Cronograma Asistente Técnico'!$Q$5:$Q$1000,$N91)&amp;"")</f>
        <v/>
      </c>
      <c r="N91">
        <f>IFERROR(MATCH(ROW()-4,rOrden_ATR,0),"")</f>
        <v/>
      </c>
      <c r="O91">
        <f>IF($N91="","",INDEX('Cronograma Asistente Técnico'!$V$5:$V$1000,$N91))</f>
        <v/>
      </c>
      <c r="P91">
        <f>IF($N91="","",N(INDEX('Cronograma Asistente Técnico'!$W$5:$W$1000,$N91)))</f>
        <v/>
      </c>
      <c r="Q91">
        <f>IF(OR(LEFT($L91,7)="Vencida",LEFT($L91,5)="Vence"),SUMPRODUCT(--(LEFT($L$5:$L91,7)="Vencida"))+SUMPRODUCT(--(LEFT($L$5:$L91,5)="Vence")),"")</f>
        <v/>
      </c>
    </row>
    <row r="92">
      <c r="A92" s="56">
        <f>IF($N92="","",INDEX('Cronograma Asistente Técnico'!$A$5:$A$1000,$N92))</f>
        <v/>
      </c>
      <c r="B92" s="62">
        <f>IF($N92="","",IF($O92="Sub","      ↳  "&amp;INDEX('Cronograma Asistente Técnico'!$C$5:$C$1000,$N92),INDEX('Cronograma Asistente Técnico'!$C$5:$C$1000,$N92)&amp;""))</f>
        <v/>
      </c>
      <c r="C92" s="79">
        <f>IF($N92="","",IF(INDEX('Cronograma Asistente Técnico'!$AR$5:$AR$1000,$N92)="","",INDEX('Cronograma Asistente Técnico'!$AR$5:$AR$1000,$N92)))</f>
        <v/>
      </c>
      <c r="D92" s="79">
        <f>IF($N92="","",IF(INDEX('Cronograma Asistente Técnico'!$AS$5:$AS$1000,$N92)="","",INDEX('Cronograma Asistente Técnico'!$AS$5:$AS$1000,$N92)))</f>
        <v/>
      </c>
      <c r="E92" s="56">
        <f>IF($N92="","",IF(NOT(ISNUMBER($D92)),"",IF($D92&lt;InicioCiclo,"Antes del ciclo",IF($D92&gt;=InicioCiclo+28,"Después del ciclo","Semana "&amp;(INT(($D92-InicioCiclo)/7)+1)))))</f>
        <v/>
      </c>
      <c r="F92" s="61">
        <f>IF($N92="","",IF($P92&gt;0,IF(1&lt;=SemanaActual,INDEX('Cronograma Asistente Técnico'!$AH$5:$AH$1000,$N92),""),IF(INDEX('Cronograma Asistente Técnico'!$I$5:$I$1000,$N92)="","",INDEX('Cronograma Asistente Técnico'!$I$5:$I$1000,$N92))))</f>
        <v/>
      </c>
      <c r="G92" s="61">
        <f>IF($N92="","",IF($P92&gt;0,IF(2&lt;=SemanaActual,INDEX('Cronograma Asistente Técnico'!$AI$5:$AI$1000,$N92),""),IF(INDEX('Cronograma Asistente Técnico'!$J$5:$J$1000,$N92)="","",INDEX('Cronograma Asistente Técnico'!$J$5:$J$1000,$N92))))</f>
        <v/>
      </c>
      <c r="H92" s="61">
        <f>IF($N92="","",IF($P92&gt;0,IF(3&lt;=SemanaActual,INDEX('Cronograma Asistente Técnico'!$AJ$5:$AJ$1000,$N92),""),IF(INDEX('Cronograma Asistente Técnico'!$K$5:$K$1000,$N92)="","",INDEX('Cronograma Asistente Técnico'!$K$5:$K$1000,$N92))))</f>
        <v/>
      </c>
      <c r="I92" s="61">
        <f>IF($N92="","",IF($P92&gt;0,IF(4&lt;=SemanaActual,INDEX('Cronograma Asistente Técnico'!$AK$5:$AK$1000,$N92),""),IF(INDEX('Cronograma Asistente Técnico'!$L$5:$L$1000,$N92)="","",INDEX('Cronograma Asistente Técnico'!$L$5:$L$1000,$N92))))</f>
        <v/>
      </c>
      <c r="J92" s="61">
        <f>IF($N92="","",INDEX('Cronograma Asistente Técnico'!$M$5:$M$1000,$N92))</f>
        <v/>
      </c>
      <c r="K92" s="56">
        <f>IF($N92="","",IF(N($J92)&gt;=1,"Completado",IF(AND(ISNUMBER($D92),$D92&lt;FechaRef),"Vencida",IF(N($J92)&gt;0,"En curso","Pendiente"))))</f>
        <v/>
      </c>
      <c r="L92" s="56">
        <f>IF($N92="","",INDEX('Cronograma Asistente Técnico'!$O$5:$O$1000,$N92)&amp;"")</f>
        <v/>
      </c>
      <c r="M92" s="62">
        <f>IF($N92="","",INDEX('Cronograma Asistente Técnico'!$Q$5:$Q$1000,$N92)&amp;"")</f>
        <v/>
      </c>
      <c r="N92">
        <f>IFERROR(MATCH(ROW()-4,rOrden_ATR,0),"")</f>
        <v/>
      </c>
      <c r="O92">
        <f>IF($N92="","",INDEX('Cronograma Asistente Técnico'!$V$5:$V$1000,$N92))</f>
        <v/>
      </c>
      <c r="P92">
        <f>IF($N92="","",N(INDEX('Cronograma Asistente Técnico'!$W$5:$W$1000,$N92)))</f>
        <v/>
      </c>
      <c r="Q92">
        <f>IF(OR(LEFT($L92,7)="Vencida",LEFT($L92,5)="Vence"),SUMPRODUCT(--(LEFT($L$5:$L92,7)="Vencida"))+SUMPRODUCT(--(LEFT($L$5:$L92,5)="Vence")),"")</f>
        <v/>
      </c>
    </row>
    <row r="93">
      <c r="A93" s="56">
        <f>IF($N93="","",INDEX('Cronograma Asistente Técnico'!$A$5:$A$1000,$N93))</f>
        <v/>
      </c>
      <c r="B93" s="62">
        <f>IF($N93="","",IF($O93="Sub","      ↳  "&amp;INDEX('Cronograma Asistente Técnico'!$C$5:$C$1000,$N93),INDEX('Cronograma Asistente Técnico'!$C$5:$C$1000,$N93)&amp;""))</f>
        <v/>
      </c>
      <c r="C93" s="79">
        <f>IF($N93="","",IF(INDEX('Cronograma Asistente Técnico'!$AR$5:$AR$1000,$N93)="","",INDEX('Cronograma Asistente Técnico'!$AR$5:$AR$1000,$N93)))</f>
        <v/>
      </c>
      <c r="D93" s="79">
        <f>IF($N93="","",IF(INDEX('Cronograma Asistente Técnico'!$AS$5:$AS$1000,$N93)="","",INDEX('Cronograma Asistente Técnico'!$AS$5:$AS$1000,$N93)))</f>
        <v/>
      </c>
      <c r="E93" s="56">
        <f>IF($N93="","",IF(NOT(ISNUMBER($D93)),"",IF($D93&lt;InicioCiclo,"Antes del ciclo",IF($D93&gt;=InicioCiclo+28,"Después del ciclo","Semana "&amp;(INT(($D93-InicioCiclo)/7)+1)))))</f>
        <v/>
      </c>
      <c r="F93" s="61">
        <f>IF($N93="","",IF($P93&gt;0,IF(1&lt;=SemanaActual,INDEX('Cronograma Asistente Técnico'!$AH$5:$AH$1000,$N93),""),IF(INDEX('Cronograma Asistente Técnico'!$I$5:$I$1000,$N93)="","",INDEX('Cronograma Asistente Técnico'!$I$5:$I$1000,$N93))))</f>
        <v/>
      </c>
      <c r="G93" s="61">
        <f>IF($N93="","",IF($P93&gt;0,IF(2&lt;=SemanaActual,INDEX('Cronograma Asistente Técnico'!$AI$5:$AI$1000,$N93),""),IF(INDEX('Cronograma Asistente Técnico'!$J$5:$J$1000,$N93)="","",INDEX('Cronograma Asistente Técnico'!$J$5:$J$1000,$N93))))</f>
        <v/>
      </c>
      <c r="H93" s="61">
        <f>IF($N93="","",IF($P93&gt;0,IF(3&lt;=SemanaActual,INDEX('Cronograma Asistente Técnico'!$AJ$5:$AJ$1000,$N93),""),IF(INDEX('Cronograma Asistente Técnico'!$K$5:$K$1000,$N93)="","",INDEX('Cronograma Asistente Técnico'!$K$5:$K$1000,$N93))))</f>
        <v/>
      </c>
      <c r="I93" s="61">
        <f>IF($N93="","",IF($P93&gt;0,IF(4&lt;=SemanaActual,INDEX('Cronograma Asistente Técnico'!$AK$5:$AK$1000,$N93),""),IF(INDEX('Cronograma Asistente Técnico'!$L$5:$L$1000,$N93)="","",INDEX('Cronograma Asistente Técnico'!$L$5:$L$1000,$N93))))</f>
        <v/>
      </c>
      <c r="J93" s="61">
        <f>IF($N93="","",INDEX('Cronograma Asistente Técnico'!$M$5:$M$1000,$N93))</f>
        <v/>
      </c>
      <c r="K93" s="56">
        <f>IF($N93="","",IF(N($J93)&gt;=1,"Completado",IF(AND(ISNUMBER($D93),$D93&lt;FechaRef),"Vencida",IF(N($J93)&gt;0,"En curso","Pendiente"))))</f>
        <v/>
      </c>
      <c r="L93" s="56">
        <f>IF($N93="","",INDEX('Cronograma Asistente Técnico'!$O$5:$O$1000,$N93)&amp;"")</f>
        <v/>
      </c>
      <c r="M93" s="62">
        <f>IF($N93="","",INDEX('Cronograma Asistente Técnico'!$Q$5:$Q$1000,$N93)&amp;"")</f>
        <v/>
      </c>
      <c r="N93">
        <f>IFERROR(MATCH(ROW()-4,rOrden_ATR,0),"")</f>
        <v/>
      </c>
      <c r="O93">
        <f>IF($N93="","",INDEX('Cronograma Asistente Técnico'!$V$5:$V$1000,$N93))</f>
        <v/>
      </c>
      <c r="P93">
        <f>IF($N93="","",N(INDEX('Cronograma Asistente Técnico'!$W$5:$W$1000,$N93)))</f>
        <v/>
      </c>
      <c r="Q93">
        <f>IF(OR(LEFT($L93,7)="Vencida",LEFT($L93,5)="Vence"),SUMPRODUCT(--(LEFT($L$5:$L93,7)="Vencida"))+SUMPRODUCT(--(LEFT($L$5:$L93,5)="Vence")),"")</f>
        <v/>
      </c>
    </row>
    <row r="94">
      <c r="A94" s="56">
        <f>IF($N94="","",INDEX('Cronograma Asistente Técnico'!$A$5:$A$1000,$N94))</f>
        <v/>
      </c>
      <c r="B94" s="62">
        <f>IF($N94="","",IF($O94="Sub","      ↳  "&amp;INDEX('Cronograma Asistente Técnico'!$C$5:$C$1000,$N94),INDEX('Cronograma Asistente Técnico'!$C$5:$C$1000,$N94)&amp;""))</f>
        <v/>
      </c>
      <c r="C94" s="79">
        <f>IF($N94="","",IF(INDEX('Cronograma Asistente Técnico'!$AR$5:$AR$1000,$N94)="","",INDEX('Cronograma Asistente Técnico'!$AR$5:$AR$1000,$N94)))</f>
        <v/>
      </c>
      <c r="D94" s="79">
        <f>IF($N94="","",IF(INDEX('Cronograma Asistente Técnico'!$AS$5:$AS$1000,$N94)="","",INDEX('Cronograma Asistente Técnico'!$AS$5:$AS$1000,$N94)))</f>
        <v/>
      </c>
      <c r="E94" s="56">
        <f>IF($N94="","",IF(NOT(ISNUMBER($D94)),"",IF($D94&lt;InicioCiclo,"Antes del ciclo",IF($D94&gt;=InicioCiclo+28,"Después del ciclo","Semana "&amp;(INT(($D94-InicioCiclo)/7)+1)))))</f>
        <v/>
      </c>
      <c r="F94" s="61">
        <f>IF($N94="","",IF($P94&gt;0,IF(1&lt;=SemanaActual,INDEX('Cronograma Asistente Técnico'!$AH$5:$AH$1000,$N94),""),IF(INDEX('Cronograma Asistente Técnico'!$I$5:$I$1000,$N94)="","",INDEX('Cronograma Asistente Técnico'!$I$5:$I$1000,$N94))))</f>
        <v/>
      </c>
      <c r="G94" s="61">
        <f>IF($N94="","",IF($P94&gt;0,IF(2&lt;=SemanaActual,INDEX('Cronograma Asistente Técnico'!$AI$5:$AI$1000,$N94),""),IF(INDEX('Cronograma Asistente Técnico'!$J$5:$J$1000,$N94)="","",INDEX('Cronograma Asistente Técnico'!$J$5:$J$1000,$N94))))</f>
        <v/>
      </c>
      <c r="H94" s="61">
        <f>IF($N94="","",IF($P94&gt;0,IF(3&lt;=SemanaActual,INDEX('Cronograma Asistente Técnico'!$AJ$5:$AJ$1000,$N94),""),IF(INDEX('Cronograma Asistente Técnico'!$K$5:$K$1000,$N94)="","",INDEX('Cronograma Asistente Técnico'!$K$5:$K$1000,$N94))))</f>
        <v/>
      </c>
      <c r="I94" s="61">
        <f>IF($N94="","",IF($P94&gt;0,IF(4&lt;=SemanaActual,INDEX('Cronograma Asistente Técnico'!$AK$5:$AK$1000,$N94),""),IF(INDEX('Cronograma Asistente Técnico'!$L$5:$L$1000,$N94)="","",INDEX('Cronograma Asistente Técnico'!$L$5:$L$1000,$N94))))</f>
        <v/>
      </c>
      <c r="J94" s="61">
        <f>IF($N94="","",INDEX('Cronograma Asistente Técnico'!$M$5:$M$1000,$N94))</f>
        <v/>
      </c>
      <c r="K94" s="56">
        <f>IF($N94="","",IF(N($J94)&gt;=1,"Completado",IF(AND(ISNUMBER($D94),$D94&lt;FechaRef),"Vencida",IF(N($J94)&gt;0,"En curso","Pendiente"))))</f>
        <v/>
      </c>
      <c r="L94" s="56">
        <f>IF($N94="","",INDEX('Cronograma Asistente Técnico'!$O$5:$O$1000,$N94)&amp;"")</f>
        <v/>
      </c>
      <c r="M94" s="62">
        <f>IF($N94="","",INDEX('Cronograma Asistente Técnico'!$Q$5:$Q$1000,$N94)&amp;"")</f>
        <v/>
      </c>
      <c r="N94">
        <f>IFERROR(MATCH(ROW()-4,rOrden_ATR,0),"")</f>
        <v/>
      </c>
      <c r="O94">
        <f>IF($N94="","",INDEX('Cronograma Asistente Técnico'!$V$5:$V$1000,$N94))</f>
        <v/>
      </c>
      <c r="P94">
        <f>IF($N94="","",N(INDEX('Cronograma Asistente Técnico'!$W$5:$W$1000,$N94)))</f>
        <v/>
      </c>
      <c r="Q94">
        <f>IF(OR(LEFT($L94,7)="Vencida",LEFT($L94,5)="Vence"),SUMPRODUCT(--(LEFT($L$5:$L94,7)="Vencida"))+SUMPRODUCT(--(LEFT($L$5:$L94,5)="Vence")),"")</f>
        <v/>
      </c>
    </row>
    <row r="95">
      <c r="A95" s="56">
        <f>IF($N95="","",INDEX('Cronograma Asistente Técnico'!$A$5:$A$1000,$N95))</f>
        <v/>
      </c>
      <c r="B95" s="62">
        <f>IF($N95="","",IF($O95="Sub","      ↳  "&amp;INDEX('Cronograma Asistente Técnico'!$C$5:$C$1000,$N95),INDEX('Cronograma Asistente Técnico'!$C$5:$C$1000,$N95)&amp;""))</f>
        <v/>
      </c>
      <c r="C95" s="79">
        <f>IF($N95="","",IF(INDEX('Cronograma Asistente Técnico'!$AR$5:$AR$1000,$N95)="","",INDEX('Cronograma Asistente Técnico'!$AR$5:$AR$1000,$N95)))</f>
        <v/>
      </c>
      <c r="D95" s="79">
        <f>IF($N95="","",IF(INDEX('Cronograma Asistente Técnico'!$AS$5:$AS$1000,$N95)="","",INDEX('Cronograma Asistente Técnico'!$AS$5:$AS$1000,$N95)))</f>
        <v/>
      </c>
      <c r="E95" s="56">
        <f>IF($N95="","",IF(NOT(ISNUMBER($D95)),"",IF($D95&lt;InicioCiclo,"Antes del ciclo",IF($D95&gt;=InicioCiclo+28,"Después del ciclo","Semana "&amp;(INT(($D95-InicioCiclo)/7)+1)))))</f>
        <v/>
      </c>
      <c r="F95" s="61">
        <f>IF($N95="","",IF($P95&gt;0,IF(1&lt;=SemanaActual,INDEX('Cronograma Asistente Técnico'!$AH$5:$AH$1000,$N95),""),IF(INDEX('Cronograma Asistente Técnico'!$I$5:$I$1000,$N95)="","",INDEX('Cronograma Asistente Técnico'!$I$5:$I$1000,$N95))))</f>
        <v/>
      </c>
      <c r="G95" s="61">
        <f>IF($N95="","",IF($P95&gt;0,IF(2&lt;=SemanaActual,INDEX('Cronograma Asistente Técnico'!$AI$5:$AI$1000,$N95),""),IF(INDEX('Cronograma Asistente Técnico'!$J$5:$J$1000,$N95)="","",INDEX('Cronograma Asistente Técnico'!$J$5:$J$1000,$N95))))</f>
        <v/>
      </c>
      <c r="H95" s="61">
        <f>IF($N95="","",IF($P95&gt;0,IF(3&lt;=SemanaActual,INDEX('Cronograma Asistente Técnico'!$AJ$5:$AJ$1000,$N95),""),IF(INDEX('Cronograma Asistente Técnico'!$K$5:$K$1000,$N95)="","",INDEX('Cronograma Asistente Técnico'!$K$5:$K$1000,$N95))))</f>
        <v/>
      </c>
      <c r="I95" s="61">
        <f>IF($N95="","",IF($P95&gt;0,IF(4&lt;=SemanaActual,INDEX('Cronograma Asistente Técnico'!$AK$5:$AK$1000,$N95),""),IF(INDEX('Cronograma Asistente Técnico'!$L$5:$L$1000,$N95)="","",INDEX('Cronograma Asistente Técnico'!$L$5:$L$1000,$N95))))</f>
        <v/>
      </c>
      <c r="J95" s="61">
        <f>IF($N95="","",INDEX('Cronograma Asistente Técnico'!$M$5:$M$1000,$N95))</f>
        <v/>
      </c>
      <c r="K95" s="56">
        <f>IF($N95="","",IF(N($J95)&gt;=1,"Completado",IF(AND(ISNUMBER($D95),$D95&lt;FechaRef),"Vencida",IF(N($J95)&gt;0,"En curso","Pendiente"))))</f>
        <v/>
      </c>
      <c r="L95" s="56">
        <f>IF($N95="","",INDEX('Cronograma Asistente Técnico'!$O$5:$O$1000,$N95)&amp;"")</f>
        <v/>
      </c>
      <c r="M95" s="62">
        <f>IF($N95="","",INDEX('Cronograma Asistente Técnico'!$Q$5:$Q$1000,$N95)&amp;"")</f>
        <v/>
      </c>
      <c r="N95">
        <f>IFERROR(MATCH(ROW()-4,rOrden_ATR,0),"")</f>
        <v/>
      </c>
      <c r="O95">
        <f>IF($N95="","",INDEX('Cronograma Asistente Técnico'!$V$5:$V$1000,$N95))</f>
        <v/>
      </c>
      <c r="P95">
        <f>IF($N95="","",N(INDEX('Cronograma Asistente Técnico'!$W$5:$W$1000,$N95)))</f>
        <v/>
      </c>
      <c r="Q95">
        <f>IF(OR(LEFT($L95,7)="Vencida",LEFT($L95,5)="Vence"),SUMPRODUCT(--(LEFT($L$5:$L95,7)="Vencida"))+SUMPRODUCT(--(LEFT($L$5:$L95,5)="Vence")),"")</f>
        <v/>
      </c>
    </row>
    <row r="96">
      <c r="A96" s="56">
        <f>IF($N96="","",INDEX('Cronograma Asistente Técnico'!$A$5:$A$1000,$N96))</f>
        <v/>
      </c>
      <c r="B96" s="62">
        <f>IF($N96="","",IF($O96="Sub","      ↳  "&amp;INDEX('Cronograma Asistente Técnico'!$C$5:$C$1000,$N96),INDEX('Cronograma Asistente Técnico'!$C$5:$C$1000,$N96)&amp;""))</f>
        <v/>
      </c>
      <c r="C96" s="79">
        <f>IF($N96="","",IF(INDEX('Cronograma Asistente Técnico'!$AR$5:$AR$1000,$N96)="","",INDEX('Cronograma Asistente Técnico'!$AR$5:$AR$1000,$N96)))</f>
        <v/>
      </c>
      <c r="D96" s="79">
        <f>IF($N96="","",IF(INDEX('Cronograma Asistente Técnico'!$AS$5:$AS$1000,$N96)="","",INDEX('Cronograma Asistente Técnico'!$AS$5:$AS$1000,$N96)))</f>
        <v/>
      </c>
      <c r="E96" s="56">
        <f>IF($N96="","",IF(NOT(ISNUMBER($D96)),"",IF($D96&lt;InicioCiclo,"Antes del ciclo",IF($D96&gt;=InicioCiclo+28,"Después del ciclo","Semana "&amp;(INT(($D96-InicioCiclo)/7)+1)))))</f>
        <v/>
      </c>
      <c r="F96" s="61">
        <f>IF($N96="","",IF($P96&gt;0,IF(1&lt;=SemanaActual,INDEX('Cronograma Asistente Técnico'!$AH$5:$AH$1000,$N96),""),IF(INDEX('Cronograma Asistente Técnico'!$I$5:$I$1000,$N96)="","",INDEX('Cronograma Asistente Técnico'!$I$5:$I$1000,$N96))))</f>
        <v/>
      </c>
      <c r="G96" s="61">
        <f>IF($N96="","",IF($P96&gt;0,IF(2&lt;=SemanaActual,INDEX('Cronograma Asistente Técnico'!$AI$5:$AI$1000,$N96),""),IF(INDEX('Cronograma Asistente Técnico'!$J$5:$J$1000,$N96)="","",INDEX('Cronograma Asistente Técnico'!$J$5:$J$1000,$N96))))</f>
        <v/>
      </c>
      <c r="H96" s="61">
        <f>IF($N96="","",IF($P96&gt;0,IF(3&lt;=SemanaActual,INDEX('Cronograma Asistente Técnico'!$AJ$5:$AJ$1000,$N96),""),IF(INDEX('Cronograma Asistente Técnico'!$K$5:$K$1000,$N96)="","",INDEX('Cronograma Asistente Técnico'!$K$5:$K$1000,$N96))))</f>
        <v/>
      </c>
      <c r="I96" s="61">
        <f>IF($N96="","",IF($P96&gt;0,IF(4&lt;=SemanaActual,INDEX('Cronograma Asistente Técnico'!$AK$5:$AK$1000,$N96),""),IF(INDEX('Cronograma Asistente Técnico'!$L$5:$L$1000,$N96)="","",INDEX('Cronograma Asistente Técnico'!$L$5:$L$1000,$N96))))</f>
        <v/>
      </c>
      <c r="J96" s="61">
        <f>IF($N96="","",INDEX('Cronograma Asistente Técnico'!$M$5:$M$1000,$N96))</f>
        <v/>
      </c>
      <c r="K96" s="56">
        <f>IF($N96="","",IF(N($J96)&gt;=1,"Completado",IF(AND(ISNUMBER($D96),$D96&lt;FechaRef),"Vencida",IF(N($J96)&gt;0,"En curso","Pendiente"))))</f>
        <v/>
      </c>
      <c r="L96" s="56">
        <f>IF($N96="","",INDEX('Cronograma Asistente Técnico'!$O$5:$O$1000,$N96)&amp;"")</f>
        <v/>
      </c>
      <c r="M96" s="62">
        <f>IF($N96="","",INDEX('Cronograma Asistente Técnico'!$Q$5:$Q$1000,$N96)&amp;"")</f>
        <v/>
      </c>
      <c r="N96">
        <f>IFERROR(MATCH(ROW()-4,rOrden_ATR,0),"")</f>
        <v/>
      </c>
      <c r="O96">
        <f>IF($N96="","",INDEX('Cronograma Asistente Técnico'!$V$5:$V$1000,$N96))</f>
        <v/>
      </c>
      <c r="P96">
        <f>IF($N96="","",N(INDEX('Cronograma Asistente Técnico'!$W$5:$W$1000,$N96)))</f>
        <v/>
      </c>
      <c r="Q96">
        <f>IF(OR(LEFT($L96,7)="Vencida",LEFT($L96,5)="Vence"),SUMPRODUCT(--(LEFT($L$5:$L96,7)="Vencida"))+SUMPRODUCT(--(LEFT($L$5:$L96,5)="Vence")),"")</f>
        <v/>
      </c>
    </row>
    <row r="97">
      <c r="A97" s="56">
        <f>IF($N97="","",INDEX('Cronograma Asistente Técnico'!$A$5:$A$1000,$N97))</f>
        <v/>
      </c>
      <c r="B97" s="62">
        <f>IF($N97="","",IF($O97="Sub","      ↳  "&amp;INDEX('Cronograma Asistente Técnico'!$C$5:$C$1000,$N97),INDEX('Cronograma Asistente Técnico'!$C$5:$C$1000,$N97)&amp;""))</f>
        <v/>
      </c>
      <c r="C97" s="79">
        <f>IF($N97="","",IF(INDEX('Cronograma Asistente Técnico'!$AR$5:$AR$1000,$N97)="","",INDEX('Cronograma Asistente Técnico'!$AR$5:$AR$1000,$N97)))</f>
        <v/>
      </c>
      <c r="D97" s="79">
        <f>IF($N97="","",IF(INDEX('Cronograma Asistente Técnico'!$AS$5:$AS$1000,$N97)="","",INDEX('Cronograma Asistente Técnico'!$AS$5:$AS$1000,$N97)))</f>
        <v/>
      </c>
      <c r="E97" s="56">
        <f>IF($N97="","",IF(NOT(ISNUMBER($D97)),"",IF($D97&lt;InicioCiclo,"Antes del ciclo",IF($D97&gt;=InicioCiclo+28,"Después del ciclo","Semana "&amp;(INT(($D97-InicioCiclo)/7)+1)))))</f>
        <v/>
      </c>
      <c r="F97" s="61">
        <f>IF($N97="","",IF($P97&gt;0,IF(1&lt;=SemanaActual,INDEX('Cronograma Asistente Técnico'!$AH$5:$AH$1000,$N97),""),IF(INDEX('Cronograma Asistente Técnico'!$I$5:$I$1000,$N97)="","",INDEX('Cronograma Asistente Técnico'!$I$5:$I$1000,$N97))))</f>
        <v/>
      </c>
      <c r="G97" s="61">
        <f>IF($N97="","",IF($P97&gt;0,IF(2&lt;=SemanaActual,INDEX('Cronograma Asistente Técnico'!$AI$5:$AI$1000,$N97),""),IF(INDEX('Cronograma Asistente Técnico'!$J$5:$J$1000,$N97)="","",INDEX('Cronograma Asistente Técnico'!$J$5:$J$1000,$N97))))</f>
        <v/>
      </c>
      <c r="H97" s="61">
        <f>IF($N97="","",IF($P97&gt;0,IF(3&lt;=SemanaActual,INDEX('Cronograma Asistente Técnico'!$AJ$5:$AJ$1000,$N97),""),IF(INDEX('Cronograma Asistente Técnico'!$K$5:$K$1000,$N97)="","",INDEX('Cronograma Asistente Técnico'!$K$5:$K$1000,$N97))))</f>
        <v/>
      </c>
      <c r="I97" s="61">
        <f>IF($N97="","",IF($P97&gt;0,IF(4&lt;=SemanaActual,INDEX('Cronograma Asistente Técnico'!$AK$5:$AK$1000,$N97),""),IF(INDEX('Cronograma Asistente Técnico'!$L$5:$L$1000,$N97)="","",INDEX('Cronograma Asistente Técnico'!$L$5:$L$1000,$N97))))</f>
        <v/>
      </c>
      <c r="J97" s="61">
        <f>IF($N97="","",INDEX('Cronograma Asistente Técnico'!$M$5:$M$1000,$N97))</f>
        <v/>
      </c>
      <c r="K97" s="56">
        <f>IF($N97="","",IF(N($J97)&gt;=1,"Completado",IF(AND(ISNUMBER($D97),$D97&lt;FechaRef),"Vencida",IF(N($J97)&gt;0,"En curso","Pendiente"))))</f>
        <v/>
      </c>
      <c r="L97" s="56">
        <f>IF($N97="","",INDEX('Cronograma Asistente Técnico'!$O$5:$O$1000,$N97)&amp;"")</f>
        <v/>
      </c>
      <c r="M97" s="62">
        <f>IF($N97="","",INDEX('Cronograma Asistente Técnico'!$Q$5:$Q$1000,$N97)&amp;"")</f>
        <v/>
      </c>
      <c r="N97">
        <f>IFERROR(MATCH(ROW()-4,rOrden_ATR,0),"")</f>
        <v/>
      </c>
      <c r="O97">
        <f>IF($N97="","",INDEX('Cronograma Asistente Técnico'!$V$5:$V$1000,$N97))</f>
        <v/>
      </c>
      <c r="P97">
        <f>IF($N97="","",N(INDEX('Cronograma Asistente Técnico'!$W$5:$W$1000,$N97)))</f>
        <v/>
      </c>
      <c r="Q97">
        <f>IF(OR(LEFT($L97,7)="Vencida",LEFT($L97,5)="Vence"),SUMPRODUCT(--(LEFT($L$5:$L97,7)="Vencida"))+SUMPRODUCT(--(LEFT($L$5:$L97,5)="Vence")),"")</f>
        <v/>
      </c>
    </row>
    <row r="98">
      <c r="A98" s="56">
        <f>IF($N98="","",INDEX('Cronograma Asistente Técnico'!$A$5:$A$1000,$N98))</f>
        <v/>
      </c>
      <c r="B98" s="62">
        <f>IF($N98="","",IF($O98="Sub","      ↳  "&amp;INDEX('Cronograma Asistente Técnico'!$C$5:$C$1000,$N98),INDEX('Cronograma Asistente Técnico'!$C$5:$C$1000,$N98)&amp;""))</f>
        <v/>
      </c>
      <c r="C98" s="79">
        <f>IF($N98="","",IF(INDEX('Cronograma Asistente Técnico'!$AR$5:$AR$1000,$N98)="","",INDEX('Cronograma Asistente Técnico'!$AR$5:$AR$1000,$N98)))</f>
        <v/>
      </c>
      <c r="D98" s="79">
        <f>IF($N98="","",IF(INDEX('Cronograma Asistente Técnico'!$AS$5:$AS$1000,$N98)="","",INDEX('Cronograma Asistente Técnico'!$AS$5:$AS$1000,$N98)))</f>
        <v/>
      </c>
      <c r="E98" s="56">
        <f>IF($N98="","",IF(NOT(ISNUMBER($D98)),"",IF($D98&lt;InicioCiclo,"Antes del ciclo",IF($D98&gt;=InicioCiclo+28,"Después del ciclo","Semana "&amp;(INT(($D98-InicioCiclo)/7)+1)))))</f>
        <v/>
      </c>
      <c r="F98" s="61">
        <f>IF($N98="","",IF($P98&gt;0,IF(1&lt;=SemanaActual,INDEX('Cronograma Asistente Técnico'!$AH$5:$AH$1000,$N98),""),IF(INDEX('Cronograma Asistente Técnico'!$I$5:$I$1000,$N98)="","",INDEX('Cronograma Asistente Técnico'!$I$5:$I$1000,$N98))))</f>
        <v/>
      </c>
      <c r="G98" s="61">
        <f>IF($N98="","",IF($P98&gt;0,IF(2&lt;=SemanaActual,INDEX('Cronograma Asistente Técnico'!$AI$5:$AI$1000,$N98),""),IF(INDEX('Cronograma Asistente Técnico'!$J$5:$J$1000,$N98)="","",INDEX('Cronograma Asistente Técnico'!$J$5:$J$1000,$N98))))</f>
        <v/>
      </c>
      <c r="H98" s="61">
        <f>IF($N98="","",IF($P98&gt;0,IF(3&lt;=SemanaActual,INDEX('Cronograma Asistente Técnico'!$AJ$5:$AJ$1000,$N98),""),IF(INDEX('Cronograma Asistente Técnico'!$K$5:$K$1000,$N98)="","",INDEX('Cronograma Asistente Técnico'!$K$5:$K$1000,$N98))))</f>
        <v/>
      </c>
      <c r="I98" s="61">
        <f>IF($N98="","",IF($P98&gt;0,IF(4&lt;=SemanaActual,INDEX('Cronograma Asistente Técnico'!$AK$5:$AK$1000,$N98),""),IF(INDEX('Cronograma Asistente Técnico'!$L$5:$L$1000,$N98)="","",INDEX('Cronograma Asistente Técnico'!$L$5:$L$1000,$N98))))</f>
        <v/>
      </c>
      <c r="J98" s="61">
        <f>IF($N98="","",INDEX('Cronograma Asistente Técnico'!$M$5:$M$1000,$N98))</f>
        <v/>
      </c>
      <c r="K98" s="56">
        <f>IF($N98="","",IF(N($J98)&gt;=1,"Completado",IF(AND(ISNUMBER($D98),$D98&lt;FechaRef),"Vencida",IF(N($J98)&gt;0,"En curso","Pendiente"))))</f>
        <v/>
      </c>
      <c r="L98" s="56">
        <f>IF($N98="","",INDEX('Cronograma Asistente Técnico'!$O$5:$O$1000,$N98)&amp;"")</f>
        <v/>
      </c>
      <c r="M98" s="62">
        <f>IF($N98="","",INDEX('Cronograma Asistente Técnico'!$Q$5:$Q$1000,$N98)&amp;"")</f>
        <v/>
      </c>
      <c r="N98">
        <f>IFERROR(MATCH(ROW()-4,rOrden_ATR,0),"")</f>
        <v/>
      </c>
      <c r="O98">
        <f>IF($N98="","",INDEX('Cronograma Asistente Técnico'!$V$5:$V$1000,$N98))</f>
        <v/>
      </c>
      <c r="P98">
        <f>IF($N98="","",N(INDEX('Cronograma Asistente Técnico'!$W$5:$W$1000,$N98)))</f>
        <v/>
      </c>
      <c r="Q98">
        <f>IF(OR(LEFT($L98,7)="Vencida",LEFT($L98,5)="Vence"),SUMPRODUCT(--(LEFT($L$5:$L98,7)="Vencida"))+SUMPRODUCT(--(LEFT($L$5:$L98,5)="Vence")),"")</f>
        <v/>
      </c>
    </row>
    <row r="99">
      <c r="A99" s="56">
        <f>IF($N99="","",INDEX('Cronograma Asistente Técnico'!$A$5:$A$1000,$N99))</f>
        <v/>
      </c>
      <c r="B99" s="62">
        <f>IF($N99="","",IF($O99="Sub","      ↳  "&amp;INDEX('Cronograma Asistente Técnico'!$C$5:$C$1000,$N99),INDEX('Cronograma Asistente Técnico'!$C$5:$C$1000,$N99)&amp;""))</f>
        <v/>
      </c>
      <c r="C99" s="79">
        <f>IF($N99="","",IF(INDEX('Cronograma Asistente Técnico'!$AR$5:$AR$1000,$N99)="","",INDEX('Cronograma Asistente Técnico'!$AR$5:$AR$1000,$N99)))</f>
        <v/>
      </c>
      <c r="D99" s="79">
        <f>IF($N99="","",IF(INDEX('Cronograma Asistente Técnico'!$AS$5:$AS$1000,$N99)="","",INDEX('Cronograma Asistente Técnico'!$AS$5:$AS$1000,$N99)))</f>
        <v/>
      </c>
      <c r="E99" s="56">
        <f>IF($N99="","",IF(NOT(ISNUMBER($D99)),"",IF($D99&lt;InicioCiclo,"Antes del ciclo",IF($D99&gt;=InicioCiclo+28,"Después del ciclo","Semana "&amp;(INT(($D99-InicioCiclo)/7)+1)))))</f>
        <v/>
      </c>
      <c r="F99" s="61">
        <f>IF($N99="","",IF($P99&gt;0,IF(1&lt;=SemanaActual,INDEX('Cronograma Asistente Técnico'!$AH$5:$AH$1000,$N99),""),IF(INDEX('Cronograma Asistente Técnico'!$I$5:$I$1000,$N99)="","",INDEX('Cronograma Asistente Técnico'!$I$5:$I$1000,$N99))))</f>
        <v/>
      </c>
      <c r="G99" s="61">
        <f>IF($N99="","",IF($P99&gt;0,IF(2&lt;=SemanaActual,INDEX('Cronograma Asistente Técnico'!$AI$5:$AI$1000,$N99),""),IF(INDEX('Cronograma Asistente Técnico'!$J$5:$J$1000,$N99)="","",INDEX('Cronograma Asistente Técnico'!$J$5:$J$1000,$N99))))</f>
        <v/>
      </c>
      <c r="H99" s="61">
        <f>IF($N99="","",IF($P99&gt;0,IF(3&lt;=SemanaActual,INDEX('Cronograma Asistente Técnico'!$AJ$5:$AJ$1000,$N99),""),IF(INDEX('Cronograma Asistente Técnico'!$K$5:$K$1000,$N99)="","",INDEX('Cronograma Asistente Técnico'!$K$5:$K$1000,$N99))))</f>
        <v/>
      </c>
      <c r="I99" s="61">
        <f>IF($N99="","",IF($P99&gt;0,IF(4&lt;=SemanaActual,INDEX('Cronograma Asistente Técnico'!$AK$5:$AK$1000,$N99),""),IF(INDEX('Cronograma Asistente Técnico'!$L$5:$L$1000,$N99)="","",INDEX('Cronograma Asistente Técnico'!$L$5:$L$1000,$N99))))</f>
        <v/>
      </c>
      <c r="J99" s="61">
        <f>IF($N99="","",INDEX('Cronograma Asistente Técnico'!$M$5:$M$1000,$N99))</f>
        <v/>
      </c>
      <c r="K99" s="56">
        <f>IF($N99="","",IF(N($J99)&gt;=1,"Completado",IF(AND(ISNUMBER($D99),$D99&lt;FechaRef),"Vencida",IF(N($J99)&gt;0,"En curso","Pendiente"))))</f>
        <v/>
      </c>
      <c r="L99" s="56">
        <f>IF($N99="","",INDEX('Cronograma Asistente Técnico'!$O$5:$O$1000,$N99)&amp;"")</f>
        <v/>
      </c>
      <c r="M99" s="62">
        <f>IF($N99="","",INDEX('Cronograma Asistente Técnico'!$Q$5:$Q$1000,$N99)&amp;"")</f>
        <v/>
      </c>
      <c r="N99">
        <f>IFERROR(MATCH(ROW()-4,rOrden_ATR,0),"")</f>
        <v/>
      </c>
      <c r="O99">
        <f>IF($N99="","",INDEX('Cronograma Asistente Técnico'!$V$5:$V$1000,$N99))</f>
        <v/>
      </c>
      <c r="P99">
        <f>IF($N99="","",N(INDEX('Cronograma Asistente Técnico'!$W$5:$W$1000,$N99)))</f>
        <v/>
      </c>
      <c r="Q99">
        <f>IF(OR(LEFT($L99,7)="Vencida",LEFT($L99,5)="Vence"),SUMPRODUCT(--(LEFT($L$5:$L99,7)="Vencida"))+SUMPRODUCT(--(LEFT($L$5:$L99,5)="Vence")),"")</f>
        <v/>
      </c>
    </row>
    <row r="100">
      <c r="A100" s="56">
        <f>IF($N100="","",INDEX('Cronograma Asistente Técnico'!$A$5:$A$1000,$N100))</f>
        <v/>
      </c>
      <c r="B100" s="62">
        <f>IF($N100="","",IF($O100="Sub","      ↳  "&amp;INDEX('Cronograma Asistente Técnico'!$C$5:$C$1000,$N100),INDEX('Cronograma Asistente Técnico'!$C$5:$C$1000,$N100)&amp;""))</f>
        <v/>
      </c>
      <c r="C100" s="79">
        <f>IF($N100="","",IF(INDEX('Cronograma Asistente Técnico'!$AR$5:$AR$1000,$N100)="","",INDEX('Cronograma Asistente Técnico'!$AR$5:$AR$1000,$N100)))</f>
        <v/>
      </c>
      <c r="D100" s="79">
        <f>IF($N100="","",IF(INDEX('Cronograma Asistente Técnico'!$AS$5:$AS$1000,$N100)="","",INDEX('Cronograma Asistente Técnico'!$AS$5:$AS$1000,$N100)))</f>
        <v/>
      </c>
      <c r="E100" s="56">
        <f>IF($N100="","",IF(NOT(ISNUMBER($D100)),"",IF($D100&lt;InicioCiclo,"Antes del ciclo",IF($D100&gt;=InicioCiclo+28,"Después del ciclo","Semana "&amp;(INT(($D100-InicioCiclo)/7)+1)))))</f>
        <v/>
      </c>
      <c r="F100" s="61">
        <f>IF($N100="","",IF($P100&gt;0,IF(1&lt;=SemanaActual,INDEX('Cronograma Asistente Técnico'!$AH$5:$AH$1000,$N100),""),IF(INDEX('Cronograma Asistente Técnico'!$I$5:$I$1000,$N100)="","",INDEX('Cronograma Asistente Técnico'!$I$5:$I$1000,$N100))))</f>
        <v/>
      </c>
      <c r="G100" s="61">
        <f>IF($N100="","",IF($P100&gt;0,IF(2&lt;=SemanaActual,INDEX('Cronograma Asistente Técnico'!$AI$5:$AI$1000,$N100),""),IF(INDEX('Cronograma Asistente Técnico'!$J$5:$J$1000,$N100)="","",INDEX('Cronograma Asistente Técnico'!$J$5:$J$1000,$N100))))</f>
        <v/>
      </c>
      <c r="H100" s="61">
        <f>IF($N100="","",IF($P100&gt;0,IF(3&lt;=SemanaActual,INDEX('Cronograma Asistente Técnico'!$AJ$5:$AJ$1000,$N100),""),IF(INDEX('Cronograma Asistente Técnico'!$K$5:$K$1000,$N100)="","",INDEX('Cronograma Asistente Técnico'!$K$5:$K$1000,$N100))))</f>
        <v/>
      </c>
      <c r="I100" s="61">
        <f>IF($N100="","",IF($P100&gt;0,IF(4&lt;=SemanaActual,INDEX('Cronograma Asistente Técnico'!$AK$5:$AK$1000,$N100),""),IF(INDEX('Cronograma Asistente Técnico'!$L$5:$L$1000,$N100)="","",INDEX('Cronograma Asistente Técnico'!$L$5:$L$1000,$N100))))</f>
        <v/>
      </c>
      <c r="J100" s="61">
        <f>IF($N100="","",INDEX('Cronograma Asistente Técnico'!$M$5:$M$1000,$N100))</f>
        <v/>
      </c>
      <c r="K100" s="56">
        <f>IF($N100="","",IF(N($J100)&gt;=1,"Completado",IF(AND(ISNUMBER($D100),$D100&lt;FechaRef),"Vencida",IF(N($J100)&gt;0,"En curso","Pendiente"))))</f>
        <v/>
      </c>
      <c r="L100" s="56">
        <f>IF($N100="","",INDEX('Cronograma Asistente Técnico'!$O$5:$O$1000,$N100)&amp;"")</f>
        <v/>
      </c>
      <c r="M100" s="62">
        <f>IF($N100="","",INDEX('Cronograma Asistente Técnico'!$Q$5:$Q$1000,$N100)&amp;"")</f>
        <v/>
      </c>
      <c r="N100">
        <f>IFERROR(MATCH(ROW()-4,rOrden_ATR,0),"")</f>
        <v/>
      </c>
      <c r="O100">
        <f>IF($N100="","",INDEX('Cronograma Asistente Técnico'!$V$5:$V$1000,$N100))</f>
        <v/>
      </c>
      <c r="P100">
        <f>IF($N100="","",N(INDEX('Cronograma Asistente Técnico'!$W$5:$W$1000,$N100)))</f>
        <v/>
      </c>
      <c r="Q100">
        <f>IF(OR(LEFT($L100,7)="Vencida",LEFT($L100,5)="Vence"),SUMPRODUCT(--(LEFT($L$5:$L100,7)="Vencida"))+SUMPRODUCT(--(LEFT($L$5:$L100,5)="Vence")),"")</f>
        <v/>
      </c>
    </row>
    <row r="101">
      <c r="A101" s="56">
        <f>IF($N101="","",INDEX('Cronograma Asistente Técnico'!$A$5:$A$1000,$N101))</f>
        <v/>
      </c>
      <c r="B101" s="62">
        <f>IF($N101="","",IF($O101="Sub","      ↳  "&amp;INDEX('Cronograma Asistente Técnico'!$C$5:$C$1000,$N101),INDEX('Cronograma Asistente Técnico'!$C$5:$C$1000,$N101)&amp;""))</f>
        <v/>
      </c>
      <c r="C101" s="79">
        <f>IF($N101="","",IF(INDEX('Cronograma Asistente Técnico'!$AR$5:$AR$1000,$N101)="","",INDEX('Cronograma Asistente Técnico'!$AR$5:$AR$1000,$N101)))</f>
        <v/>
      </c>
      <c r="D101" s="79">
        <f>IF($N101="","",IF(INDEX('Cronograma Asistente Técnico'!$AS$5:$AS$1000,$N101)="","",INDEX('Cronograma Asistente Técnico'!$AS$5:$AS$1000,$N101)))</f>
        <v/>
      </c>
      <c r="E101" s="56">
        <f>IF($N101="","",IF(NOT(ISNUMBER($D101)),"",IF($D101&lt;InicioCiclo,"Antes del ciclo",IF($D101&gt;=InicioCiclo+28,"Después del ciclo","Semana "&amp;(INT(($D101-InicioCiclo)/7)+1)))))</f>
        <v/>
      </c>
      <c r="F101" s="61">
        <f>IF($N101="","",IF($P101&gt;0,IF(1&lt;=SemanaActual,INDEX('Cronograma Asistente Técnico'!$AH$5:$AH$1000,$N101),""),IF(INDEX('Cronograma Asistente Técnico'!$I$5:$I$1000,$N101)="","",INDEX('Cronograma Asistente Técnico'!$I$5:$I$1000,$N101))))</f>
        <v/>
      </c>
      <c r="G101" s="61">
        <f>IF($N101="","",IF($P101&gt;0,IF(2&lt;=SemanaActual,INDEX('Cronograma Asistente Técnico'!$AI$5:$AI$1000,$N101),""),IF(INDEX('Cronograma Asistente Técnico'!$J$5:$J$1000,$N101)="","",INDEX('Cronograma Asistente Técnico'!$J$5:$J$1000,$N101))))</f>
        <v/>
      </c>
      <c r="H101" s="61">
        <f>IF($N101="","",IF($P101&gt;0,IF(3&lt;=SemanaActual,INDEX('Cronograma Asistente Técnico'!$AJ$5:$AJ$1000,$N101),""),IF(INDEX('Cronograma Asistente Técnico'!$K$5:$K$1000,$N101)="","",INDEX('Cronograma Asistente Técnico'!$K$5:$K$1000,$N101))))</f>
        <v/>
      </c>
      <c r="I101" s="61">
        <f>IF($N101="","",IF($P101&gt;0,IF(4&lt;=SemanaActual,INDEX('Cronograma Asistente Técnico'!$AK$5:$AK$1000,$N101),""),IF(INDEX('Cronograma Asistente Técnico'!$L$5:$L$1000,$N101)="","",INDEX('Cronograma Asistente Técnico'!$L$5:$L$1000,$N101))))</f>
        <v/>
      </c>
      <c r="J101" s="61">
        <f>IF($N101="","",INDEX('Cronograma Asistente Técnico'!$M$5:$M$1000,$N101))</f>
        <v/>
      </c>
      <c r="K101" s="56">
        <f>IF($N101="","",IF(N($J101)&gt;=1,"Completado",IF(AND(ISNUMBER($D101),$D101&lt;FechaRef),"Vencida",IF(N($J101)&gt;0,"En curso","Pendiente"))))</f>
        <v/>
      </c>
      <c r="L101" s="56">
        <f>IF($N101="","",INDEX('Cronograma Asistente Técnico'!$O$5:$O$1000,$N101)&amp;"")</f>
        <v/>
      </c>
      <c r="M101" s="62">
        <f>IF($N101="","",INDEX('Cronograma Asistente Técnico'!$Q$5:$Q$1000,$N101)&amp;"")</f>
        <v/>
      </c>
      <c r="N101">
        <f>IFERROR(MATCH(ROW()-4,rOrden_ATR,0),"")</f>
        <v/>
      </c>
      <c r="O101">
        <f>IF($N101="","",INDEX('Cronograma Asistente Técnico'!$V$5:$V$1000,$N101))</f>
        <v/>
      </c>
      <c r="P101">
        <f>IF($N101="","",N(INDEX('Cronograma Asistente Técnico'!$W$5:$W$1000,$N101)))</f>
        <v/>
      </c>
      <c r="Q101">
        <f>IF(OR(LEFT($L101,7)="Vencida",LEFT($L101,5)="Vence"),SUMPRODUCT(--(LEFT($L$5:$L101,7)="Vencida"))+SUMPRODUCT(--(LEFT($L$5:$L101,5)="Vence")),"")</f>
        <v/>
      </c>
    </row>
    <row r="102">
      <c r="A102" s="56">
        <f>IF($N102="","",INDEX('Cronograma Asistente Técnico'!$A$5:$A$1000,$N102))</f>
        <v/>
      </c>
      <c r="B102" s="62">
        <f>IF($N102="","",IF($O102="Sub","      ↳  "&amp;INDEX('Cronograma Asistente Técnico'!$C$5:$C$1000,$N102),INDEX('Cronograma Asistente Técnico'!$C$5:$C$1000,$N102)&amp;""))</f>
        <v/>
      </c>
      <c r="C102" s="79">
        <f>IF($N102="","",IF(INDEX('Cronograma Asistente Técnico'!$AR$5:$AR$1000,$N102)="","",INDEX('Cronograma Asistente Técnico'!$AR$5:$AR$1000,$N102)))</f>
        <v/>
      </c>
      <c r="D102" s="79">
        <f>IF($N102="","",IF(INDEX('Cronograma Asistente Técnico'!$AS$5:$AS$1000,$N102)="","",INDEX('Cronograma Asistente Técnico'!$AS$5:$AS$1000,$N102)))</f>
        <v/>
      </c>
      <c r="E102" s="56">
        <f>IF($N102="","",IF(NOT(ISNUMBER($D102)),"",IF($D102&lt;InicioCiclo,"Antes del ciclo",IF($D102&gt;=InicioCiclo+28,"Después del ciclo","Semana "&amp;(INT(($D102-InicioCiclo)/7)+1)))))</f>
        <v/>
      </c>
      <c r="F102" s="61">
        <f>IF($N102="","",IF($P102&gt;0,IF(1&lt;=SemanaActual,INDEX('Cronograma Asistente Técnico'!$AH$5:$AH$1000,$N102),""),IF(INDEX('Cronograma Asistente Técnico'!$I$5:$I$1000,$N102)="","",INDEX('Cronograma Asistente Técnico'!$I$5:$I$1000,$N102))))</f>
        <v/>
      </c>
      <c r="G102" s="61">
        <f>IF($N102="","",IF($P102&gt;0,IF(2&lt;=SemanaActual,INDEX('Cronograma Asistente Técnico'!$AI$5:$AI$1000,$N102),""),IF(INDEX('Cronograma Asistente Técnico'!$J$5:$J$1000,$N102)="","",INDEX('Cronograma Asistente Técnico'!$J$5:$J$1000,$N102))))</f>
        <v/>
      </c>
      <c r="H102" s="61">
        <f>IF($N102="","",IF($P102&gt;0,IF(3&lt;=SemanaActual,INDEX('Cronograma Asistente Técnico'!$AJ$5:$AJ$1000,$N102),""),IF(INDEX('Cronograma Asistente Técnico'!$K$5:$K$1000,$N102)="","",INDEX('Cronograma Asistente Técnico'!$K$5:$K$1000,$N102))))</f>
        <v/>
      </c>
      <c r="I102" s="61">
        <f>IF($N102="","",IF($P102&gt;0,IF(4&lt;=SemanaActual,INDEX('Cronograma Asistente Técnico'!$AK$5:$AK$1000,$N102),""),IF(INDEX('Cronograma Asistente Técnico'!$L$5:$L$1000,$N102)="","",INDEX('Cronograma Asistente Técnico'!$L$5:$L$1000,$N102))))</f>
        <v/>
      </c>
      <c r="J102" s="61">
        <f>IF($N102="","",INDEX('Cronograma Asistente Técnico'!$M$5:$M$1000,$N102))</f>
        <v/>
      </c>
      <c r="K102" s="56">
        <f>IF($N102="","",IF(N($J102)&gt;=1,"Completado",IF(AND(ISNUMBER($D102),$D102&lt;FechaRef),"Vencida",IF(N($J102)&gt;0,"En curso","Pendiente"))))</f>
        <v/>
      </c>
      <c r="L102" s="56">
        <f>IF($N102="","",INDEX('Cronograma Asistente Técnico'!$O$5:$O$1000,$N102)&amp;"")</f>
        <v/>
      </c>
      <c r="M102" s="62">
        <f>IF($N102="","",INDEX('Cronograma Asistente Técnico'!$Q$5:$Q$1000,$N102)&amp;"")</f>
        <v/>
      </c>
      <c r="N102">
        <f>IFERROR(MATCH(ROW()-4,rOrden_ATR,0),"")</f>
        <v/>
      </c>
      <c r="O102">
        <f>IF($N102="","",INDEX('Cronograma Asistente Técnico'!$V$5:$V$1000,$N102))</f>
        <v/>
      </c>
      <c r="P102">
        <f>IF($N102="","",N(INDEX('Cronograma Asistente Técnico'!$W$5:$W$1000,$N102)))</f>
        <v/>
      </c>
      <c r="Q102">
        <f>IF(OR(LEFT($L102,7)="Vencida",LEFT($L102,5)="Vence"),SUMPRODUCT(--(LEFT($L$5:$L102,7)="Vencida"))+SUMPRODUCT(--(LEFT($L$5:$L102,5)="Vence")),"")</f>
        <v/>
      </c>
    </row>
    <row r="103">
      <c r="A103" s="56">
        <f>IF($N103="","",INDEX('Cronograma Asistente Técnico'!$A$5:$A$1000,$N103))</f>
        <v/>
      </c>
      <c r="B103" s="62">
        <f>IF($N103="","",IF($O103="Sub","      ↳  "&amp;INDEX('Cronograma Asistente Técnico'!$C$5:$C$1000,$N103),INDEX('Cronograma Asistente Técnico'!$C$5:$C$1000,$N103)&amp;""))</f>
        <v/>
      </c>
      <c r="C103" s="79">
        <f>IF($N103="","",IF(INDEX('Cronograma Asistente Técnico'!$AR$5:$AR$1000,$N103)="","",INDEX('Cronograma Asistente Técnico'!$AR$5:$AR$1000,$N103)))</f>
        <v/>
      </c>
      <c r="D103" s="79">
        <f>IF($N103="","",IF(INDEX('Cronograma Asistente Técnico'!$AS$5:$AS$1000,$N103)="","",INDEX('Cronograma Asistente Técnico'!$AS$5:$AS$1000,$N103)))</f>
        <v/>
      </c>
      <c r="E103" s="56">
        <f>IF($N103="","",IF(NOT(ISNUMBER($D103)),"",IF($D103&lt;InicioCiclo,"Antes del ciclo",IF($D103&gt;=InicioCiclo+28,"Después del ciclo","Semana "&amp;(INT(($D103-InicioCiclo)/7)+1)))))</f>
        <v/>
      </c>
      <c r="F103" s="61">
        <f>IF($N103="","",IF($P103&gt;0,IF(1&lt;=SemanaActual,INDEX('Cronograma Asistente Técnico'!$AH$5:$AH$1000,$N103),""),IF(INDEX('Cronograma Asistente Técnico'!$I$5:$I$1000,$N103)="","",INDEX('Cronograma Asistente Técnico'!$I$5:$I$1000,$N103))))</f>
        <v/>
      </c>
      <c r="G103" s="61">
        <f>IF($N103="","",IF($P103&gt;0,IF(2&lt;=SemanaActual,INDEX('Cronograma Asistente Técnico'!$AI$5:$AI$1000,$N103),""),IF(INDEX('Cronograma Asistente Técnico'!$J$5:$J$1000,$N103)="","",INDEX('Cronograma Asistente Técnico'!$J$5:$J$1000,$N103))))</f>
        <v/>
      </c>
      <c r="H103" s="61">
        <f>IF($N103="","",IF($P103&gt;0,IF(3&lt;=SemanaActual,INDEX('Cronograma Asistente Técnico'!$AJ$5:$AJ$1000,$N103),""),IF(INDEX('Cronograma Asistente Técnico'!$K$5:$K$1000,$N103)="","",INDEX('Cronograma Asistente Técnico'!$K$5:$K$1000,$N103))))</f>
        <v/>
      </c>
      <c r="I103" s="61">
        <f>IF($N103="","",IF($P103&gt;0,IF(4&lt;=SemanaActual,INDEX('Cronograma Asistente Técnico'!$AK$5:$AK$1000,$N103),""),IF(INDEX('Cronograma Asistente Técnico'!$L$5:$L$1000,$N103)="","",INDEX('Cronograma Asistente Técnico'!$L$5:$L$1000,$N103))))</f>
        <v/>
      </c>
      <c r="J103" s="61">
        <f>IF($N103="","",INDEX('Cronograma Asistente Técnico'!$M$5:$M$1000,$N103))</f>
        <v/>
      </c>
      <c r="K103" s="56">
        <f>IF($N103="","",IF(N($J103)&gt;=1,"Completado",IF(AND(ISNUMBER($D103),$D103&lt;FechaRef),"Vencida",IF(N($J103)&gt;0,"En curso","Pendiente"))))</f>
        <v/>
      </c>
      <c r="L103" s="56">
        <f>IF($N103="","",INDEX('Cronograma Asistente Técnico'!$O$5:$O$1000,$N103)&amp;"")</f>
        <v/>
      </c>
      <c r="M103" s="62">
        <f>IF($N103="","",INDEX('Cronograma Asistente Técnico'!$Q$5:$Q$1000,$N103)&amp;"")</f>
        <v/>
      </c>
      <c r="N103">
        <f>IFERROR(MATCH(ROW()-4,rOrden_ATR,0),"")</f>
        <v/>
      </c>
      <c r="O103">
        <f>IF($N103="","",INDEX('Cronograma Asistente Técnico'!$V$5:$V$1000,$N103))</f>
        <v/>
      </c>
      <c r="P103">
        <f>IF($N103="","",N(INDEX('Cronograma Asistente Técnico'!$W$5:$W$1000,$N103)))</f>
        <v/>
      </c>
      <c r="Q103">
        <f>IF(OR(LEFT($L103,7)="Vencida",LEFT($L103,5)="Vence"),SUMPRODUCT(--(LEFT($L$5:$L103,7)="Vencida"))+SUMPRODUCT(--(LEFT($L$5:$L103,5)="Vence")),"")</f>
        <v/>
      </c>
    </row>
    <row r="104">
      <c r="A104" s="56">
        <f>IF($N104="","",INDEX('Cronograma Asistente Técnico'!$A$5:$A$1000,$N104))</f>
        <v/>
      </c>
      <c r="B104" s="62">
        <f>IF($N104="","",IF($O104="Sub","      ↳  "&amp;INDEX('Cronograma Asistente Técnico'!$C$5:$C$1000,$N104),INDEX('Cronograma Asistente Técnico'!$C$5:$C$1000,$N104)&amp;""))</f>
        <v/>
      </c>
      <c r="C104" s="79">
        <f>IF($N104="","",IF(INDEX('Cronograma Asistente Técnico'!$AR$5:$AR$1000,$N104)="","",INDEX('Cronograma Asistente Técnico'!$AR$5:$AR$1000,$N104)))</f>
        <v/>
      </c>
      <c r="D104" s="79">
        <f>IF($N104="","",IF(INDEX('Cronograma Asistente Técnico'!$AS$5:$AS$1000,$N104)="","",INDEX('Cronograma Asistente Técnico'!$AS$5:$AS$1000,$N104)))</f>
        <v/>
      </c>
      <c r="E104" s="56">
        <f>IF($N104="","",IF(NOT(ISNUMBER($D104)),"",IF($D104&lt;InicioCiclo,"Antes del ciclo",IF($D104&gt;=InicioCiclo+28,"Después del ciclo","Semana "&amp;(INT(($D104-InicioCiclo)/7)+1)))))</f>
        <v/>
      </c>
      <c r="F104" s="61">
        <f>IF($N104="","",IF($P104&gt;0,IF(1&lt;=SemanaActual,INDEX('Cronograma Asistente Técnico'!$AH$5:$AH$1000,$N104),""),IF(INDEX('Cronograma Asistente Técnico'!$I$5:$I$1000,$N104)="","",INDEX('Cronograma Asistente Técnico'!$I$5:$I$1000,$N104))))</f>
        <v/>
      </c>
      <c r="G104" s="61">
        <f>IF($N104="","",IF($P104&gt;0,IF(2&lt;=SemanaActual,INDEX('Cronograma Asistente Técnico'!$AI$5:$AI$1000,$N104),""),IF(INDEX('Cronograma Asistente Técnico'!$J$5:$J$1000,$N104)="","",INDEX('Cronograma Asistente Técnico'!$J$5:$J$1000,$N104))))</f>
        <v/>
      </c>
      <c r="H104" s="61">
        <f>IF($N104="","",IF($P104&gt;0,IF(3&lt;=SemanaActual,INDEX('Cronograma Asistente Técnico'!$AJ$5:$AJ$1000,$N104),""),IF(INDEX('Cronograma Asistente Técnico'!$K$5:$K$1000,$N104)="","",INDEX('Cronograma Asistente Técnico'!$K$5:$K$1000,$N104))))</f>
        <v/>
      </c>
      <c r="I104" s="61">
        <f>IF($N104="","",IF($P104&gt;0,IF(4&lt;=SemanaActual,INDEX('Cronograma Asistente Técnico'!$AK$5:$AK$1000,$N104),""),IF(INDEX('Cronograma Asistente Técnico'!$L$5:$L$1000,$N104)="","",INDEX('Cronograma Asistente Técnico'!$L$5:$L$1000,$N104))))</f>
        <v/>
      </c>
      <c r="J104" s="61">
        <f>IF($N104="","",INDEX('Cronograma Asistente Técnico'!$M$5:$M$1000,$N104))</f>
        <v/>
      </c>
      <c r="K104" s="56">
        <f>IF($N104="","",IF(N($J104)&gt;=1,"Completado",IF(AND(ISNUMBER($D104),$D104&lt;FechaRef),"Vencida",IF(N($J104)&gt;0,"En curso","Pendiente"))))</f>
        <v/>
      </c>
      <c r="L104" s="56">
        <f>IF($N104="","",INDEX('Cronograma Asistente Técnico'!$O$5:$O$1000,$N104)&amp;"")</f>
        <v/>
      </c>
      <c r="M104" s="62">
        <f>IF($N104="","",INDEX('Cronograma Asistente Técnico'!$Q$5:$Q$1000,$N104)&amp;"")</f>
        <v/>
      </c>
      <c r="N104">
        <f>IFERROR(MATCH(ROW()-4,rOrden_ATR,0),"")</f>
        <v/>
      </c>
      <c r="O104">
        <f>IF($N104="","",INDEX('Cronograma Asistente Técnico'!$V$5:$V$1000,$N104))</f>
        <v/>
      </c>
      <c r="P104">
        <f>IF($N104="","",N(INDEX('Cronograma Asistente Técnico'!$W$5:$W$1000,$N104)))</f>
        <v/>
      </c>
      <c r="Q104">
        <f>IF(OR(LEFT($L104,7)="Vencida",LEFT($L104,5)="Vence"),SUMPRODUCT(--(LEFT($L$5:$L104,7)="Vencida"))+SUMPRODUCT(--(LEFT($L$5:$L104,5)="Vence")),"")</f>
        <v/>
      </c>
    </row>
  </sheetData>
  <sheetProtection selectLockedCells="0" selectUnlockedCells="0" sheet="1" objects="0" insertRows="1" insertHyperlinks="1" autoFilter="0" scenarios="0" formatColumns="0" deleteColumns="1" insertColumns="1" pivotTables="1" deleteRows="1" formatCells="1" formatRows="0" sort="0"/>
  <mergeCells count="2">
    <mergeCell ref="A2:M2"/>
    <mergeCell ref="A1:M1"/>
  </mergeCells>
  <conditionalFormatting sqref="F5:I104">
    <cfRule type="expression" priority="1" dxfId="6" stopIfTrue="1">
      <formula>AND(AND(ISNUMBER($C5),ISNUMBER($D5),$C5&lt;=InicioCiclo+7*(COLUMN(F5)-6)+6,$D5&gt;=InicioCiclo+7*(COLUMN(F5)-6)),$K5="Vencida")</formula>
    </cfRule>
    <cfRule type="expression" priority="2" dxfId="27">
      <formula>AND(ISNUMBER($C5),ISNUMBER($D5),$C5&lt;=InicioCiclo+7*(COLUMN(F5)-6)+6,$D5&gt;=InicioCiclo+7*(COLUMN(F5)-6))</formula>
    </cfRule>
  </conditionalFormatting>
  <conditionalFormatting sqref="K5:K104">
    <cfRule type="expression" priority="3" dxfId="0">
      <formula>$K5="Completado"</formula>
    </cfRule>
    <cfRule type="expression" priority="4" dxfId="6">
      <formula>$K5="Vencida"</formula>
    </cfRule>
    <cfRule type="expression" priority="5" dxfId="4">
      <formula>$K5="En curso"</formula>
    </cfRule>
    <cfRule type="expression" priority="6" dxfId="5">
      <formula>$K5="Pendiente"</formula>
    </cfRule>
  </conditionalFormatting>
  <conditionalFormatting sqref="L5:L104">
    <cfRule type="expression" priority="7" dxfId="8" stopIfTrue="1">
      <formula>LEFT($L5,7)="Vencida"</formula>
    </cfRule>
    <cfRule type="expression" priority="8" dxfId="9" stopIfTrue="1">
      <formula>LEFT($L5,5)="Vence"</formula>
    </cfRule>
    <cfRule type="expression" priority="9" dxfId="0" stopIfTrue="1">
      <formula>LEFT($L5,8)="Cumplida"</formula>
    </cfRule>
    <cfRule type="expression" priority="10" dxfId="14" stopIfTrue="1">
      <formula>$L5="En plazo"</formula>
    </cfRule>
    <cfRule type="expression" priority="11" dxfId="5">
      <formula>$L5="Sin fecha límite"</formula>
    </cfRule>
  </conditionalFormatting>
  <conditionalFormatting sqref="E5:E104">
    <cfRule type="expression" priority="12" dxfId="1">
      <formula>$E5="Semana "&amp;SemanaActual</formula>
    </cfRule>
  </conditionalFormatting>
  <conditionalFormatting sqref="J5:J104">
    <cfRule type="dataBar" priority="13">
      <dataBar showValue="1">
        <cfvo type="num" val="0"/>
        <cfvo type="num" val="1"/>
        <color rgb="005B9BD5"/>
      </dataBar>
    </cfRule>
  </conditionalFormatting>
  <conditionalFormatting sqref="F4:I4">
    <cfRule type="expression" priority="14" dxfId="1">
      <formula>COLUMN(F4)-5=SemanaActual</formula>
    </cfRule>
  </conditionalFormatting>
  <conditionalFormatting sqref="F3:I3">
    <cfRule type="expression" priority="15" dxfId="1">
      <formula>COLUMN(F3)-5=SemanaActual</formula>
    </cfRule>
  </conditionalFormatting>
  <pageMargins left="0.4" right="0.4" top="0.5" bottom="0.5" header="0.5" footer="0.5"/>
  <pageSetup orientation="landscape" paperSize="1" fitToHeight="0" fitToWidth="1"/>
  <headerFooter>
    <oddHeader/>
    <oddFooter>&amp;C&amp;A – Página &amp;P de &amp;N</oddFooter>
    <evenHeader/>
    <evenFooter/>
    <firstHeader/>
    <firstFooter/>
  </headerFooter>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B1:B102"/>
  <sheetViews>
    <sheetView showGridLines="0" zoomScale="90" workbookViewId="0">
      <selection activeCell="A1" sqref="A1"/>
    </sheetView>
  </sheetViews>
  <sheetFormatPr baseColWidth="8" defaultRowHeight="15"/>
  <cols>
    <col width="3" customWidth="1" min="1" max="1"/>
    <col width="120" customWidth="1" min="2" max="2"/>
  </cols>
  <sheetData>
    <row r="1" ht="28" customHeight="1">
      <c r="B1" s="65" t="inlineStr">
        <is>
          <t>Instrucciones – cómo usar este archivo</t>
        </is>
      </c>
    </row>
    <row r="3" ht="20" customHeight="1">
      <c r="B3" s="86" t="inlineStr">
        <is>
          <t>¿Para qué sirve este archivo?</t>
        </is>
      </c>
    </row>
    <row r="4" ht="45" customHeight="1">
      <c r="B4" s="87" t="inlineStr">
        <is>
          <t>Sirve para planificar y medir, MES A MES, las actividades de los cuatro puestos del área: Riesgo Operacional, Riesgo Normativo, Riesgo Financiero y Asistente Técnico de Riesgo. Cada mes se divide en 4 semanas y la meta es que las actividades lleguen al 100% al terminar la Semana 4. Todo lo de meses anteriores queda guardado como historial.</t>
        </is>
      </c>
    </row>
    <row r="6" ht="20" customHeight="1">
      <c r="B6" s="86" t="inlineStr">
        <is>
          <t>Colores: qué se llena y qué no</t>
        </is>
      </c>
    </row>
    <row r="7" ht="15" customHeight="1">
      <c r="B7" s="87" t="inlineStr">
        <is>
          <t>• GRIS SUAVE = celda que usted llena (desbloqueada).</t>
        </is>
      </c>
    </row>
    <row r="8" ht="15" customHeight="1">
      <c r="B8" s="87" t="inlineStr">
        <is>
          <t>• AZUL MUY CLARO = celda automática (bloqueada: no se puede escribir en ella).</t>
        </is>
      </c>
    </row>
    <row r="9" ht="30" customHeight="1">
      <c r="B9" s="87" t="inlineStr">
        <is>
          <t>• Cada puesto tiene su color: NARANJA = Riesgo Operacional · MORADO = Riesgo Normativo · VERDE = Riesgo Financiero · AZUL = Asistente Técnico de Riesgo.</t>
        </is>
      </c>
    </row>
    <row r="10" ht="30" customHeight="1">
      <c r="B10" s="87" t="inlineStr">
        <is>
          <t>• Colores de avisos: verde = completado · azul claro = en curso · rojo suave = pendiente o dato faltante · ámbar = por vencer o mes actual · naranja = vencida.</t>
        </is>
      </c>
    </row>
    <row r="12" ht="20" customHeight="1">
      <c r="B12" s="86" t="inlineStr">
        <is>
          <t>Las hojas del archivo</t>
        </is>
      </c>
    </row>
    <row r="13" ht="30" customHeight="1">
      <c r="B13" s="87" t="inlineStr">
        <is>
          <t>• Dashboard - Consolidado: resumen del MES ACTUAL con dos gráficas (avance de cada puesto y avance por semana vs plan). Se actualiza solo; no se llena.</t>
        </is>
      </c>
    </row>
    <row r="14" ht="30" customHeight="1">
      <c r="B14" s="87" t="inlineStr">
        <is>
          <t>• Historial mensual: tabla con el avance de cada puesto mes a mes desde octubre 2026 y gráfica de los últimos 6 meses. Se actualiza sola.</t>
        </is>
      </c>
    </row>
    <row r="15" ht="30" customHeight="1">
      <c r="B15" s="87" t="inlineStr">
        <is>
          <t>• Cronograma (una por puesto): la ÚNICA hoja donde cada responsable escribe sus actividades, pesos, avances y observaciones.</t>
        </is>
      </c>
    </row>
    <row r="16" ht="30" customHeight="1">
      <c r="B16" s="87" t="inlineStr">
        <is>
          <t>• Actividades (una por puesto, al lado de su cronograma): muestra sola las actividades del mes, semana por semana. Está bloqueada; no se escribe nada.</t>
        </is>
      </c>
    </row>
    <row r="17" ht="15" customHeight="1">
      <c r="B17" s="87" t="inlineStr">
        <is>
          <t>• Configuración: mes, semana y fecha de corte. Todo se calcula solo con la fecha de hoy.</t>
        </is>
      </c>
    </row>
    <row r="19" ht="20" customHeight="1">
      <c r="B19" s="86" t="inlineStr">
        <is>
          <t>Cómo llenar su hoja «Cronograma» (paso a paso)</t>
        </is>
      </c>
    </row>
    <row r="20" ht="15" customHeight="1">
      <c r="B20" s="87" t="inlineStr">
        <is>
          <t>1) Abra la pestaña «Cronograma» de SU puesto y escriba en la primera fila vacía (celdas gris suave).</t>
        </is>
      </c>
    </row>
    <row r="21" ht="15" customHeight="1">
      <c r="B21" s="87" t="inlineStr">
        <is>
          <t>2) En «Tipo» elija «Macroactividad» (si lo deja vacío, también cuenta como macroactividad).</t>
        </is>
      </c>
    </row>
    <row r="22" ht="30" customHeight="1">
      <c r="B22" s="87" t="inlineStr">
        <is>
          <t>3) Escriba el nombre en «Actividad», la Fecha de inicio y la Fecha límite. El N° (1, 2, 3… por mes) y el Mes se llenan solos.</t>
        </is>
      </c>
    </row>
    <row r="23" ht="45" customHeight="1">
      <c r="B23" s="87" t="inlineStr">
        <is>
          <t>4) Peso de la macroactividad (OPCIONAL): si lo deja vacío, todas las macroactividades del mes valen lo mismo. Si escribe pesos, se ajustan solos para sumar 100% (ej. si escribe 60% y 20%, quedan 75% y 25%). No hace falta que sumen 100% ni que esté todo el mes completo.</t>
        </is>
      </c>
    </row>
    <row r="24" ht="30" customHeight="1">
      <c r="B24" s="87" t="inlineStr">
        <is>
          <t>5) CUANDO TERMINE una actividad, escriba la FECHA DE CUMPLIMIENTO: queda al 100%, «Completado», y la alerta dice «Cumplida» (ya no aparece vencida).</t>
        </is>
      </c>
    </row>
    <row r="25" ht="30" customHeight="1">
      <c r="B25" s="87" t="inlineStr">
        <is>
          <t>6) Avances parciales (opcional): si una macroactividad sin subactividades va a medias, puede escribir en la columna de la semana el % total logrado hasta esa semana (ej. Semana 1 = 30%, Semana 2 = 70%).</t>
        </is>
      </c>
    </row>
    <row r="26" ht="15" customHeight="1">
      <c r="B26" s="87" t="inlineStr">
        <is>
          <t>7) El «% de Avance Total Actual», el «Estado» y la «Alerta de plazo» se calculan solos.</t>
        </is>
      </c>
    </row>
    <row r="27" ht="15" customHeight="1">
      <c r="B27" s="87" t="inlineStr">
        <is>
          <t>8) Observaciones: si una actividad se atrasa o no se cumplió, escriba aquí el motivo y la nueva fecha.</t>
        </is>
      </c>
    </row>
    <row r="29" ht="20" customHeight="1">
      <c r="B29" s="86" t="inlineStr">
        <is>
          <t>Subactividades (puede agregar todas las que necesite)</t>
        </is>
      </c>
    </row>
    <row r="30" ht="30" customHeight="1">
      <c r="B30" s="87" t="inlineStr">
        <is>
          <t>1) Debajo de la macroactividad, en las filas siguientes, elija en «Tipo» la opción «Subactividad» y escriba su nombre en «Actividad», con sus fechas. Se verá con sangría (↳) justo debajo de su macroactividad.</t>
        </is>
      </c>
    </row>
    <row r="31" ht="15" customHeight="1">
      <c r="B31" s="87" t="inlineStr">
        <is>
          <t>2) El N° NO se escribe: sale solo 1.1, 1.2, 1.3… (la columna está bloqueada).</t>
        </is>
      </c>
    </row>
    <row r="32" ht="30" customHeight="1">
      <c r="B32" s="87" t="inlineStr">
        <is>
          <t>3) En la columna «Peso / % de la subactividad» escriba cuánto vale cada subactividad dentro de su macroactividad (entre todas suman 100%). Si la deja vacía, se reparte en partes iguales (3 subactividades → 33% cada una).</t>
        </is>
      </c>
    </row>
    <row r="33" ht="30" customHeight="1">
      <c r="B33" s="87" t="inlineStr">
        <is>
          <t>4) Avance de la subactividad: si va a medias, escriba su % en la semana (ej. 60% en Semana 2); cuando la termine, escriba su FECHA DE CUMPLIMIENTO (cuenta 100% y la semana de esa fecha se pinta de verde).</t>
        </is>
      </c>
    </row>
    <row r="34" ht="60" customHeight="1">
      <c r="B34" s="87" t="inlineStr">
        <is>
          <t>5) La macroactividad se llena SOLA, semana por semana: suma lo que aporta cada subactividad (su % dentro de la macro × su avance). Ej.: 1.1 vale 40% y está terminada → aporta 40%; 1.2 vale 30% y va al 50% → aporta 15%; la macroactividad queda en 55%. En la fila de la macroactividad no escriba en las semanas. La subactividad no muestra % total, estado ni alerta.</t>
        </is>
      </c>
    </row>
    <row r="35" ht="30" customHeight="1">
      <c r="B35" s="87" t="inlineStr">
        <is>
          <t>6) Para agregar otra subactividad más adelante, escríbala debajo de las demás subactividades de su macroactividad: siempre pertenece a la macroactividad que esté más arriba.</t>
        </is>
      </c>
    </row>
    <row r="37" ht="20" customHeight="1">
      <c r="B37" s="86" t="inlineStr">
        <is>
          <t>Alerta de plazo (vencidas y por vencer)</t>
        </is>
      </c>
    </row>
    <row r="38" ht="30" customHeight="1">
      <c r="B38" s="87" t="inlineStr">
        <is>
          <t>La columna «Alerta de plazo» (en el Cronograma, la hoja Actividades y Administración) dice en cada macroactividad (las subactividades no llevan alerta; la lleva su macroactividad):</t>
        </is>
      </c>
    </row>
    <row r="39" ht="30" customHeight="1">
      <c r="B39" s="87" t="inlineStr">
        <is>
          <t>• «Cumplida» (verde): tiene fecha de cumplimiento o llegó al 100%. Si se cumplió después de la fecha límite dice «Cumplida con X días de retraso».</t>
        </is>
      </c>
    </row>
    <row r="40" ht="30" customHeight="1">
      <c r="B40" s="87" t="inlineStr">
        <is>
          <t>• «Vencida hace X días» (rojo): pasó la fecha límite y no tiene fecha de cumplimiento. Escriba en Observaciones por qué no se cumplió.</t>
        </is>
      </c>
    </row>
    <row r="41" ht="30" customHeight="1">
      <c r="B41" s="87" t="inlineStr">
        <is>
          <t>• «Vence hoy» o «Vence en X días» (amarillo): la fecha límite está cerca (el número de días se cambia en Configuración).</t>
        </is>
      </c>
    </row>
    <row r="42" ht="15" customHeight="1">
      <c r="B42" s="87" t="inlineStr">
        <is>
          <t>• «En plazo» (verde claro): todavía hay tiempo.</t>
        </is>
      </c>
    </row>
    <row r="43" ht="30" customHeight="1">
      <c r="B43" s="87" t="inlineStr">
        <is>
          <t>Arriba de cada hoja aparece el total del mes («X vencida(s) · Y por vencer») y el Dashboard muestra lo mismo por puesto y para la jefatura.</t>
        </is>
      </c>
    </row>
    <row r="45" ht="20" customHeight="1">
      <c r="B45" s="86" t="inlineStr">
        <is>
          <t>Hoja «Administración» (jefatura) y cómo DELEGAR actividades</t>
        </is>
      </c>
    </row>
    <row r="46" ht="30" customHeight="1">
      <c r="B46" s="87" t="inlineStr">
        <is>
          <t>Es la lista de actividades de la jefatura, con el mismo formato del Cronograma: Tipo (macroactividad / subactividad), actividad, fechas, fecha de cumplimiento, avance por semana, estado, alerta de plazo y observaciones.</t>
        </is>
      </c>
    </row>
    <row r="47" ht="30" customHeight="1">
      <c r="B47" s="87" t="inlineStr">
        <is>
          <t>DELEGAR: 1) La jefatura escribe la macroactividad y en «Delegar a» elige el puesto (si lo deja vacío, la actividad es de la jefatura).</t>
        </is>
      </c>
    </row>
    <row r="48" ht="30" customHeight="1">
      <c r="B48" s="87" t="inlineStr">
        <is>
          <t>2) Al puesto le aparece arriba de su Cronograma un aviso amarillo: «La jefatura le delegó X actividad(es)… pendiente(s) de agregar».</t>
        </is>
      </c>
    </row>
    <row r="49" ht="60" customHeight="1">
      <c r="B49" s="87" t="inlineStr">
        <is>
          <t>3) El puesto, en una fila nueva de su Cronograma, abre la lista de la columna «Actividad» y elige la actividad (sale como «[Jefatura] nombre»). La FECHA DE INICIO y la FECHA LÍMITE aparecen solas: las pone la jefatura y el puesto no las puede cambiar (Excel lo impide). El puesto solo registra la FECHA DE CUMPLIMIENTO, el % de avance semanal, las observaciones y, si quiere, subactividades debajo. No debe cambiar el texto elegido.</t>
        </is>
      </c>
    </row>
    <row r="50" ht="30" customHeight="1">
      <c r="B50" s="87" t="inlineStr">
        <is>
          <t>4) En la hoja Administración, las columnas «% de Avance», «Estado», «Alerta de plazo» y «Seguimiento» de esa actividad se llenan solas con lo que registra el puesto. «Seguimiento» dice «✔ Recibida por …» o «⚠ … aún no la agrega».</t>
        </is>
      </c>
    </row>
    <row r="51" ht="45" customHeight="1">
      <c r="B51" s="87" t="inlineStr">
        <is>
          <t>5) La actividad delegada CUENTA COMO TRABAJO DEL PUESTO: es una macroactividad más de su Cronograma y suma en su avance del mes, en el Dashboard y en el Historial (con el mismo peso que las demás, o el peso que el puesto le ponga).</t>
        </is>
      </c>
    </row>
    <row r="52" ht="30" customHeight="1">
      <c r="B52" s="87" t="inlineStr">
        <is>
          <t>Nota: si la jefatura cambia las fechas, se actualizan solas en el puesto. Si cambia el NOMBRE de una actividad ya delegada, el puesto debe volver a elegirla en la lista.</t>
        </is>
      </c>
    </row>
    <row r="53" ht="45" customHeight="1">
      <c r="B53" s="87" t="inlineStr">
        <is>
          <t>Para que SOLO la jefatura pueda escribir en la hoja Administración: en esa hoja vaya a Revisar &gt; Desproteger hoja, seleccione las celdas grises de la tabla, Inicio &gt; Formato &gt; Bloquear celda, y luego Revisar &gt; Proteger hoja con una contraseña que solo tenga la jefatura (para editar, la jefatura desprotege con su contraseña).</t>
        </is>
      </c>
    </row>
    <row r="54" ht="15" customHeight="1">
      <c r="B54" s="87" t="inlineStr">
        <is>
          <t>Las vencidas y por vencer de la jefatura también aparecen en el Dashboard, en la tabla de alertas de plazo.</t>
        </is>
      </c>
    </row>
    <row r="56" ht="20" customHeight="1">
      <c r="B56" s="86" t="inlineStr">
        <is>
          <t>¿Qué es la columna «Revisión automática (alertas)»?</t>
        </is>
      </c>
    </row>
    <row r="57" ht="45" customHeight="1">
      <c r="B57" s="87" t="inlineStr">
        <is>
          <t>Es un revisor automático: revisa cada fila y avisa si algo falta o está mal. «✔ OK» = todo bien. «⚠» = hay algo que corregir y dice qué es, por ejemplo: «Sin fecha límite», «Pesos del mes suman 90%», «Pesos de sus subactividades suman 50% (deben sumar 60%)», «Avance semanal decreciente» o «Vencida».</t>
        </is>
      </c>
    </row>
    <row r="58" ht="15" customHeight="1">
      <c r="B58" s="87" t="inlineStr">
        <is>
          <t>No hay que escribir nada en esa columna. Corrija lo que indica y el aviso desaparece.</t>
        </is>
      </c>
    </row>
    <row r="60" ht="20" customHeight="1">
      <c r="B60" s="86" t="inlineStr">
        <is>
          <t>La hoja «Actividades» (automática y bloqueada)</t>
        </is>
      </c>
    </row>
    <row r="61" ht="45" customHeight="1">
      <c r="B61" s="87" t="inlineStr">
        <is>
          <t>1) Muestra solo las MACROACTIVIDADES del mes actual de su Cronograma, en orden, con su alerta de plazo. Las subactividades no aparecen aquí (se ven en el Cronograma), pero su avance ya está sumado en el % de su macroactividad. No se escribe nada en ella.</t>
        </is>
      </c>
    </row>
    <row r="62" ht="15" customHeight="1">
      <c r="B62" s="87" t="inlineStr">
        <is>
          <t>2) «Semana de entrega» indica en qué semana del mes cae la fecha límite (la semana actual se resalta en amarillo).</t>
        </is>
      </c>
    </row>
    <row r="63" ht="45" customHeight="1">
      <c r="B63" s="87" t="inlineStr">
        <is>
          <t>3) Las columnas Semana 1 a 4 muestran una barra del color del puesto en las semanas en que la actividad está programada (de la fecha de inicio a la fecha límite) y, dentro, el avance anotado esa semana. Si la actividad está vencida, la barra se pone naranja.</t>
        </is>
      </c>
    </row>
    <row r="64" ht="15" customHeight="1">
      <c r="B64" s="87" t="inlineStr">
        <is>
          <t>4) Para cambiar algo, corríjalo en el Cronograma: esta hoja se actualiza al instante.</t>
        </is>
      </c>
    </row>
    <row r="66" ht="20" customHeight="1">
      <c r="B66" s="86" t="inlineStr">
        <is>
          <t>Cada mes nuevo: NO se borra nada</t>
        </is>
      </c>
    </row>
    <row r="67" ht="30" customHeight="1">
      <c r="B67" s="87" t="inlineStr">
        <is>
          <t>1) Al empezar el mes, cada responsable escribe las actividades del nuevo mes en las filas vacías de su Cronograma, DEBAJO de las del mes anterior. No borre nada: los meses pasados quedan como historial.</t>
        </is>
      </c>
    </row>
    <row r="68" ht="30" customHeight="1">
      <c r="B68" s="87" t="inlineStr">
        <is>
          <t>2) El mes de cada actividad se asigna solo según su fecha de inicio. El Dashboard y las hojas Actividades muestran automáticamente el mes actual, con su Semana 1 a 4.</t>
        </is>
      </c>
    </row>
    <row r="69" ht="30" customHeight="1">
      <c r="B69" s="87" t="inlineStr">
        <is>
          <t>3) Si una actividad se repite cada mes, cópiela en una fila nueva y cambie sus fechas al nuevo mes (y borre los avances de la copia).</t>
        </is>
      </c>
    </row>
    <row r="70" ht="45" customHeight="1">
      <c r="B70" s="87" t="inlineStr">
        <is>
          <t>4) Para revisar un mes anterior: en Configuración, en «Mes que se muestra», escriba cualquier fecha de ese mes (ej. 01/09/2026). Dashboard y Actividades mostrarán ese mes. Para volver al mes actual escriba =FECHA(AÑO(HOY());MES(HOY());1).</t>
        </is>
      </c>
    </row>
    <row r="71" ht="15" customHeight="1">
      <c r="B71" s="87" t="inlineStr">
        <is>
          <t>5) La hoja «Historial mensual» muestra el avance de cada puesto mes a mes, desde octubre 2026 (24 meses).</t>
        </is>
      </c>
    </row>
    <row r="72" ht="30" customHeight="1">
      <c r="B72" s="87" t="inlineStr">
        <is>
          <t>6) Cada Cronograma tiene 300 filas (por ejemplo, 25 actividades al mes durante un año). Si se llena, vea «Necesito más filas» o guarde una copia anual del archivo (Archivo &gt; Guardar una copia).</t>
        </is>
      </c>
    </row>
    <row r="74" ht="20" customHeight="1">
      <c r="B74" s="86" t="inlineStr">
        <is>
          <t>El Dashboard (resumen automático del mes)</t>
        </is>
      </c>
    </row>
    <row r="75" ht="30" customHeight="1">
      <c r="B75" s="87" t="inlineStr">
        <is>
          <t>• Muestra el avance de cada puesto y el general, cuántas actividades están completadas, en curso, pendientes o vencidas, y el avance de cada semana del mes.</t>
        </is>
      </c>
    </row>
    <row r="76" ht="30" customHeight="1">
      <c r="B76" s="87" t="inlineStr">
        <is>
          <t>• Avance del puesto = suma de (peso × avance) de sus actividades del mes. Avance general = promedio de los 4 puestos (todos valen igual).</t>
        </is>
      </c>
    </row>
    <row r="77" ht="30" customHeight="1">
      <c r="B77" s="87" t="inlineStr">
        <is>
          <t>• Si un puesto llega al 100% antes de la Semana 4 aparece «¡Enhorabuena, completado anticipadamente!». Si llega en la Semana 4: «Completado».</t>
        </is>
      </c>
    </row>
    <row r="78" ht="30" customHeight="1">
      <c r="B78" s="87" t="inlineStr">
        <is>
          <t>• Si un puesto no tiene actividades en el mes o sus pesos no suman 100%, el avance general aparece como «No definitivo» hasta que se corrija.</t>
        </is>
      </c>
    </row>
    <row r="79" ht="15" customHeight="1">
      <c r="B79" s="87" t="inlineStr">
        <is>
          <t>• Haga clic en el nombre de un puesto para ir a su hoja.</t>
        </is>
      </c>
    </row>
    <row r="81" ht="20" customHeight="1">
      <c r="B81" s="86" t="inlineStr">
        <is>
          <t>Compartir el archivo para que TODOS editen al mismo tiempo (OneDrive / SharePoint / Teams)</t>
        </is>
      </c>
    </row>
    <row r="82" ht="45" customHeight="1">
      <c r="B82" s="87" t="inlineStr">
        <is>
          <t>Este archivo ya está listo para la coautoría de Excel: varias personas escriben a la vez y ven los cambios de los demás en segundos. NO use «Compartir libro (heredado)»: es la opción antigua, no funciona con las tablas de este archivo y no hace falta.</t>
        </is>
      </c>
    </row>
    <row r="83" ht="30" customHeight="1">
      <c r="B83" s="87" t="inlineStr">
        <is>
          <t>1) Suba el archivo a la carpeta compartida de OneDrive, SharePoint o al canal de Teams (pestaña Archivos). Súbalo UNA sola vez; todos trabajan sobre esa misma copia.</t>
        </is>
      </c>
    </row>
    <row r="84" ht="30" customHeight="1">
      <c r="B84" s="87" t="inlineStr">
        <is>
          <t>2) Botón Compartir &gt; invite a los cuatro responsables y a la jefatura con permiso «Puede editar» (la jefatura escribe en la hoja Administración).</t>
        </is>
      </c>
    </row>
    <row r="85" ht="60" customHeight="1">
      <c r="B85" s="87" t="inlineStr">
        <is>
          <t>3) Cada persona lo abre en Excel de ESCRITORIO (no hace falta Excel en la Web), de cualquiera de estas formas: a) desde el Explorador de Windows, en la carpeta de OneDrive/SharePoint sincronizada (botón «Sincronizar» de la biblioteca), con doble clic; b) en Excel: Archivo &gt; Abrir &gt; OneDrive o Sitios; c) desde Teams: «…» &gt; Abrir en la aplicación de escritorio. No lo descargue ni lo envíe por correo: una copia descargada ya no se comparte.</t>
        </is>
      </c>
    </row>
    <row r="86" ht="45" customHeight="1">
      <c r="B86" s="87" t="inlineStr">
        <is>
          <t>4) Requisitos: Excel de Microsoft 365 (escritorio), con la sesión iniciada con la cuenta de la empresa y «Autoguardado» ACTIVADO (arriba a la izquierda). Con Excel 2016/2019 (sin Microsoft 365) o con el Autoguardado apagado, el archivo se bloquea para los demás. Si alguien no tiene Microsoft 365, puede usar Excel en la Web solo como respaldo.</t>
        </is>
      </c>
    </row>
    <row r="87" ht="30" customHeight="1">
      <c r="B87" s="87" t="inlineStr">
        <is>
          <t>5) Arriba a la derecha aparecen las iniciales de quienes están dentro, y cada uno ve con un color la celda donde está el otro.</t>
        </is>
      </c>
    </row>
    <row r="88" ht="30" customHeight="1">
      <c r="B88" s="87" t="inlineStr">
        <is>
          <t>6) Cada quien escribe solo en su hoja: su Cronograma (o Administración para la jefatura). Dashboard, Actividades e Historial se actualizan solos para todos.</t>
        </is>
      </c>
    </row>
    <row r="89" ht="30" customHeight="1">
      <c r="B89" s="87" t="inlineStr">
        <is>
          <t>7) Si alguien borra algo por error: Archivo &gt; Información &gt; Historial de versiones permite recuperar una versión anterior y ver quién cambió qué.</t>
        </is>
      </c>
    </row>
    <row r="91" ht="20" customHeight="1">
      <c r="B91" s="86" t="inlineStr">
        <is>
          <t>Protección</t>
        </is>
      </c>
    </row>
    <row r="92" ht="45" customHeight="1">
      <c r="B92" s="87" t="inlineStr">
        <is>
          <t>Las celdas automáticas (azul muy claro) están bloqueadas y las de llenar (gris suave) desbloqueadas. Las hojas Dashboard, Actividades, Historial y Configuración (salvo sus celdas gris suave) están completamente bloqueadas. La protección no tiene contraseña.</t>
        </is>
      </c>
    </row>
    <row r="93" ht="30" customHeight="1">
      <c r="B93" s="87" t="inlineStr">
        <is>
          <t>Para poner contraseña: Revisar &gt; Desproteger hoja y luego Revisar &gt; Proteger hoja; marque «Seleccionar celdas desbloqueadas», «Usar Autofiltro» y «Ordenar», y escriba la contraseña.</t>
        </is>
      </c>
    </row>
    <row r="94" ht="60" customHeight="1">
      <c r="B94" s="87" t="inlineStr">
        <is>
          <t>Importante: en un archivo compartido, cualquier persona con permiso de edición podría escribir en el Cronograma de otro puesto. Si se necesita impedirlo por completo, se usan cuatro archivos (uno por puesto) y este archivo los une con Power Query (Datos &gt; Obtener datos &gt; Desde SharePoint/carpeta, una consulta por tabla tblAct_XX, con «Actualizar al abrir»).</t>
        </is>
      </c>
    </row>
    <row r="96" ht="20" customHeight="1">
      <c r="B96" s="86" t="inlineStr">
        <is>
          <t>Necesito más filas</t>
        </is>
      </c>
    </row>
    <row r="97" ht="30" customHeight="1">
      <c r="B97" s="87" t="inlineStr">
        <is>
          <t>Revisar &gt; Desproteger hoja, colóquese en la última celda de la tabla del Cronograma y presione Tab; las fórmulas se copian solas. Luego vuelva a proteger la hoja. El Dashboard lee hasta la fila 1000.</t>
        </is>
      </c>
    </row>
    <row r="99" ht="20" customHeight="1">
      <c r="B99" s="86" t="inlineStr">
        <is>
          <t>Notas técnicas</t>
        </is>
      </c>
    </row>
    <row r="100" ht="30" customHeight="1">
      <c r="B100" s="87" t="inlineStr">
        <is>
          <t>• Archivo .xlsx sin macros, para Microsoft 365 en español (escritorio y Web). Las fórmulas se ven en español (BUSCAR, SI.ERROR, SUMAPRODUCTO, HOY…).</t>
        </is>
      </c>
    </row>
    <row r="101" ht="15" customHeight="1">
      <c r="B101" s="87" t="inlineStr">
        <is>
          <t>• Fórmula del avance actual: =SI.ERROR(BUSCAR(2;1/(G5:J5&lt;&gt;"");G5:J5);0) → toma el último avance semanal escrito.</t>
        </is>
      </c>
    </row>
    <row r="102" ht="30" customHeight="1">
      <c r="B102" s="87" t="inlineStr">
        <is>
          <t>• Mes de la actividad = mes de la fecha de inicio (si no hay, de la fecha límite). Semana actual = ENTERO((fecha de corte − primer lunes del mes) / 7) + 1, entre 1 y 4. Puede forzarse con «Semana manual» en Configuración.</t>
        </is>
      </c>
    </row>
  </sheetData>
  <sheetProtection selectLockedCells="0" selectUnlockedCells="0" sheet="1" objects="0" insertRows="1" insertHyperlinks="1" autoFilter="1" scenarios="0" formatColumns="1" deleteColumns="1" insertColumns="1" pivotTables="1" deleteRows="1" formatCells="1" formatRows="1" sort="1"/>
  <mergeCells count="1">
    <mergeCell ref="B1"/>
  </mergeCells>
  <pageMargins left="0.75" right="0.75" top="1" bottom="1" header="0.5" footer="0.5"/>
  <pageSetup orientation="portrait" fitToHeight="0" fitToWidth="1"/>
</worksheet>
</file>

<file path=xl/worksheets/sheet13.xml><?xml version="1.0" encoding="utf-8"?>
<worksheet xmlns="http://schemas.openxmlformats.org/spreadsheetml/2006/main">
  <sheetPr>
    <outlinePr summaryBelow="1" summaryRight="1"/>
    <pageSetUpPr fitToPage="1"/>
  </sheetPr>
  <dimension ref="B1:D55"/>
  <sheetViews>
    <sheetView showGridLines="0" zoomScale="90" workbookViewId="0">
      <pane ySplit="3" topLeftCell="A4" activePane="bottomLeft" state="frozen"/>
      <selection pane="bottomLeft" activeCell="A1" sqref="A1"/>
    </sheetView>
  </sheetViews>
  <sheetFormatPr baseColWidth="8" defaultRowHeight="15"/>
  <cols>
    <col width="3" customWidth="1" min="1" max="1"/>
    <col width="46" customWidth="1" min="2" max="2"/>
    <col width="18" customWidth="1" min="3" max="3"/>
    <col width="70" customWidth="1" min="4" max="4"/>
  </cols>
  <sheetData>
    <row r="1" ht="28" customHeight="1">
      <c r="B1" s="65" t="inlineStr">
        <is>
          <t>Configuración del ciclo mensual</t>
        </is>
      </c>
      <c r="C1" s="65" t="n"/>
      <c r="D1" s="65" t="n"/>
    </row>
    <row r="2">
      <c r="B2" s="88" t="inlineStr">
        <is>
          <t>Todo se calcula solo a partir de la fecha de hoy. Celdas GRIS SUAVE = puede escribir encima si necesita fijar otro valor; celdas AZUL CLARO = automáticas y bloqueadas.</t>
        </is>
      </c>
    </row>
    <row r="3">
      <c r="B3" s="7" t="inlineStr">
        <is>
          <t>Parámetro</t>
        </is>
      </c>
      <c r="C3" s="7" t="inlineStr">
        <is>
          <t>Valor</t>
        </is>
      </c>
      <c r="D3" s="7" t="inlineStr">
        <is>
          <t>Uso / nota</t>
        </is>
      </c>
    </row>
    <row r="4" ht="30" customHeight="1">
      <c r="B4" s="89" t="inlineStr">
        <is>
          <t>Mes que se muestra</t>
        </is>
      </c>
      <c r="C4" s="90">
        <f>DATE(YEAR(TODAY()),MONTH(TODAY()),1)</f>
        <v/>
      </c>
      <c r="D4" s="44" t="inlineStr">
        <is>
          <t>AUTOMÁTICO: mes actual. Para revisar un mes anterior (historial) escriba cualquier fecha de ese mes (ej. 01/09/2026); para volver al mes actual escriba =FECHA(AÑO(HOY());MES(HOY());1).</t>
        </is>
      </c>
    </row>
    <row r="5" ht="30" customHeight="1">
      <c r="B5" s="89" t="inlineStr">
        <is>
          <t>Fecha de inicio del ciclo (lunes de la Semana 1)</t>
        </is>
      </c>
      <c r="C5" s="91">
        <f>MesCiclo+MOD(2-WEEKDAY(MesCiclo),7)</f>
        <v/>
      </c>
      <c r="D5" s="44" t="inlineStr">
        <is>
          <t>AUTOMÁTICO: primer lunes del mes. Puede escribir otra fecha. Define en qué semana cae cada actividad en las hojas «Actividades».</t>
        </is>
      </c>
    </row>
    <row r="6" ht="30" customHeight="1">
      <c r="B6" s="89" t="inlineStr">
        <is>
          <t>Fecha de corte</t>
        </is>
      </c>
      <c r="C6" s="91">
        <f>TODAY()</f>
        <v/>
      </c>
      <c r="D6" s="44" t="inlineStr">
        <is>
          <t>AUTOMÁTICO: hoy. Puede escribir una fecha fija para emitir un reporte de corte. Determina actividades vencidas.</t>
        </is>
      </c>
    </row>
    <row r="7" ht="30" customHeight="1">
      <c r="B7" s="89" t="inlineStr">
        <is>
          <t>Semana actual del ciclo (1 a 4)</t>
        </is>
      </c>
      <c r="C7" s="92">
        <f>IF(SemanaManual&lt;&gt;"",SemanaManual,MIN(4,MAX(1,INT((FechaRef-InicioCiclo)/7)+1)))</f>
        <v/>
      </c>
      <c r="D7" s="44" t="inlineStr">
        <is>
          <t>AUTOMÁTICA: se calcula con la fecha de inicio y la fecha de corte. Controla los mensajes de finalización anticipada.</t>
        </is>
      </c>
    </row>
    <row r="8" ht="30" customHeight="1">
      <c r="B8" s="89" t="inlineStr">
        <is>
          <t>Semana manual (opcional)</t>
        </is>
      </c>
      <c r="C8" s="93" t="n"/>
      <c r="D8" s="44" t="inlineStr">
        <is>
          <t>Déjela VACÍA para usar la semana automática. Escriba 1–4 solo si necesita forzar otra semana.</t>
        </is>
      </c>
    </row>
    <row r="9" ht="30" customHeight="1">
      <c r="B9" s="89" t="inlineStr">
        <is>
          <t>Días de anticipación para alerta «próxima a vencer»</t>
        </is>
      </c>
      <c r="C9" s="93" t="n">
        <v>3</v>
      </c>
      <c r="D9" s="44" t="inlineStr">
        <is>
          <t>Actividades no completadas cuya fecha límite cae dentro de este número de días se señalan en ámbar.</t>
        </is>
      </c>
    </row>
    <row r="10" ht="30" customHeight="1">
      <c r="B10" s="89" t="inlineStr">
        <is>
          <t>¿Observación obligatoria si una actividad vence sin cumplirse?</t>
        </is>
      </c>
      <c r="C10" s="94" t="inlineStr">
        <is>
          <t>Sí</t>
        </is>
      </c>
      <c r="D10" s="44" t="inlineStr">
        <is>
          <t>Si es «Sí», una actividad vencida sin texto en Observaciones genera alerta (explicar por qué no se cumplió).</t>
        </is>
      </c>
    </row>
    <row r="11" ht="30" customHeight="1">
      <c r="B11" s="89" t="inlineStr">
        <is>
          <t>Meta mensual</t>
        </is>
      </c>
      <c r="C11" s="95" t="n">
        <v>1</v>
      </c>
      <c r="D11" s="44" t="inlineStr">
        <is>
          <t>Meta de cumplimiento de las actividades al cierre de la Semana 4 de cada mes.</t>
        </is>
      </c>
    </row>
    <row r="12" ht="30" customHeight="1">
      <c r="B12" s="89" t="inlineStr">
        <is>
          <t>Primer mes del historial</t>
        </is>
      </c>
      <c r="C12" s="90" t="n">
        <v>46296</v>
      </c>
      <c r="D12" s="44" t="inlineStr">
        <is>
          <t>El Historial mensual empieza en este mes (octubre 2026) y muestra 24 meses seguidos.</t>
        </is>
      </c>
    </row>
    <row r="14">
      <c r="B14" s="96" t="inlineStr">
        <is>
          <t>Plan de referencia (avance esperado acumulado por semana) – supuesto editable</t>
        </is>
      </c>
      <c r="C14" s="96" t="n"/>
      <c r="D14" s="96" t="n"/>
    </row>
    <row r="15">
      <c r="B15" s="97" t="inlineStr">
        <is>
          <t>Semana 1</t>
        </is>
      </c>
      <c r="C15" s="98" t="n">
        <v>0.25</v>
      </c>
      <c r="D15" s="99" t="inlineStr">
        <is>
          <t>Referencia lineal solo para comparación visual; no afecta el cálculo del avance real.</t>
        </is>
      </c>
    </row>
    <row r="16">
      <c r="B16" s="97" t="inlineStr">
        <is>
          <t>Semana 2</t>
        </is>
      </c>
      <c r="C16" s="98" t="n">
        <v>0.5</v>
      </c>
      <c r="D16" s="99" t="inlineStr">
        <is>
          <t>Referencia lineal solo para comparación visual; no afecta el cálculo del avance real.</t>
        </is>
      </c>
    </row>
    <row r="17">
      <c r="B17" s="97" t="inlineStr">
        <is>
          <t>Semana 3</t>
        </is>
      </c>
      <c r="C17" s="98" t="n">
        <v>0.75</v>
      </c>
      <c r="D17" s="99" t="inlineStr">
        <is>
          <t>Referencia lineal solo para comparación visual; no afecta el cálculo del avance real.</t>
        </is>
      </c>
    </row>
    <row r="18">
      <c r="B18" s="97" t="inlineStr">
        <is>
          <t>Semana 4</t>
        </is>
      </c>
      <c r="C18" s="98" t="n">
        <v>1</v>
      </c>
      <c r="D18" s="99" t="inlineStr">
        <is>
          <t>Referencia lineal solo para comparación visual; no afecta el cálculo del avance real.</t>
        </is>
      </c>
    </row>
    <row r="20">
      <c r="B20" s="100" t="inlineStr">
        <is>
          <t>Listas desplegables (no editar sin actualizar las fórmulas)</t>
        </is>
      </c>
      <c r="C20" s="100" t="n"/>
      <c r="D20" s="100" t="n"/>
    </row>
    <row r="21">
      <c r="B21" s="101" t="inlineStr">
        <is>
          <t>Áreas / Puestos</t>
        </is>
      </c>
    </row>
    <row r="22">
      <c r="B22" s="102" t="inlineStr">
        <is>
          <t>Riesgo Operacional</t>
        </is>
      </c>
    </row>
    <row r="23">
      <c r="B23" s="102" t="inlineStr">
        <is>
          <t>Riesgo Normativo</t>
        </is>
      </c>
    </row>
    <row r="24">
      <c r="B24" s="102" t="inlineStr">
        <is>
          <t>Riesgo Financiero</t>
        </is>
      </c>
    </row>
    <row r="25">
      <c r="B25" s="102" t="inlineStr">
        <is>
          <t>Asistente Técnico de Riesgo</t>
        </is>
      </c>
    </row>
    <row r="27">
      <c r="B27" s="101" t="inlineStr">
        <is>
          <t>Estados</t>
        </is>
      </c>
    </row>
    <row r="28">
      <c r="B28" s="102" t="inlineStr">
        <is>
          <t>Pendiente</t>
        </is>
      </c>
    </row>
    <row r="29">
      <c r="B29" s="102" t="inlineStr">
        <is>
          <t>En curso</t>
        </is>
      </c>
    </row>
    <row r="30">
      <c r="B30" s="102" t="inlineStr">
        <is>
          <t>Completado</t>
        </is>
      </c>
    </row>
    <row r="32">
      <c r="B32" s="101" t="inlineStr">
        <is>
          <t>Semanas</t>
        </is>
      </c>
    </row>
    <row r="33">
      <c r="B33" s="102" t="inlineStr">
        <is>
          <t>Semana 1</t>
        </is>
      </c>
    </row>
    <row r="34">
      <c r="B34" s="102" t="inlineStr">
        <is>
          <t>Semana 2</t>
        </is>
      </c>
    </row>
    <row r="35">
      <c r="B35" s="102" t="inlineStr">
        <is>
          <t>Semana 3</t>
        </is>
      </c>
    </row>
    <row r="36">
      <c r="B36" s="102" t="inlineStr">
        <is>
          <t>Semana 4</t>
        </is>
      </c>
    </row>
    <row r="38">
      <c r="B38" s="101" t="inlineStr">
        <is>
          <t>Sí / No</t>
        </is>
      </c>
    </row>
    <row r="39">
      <c r="B39" s="102" t="inlineStr">
        <is>
          <t>Sí</t>
        </is>
      </c>
    </row>
    <row r="40">
      <c r="B40" s="102" t="inlineStr">
        <is>
          <t>No</t>
        </is>
      </c>
    </row>
    <row r="43">
      <c r="B43" s="100" t="inlineStr">
        <is>
          <t>Metodología de cálculo (documentación)</t>
        </is>
      </c>
      <c r="C43" s="100" t="n"/>
      <c r="D43" s="100" t="n"/>
    </row>
    <row r="44" ht="30" customHeight="1">
      <c r="B44" s="103" t="inlineStr">
        <is>
          <t>1. Avance de una actividad = último avance semanal acumulado registrado (Semana 4 → 1), ignorando semanas vacías. Los avances semanales NO se suman.</t>
        </is>
      </c>
      <c r="C44" s="103" t="n"/>
      <c r="D44" s="103" t="n"/>
    </row>
    <row r="45" ht="30" customHeight="1">
      <c r="B45" s="103" t="inlineStr">
        <is>
          <t>2. Estado automático: 0% = Pendiente; &gt;0% y &lt;100% = En curso; 100% = Completado.</t>
        </is>
      </c>
      <c r="C45" s="103" t="n"/>
      <c r="D45" s="103" t="n"/>
    </row>
    <row r="46" ht="30" customHeight="1">
      <c r="B46" s="103" t="inlineStr">
        <is>
          <t>3. Avance ponderado del puesto = Σ (peso efectivo × avance actual) de las macroactividades del mes. Es válido si el puesto tiene ≥1 macroactividad en el mes y ningún peso fuera de 0–100%.</t>
        </is>
      </c>
      <c r="C46" s="103" t="n"/>
      <c r="D46" s="103" t="n"/>
    </row>
    <row r="47" ht="30" customHeight="1">
      <c r="B47" s="103" t="inlineStr">
        <is>
          <t>0. Cada actividad pertenece al mes de su fecha de inicio (columna «Mes» del Cronograma). Dashboard, hojas Actividades y cálculos usan solo el mes mostrado; los meses anteriores quedan en el Historial mensual.</t>
        </is>
      </c>
      <c r="C47" s="103" t="n"/>
      <c r="D47" s="103" t="n"/>
    </row>
    <row r="48" ht="30" customHeight="1">
      <c r="B48" s="103" t="inlineStr">
        <is>
          <t>0b. Subactividades: filas con Tipo «Subactividad» pertenecen a la macroactividad más cercana hacia arriba. Avance de la macroactividad = suma de (% de cada subactividad dentro de la macro — columna Peso; vacío = partes iguales — × su avance: 100% con fecha de cumplimiento, o su último % semanal), semana por semana (máximo 100%). Una fila con Fecha de cumplimiento cuenta 100% desde la semana en que se cumplió. Peso efectivo de cada macroactividad = su peso / suma de pesos del mes (vacío = partes iguales), por lo que siempre suma 100%.</t>
        </is>
      </c>
      <c r="C48" s="103" t="n"/>
      <c r="D48" s="103" t="n"/>
    </row>
    <row r="49" ht="30" customHeight="1">
      <c r="B49" s="103" t="inlineStr">
        <is>
          <t>4. Avance general de las actividades = promedio simple de los 4 puestos (cada puesto pesa 25%, sin importar cuántas actividades tenga). Si algún puesto no es válido, el Dashboard muestra «No definitivo» y un valor provisional rotulado como tal.</t>
        </is>
      </c>
      <c r="C49" s="103" t="n"/>
      <c r="D49" s="103" t="n"/>
    </row>
    <row r="50" ht="30" customHeight="1">
      <c r="B50" s="103" t="inlineStr">
        <is>
          <t>5. Avance semanal acumulado (Semana n) = Σ peso × último avance registrado hasta la Semana n. Incremento semanal = acumulado Semana n − acumulado Semana n−1.</t>
        </is>
      </c>
      <c r="C50" s="103" t="n"/>
      <c r="D50" s="103" t="n"/>
    </row>
    <row r="51" ht="30" customHeight="1">
      <c r="B51" s="103" t="inlineStr">
        <is>
          <t>6. «¡Enhorabuena, completado anticipadamente!»: el puesto (o el total de actividades del mes) es válido, llega al 100% y la semana en que lo alcanzó (la menor entre la primera semana con 100% registrada y la Semana actual) es anterior a la Semana 4. Si lo alcanza en la Semana 4: «Completado». Si no: «En ejecución».</t>
        </is>
      </c>
      <c r="C51" s="103" t="n"/>
      <c r="D51" s="103" t="n"/>
    </row>
    <row r="52" ht="30" customHeight="1">
      <c r="B52" s="103" t="inlineStr">
        <is>
          <t>7. Una semana se muestra en el seguimiento si es ≤ Semana actual o si ya tiene algún avance registrado.</t>
        </is>
      </c>
      <c r="C52" s="103" t="n"/>
      <c r="D52" s="103" t="n"/>
    </row>
    <row r="53" ht="30" customHeight="1">
      <c r="B53" s="103" t="inlineStr">
        <is>
          <t>8. Cada puesto tiene su propia hoja «Cronograma» y su hoja «Actividades» semanales. El Dashboard consolida los cuatro cronogramas (filas 5 a 1000) y las cuatro hojas de actividades (filas 5 a 500).</t>
        </is>
      </c>
      <c r="C53" s="103" t="n"/>
      <c r="D53" s="103" t="n"/>
    </row>
    <row r="54" ht="30" customHeight="1">
      <c r="B54" s="103" t="inlineStr">
        <is>
          <t>9. Semana actual = ENTERO((fecha de corte − fecha de inicio) / 7) + 1, limitada entre 1 y 4, salvo que se escriba una semana manual.</t>
        </is>
      </c>
      <c r="C54" s="103" t="n"/>
      <c r="D54" s="103" t="n"/>
    </row>
    <row r="55" ht="30" customHeight="1">
      <c r="B55" s="103" t="inlineStr">
        <is>
          <t>10. Hojas «Actividades»: se llenan solas desde el Cronograma del puesto. Semana de entrega = semana en que cae la fecha límite. Estado: Completado (100%), Vencida (pasó la fecha límite sin llegar a 100%), En curso o Pendiente.</t>
        </is>
      </c>
      <c r="C55" s="103" t="n"/>
      <c r="D55" s="103" t="n"/>
    </row>
  </sheetData>
  <sheetProtection selectLockedCells="0" selectUnlockedCells="0" sheet="1" objects="0" insertRows="1" insertHyperlinks="1" autoFilter="1" scenarios="0" formatColumns="0" deleteColumns="1" insertColumns="1" pivotTables="1" deleteRows="1" formatCells="1" formatRows="1" sort="1"/>
  <mergeCells count="16">
    <mergeCell ref="B54:D54"/>
    <mergeCell ref="B14:D14"/>
    <mergeCell ref="B45:D45"/>
    <mergeCell ref="B46:D46"/>
    <mergeCell ref="B1:D1"/>
    <mergeCell ref="B49:D49"/>
    <mergeCell ref="B50:D50"/>
    <mergeCell ref="B52:D52"/>
    <mergeCell ref="B44:D44"/>
    <mergeCell ref="B53:D53"/>
    <mergeCell ref="B43:D43"/>
    <mergeCell ref="B55:D55"/>
    <mergeCell ref="B51:D51"/>
    <mergeCell ref="B47:D47"/>
    <mergeCell ref="B48:D48"/>
    <mergeCell ref="B20:D20"/>
  </mergeCells>
  <dataValidations count="4">
    <dataValidation sqref="C4 C5 C6 C12" showDropDown="0" showInputMessage="0" showErrorMessage="1" allowBlank="0" error="Ingrese una fecha válida (dd/mm/aaaa)." type="date" operator="greaterThan">
      <formula1>36526</formula1>
    </dataValidation>
    <dataValidation sqref="C8" showDropDown="0" showInputMessage="0" showErrorMessage="1" allowBlank="1" errorTitle="Semana no válida" error="Ingrese un número entero entre 1 y 4, o deje vacío para la semana automática." type="whole" operator="between">
      <formula1>1</formula1>
      <formula2>4</formula2>
    </dataValidation>
    <dataValidation sqref="C9" showDropDown="0" showInputMessage="0" showErrorMessage="1" allowBlank="0" error="Ingrese un número de días entre 0 y 30." type="whole" operator="between">
      <formula1>0</formula1>
      <formula2>30</formula2>
    </dataValidation>
    <dataValidation sqref="C10" showDropDown="0" showInputMessage="0" showErrorMessage="1" allowBlank="0" type="list">
      <formula1>ListaSiNo</formula1>
    </dataValidation>
  </dataValidation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sheetPr>
  <dimension ref="A1:U60"/>
  <sheetViews>
    <sheetView showGridLines="0" zoomScale="90"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c r="A1" s="104" t="inlineStr">
        <is>
          <t>Hoja auxiliar OCULTA: cálculos intermedios por puesto (cada fila lee la hoja de cronograma de su puesto) que alimentan el Dashboard. No editar. Ver metodología en Configuración.</t>
        </is>
      </c>
    </row>
    <row r="3">
      <c r="A3" s="105" t="inlineStr">
        <is>
          <t>Puesto</t>
        </is>
      </c>
      <c r="B3" s="105" t="inlineStr">
        <is>
          <t>N° actividades</t>
        </is>
      </c>
      <c r="C3" s="105" t="inlineStr">
        <is>
          <t>Suma de pesos</t>
        </is>
      </c>
      <c r="D3" s="105" t="inlineStr">
        <is>
          <t>Pesos vacíos o inválidos</t>
        </is>
      </c>
      <c r="E3" s="105" t="inlineStr">
        <is>
          <t>Configuración válida</t>
        </is>
      </c>
      <c r="F3" s="105" t="inlineStr">
        <is>
          <t>Avance ponderado actual</t>
        </is>
      </c>
      <c r="G3" s="105" t="inlineStr">
        <is>
          <t>Acum. Semana 1</t>
        </is>
      </c>
      <c r="H3" s="105" t="inlineStr">
        <is>
          <t>Acum. Semana 2</t>
        </is>
      </c>
      <c r="I3" s="105" t="inlineStr">
        <is>
          <t>Acum. Semana 3</t>
        </is>
      </c>
      <c r="J3" s="105" t="inlineStr">
        <is>
          <t>Acum. Semana 4</t>
        </is>
      </c>
      <c r="K3" s="105" t="inlineStr">
        <is>
          <t>Primera semana con 100%</t>
        </is>
      </c>
      <c r="L3" s="105" t="inlineStr">
        <is>
          <t>Completado (100%)</t>
        </is>
      </c>
      <c r="M3" s="105" t="inlineStr">
        <is>
          <t>Completado anticipadamente</t>
        </is>
      </c>
      <c r="N3" s="105" t="inlineStr">
        <is>
          <t>Completadas</t>
        </is>
      </c>
      <c r="O3" s="105" t="inlineStr">
        <is>
          <t>En curso</t>
        </is>
      </c>
      <c r="P3" s="105" t="inlineStr">
        <is>
          <t>Pendientes</t>
        </is>
      </c>
      <c r="Q3" s="105" t="inlineStr">
        <is>
          <t>Vencidas</t>
        </is>
      </c>
      <c r="R3" s="105" t="inlineStr">
        <is>
          <t>Con alertas</t>
        </is>
      </c>
      <c r="S3" s="105" t="inlineStr">
        <is>
          <t>Próximas a vencer</t>
        </is>
      </c>
      <c r="T3" s="105" t="inlineStr">
        <is>
          <t>Hoja de cronograma</t>
        </is>
      </c>
    </row>
    <row r="4">
      <c r="A4">
        <f>INDEX(ListaPuestos,1)</f>
        <v/>
      </c>
      <c r="B4">
        <f>COUNTIFS(rValid_RO,"?*",rMes_RO,MesCiclo,rTipo_RO,"Macro")</f>
        <v/>
      </c>
      <c r="C4" s="106">
        <f>SUMIFS(rPeso_RO,rMes_RO,MesCiclo,rTipo_RO,"Macro")</f>
        <v/>
      </c>
      <c r="D4" s="106">
        <f>COUNTIFS(rPesoEscrito_RO,"&gt;1",rMes_RO,MesCiclo,rTipo_RO,"Macro")+COUNTIFS(rPesoEscrito_RO,"&lt;0",rMes_RO,MesCiclo,rTipo_RO,"Macro")</f>
        <v/>
      </c>
      <c r="E4">
        <f>AND(B4&gt;0,D4=0,ABS(C4-1)&lt;=0.0001)</f>
        <v/>
      </c>
      <c r="F4" s="106">
        <f>IFERROR(SUMPRODUCT(--((rMes_RO=MesCiclo)*(rTipo_RO="Macro")),rPeso_RO,rAvance_RO),0)</f>
        <v/>
      </c>
      <c r="G4" s="106">
        <f>IFERROR(SUMPRODUCT(--((rMes_RO=MesCiclo)*(rTipo_RO="Macro")),rPeso_RO,rEf1_RO),0)</f>
        <v/>
      </c>
      <c r="H4" s="106">
        <f>IFERROR(SUMPRODUCT(--((rMes_RO=MesCiclo)*(rTipo_RO="Macro")),rPeso_RO,rEf2_RO),0)</f>
        <v/>
      </c>
      <c r="I4" s="106">
        <f>IFERROR(SUMPRODUCT(--((rMes_RO=MesCiclo)*(rTipo_RO="Macro")),rPeso_RO,rEf3_RO),0)</f>
        <v/>
      </c>
      <c r="J4" s="106">
        <f>IFERROR(SUMPRODUCT(--((rMes_RO=MesCiclo)*(rTipo_RO="Macro")),rPeso_RO,rEf4_RO),0)</f>
        <v/>
      </c>
      <c r="K4">
        <f>IF(ROUND(G4,4)&gt;=1,1,IF(ROUND(H4,4)&gt;=1,2,IF(ROUND(I4,4)&gt;=1,3,IF(ROUND(J4,4)&gt;=1,4,""))))</f>
        <v/>
      </c>
      <c r="L4">
        <f>AND(E4,ROUND(F4,4)&gt;=1)</f>
        <v/>
      </c>
      <c r="M4">
        <f>AND(L4,MIN(IF(K4="",4,K4),SemanaActual)&lt;4)</f>
        <v/>
      </c>
      <c r="N4">
        <f>COUNTIFS(rEstado_RO,"Completado",rMes_RO,MesCiclo,rTipo_RO,"Macro")</f>
        <v/>
      </c>
      <c r="O4">
        <f>COUNTIFS(rEstado_RO,"En curso",rMes_RO,MesCiclo,rTipo_RO,"Macro")</f>
        <v/>
      </c>
      <c r="P4">
        <f>COUNTIFS(rEstado_RO,"Pendiente",rMes_RO,MesCiclo,rTipo_RO,"Macro")</f>
        <v/>
      </c>
      <c r="Q4">
        <f>SUMPRODUCT((rMes_RO=MesCiclo)*(rTipo_RO="Macro")*ISNUMBER(SEARCH("Vencida",rValid_RO)))</f>
        <v/>
      </c>
      <c r="R4">
        <f>SUMPRODUCT((rMes_RO=MesCiclo)*(LEFT(rValid_RO,1)="⚠"))</f>
        <v/>
      </c>
      <c r="S4">
        <f>COUNTIFS(rFLim_RO,"&gt;="&amp;FechaRef,rFLim_RO,"&lt;="&amp;(FechaRef+DiasAlerta),rAvance_RO,"&lt;1",rMes_RO,MesCiclo,rTipo_RO,"Macro")</f>
        <v/>
      </c>
      <c r="T4" t="inlineStr">
        <is>
          <t>Cronograma R. Operacional</t>
        </is>
      </c>
      <c r="U4">
        <f>COUNTIFS(rMes_RO,MesCiclo,rTipo_RO,"Macro",rAct_RO,"[Jefatura]*")</f>
        <v/>
      </c>
    </row>
    <row r="5">
      <c r="A5">
        <f>INDEX(ListaPuestos,2)</f>
        <v/>
      </c>
      <c r="B5">
        <f>COUNTIFS(rValid_RN,"?*",rMes_RN,MesCiclo,rTipo_RN,"Macro")</f>
        <v/>
      </c>
      <c r="C5" s="106">
        <f>SUMIFS(rPeso_RN,rMes_RN,MesCiclo,rTipo_RN,"Macro")</f>
        <v/>
      </c>
      <c r="D5" s="106">
        <f>COUNTIFS(rPesoEscrito_RN,"&gt;1",rMes_RN,MesCiclo,rTipo_RN,"Macro")+COUNTIFS(rPesoEscrito_RN,"&lt;0",rMes_RN,MesCiclo,rTipo_RN,"Macro")</f>
        <v/>
      </c>
      <c r="E5">
        <f>AND(B5&gt;0,D5=0,ABS(C5-1)&lt;=0.0001)</f>
        <v/>
      </c>
      <c r="F5" s="106">
        <f>IFERROR(SUMPRODUCT(--((rMes_RN=MesCiclo)*(rTipo_RN="Macro")),rPeso_RN,rAvance_RN),0)</f>
        <v/>
      </c>
      <c r="G5" s="106">
        <f>IFERROR(SUMPRODUCT(--((rMes_RN=MesCiclo)*(rTipo_RN="Macro")),rPeso_RN,rEf1_RN),0)</f>
        <v/>
      </c>
      <c r="H5" s="106">
        <f>IFERROR(SUMPRODUCT(--((rMes_RN=MesCiclo)*(rTipo_RN="Macro")),rPeso_RN,rEf2_RN),0)</f>
        <v/>
      </c>
      <c r="I5" s="106">
        <f>IFERROR(SUMPRODUCT(--((rMes_RN=MesCiclo)*(rTipo_RN="Macro")),rPeso_RN,rEf3_RN),0)</f>
        <v/>
      </c>
      <c r="J5" s="106">
        <f>IFERROR(SUMPRODUCT(--((rMes_RN=MesCiclo)*(rTipo_RN="Macro")),rPeso_RN,rEf4_RN),0)</f>
        <v/>
      </c>
      <c r="K5">
        <f>IF(ROUND(G5,4)&gt;=1,1,IF(ROUND(H5,4)&gt;=1,2,IF(ROUND(I5,4)&gt;=1,3,IF(ROUND(J5,4)&gt;=1,4,""))))</f>
        <v/>
      </c>
      <c r="L5">
        <f>AND(E5,ROUND(F5,4)&gt;=1)</f>
        <v/>
      </c>
      <c r="M5">
        <f>AND(L5,MIN(IF(K5="",4,K5),SemanaActual)&lt;4)</f>
        <v/>
      </c>
      <c r="N5">
        <f>COUNTIFS(rEstado_RN,"Completado",rMes_RN,MesCiclo,rTipo_RN,"Macro")</f>
        <v/>
      </c>
      <c r="O5">
        <f>COUNTIFS(rEstado_RN,"En curso",rMes_RN,MesCiclo,rTipo_RN,"Macro")</f>
        <v/>
      </c>
      <c r="P5">
        <f>COUNTIFS(rEstado_RN,"Pendiente",rMes_RN,MesCiclo,rTipo_RN,"Macro")</f>
        <v/>
      </c>
      <c r="Q5">
        <f>SUMPRODUCT((rMes_RN=MesCiclo)*(rTipo_RN="Macro")*ISNUMBER(SEARCH("Vencida",rValid_RN)))</f>
        <v/>
      </c>
      <c r="R5">
        <f>SUMPRODUCT((rMes_RN=MesCiclo)*(LEFT(rValid_RN,1)="⚠"))</f>
        <v/>
      </c>
      <c r="S5">
        <f>COUNTIFS(rFLim_RN,"&gt;="&amp;FechaRef,rFLim_RN,"&lt;="&amp;(FechaRef+DiasAlerta),rAvance_RN,"&lt;1",rMes_RN,MesCiclo,rTipo_RN,"Macro")</f>
        <v/>
      </c>
      <c r="T5" t="inlineStr">
        <is>
          <t>Cronograma R. Normativo</t>
        </is>
      </c>
      <c r="U5">
        <f>COUNTIFS(rMes_RN,MesCiclo,rTipo_RN,"Macro",rAct_RN,"[Jefatura]*")</f>
        <v/>
      </c>
    </row>
    <row r="6">
      <c r="A6">
        <f>INDEX(ListaPuestos,3)</f>
        <v/>
      </c>
      <c r="B6">
        <f>COUNTIFS(rValid_RF,"?*",rMes_RF,MesCiclo,rTipo_RF,"Macro")</f>
        <v/>
      </c>
      <c r="C6" s="106">
        <f>SUMIFS(rPeso_RF,rMes_RF,MesCiclo,rTipo_RF,"Macro")</f>
        <v/>
      </c>
      <c r="D6" s="106">
        <f>COUNTIFS(rPesoEscrito_RF,"&gt;1",rMes_RF,MesCiclo,rTipo_RF,"Macro")+COUNTIFS(rPesoEscrito_RF,"&lt;0",rMes_RF,MesCiclo,rTipo_RF,"Macro")</f>
        <v/>
      </c>
      <c r="E6">
        <f>AND(B6&gt;0,D6=0,ABS(C6-1)&lt;=0.0001)</f>
        <v/>
      </c>
      <c r="F6" s="106">
        <f>IFERROR(SUMPRODUCT(--((rMes_RF=MesCiclo)*(rTipo_RF="Macro")),rPeso_RF,rAvance_RF),0)</f>
        <v/>
      </c>
      <c r="G6" s="106">
        <f>IFERROR(SUMPRODUCT(--((rMes_RF=MesCiclo)*(rTipo_RF="Macro")),rPeso_RF,rEf1_RF),0)</f>
        <v/>
      </c>
      <c r="H6" s="106">
        <f>IFERROR(SUMPRODUCT(--((rMes_RF=MesCiclo)*(rTipo_RF="Macro")),rPeso_RF,rEf2_RF),0)</f>
        <v/>
      </c>
      <c r="I6" s="106">
        <f>IFERROR(SUMPRODUCT(--((rMes_RF=MesCiclo)*(rTipo_RF="Macro")),rPeso_RF,rEf3_RF),0)</f>
        <v/>
      </c>
      <c r="J6" s="106">
        <f>IFERROR(SUMPRODUCT(--((rMes_RF=MesCiclo)*(rTipo_RF="Macro")),rPeso_RF,rEf4_RF),0)</f>
        <v/>
      </c>
      <c r="K6">
        <f>IF(ROUND(G6,4)&gt;=1,1,IF(ROUND(H6,4)&gt;=1,2,IF(ROUND(I6,4)&gt;=1,3,IF(ROUND(J6,4)&gt;=1,4,""))))</f>
        <v/>
      </c>
      <c r="L6">
        <f>AND(E6,ROUND(F6,4)&gt;=1)</f>
        <v/>
      </c>
      <c r="M6">
        <f>AND(L6,MIN(IF(K6="",4,K6),SemanaActual)&lt;4)</f>
        <v/>
      </c>
      <c r="N6">
        <f>COUNTIFS(rEstado_RF,"Completado",rMes_RF,MesCiclo,rTipo_RF,"Macro")</f>
        <v/>
      </c>
      <c r="O6">
        <f>COUNTIFS(rEstado_RF,"En curso",rMes_RF,MesCiclo,rTipo_RF,"Macro")</f>
        <v/>
      </c>
      <c r="P6">
        <f>COUNTIFS(rEstado_RF,"Pendiente",rMes_RF,MesCiclo,rTipo_RF,"Macro")</f>
        <v/>
      </c>
      <c r="Q6">
        <f>SUMPRODUCT((rMes_RF=MesCiclo)*(rTipo_RF="Macro")*ISNUMBER(SEARCH("Vencida",rValid_RF)))</f>
        <v/>
      </c>
      <c r="R6">
        <f>SUMPRODUCT((rMes_RF=MesCiclo)*(LEFT(rValid_RF,1)="⚠"))</f>
        <v/>
      </c>
      <c r="S6">
        <f>COUNTIFS(rFLim_RF,"&gt;="&amp;FechaRef,rFLim_RF,"&lt;="&amp;(FechaRef+DiasAlerta),rAvance_RF,"&lt;1",rMes_RF,MesCiclo,rTipo_RF,"Macro")</f>
        <v/>
      </c>
      <c r="T6" t="inlineStr">
        <is>
          <t>Cronograma R. Financiero</t>
        </is>
      </c>
      <c r="U6">
        <f>COUNTIFS(rMes_RF,MesCiclo,rTipo_RF,"Macro",rAct_RF,"[Jefatura]*")</f>
        <v/>
      </c>
    </row>
    <row r="7">
      <c r="A7">
        <f>INDEX(ListaPuestos,4)</f>
        <v/>
      </c>
      <c r="B7">
        <f>COUNTIFS(rValid_ATR,"?*",rMes_ATR,MesCiclo,rTipo_ATR,"Macro")</f>
        <v/>
      </c>
      <c r="C7" s="106">
        <f>SUMIFS(rPeso_ATR,rMes_ATR,MesCiclo,rTipo_ATR,"Macro")</f>
        <v/>
      </c>
      <c r="D7" s="106">
        <f>COUNTIFS(rPesoEscrito_ATR,"&gt;1",rMes_ATR,MesCiclo,rTipo_ATR,"Macro")+COUNTIFS(rPesoEscrito_ATR,"&lt;0",rMes_ATR,MesCiclo,rTipo_ATR,"Macro")</f>
        <v/>
      </c>
      <c r="E7">
        <f>AND(B7&gt;0,D7=0,ABS(C7-1)&lt;=0.0001)</f>
        <v/>
      </c>
      <c r="F7" s="106">
        <f>IFERROR(SUMPRODUCT(--((rMes_ATR=MesCiclo)*(rTipo_ATR="Macro")),rPeso_ATR,rAvance_ATR),0)</f>
        <v/>
      </c>
      <c r="G7" s="106">
        <f>IFERROR(SUMPRODUCT(--((rMes_ATR=MesCiclo)*(rTipo_ATR="Macro")),rPeso_ATR,rEf1_ATR),0)</f>
        <v/>
      </c>
      <c r="H7" s="106">
        <f>IFERROR(SUMPRODUCT(--((rMes_ATR=MesCiclo)*(rTipo_ATR="Macro")),rPeso_ATR,rEf2_ATR),0)</f>
        <v/>
      </c>
      <c r="I7" s="106">
        <f>IFERROR(SUMPRODUCT(--((rMes_ATR=MesCiclo)*(rTipo_ATR="Macro")),rPeso_ATR,rEf3_ATR),0)</f>
        <v/>
      </c>
      <c r="J7" s="106">
        <f>IFERROR(SUMPRODUCT(--((rMes_ATR=MesCiclo)*(rTipo_ATR="Macro")),rPeso_ATR,rEf4_ATR),0)</f>
        <v/>
      </c>
      <c r="K7">
        <f>IF(ROUND(G7,4)&gt;=1,1,IF(ROUND(H7,4)&gt;=1,2,IF(ROUND(I7,4)&gt;=1,3,IF(ROUND(J7,4)&gt;=1,4,""))))</f>
        <v/>
      </c>
      <c r="L7">
        <f>AND(E7,ROUND(F7,4)&gt;=1)</f>
        <v/>
      </c>
      <c r="M7">
        <f>AND(L7,MIN(IF(K7="",4,K7),SemanaActual)&lt;4)</f>
        <v/>
      </c>
      <c r="N7">
        <f>COUNTIFS(rEstado_ATR,"Completado",rMes_ATR,MesCiclo,rTipo_ATR,"Macro")</f>
        <v/>
      </c>
      <c r="O7">
        <f>COUNTIFS(rEstado_ATR,"En curso",rMes_ATR,MesCiclo,rTipo_ATR,"Macro")</f>
        <v/>
      </c>
      <c r="P7">
        <f>COUNTIFS(rEstado_ATR,"Pendiente",rMes_ATR,MesCiclo,rTipo_ATR,"Macro")</f>
        <v/>
      </c>
      <c r="Q7">
        <f>SUMPRODUCT((rMes_ATR=MesCiclo)*(rTipo_ATR="Macro")*ISNUMBER(SEARCH("Vencida",rValid_ATR)))</f>
        <v/>
      </c>
      <c r="R7">
        <f>SUMPRODUCT((rMes_ATR=MesCiclo)*(LEFT(rValid_ATR,1)="⚠"))</f>
        <v/>
      </c>
      <c r="S7">
        <f>COUNTIFS(rFLim_ATR,"&gt;="&amp;FechaRef,rFLim_ATR,"&lt;="&amp;(FechaRef+DiasAlerta),rAvance_ATR,"&lt;1",rMes_ATR,MesCiclo,rTipo_ATR,"Macro")</f>
        <v/>
      </c>
      <c r="T7" t="inlineStr">
        <is>
          <t>Cronograma Asistente Técnico</t>
        </is>
      </c>
      <c r="U7">
        <f>COUNTIFS(rMes_ATR,MesCiclo,rTipo_ATR,"Macro",rAct_ATR,"[Jefatura]*")</f>
        <v/>
      </c>
    </row>
    <row r="8">
      <c r="A8" t="inlineStr">
        <is>
          <t>Total actividades del mes (promedio de 4 puestos)</t>
        </is>
      </c>
      <c r="B8">
        <f>SUM(B4:B7)</f>
        <v/>
      </c>
      <c r="C8" s="107">
        <f>COUNTIF(E4:E7,TRUE)</f>
        <v/>
      </c>
      <c r="D8" s="106">
        <f>IF(C8&gt;0,SUMPRODUCT(F4:F7*(E4:E7=TRUE))/C8,"")</f>
        <v/>
      </c>
      <c r="E8">
        <f>AND(E4,E5,E6,E7)</f>
        <v/>
      </c>
      <c r="F8" s="106">
        <f>IF(E8,AVERAGE(F4:F7),"")</f>
        <v/>
      </c>
      <c r="G8" s="106">
        <f>IF($E$8,AVERAGE(G4:G7),"")</f>
        <v/>
      </c>
      <c r="H8" s="106">
        <f>IF($E$8,AVERAGE(H4:H7),"")</f>
        <v/>
      </c>
      <c r="I8" s="106">
        <f>IF($E$8,AVERAGE(I4:I7),"")</f>
        <v/>
      </c>
      <c r="J8" s="106">
        <f>IF($E$8,AVERAGE(J4:J7),"")</f>
        <v/>
      </c>
      <c r="K8">
        <f>IF(NOT(E8),"",IF(ROUND(G8,4)&gt;=1,1,IF(ROUND(H8,4)&gt;=1,2,IF(ROUND(I8,4)&gt;=1,3,IF(ROUND(J8,4)&gt;=1,4,"")))))</f>
        <v/>
      </c>
      <c r="L8">
        <f>AND(E8,ROUND(N(F8),4)&gt;=1)</f>
        <v/>
      </c>
      <c r="M8">
        <f>AND(L8,MIN(IF(K8="",4,K8),SemanaActual)&lt;4)</f>
        <v/>
      </c>
      <c r="N8">
        <f>SUM(N4:N7)</f>
        <v/>
      </c>
      <c r="O8">
        <f>SUM(O4:O7)</f>
        <v/>
      </c>
      <c r="P8">
        <f>SUM(P4:P7)</f>
        <v/>
      </c>
      <c r="Q8">
        <f>SUM(Q4:Q7)</f>
        <v/>
      </c>
      <c r="R8">
        <f>SUM(R4:R7)</f>
        <v/>
      </c>
      <c r="S8">
        <f>SUM(S4:S7)</f>
        <v/>
      </c>
      <c r="U8">
        <f>SUM(U4:U7)</f>
        <v/>
      </c>
    </row>
    <row r="9">
      <c r="A9" s="108" t="inlineStr">
        <is>
          <t>Fila 8: C = n° puestos válidos; D = avance provisional (promedio solo de puestos válidos).</t>
        </is>
      </c>
    </row>
    <row r="10">
      <c r="A10" t="inlineStr">
        <is>
          <t>Semana visible en seguimiento</t>
        </is>
      </c>
      <c r="G10">
        <f>OR(1&lt;=SemanaActual,(SUMPRODUCT((rMes_RO=MesCiclo)*ISNUMBER(rS1_RO))+SUMPRODUCT((rMes_RN=MesCiclo)*ISNUMBER(rS1_RN))+SUMPRODUCT((rMes_RF=MesCiclo)*ISNUMBER(rS1_RF))+SUMPRODUCT((rMes_ATR=MesCiclo)*ISNUMBER(rS1_ATR)))&gt;0)</f>
        <v/>
      </c>
      <c r="H10">
        <f>OR(2&lt;=SemanaActual,(SUMPRODUCT((rMes_RO=MesCiclo)*ISNUMBER(rS2_RO))+SUMPRODUCT((rMes_RN=MesCiclo)*ISNUMBER(rS2_RN))+SUMPRODUCT((rMes_RF=MesCiclo)*ISNUMBER(rS2_RF))+SUMPRODUCT((rMes_ATR=MesCiclo)*ISNUMBER(rS2_ATR)))&gt;0)</f>
        <v/>
      </c>
      <c r="I10">
        <f>OR(3&lt;=SemanaActual,(SUMPRODUCT((rMes_RO=MesCiclo)*ISNUMBER(rS3_RO))+SUMPRODUCT((rMes_RN=MesCiclo)*ISNUMBER(rS3_RN))+SUMPRODUCT((rMes_RF=MesCiclo)*ISNUMBER(rS3_RF))+SUMPRODUCT((rMes_ATR=MesCiclo)*ISNUMBER(rS3_ATR)))&gt;0)</f>
        <v/>
      </c>
      <c r="J10">
        <f>OR(4&lt;=SemanaActual,(SUMPRODUCT((rMes_RO=MesCiclo)*ISNUMBER(rS4_RO))+SUMPRODUCT((rMes_RN=MesCiclo)*ISNUMBER(rS4_RN))+SUMPRODUCT((rMes_RF=MesCiclo)*ISNUMBER(rS4_RF))+SUMPRODUCT((rMes_ATR=MesCiclo)*ISNUMBER(rS4_ATR)))&gt;0)</f>
        <v/>
      </c>
    </row>
    <row r="11">
      <c r="A11" t="inlineStr">
        <is>
          <t>Total registros</t>
        </is>
      </c>
      <c r="B11">
        <f>B8</f>
        <v/>
      </c>
    </row>
    <row r="12">
      <c r="A12" t="inlineStr">
        <is>
          <t>Puestos al 100%</t>
        </is>
      </c>
      <c r="B12">
        <f>COUNTIF(L4:L7,TRUE)</f>
        <v/>
      </c>
    </row>
    <row r="13">
      <c r="A13" t="inlineStr">
        <is>
          <t>Próximas a vencer</t>
        </is>
      </c>
      <c r="B13">
        <f>S8</f>
        <v/>
      </c>
    </row>
    <row r="15">
      <c r="A15" t="inlineStr">
        <is>
          <t>Mes mostrado (día 1)</t>
        </is>
      </c>
      <c r="B15" s="109">
        <f>DATE(YEAR(MesEntrada),MONTH(MesEntrada),1)</f>
        <v/>
      </c>
    </row>
    <row r="19">
      <c r="A19" s="104" t="inlineStr">
        <is>
          <t>Actividades delegadas por la jefatura (listas desplegables de cada Cronograma)</t>
        </is>
      </c>
    </row>
    <row r="20">
      <c r="B20">
        <f>A4</f>
        <v/>
      </c>
      <c r="C20">
        <f>A5</f>
        <v/>
      </c>
      <c r="D20">
        <f>A6</f>
        <v/>
      </c>
      <c r="E20">
        <f>A7</f>
        <v/>
      </c>
    </row>
    <row r="21">
      <c r="B21">
        <f>IFERROR("[Jefatura] "&amp;INDEX(rAct_ADM,MATCH($A$4&amp;"|"&amp;1,rDkey_ADM,0)),"")</f>
        <v/>
      </c>
      <c r="C21">
        <f>IFERROR("[Jefatura] "&amp;INDEX(rAct_ADM,MATCH($A$5&amp;"|"&amp;1,rDkey_ADM,0)),"")</f>
        <v/>
      </c>
      <c r="D21">
        <f>IFERROR("[Jefatura] "&amp;INDEX(rAct_ADM,MATCH($A$6&amp;"|"&amp;1,rDkey_ADM,0)),"")</f>
        <v/>
      </c>
      <c r="E21">
        <f>IFERROR("[Jefatura] "&amp;INDEX(rAct_ADM,MATCH($A$7&amp;"|"&amp;1,rDkey_ADM,0)),"")</f>
        <v/>
      </c>
    </row>
    <row r="22">
      <c r="B22">
        <f>IFERROR("[Jefatura] "&amp;INDEX(rAct_ADM,MATCH($A$4&amp;"|"&amp;2,rDkey_ADM,0)),"")</f>
        <v/>
      </c>
      <c r="C22">
        <f>IFERROR("[Jefatura] "&amp;INDEX(rAct_ADM,MATCH($A$5&amp;"|"&amp;2,rDkey_ADM,0)),"")</f>
        <v/>
      </c>
      <c r="D22">
        <f>IFERROR("[Jefatura] "&amp;INDEX(rAct_ADM,MATCH($A$6&amp;"|"&amp;2,rDkey_ADM,0)),"")</f>
        <v/>
      </c>
      <c r="E22">
        <f>IFERROR("[Jefatura] "&amp;INDEX(rAct_ADM,MATCH($A$7&amp;"|"&amp;2,rDkey_ADM,0)),"")</f>
        <v/>
      </c>
    </row>
    <row r="23">
      <c r="B23">
        <f>IFERROR("[Jefatura] "&amp;INDEX(rAct_ADM,MATCH($A$4&amp;"|"&amp;3,rDkey_ADM,0)),"")</f>
        <v/>
      </c>
      <c r="C23">
        <f>IFERROR("[Jefatura] "&amp;INDEX(rAct_ADM,MATCH($A$5&amp;"|"&amp;3,rDkey_ADM,0)),"")</f>
        <v/>
      </c>
      <c r="D23">
        <f>IFERROR("[Jefatura] "&amp;INDEX(rAct_ADM,MATCH($A$6&amp;"|"&amp;3,rDkey_ADM,0)),"")</f>
        <v/>
      </c>
      <c r="E23">
        <f>IFERROR("[Jefatura] "&amp;INDEX(rAct_ADM,MATCH($A$7&amp;"|"&amp;3,rDkey_ADM,0)),"")</f>
        <v/>
      </c>
    </row>
    <row r="24">
      <c r="B24">
        <f>IFERROR("[Jefatura] "&amp;INDEX(rAct_ADM,MATCH($A$4&amp;"|"&amp;4,rDkey_ADM,0)),"")</f>
        <v/>
      </c>
      <c r="C24">
        <f>IFERROR("[Jefatura] "&amp;INDEX(rAct_ADM,MATCH($A$5&amp;"|"&amp;4,rDkey_ADM,0)),"")</f>
        <v/>
      </c>
      <c r="D24">
        <f>IFERROR("[Jefatura] "&amp;INDEX(rAct_ADM,MATCH($A$6&amp;"|"&amp;4,rDkey_ADM,0)),"")</f>
        <v/>
      </c>
      <c r="E24">
        <f>IFERROR("[Jefatura] "&amp;INDEX(rAct_ADM,MATCH($A$7&amp;"|"&amp;4,rDkey_ADM,0)),"")</f>
        <v/>
      </c>
    </row>
    <row r="25">
      <c r="B25">
        <f>IFERROR("[Jefatura] "&amp;INDEX(rAct_ADM,MATCH($A$4&amp;"|"&amp;5,rDkey_ADM,0)),"")</f>
        <v/>
      </c>
      <c r="C25">
        <f>IFERROR("[Jefatura] "&amp;INDEX(rAct_ADM,MATCH($A$5&amp;"|"&amp;5,rDkey_ADM,0)),"")</f>
        <v/>
      </c>
      <c r="D25">
        <f>IFERROR("[Jefatura] "&amp;INDEX(rAct_ADM,MATCH($A$6&amp;"|"&amp;5,rDkey_ADM,0)),"")</f>
        <v/>
      </c>
      <c r="E25">
        <f>IFERROR("[Jefatura] "&amp;INDEX(rAct_ADM,MATCH($A$7&amp;"|"&amp;5,rDkey_ADM,0)),"")</f>
        <v/>
      </c>
    </row>
    <row r="26">
      <c r="B26">
        <f>IFERROR("[Jefatura] "&amp;INDEX(rAct_ADM,MATCH($A$4&amp;"|"&amp;6,rDkey_ADM,0)),"")</f>
        <v/>
      </c>
      <c r="C26">
        <f>IFERROR("[Jefatura] "&amp;INDEX(rAct_ADM,MATCH($A$5&amp;"|"&amp;6,rDkey_ADM,0)),"")</f>
        <v/>
      </c>
      <c r="D26">
        <f>IFERROR("[Jefatura] "&amp;INDEX(rAct_ADM,MATCH($A$6&amp;"|"&amp;6,rDkey_ADM,0)),"")</f>
        <v/>
      </c>
      <c r="E26">
        <f>IFERROR("[Jefatura] "&amp;INDEX(rAct_ADM,MATCH($A$7&amp;"|"&amp;6,rDkey_ADM,0)),"")</f>
        <v/>
      </c>
    </row>
    <row r="27">
      <c r="B27">
        <f>IFERROR("[Jefatura] "&amp;INDEX(rAct_ADM,MATCH($A$4&amp;"|"&amp;7,rDkey_ADM,0)),"")</f>
        <v/>
      </c>
      <c r="C27">
        <f>IFERROR("[Jefatura] "&amp;INDEX(rAct_ADM,MATCH($A$5&amp;"|"&amp;7,rDkey_ADM,0)),"")</f>
        <v/>
      </c>
      <c r="D27">
        <f>IFERROR("[Jefatura] "&amp;INDEX(rAct_ADM,MATCH($A$6&amp;"|"&amp;7,rDkey_ADM,0)),"")</f>
        <v/>
      </c>
      <c r="E27">
        <f>IFERROR("[Jefatura] "&amp;INDEX(rAct_ADM,MATCH($A$7&amp;"|"&amp;7,rDkey_ADM,0)),"")</f>
        <v/>
      </c>
    </row>
    <row r="28">
      <c r="B28">
        <f>IFERROR("[Jefatura] "&amp;INDEX(rAct_ADM,MATCH($A$4&amp;"|"&amp;8,rDkey_ADM,0)),"")</f>
        <v/>
      </c>
      <c r="C28">
        <f>IFERROR("[Jefatura] "&amp;INDEX(rAct_ADM,MATCH($A$5&amp;"|"&amp;8,rDkey_ADM,0)),"")</f>
        <v/>
      </c>
      <c r="D28">
        <f>IFERROR("[Jefatura] "&amp;INDEX(rAct_ADM,MATCH($A$6&amp;"|"&amp;8,rDkey_ADM,0)),"")</f>
        <v/>
      </c>
      <c r="E28">
        <f>IFERROR("[Jefatura] "&amp;INDEX(rAct_ADM,MATCH($A$7&amp;"|"&amp;8,rDkey_ADM,0)),"")</f>
        <v/>
      </c>
    </row>
    <row r="29">
      <c r="B29">
        <f>IFERROR("[Jefatura] "&amp;INDEX(rAct_ADM,MATCH($A$4&amp;"|"&amp;9,rDkey_ADM,0)),"")</f>
        <v/>
      </c>
      <c r="C29">
        <f>IFERROR("[Jefatura] "&amp;INDEX(rAct_ADM,MATCH($A$5&amp;"|"&amp;9,rDkey_ADM,0)),"")</f>
        <v/>
      </c>
      <c r="D29">
        <f>IFERROR("[Jefatura] "&amp;INDEX(rAct_ADM,MATCH($A$6&amp;"|"&amp;9,rDkey_ADM,0)),"")</f>
        <v/>
      </c>
      <c r="E29">
        <f>IFERROR("[Jefatura] "&amp;INDEX(rAct_ADM,MATCH($A$7&amp;"|"&amp;9,rDkey_ADM,0)),"")</f>
        <v/>
      </c>
    </row>
    <row r="30">
      <c r="B30">
        <f>IFERROR("[Jefatura] "&amp;INDEX(rAct_ADM,MATCH($A$4&amp;"|"&amp;10,rDkey_ADM,0)),"")</f>
        <v/>
      </c>
      <c r="C30">
        <f>IFERROR("[Jefatura] "&amp;INDEX(rAct_ADM,MATCH($A$5&amp;"|"&amp;10,rDkey_ADM,0)),"")</f>
        <v/>
      </c>
      <c r="D30">
        <f>IFERROR("[Jefatura] "&amp;INDEX(rAct_ADM,MATCH($A$6&amp;"|"&amp;10,rDkey_ADM,0)),"")</f>
        <v/>
      </c>
      <c r="E30">
        <f>IFERROR("[Jefatura] "&amp;INDEX(rAct_ADM,MATCH($A$7&amp;"|"&amp;10,rDkey_ADM,0)),"")</f>
        <v/>
      </c>
    </row>
    <row r="31">
      <c r="B31">
        <f>IFERROR("[Jefatura] "&amp;INDEX(rAct_ADM,MATCH($A$4&amp;"|"&amp;11,rDkey_ADM,0)),"")</f>
        <v/>
      </c>
      <c r="C31">
        <f>IFERROR("[Jefatura] "&amp;INDEX(rAct_ADM,MATCH($A$5&amp;"|"&amp;11,rDkey_ADM,0)),"")</f>
        <v/>
      </c>
      <c r="D31">
        <f>IFERROR("[Jefatura] "&amp;INDEX(rAct_ADM,MATCH($A$6&amp;"|"&amp;11,rDkey_ADM,0)),"")</f>
        <v/>
      </c>
      <c r="E31">
        <f>IFERROR("[Jefatura] "&amp;INDEX(rAct_ADM,MATCH($A$7&amp;"|"&amp;11,rDkey_ADM,0)),"")</f>
        <v/>
      </c>
    </row>
    <row r="32">
      <c r="B32">
        <f>IFERROR("[Jefatura] "&amp;INDEX(rAct_ADM,MATCH($A$4&amp;"|"&amp;12,rDkey_ADM,0)),"")</f>
        <v/>
      </c>
      <c r="C32">
        <f>IFERROR("[Jefatura] "&amp;INDEX(rAct_ADM,MATCH($A$5&amp;"|"&amp;12,rDkey_ADM,0)),"")</f>
        <v/>
      </c>
      <c r="D32">
        <f>IFERROR("[Jefatura] "&amp;INDEX(rAct_ADM,MATCH($A$6&amp;"|"&amp;12,rDkey_ADM,0)),"")</f>
        <v/>
      </c>
      <c r="E32">
        <f>IFERROR("[Jefatura] "&amp;INDEX(rAct_ADM,MATCH($A$7&amp;"|"&amp;12,rDkey_ADM,0)),"")</f>
        <v/>
      </c>
    </row>
    <row r="33">
      <c r="B33">
        <f>IFERROR("[Jefatura] "&amp;INDEX(rAct_ADM,MATCH($A$4&amp;"|"&amp;13,rDkey_ADM,0)),"")</f>
        <v/>
      </c>
      <c r="C33">
        <f>IFERROR("[Jefatura] "&amp;INDEX(rAct_ADM,MATCH($A$5&amp;"|"&amp;13,rDkey_ADM,0)),"")</f>
        <v/>
      </c>
      <c r="D33">
        <f>IFERROR("[Jefatura] "&amp;INDEX(rAct_ADM,MATCH($A$6&amp;"|"&amp;13,rDkey_ADM,0)),"")</f>
        <v/>
      </c>
      <c r="E33">
        <f>IFERROR("[Jefatura] "&amp;INDEX(rAct_ADM,MATCH($A$7&amp;"|"&amp;13,rDkey_ADM,0)),"")</f>
        <v/>
      </c>
    </row>
    <row r="34">
      <c r="B34">
        <f>IFERROR("[Jefatura] "&amp;INDEX(rAct_ADM,MATCH($A$4&amp;"|"&amp;14,rDkey_ADM,0)),"")</f>
        <v/>
      </c>
      <c r="C34">
        <f>IFERROR("[Jefatura] "&amp;INDEX(rAct_ADM,MATCH($A$5&amp;"|"&amp;14,rDkey_ADM,0)),"")</f>
        <v/>
      </c>
      <c r="D34">
        <f>IFERROR("[Jefatura] "&amp;INDEX(rAct_ADM,MATCH($A$6&amp;"|"&amp;14,rDkey_ADM,0)),"")</f>
        <v/>
      </c>
      <c r="E34">
        <f>IFERROR("[Jefatura] "&amp;INDEX(rAct_ADM,MATCH($A$7&amp;"|"&amp;14,rDkey_ADM,0)),"")</f>
        <v/>
      </c>
    </row>
    <row r="35">
      <c r="B35">
        <f>IFERROR("[Jefatura] "&amp;INDEX(rAct_ADM,MATCH($A$4&amp;"|"&amp;15,rDkey_ADM,0)),"")</f>
        <v/>
      </c>
      <c r="C35">
        <f>IFERROR("[Jefatura] "&amp;INDEX(rAct_ADM,MATCH($A$5&amp;"|"&amp;15,rDkey_ADM,0)),"")</f>
        <v/>
      </c>
      <c r="D35">
        <f>IFERROR("[Jefatura] "&amp;INDEX(rAct_ADM,MATCH($A$6&amp;"|"&amp;15,rDkey_ADM,0)),"")</f>
        <v/>
      </c>
      <c r="E35">
        <f>IFERROR("[Jefatura] "&amp;INDEX(rAct_ADM,MATCH($A$7&amp;"|"&amp;15,rDkey_ADM,0)),"")</f>
        <v/>
      </c>
    </row>
    <row r="36">
      <c r="B36">
        <f>IFERROR("[Jefatura] "&amp;INDEX(rAct_ADM,MATCH($A$4&amp;"|"&amp;16,rDkey_ADM,0)),"")</f>
        <v/>
      </c>
      <c r="C36">
        <f>IFERROR("[Jefatura] "&amp;INDEX(rAct_ADM,MATCH($A$5&amp;"|"&amp;16,rDkey_ADM,0)),"")</f>
        <v/>
      </c>
      <c r="D36">
        <f>IFERROR("[Jefatura] "&amp;INDEX(rAct_ADM,MATCH($A$6&amp;"|"&amp;16,rDkey_ADM,0)),"")</f>
        <v/>
      </c>
      <c r="E36">
        <f>IFERROR("[Jefatura] "&amp;INDEX(rAct_ADM,MATCH($A$7&amp;"|"&amp;16,rDkey_ADM,0)),"")</f>
        <v/>
      </c>
    </row>
    <row r="37">
      <c r="B37">
        <f>IFERROR("[Jefatura] "&amp;INDEX(rAct_ADM,MATCH($A$4&amp;"|"&amp;17,rDkey_ADM,0)),"")</f>
        <v/>
      </c>
      <c r="C37">
        <f>IFERROR("[Jefatura] "&amp;INDEX(rAct_ADM,MATCH($A$5&amp;"|"&amp;17,rDkey_ADM,0)),"")</f>
        <v/>
      </c>
      <c r="D37">
        <f>IFERROR("[Jefatura] "&amp;INDEX(rAct_ADM,MATCH($A$6&amp;"|"&amp;17,rDkey_ADM,0)),"")</f>
        <v/>
      </c>
      <c r="E37">
        <f>IFERROR("[Jefatura] "&amp;INDEX(rAct_ADM,MATCH($A$7&amp;"|"&amp;17,rDkey_ADM,0)),"")</f>
        <v/>
      </c>
    </row>
    <row r="38">
      <c r="B38">
        <f>IFERROR("[Jefatura] "&amp;INDEX(rAct_ADM,MATCH($A$4&amp;"|"&amp;18,rDkey_ADM,0)),"")</f>
        <v/>
      </c>
      <c r="C38">
        <f>IFERROR("[Jefatura] "&amp;INDEX(rAct_ADM,MATCH($A$5&amp;"|"&amp;18,rDkey_ADM,0)),"")</f>
        <v/>
      </c>
      <c r="D38">
        <f>IFERROR("[Jefatura] "&amp;INDEX(rAct_ADM,MATCH($A$6&amp;"|"&amp;18,rDkey_ADM,0)),"")</f>
        <v/>
      </c>
      <c r="E38">
        <f>IFERROR("[Jefatura] "&amp;INDEX(rAct_ADM,MATCH($A$7&amp;"|"&amp;18,rDkey_ADM,0)),"")</f>
        <v/>
      </c>
    </row>
    <row r="39">
      <c r="B39">
        <f>IFERROR("[Jefatura] "&amp;INDEX(rAct_ADM,MATCH($A$4&amp;"|"&amp;19,rDkey_ADM,0)),"")</f>
        <v/>
      </c>
      <c r="C39">
        <f>IFERROR("[Jefatura] "&amp;INDEX(rAct_ADM,MATCH($A$5&amp;"|"&amp;19,rDkey_ADM,0)),"")</f>
        <v/>
      </c>
      <c r="D39">
        <f>IFERROR("[Jefatura] "&amp;INDEX(rAct_ADM,MATCH($A$6&amp;"|"&amp;19,rDkey_ADM,0)),"")</f>
        <v/>
      </c>
      <c r="E39">
        <f>IFERROR("[Jefatura] "&amp;INDEX(rAct_ADM,MATCH($A$7&amp;"|"&amp;19,rDkey_ADM,0)),"")</f>
        <v/>
      </c>
    </row>
    <row r="40">
      <c r="B40">
        <f>IFERROR("[Jefatura] "&amp;INDEX(rAct_ADM,MATCH($A$4&amp;"|"&amp;20,rDkey_ADM,0)),"")</f>
        <v/>
      </c>
      <c r="C40">
        <f>IFERROR("[Jefatura] "&amp;INDEX(rAct_ADM,MATCH($A$5&amp;"|"&amp;20,rDkey_ADM,0)),"")</f>
        <v/>
      </c>
      <c r="D40">
        <f>IFERROR("[Jefatura] "&amp;INDEX(rAct_ADM,MATCH($A$6&amp;"|"&amp;20,rDkey_ADM,0)),"")</f>
        <v/>
      </c>
      <c r="E40">
        <f>IFERROR("[Jefatura] "&amp;INDEX(rAct_ADM,MATCH($A$7&amp;"|"&amp;20,rDkey_ADM,0)),"")</f>
        <v/>
      </c>
    </row>
    <row r="41">
      <c r="B41">
        <f>IFERROR("[Jefatura] "&amp;INDEX(rAct_ADM,MATCH($A$4&amp;"|"&amp;21,rDkey_ADM,0)),"")</f>
        <v/>
      </c>
      <c r="C41">
        <f>IFERROR("[Jefatura] "&amp;INDEX(rAct_ADM,MATCH($A$5&amp;"|"&amp;21,rDkey_ADM,0)),"")</f>
        <v/>
      </c>
      <c r="D41">
        <f>IFERROR("[Jefatura] "&amp;INDEX(rAct_ADM,MATCH($A$6&amp;"|"&amp;21,rDkey_ADM,0)),"")</f>
        <v/>
      </c>
      <c r="E41">
        <f>IFERROR("[Jefatura] "&amp;INDEX(rAct_ADM,MATCH($A$7&amp;"|"&amp;21,rDkey_ADM,0)),"")</f>
        <v/>
      </c>
    </row>
    <row r="42">
      <c r="B42">
        <f>IFERROR("[Jefatura] "&amp;INDEX(rAct_ADM,MATCH($A$4&amp;"|"&amp;22,rDkey_ADM,0)),"")</f>
        <v/>
      </c>
      <c r="C42">
        <f>IFERROR("[Jefatura] "&amp;INDEX(rAct_ADM,MATCH($A$5&amp;"|"&amp;22,rDkey_ADM,0)),"")</f>
        <v/>
      </c>
      <c r="D42">
        <f>IFERROR("[Jefatura] "&amp;INDEX(rAct_ADM,MATCH($A$6&amp;"|"&amp;22,rDkey_ADM,0)),"")</f>
        <v/>
      </c>
      <c r="E42">
        <f>IFERROR("[Jefatura] "&amp;INDEX(rAct_ADM,MATCH($A$7&amp;"|"&amp;22,rDkey_ADM,0)),"")</f>
        <v/>
      </c>
    </row>
    <row r="43">
      <c r="B43">
        <f>IFERROR("[Jefatura] "&amp;INDEX(rAct_ADM,MATCH($A$4&amp;"|"&amp;23,rDkey_ADM,0)),"")</f>
        <v/>
      </c>
      <c r="C43">
        <f>IFERROR("[Jefatura] "&amp;INDEX(rAct_ADM,MATCH($A$5&amp;"|"&amp;23,rDkey_ADM,0)),"")</f>
        <v/>
      </c>
      <c r="D43">
        <f>IFERROR("[Jefatura] "&amp;INDEX(rAct_ADM,MATCH($A$6&amp;"|"&amp;23,rDkey_ADM,0)),"")</f>
        <v/>
      </c>
      <c r="E43">
        <f>IFERROR("[Jefatura] "&amp;INDEX(rAct_ADM,MATCH($A$7&amp;"|"&amp;23,rDkey_ADM,0)),"")</f>
        <v/>
      </c>
    </row>
    <row r="44">
      <c r="B44">
        <f>IFERROR("[Jefatura] "&amp;INDEX(rAct_ADM,MATCH($A$4&amp;"|"&amp;24,rDkey_ADM,0)),"")</f>
        <v/>
      </c>
      <c r="C44">
        <f>IFERROR("[Jefatura] "&amp;INDEX(rAct_ADM,MATCH($A$5&amp;"|"&amp;24,rDkey_ADM,0)),"")</f>
        <v/>
      </c>
      <c r="D44">
        <f>IFERROR("[Jefatura] "&amp;INDEX(rAct_ADM,MATCH($A$6&amp;"|"&amp;24,rDkey_ADM,0)),"")</f>
        <v/>
      </c>
      <c r="E44">
        <f>IFERROR("[Jefatura] "&amp;INDEX(rAct_ADM,MATCH($A$7&amp;"|"&amp;24,rDkey_ADM,0)),"")</f>
        <v/>
      </c>
    </row>
    <row r="45">
      <c r="B45">
        <f>IFERROR("[Jefatura] "&amp;INDEX(rAct_ADM,MATCH($A$4&amp;"|"&amp;25,rDkey_ADM,0)),"")</f>
        <v/>
      </c>
      <c r="C45">
        <f>IFERROR("[Jefatura] "&amp;INDEX(rAct_ADM,MATCH($A$5&amp;"|"&amp;25,rDkey_ADM,0)),"")</f>
        <v/>
      </c>
      <c r="D45">
        <f>IFERROR("[Jefatura] "&amp;INDEX(rAct_ADM,MATCH($A$6&amp;"|"&amp;25,rDkey_ADM,0)),"")</f>
        <v/>
      </c>
      <c r="E45">
        <f>IFERROR("[Jefatura] "&amp;INDEX(rAct_ADM,MATCH($A$7&amp;"|"&amp;25,rDkey_ADM,0)),"")</f>
        <v/>
      </c>
    </row>
    <row r="46">
      <c r="B46">
        <f>IFERROR("[Jefatura] "&amp;INDEX(rAct_ADM,MATCH($A$4&amp;"|"&amp;26,rDkey_ADM,0)),"")</f>
        <v/>
      </c>
      <c r="C46">
        <f>IFERROR("[Jefatura] "&amp;INDEX(rAct_ADM,MATCH($A$5&amp;"|"&amp;26,rDkey_ADM,0)),"")</f>
        <v/>
      </c>
      <c r="D46">
        <f>IFERROR("[Jefatura] "&amp;INDEX(rAct_ADM,MATCH($A$6&amp;"|"&amp;26,rDkey_ADM,0)),"")</f>
        <v/>
      </c>
      <c r="E46">
        <f>IFERROR("[Jefatura] "&amp;INDEX(rAct_ADM,MATCH($A$7&amp;"|"&amp;26,rDkey_ADM,0)),"")</f>
        <v/>
      </c>
    </row>
    <row r="47">
      <c r="B47">
        <f>IFERROR("[Jefatura] "&amp;INDEX(rAct_ADM,MATCH($A$4&amp;"|"&amp;27,rDkey_ADM,0)),"")</f>
        <v/>
      </c>
      <c r="C47">
        <f>IFERROR("[Jefatura] "&amp;INDEX(rAct_ADM,MATCH($A$5&amp;"|"&amp;27,rDkey_ADM,0)),"")</f>
        <v/>
      </c>
      <c r="D47">
        <f>IFERROR("[Jefatura] "&amp;INDEX(rAct_ADM,MATCH($A$6&amp;"|"&amp;27,rDkey_ADM,0)),"")</f>
        <v/>
      </c>
      <c r="E47">
        <f>IFERROR("[Jefatura] "&amp;INDEX(rAct_ADM,MATCH($A$7&amp;"|"&amp;27,rDkey_ADM,0)),"")</f>
        <v/>
      </c>
    </row>
    <row r="48">
      <c r="B48">
        <f>IFERROR("[Jefatura] "&amp;INDEX(rAct_ADM,MATCH($A$4&amp;"|"&amp;28,rDkey_ADM,0)),"")</f>
        <v/>
      </c>
      <c r="C48">
        <f>IFERROR("[Jefatura] "&amp;INDEX(rAct_ADM,MATCH($A$5&amp;"|"&amp;28,rDkey_ADM,0)),"")</f>
        <v/>
      </c>
      <c r="D48">
        <f>IFERROR("[Jefatura] "&amp;INDEX(rAct_ADM,MATCH($A$6&amp;"|"&amp;28,rDkey_ADM,0)),"")</f>
        <v/>
      </c>
      <c r="E48">
        <f>IFERROR("[Jefatura] "&amp;INDEX(rAct_ADM,MATCH($A$7&amp;"|"&amp;28,rDkey_ADM,0)),"")</f>
        <v/>
      </c>
    </row>
    <row r="49">
      <c r="B49">
        <f>IFERROR("[Jefatura] "&amp;INDEX(rAct_ADM,MATCH($A$4&amp;"|"&amp;29,rDkey_ADM,0)),"")</f>
        <v/>
      </c>
      <c r="C49">
        <f>IFERROR("[Jefatura] "&amp;INDEX(rAct_ADM,MATCH($A$5&amp;"|"&amp;29,rDkey_ADM,0)),"")</f>
        <v/>
      </c>
      <c r="D49">
        <f>IFERROR("[Jefatura] "&amp;INDEX(rAct_ADM,MATCH($A$6&amp;"|"&amp;29,rDkey_ADM,0)),"")</f>
        <v/>
      </c>
      <c r="E49">
        <f>IFERROR("[Jefatura] "&amp;INDEX(rAct_ADM,MATCH($A$7&amp;"|"&amp;29,rDkey_ADM,0)),"")</f>
        <v/>
      </c>
    </row>
    <row r="50">
      <c r="B50">
        <f>IFERROR("[Jefatura] "&amp;INDEX(rAct_ADM,MATCH($A$4&amp;"|"&amp;30,rDkey_ADM,0)),"")</f>
        <v/>
      </c>
      <c r="C50">
        <f>IFERROR("[Jefatura] "&amp;INDEX(rAct_ADM,MATCH($A$5&amp;"|"&amp;30,rDkey_ADM,0)),"")</f>
        <v/>
      </c>
      <c r="D50">
        <f>IFERROR("[Jefatura] "&amp;INDEX(rAct_ADM,MATCH($A$6&amp;"|"&amp;30,rDkey_ADM,0)),"")</f>
        <v/>
      </c>
      <c r="E50">
        <f>IFERROR("[Jefatura] "&amp;INDEX(rAct_ADM,MATCH($A$7&amp;"|"&amp;30,rDkey_ADM,0)),"")</f>
        <v/>
      </c>
    </row>
    <row r="51">
      <c r="B51">
        <f>IFERROR("[Jefatura] "&amp;INDEX(rAct_ADM,MATCH($A$4&amp;"|"&amp;31,rDkey_ADM,0)),"")</f>
        <v/>
      </c>
      <c r="C51">
        <f>IFERROR("[Jefatura] "&amp;INDEX(rAct_ADM,MATCH($A$5&amp;"|"&amp;31,rDkey_ADM,0)),"")</f>
        <v/>
      </c>
      <c r="D51">
        <f>IFERROR("[Jefatura] "&amp;INDEX(rAct_ADM,MATCH($A$6&amp;"|"&amp;31,rDkey_ADM,0)),"")</f>
        <v/>
      </c>
      <c r="E51">
        <f>IFERROR("[Jefatura] "&amp;INDEX(rAct_ADM,MATCH($A$7&amp;"|"&amp;31,rDkey_ADM,0)),"")</f>
        <v/>
      </c>
    </row>
    <row r="52">
      <c r="B52">
        <f>IFERROR("[Jefatura] "&amp;INDEX(rAct_ADM,MATCH($A$4&amp;"|"&amp;32,rDkey_ADM,0)),"")</f>
        <v/>
      </c>
      <c r="C52">
        <f>IFERROR("[Jefatura] "&amp;INDEX(rAct_ADM,MATCH($A$5&amp;"|"&amp;32,rDkey_ADM,0)),"")</f>
        <v/>
      </c>
      <c r="D52">
        <f>IFERROR("[Jefatura] "&amp;INDEX(rAct_ADM,MATCH($A$6&amp;"|"&amp;32,rDkey_ADM,0)),"")</f>
        <v/>
      </c>
      <c r="E52">
        <f>IFERROR("[Jefatura] "&amp;INDEX(rAct_ADM,MATCH($A$7&amp;"|"&amp;32,rDkey_ADM,0)),"")</f>
        <v/>
      </c>
    </row>
    <row r="53">
      <c r="B53">
        <f>IFERROR("[Jefatura] "&amp;INDEX(rAct_ADM,MATCH($A$4&amp;"|"&amp;33,rDkey_ADM,0)),"")</f>
        <v/>
      </c>
      <c r="C53">
        <f>IFERROR("[Jefatura] "&amp;INDEX(rAct_ADM,MATCH($A$5&amp;"|"&amp;33,rDkey_ADM,0)),"")</f>
        <v/>
      </c>
      <c r="D53">
        <f>IFERROR("[Jefatura] "&amp;INDEX(rAct_ADM,MATCH($A$6&amp;"|"&amp;33,rDkey_ADM,0)),"")</f>
        <v/>
      </c>
      <c r="E53">
        <f>IFERROR("[Jefatura] "&amp;INDEX(rAct_ADM,MATCH($A$7&amp;"|"&amp;33,rDkey_ADM,0)),"")</f>
        <v/>
      </c>
    </row>
    <row r="54">
      <c r="B54">
        <f>IFERROR("[Jefatura] "&amp;INDEX(rAct_ADM,MATCH($A$4&amp;"|"&amp;34,rDkey_ADM,0)),"")</f>
        <v/>
      </c>
      <c r="C54">
        <f>IFERROR("[Jefatura] "&amp;INDEX(rAct_ADM,MATCH($A$5&amp;"|"&amp;34,rDkey_ADM,0)),"")</f>
        <v/>
      </c>
      <c r="D54">
        <f>IFERROR("[Jefatura] "&amp;INDEX(rAct_ADM,MATCH($A$6&amp;"|"&amp;34,rDkey_ADM,0)),"")</f>
        <v/>
      </c>
      <c r="E54">
        <f>IFERROR("[Jefatura] "&amp;INDEX(rAct_ADM,MATCH($A$7&amp;"|"&amp;34,rDkey_ADM,0)),"")</f>
        <v/>
      </c>
    </row>
    <row r="55">
      <c r="B55">
        <f>IFERROR("[Jefatura] "&amp;INDEX(rAct_ADM,MATCH($A$4&amp;"|"&amp;35,rDkey_ADM,0)),"")</f>
        <v/>
      </c>
      <c r="C55">
        <f>IFERROR("[Jefatura] "&amp;INDEX(rAct_ADM,MATCH($A$5&amp;"|"&amp;35,rDkey_ADM,0)),"")</f>
        <v/>
      </c>
      <c r="D55">
        <f>IFERROR("[Jefatura] "&amp;INDEX(rAct_ADM,MATCH($A$6&amp;"|"&amp;35,rDkey_ADM,0)),"")</f>
        <v/>
      </c>
      <c r="E55">
        <f>IFERROR("[Jefatura] "&amp;INDEX(rAct_ADM,MATCH($A$7&amp;"|"&amp;35,rDkey_ADM,0)),"")</f>
        <v/>
      </c>
    </row>
    <row r="56">
      <c r="B56">
        <f>IFERROR("[Jefatura] "&amp;INDEX(rAct_ADM,MATCH($A$4&amp;"|"&amp;36,rDkey_ADM,0)),"")</f>
        <v/>
      </c>
      <c r="C56">
        <f>IFERROR("[Jefatura] "&amp;INDEX(rAct_ADM,MATCH($A$5&amp;"|"&amp;36,rDkey_ADM,0)),"")</f>
        <v/>
      </c>
      <c r="D56">
        <f>IFERROR("[Jefatura] "&amp;INDEX(rAct_ADM,MATCH($A$6&amp;"|"&amp;36,rDkey_ADM,0)),"")</f>
        <v/>
      </c>
      <c r="E56">
        <f>IFERROR("[Jefatura] "&amp;INDEX(rAct_ADM,MATCH($A$7&amp;"|"&amp;36,rDkey_ADM,0)),"")</f>
        <v/>
      </c>
    </row>
    <row r="57">
      <c r="B57">
        <f>IFERROR("[Jefatura] "&amp;INDEX(rAct_ADM,MATCH($A$4&amp;"|"&amp;37,rDkey_ADM,0)),"")</f>
        <v/>
      </c>
      <c r="C57">
        <f>IFERROR("[Jefatura] "&amp;INDEX(rAct_ADM,MATCH($A$5&amp;"|"&amp;37,rDkey_ADM,0)),"")</f>
        <v/>
      </c>
      <c r="D57">
        <f>IFERROR("[Jefatura] "&amp;INDEX(rAct_ADM,MATCH($A$6&amp;"|"&amp;37,rDkey_ADM,0)),"")</f>
        <v/>
      </c>
      <c r="E57">
        <f>IFERROR("[Jefatura] "&amp;INDEX(rAct_ADM,MATCH($A$7&amp;"|"&amp;37,rDkey_ADM,0)),"")</f>
        <v/>
      </c>
    </row>
    <row r="58">
      <c r="B58">
        <f>IFERROR("[Jefatura] "&amp;INDEX(rAct_ADM,MATCH($A$4&amp;"|"&amp;38,rDkey_ADM,0)),"")</f>
        <v/>
      </c>
      <c r="C58">
        <f>IFERROR("[Jefatura] "&amp;INDEX(rAct_ADM,MATCH($A$5&amp;"|"&amp;38,rDkey_ADM,0)),"")</f>
        <v/>
      </c>
      <c r="D58">
        <f>IFERROR("[Jefatura] "&amp;INDEX(rAct_ADM,MATCH($A$6&amp;"|"&amp;38,rDkey_ADM,0)),"")</f>
        <v/>
      </c>
      <c r="E58">
        <f>IFERROR("[Jefatura] "&amp;INDEX(rAct_ADM,MATCH($A$7&amp;"|"&amp;38,rDkey_ADM,0)),"")</f>
        <v/>
      </c>
    </row>
    <row r="59">
      <c r="B59">
        <f>IFERROR("[Jefatura] "&amp;INDEX(rAct_ADM,MATCH($A$4&amp;"|"&amp;39,rDkey_ADM,0)),"")</f>
        <v/>
      </c>
      <c r="C59">
        <f>IFERROR("[Jefatura] "&amp;INDEX(rAct_ADM,MATCH($A$5&amp;"|"&amp;39,rDkey_ADM,0)),"")</f>
        <v/>
      </c>
      <c r="D59">
        <f>IFERROR("[Jefatura] "&amp;INDEX(rAct_ADM,MATCH($A$6&amp;"|"&amp;39,rDkey_ADM,0)),"")</f>
        <v/>
      </c>
      <c r="E59">
        <f>IFERROR("[Jefatura] "&amp;INDEX(rAct_ADM,MATCH($A$7&amp;"|"&amp;39,rDkey_ADM,0)),"")</f>
        <v/>
      </c>
    </row>
    <row r="60">
      <c r="B60">
        <f>IFERROR("[Jefatura] "&amp;INDEX(rAct_ADM,MATCH($A$4&amp;"|"&amp;40,rDkey_ADM,0)),"")</f>
        <v/>
      </c>
      <c r="C60">
        <f>IFERROR("[Jefatura] "&amp;INDEX(rAct_ADM,MATCH($A$5&amp;"|"&amp;40,rDkey_ADM,0)),"")</f>
        <v/>
      </c>
      <c r="D60">
        <f>IFERROR("[Jefatura] "&amp;INDEX(rAct_ADM,MATCH($A$6&amp;"|"&amp;40,rDkey_ADM,0)),"")</f>
        <v/>
      </c>
      <c r="E60">
        <f>IFERROR("[Jefatura] "&amp;INDEX(rAct_ADM,MATCH($A$7&amp;"|"&amp;40,rDkey_ADM,0)),"")</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2026-10-16T16:34:34Z</dcterms:created>
  <dcterms:modified xmlns:dcterms="http://purl.org/dc/terms/" xmlns:xsi="http://www.w3.org/2001/XMLSchema-instance" xsi:type="dcterms:W3CDTF">2026-10-16T16:34:44Z</dcterms:modified>
</cp:coreProperties>
</file>